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9E5F5417-2854-4598-8792-53994652953F}" xr6:coauthVersionLast="47" xr6:coauthVersionMax="47" xr10:uidLastSave="{00000000-0000-0000-0000-000000000000}"/>
  <bookViews>
    <workbookView xWindow="1560" yWindow="1560" windowWidth="28800" windowHeight="15480"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19" i="47" l="1"/>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6" i="62"/>
  <c r="D35" i="62"/>
  <c r="D34" i="62"/>
  <c r="D33" i="62"/>
  <c r="D32" i="62"/>
  <c r="D31" i="62"/>
  <c r="D30" i="62"/>
  <c r="D29" i="62"/>
  <c r="D28" i="62"/>
  <c r="D27" i="62"/>
  <c r="D26" i="62"/>
  <c r="D25" i="62"/>
  <c r="D17" i="62"/>
  <c r="D11" i="62"/>
  <c r="C1" i="64"/>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47" i="67"/>
  <c r="K1131"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04" i="67"/>
  <c r="K1505" i="67"/>
  <c r="K1493" i="67"/>
  <c r="K1477"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F20" i="69" l="1"/>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V26" i="69" l="1"/>
  <c r="V20" i="69"/>
  <c r="V21" i="69" s="1"/>
  <c r="S1300" i="67"/>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Y29" i="69" l="1"/>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57" s="1"/>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AA30" i="69" l="1"/>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57" s="1"/>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AD18" i="70" l="1"/>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D79" i="70" l="1"/>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BJ13" i="36" s="1"/>
  <c r="AQ22" i="50"/>
  <c r="AQ23" i="50" s="1"/>
  <c r="AQ24" i="50" s="1"/>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BP13" i="36" s="1"/>
  <c r="AL22" i="50"/>
  <c r="AQ13" i="36" s="1"/>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13" i="36" s="1"/>
  <c r="AE22" i="69"/>
  <c r="AJ14" i="70" s="1"/>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H14" i="36" s="1"/>
  <c r="AW22" i="50"/>
  <c r="BB13" i="36" s="1"/>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H13" i="70" s="1"/>
  <c r="AS22" i="69"/>
  <c r="AS23" i="69" s="1"/>
  <c r="AS24" i="69" s="1"/>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4" i="70" s="1"/>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E23" i="69"/>
  <c r="AE24" i="69" s="1"/>
  <c r="AJ13" i="7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AX8" i="50"/>
  <c r="AA205" i="65"/>
  <c r="AX5" i="69" s="1"/>
  <c r="K4" i="50"/>
  <c r="K4" i="57" s="1"/>
  <c r="K4" i="69"/>
  <c r="AC23" i="69"/>
  <c r="AC24" i="69" s="1"/>
  <c r="Y37" i="69"/>
  <c r="AQ42" i="36"/>
  <c r="AP83" i="36"/>
  <c r="BH23" i="50"/>
  <c r="BH24" i="50" s="1"/>
  <c r="BM14" i="36"/>
  <c r="BM13" i="36"/>
  <c r="AK23" i="50"/>
  <c r="AK24" i="50" s="1"/>
  <c r="AP14" i="36"/>
  <c r="AD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J14" i="36" l="1"/>
  <c r="BE23" i="50"/>
  <c r="BE24" i="50" s="1"/>
  <c r="AA20" i="50"/>
  <c r="AA21" i="50" s="1"/>
  <c r="Y23" i="50"/>
  <c r="Y24" i="50" s="1"/>
  <c r="AL23" i="50"/>
  <c r="AL24" i="50" s="1"/>
  <c r="BB14" i="36"/>
  <c r="AI1540" i="67" s="1"/>
  <c r="AV14" i="36"/>
  <c r="AC1402" i="67" s="1"/>
  <c r="AF23" i="69"/>
  <c r="AF24" i="69" s="1"/>
  <c r="AQ14" i="36"/>
  <c r="X1402" i="67" s="1"/>
  <c r="AW23" i="50"/>
  <c r="AW24" i="50" s="1"/>
  <c r="AV13" i="36"/>
  <c r="AC1387" i="67" s="1"/>
  <c r="BL13" i="70"/>
  <c r="BL74" i="70" s="1"/>
  <c r="BL14" i="70"/>
  <c r="BL75" i="70" s="1"/>
  <c r="AH13" i="36"/>
  <c r="O1107" i="67" s="1"/>
  <c r="AC23" i="50"/>
  <c r="AC24" i="50" s="1"/>
  <c r="BP14" i="36"/>
  <c r="AW1388" i="67" s="1"/>
  <c r="BN13" i="70"/>
  <c r="BN74" i="70" s="1"/>
  <c r="BI23" i="69"/>
  <c r="BI24" i="69" s="1"/>
  <c r="AE14" i="36"/>
  <c r="L1402" i="67" s="1"/>
  <c r="Z23" i="50"/>
  <c r="Z24" i="50" s="1"/>
  <c r="AH14" i="70"/>
  <c r="AH59" i="70" s="1"/>
  <c r="BK23" i="50"/>
  <c r="BK24" i="50" s="1"/>
  <c r="AX14" i="70"/>
  <c r="AX59" i="70" s="1"/>
  <c r="AX13" i="70"/>
  <c r="AX58" i="70" s="1"/>
  <c r="BI13" i="69"/>
  <c r="AS13" i="36"/>
  <c r="Z1419" i="67" s="1"/>
  <c r="AS35" i="69"/>
  <c r="AC13" i="69"/>
  <c r="BK35" i="69"/>
  <c r="AK13" i="70"/>
  <c r="AK74" i="70" s="1"/>
  <c r="BA37" i="69"/>
  <c r="BA54" i="69" s="1"/>
  <c r="Y15" i="69"/>
  <c r="Y50" i="69" s="1"/>
  <c r="BJ13" i="70"/>
  <c r="BJ74" i="70" s="1"/>
  <c r="AR14" i="70"/>
  <c r="P131" i="65" s="1"/>
  <c r="AZ13" i="70"/>
  <c r="AZ74" i="70" s="1"/>
  <c r="AZ14" i="70"/>
  <c r="AZ75" i="70" s="1"/>
  <c r="BG13" i="36"/>
  <c r="AN1401" i="67" s="1"/>
  <c r="BG14" i="36"/>
  <c r="AN1090" i="67" s="1"/>
  <c r="AS14" i="36"/>
  <c r="Z1108" i="67" s="1"/>
  <c r="BE14" i="70"/>
  <c r="AC131" i="65" s="1"/>
  <c r="AQ37" i="69"/>
  <c r="AV21" i="70" s="1"/>
  <c r="AU13" i="69"/>
  <c r="AM13" i="69"/>
  <c r="AY13" i="69"/>
  <c r="AX13" i="36"/>
  <c r="AE1209" i="67" s="1"/>
  <c r="AX14" i="36"/>
  <c r="AE1556" i="67" s="1"/>
  <c r="AX23" i="69"/>
  <c r="AX24" i="69" s="1"/>
  <c r="BD23" i="69"/>
  <c r="BD24" i="69" s="1"/>
  <c r="AQ14" i="70"/>
  <c r="O131" i="65" s="1"/>
  <c r="O141" i="65" s="1"/>
  <c r="X471" i="67" s="1"/>
  <c r="BC14" i="70"/>
  <c r="BC59" i="70" s="1"/>
  <c r="AP14" i="70"/>
  <c r="AP75" i="70" s="1"/>
  <c r="BA23" i="50"/>
  <c r="BA24" i="50" s="1"/>
  <c r="BG35" i="69"/>
  <c r="AM35" i="69"/>
  <c r="BI14" i="70"/>
  <c r="BI59" i="70" s="1"/>
  <c r="AI13" i="70"/>
  <c r="AI58" i="70" s="1"/>
  <c r="BK13" i="70"/>
  <c r="BK58" i="70" s="1"/>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AI59" i="70" s="1"/>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AV13" i="70"/>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BG13" i="70"/>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388" i="67"/>
  <c r="AI1402" i="67"/>
  <c r="AI1420" i="67"/>
  <c r="W1076" i="67"/>
  <c r="W1090" i="67"/>
  <c r="W1108" i="67"/>
  <c r="W1210" i="67"/>
  <c r="W1194" i="67"/>
  <c r="W1388" i="67"/>
  <c r="W1402" i="67"/>
  <c r="W1420" i="67"/>
  <c r="W1540" i="67"/>
  <c r="W1556" i="67"/>
  <c r="AQ1075" i="67"/>
  <c r="AQ1089" i="67"/>
  <c r="AQ1107" i="67"/>
  <c r="AQ1193" i="67"/>
  <c r="AQ1209" i="67"/>
  <c r="AQ1387" i="67"/>
  <c r="AQ1401" i="67"/>
  <c r="AQ1419" i="67"/>
  <c r="AQ1539" i="67"/>
  <c r="AQ1555"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AM51" i="50"/>
  <c r="Y54" i="69"/>
  <c r="AD19" i="70"/>
  <c r="AD21" i="70"/>
  <c r="BG54" i="69"/>
  <c r="BL21" i="70"/>
  <c r="BL19" i="70"/>
  <c r="AH74" i="70"/>
  <c r="AH58" i="70"/>
  <c r="F130" i="65"/>
  <c r="AM54" i="69"/>
  <c r="AR21" i="70"/>
  <c r="AR19" i="70"/>
  <c r="BC58" i="70"/>
  <c r="BC74" i="70"/>
  <c r="AA130" i="65"/>
  <c r="BK54" i="69"/>
  <c r="BP21" i="70"/>
  <c r="BP19" i="70"/>
  <c r="AY74" i="70"/>
  <c r="AY58" i="70"/>
  <c r="W130" i="65"/>
  <c r="AD75" i="70"/>
  <c r="B131" i="65"/>
  <c r="B141" i="65" s="1"/>
  <c r="K471" i="67" s="1"/>
  <c r="AD59" i="70"/>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AV75" i="70"/>
  <c r="AV59" i="70"/>
  <c r="AJ54" i="69"/>
  <c r="AO21" i="70"/>
  <c r="AO19" i="70"/>
  <c r="AU54" i="69"/>
  <c r="AZ21" i="70"/>
  <c r="AZ19" i="70"/>
  <c r="W1077" i="67"/>
  <c r="W1091" i="67"/>
  <c r="W1195" i="67"/>
  <c r="W1109" i="67"/>
  <c r="W1211" i="67"/>
  <c r="W1389" i="67"/>
  <c r="W1403" i="67"/>
  <c r="W1421" i="67"/>
  <c r="W1541" i="67"/>
  <c r="W1557" i="67"/>
  <c r="AZ54" i="69"/>
  <c r="BE21" i="70"/>
  <c r="BE19" i="70"/>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AB1387" i="67"/>
  <c r="AB1401" i="67"/>
  <c r="AB1419" i="67"/>
  <c r="AB1539" i="67"/>
  <c r="AB1555" i="67"/>
  <c r="AE51" i="50"/>
  <c r="BB54" i="69"/>
  <c r="BG19" i="70"/>
  <c r="BG21" i="70"/>
  <c r="BF54" i="69"/>
  <c r="BK19" i="70"/>
  <c r="BK21" i="70"/>
  <c r="U1384" i="67"/>
  <c r="U1398" i="67"/>
  <c r="U1416" i="67"/>
  <c r="U1552" i="67"/>
  <c r="U1536" i="67"/>
  <c r="AF54" i="69"/>
  <c r="AK21" i="70"/>
  <c r="AK19" i="70"/>
  <c r="AB54" i="69"/>
  <c r="AG21" i="70"/>
  <c r="AG19" i="70"/>
  <c r="AA54" i="69"/>
  <c r="AF21" i="70"/>
  <c r="AF19" i="70"/>
  <c r="AS75" i="70"/>
  <c r="AS59" i="70"/>
  <c r="Q131" i="65"/>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Y8" i="69"/>
  <c r="Y7" i="69"/>
  <c r="AX75" i="70"/>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K1089" i="67"/>
  <c r="K1193" i="67"/>
  <c r="K1075" i="67"/>
  <c r="K1555" i="67"/>
  <c r="K1539" i="67"/>
  <c r="K1401" i="67"/>
  <c r="K1419" i="67"/>
  <c r="K1387" i="67"/>
  <c r="O1076" i="67"/>
  <c r="O1090" i="67"/>
  <c r="O1108" i="67"/>
  <c r="O1210" i="67"/>
  <c r="O1194" i="67"/>
  <c r="O1388" i="67"/>
  <c r="O1402" i="67"/>
  <c r="O1420" i="67"/>
  <c r="O1540" i="67"/>
  <c r="O1556" i="67"/>
  <c r="M1387" i="67"/>
  <c r="M1401" i="67"/>
  <c r="M1419" i="67"/>
  <c r="M1539" i="67"/>
  <c r="M1555" i="67"/>
  <c r="AW1419" i="67"/>
  <c r="AW1401" i="67"/>
  <c r="AW1539" i="67"/>
  <c r="AW1555" i="67"/>
  <c r="AW1387" i="67"/>
  <c r="AS54" i="69"/>
  <c r="AX19" i="70"/>
  <c r="AX21" i="70"/>
  <c r="BA74" i="70"/>
  <c r="BA58" i="70"/>
  <c r="Y130" i="65"/>
  <c r="AQ74" i="70"/>
  <c r="AQ58" i="70"/>
  <c r="O130" i="65"/>
  <c r="O140" i="65" s="1"/>
  <c r="X470" i="67" s="1"/>
  <c r="BN75" i="70"/>
  <c r="BN59" i="70"/>
  <c r="AL131" i="65"/>
  <c r="AL141" i="65" s="1"/>
  <c r="AU471" i="67" s="1"/>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AI54" i="69"/>
  <c r="AN21" i="70"/>
  <c r="AN19" i="70"/>
  <c r="BD54" i="69"/>
  <c r="BI21" i="70"/>
  <c r="BI19" i="70"/>
  <c r="AK59" i="70"/>
  <c r="AK75" i="70"/>
  <c r="I131" i="65"/>
  <c r="BL58" i="70"/>
  <c r="AJ130" i="65"/>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AW1556" i="67" l="1"/>
  <c r="AI74" i="70"/>
  <c r="AC1388" i="67"/>
  <c r="AH75" i="70"/>
  <c r="AI1210" i="67"/>
  <c r="AI1108" i="67"/>
  <c r="AI1556" i="67"/>
  <c r="AI605" i="67" s="1"/>
  <c r="AI1194" i="67"/>
  <c r="X1108" i="67"/>
  <c r="AC1194" i="67"/>
  <c r="T141" i="65"/>
  <c r="AC471" i="67" s="1"/>
  <c r="AJ131" i="65"/>
  <c r="BL59" i="70"/>
  <c r="O1089" i="67"/>
  <c r="O1075" i="67"/>
  <c r="O1555" i="67"/>
  <c r="O604" i="67" s="1"/>
  <c r="O1539" i="67"/>
  <c r="O740" i="67" s="1"/>
  <c r="F140" i="65"/>
  <c r="O470" i="67" s="1"/>
  <c r="O1419" i="67"/>
  <c r="O1401" i="67"/>
  <c r="O787" i="67" s="1"/>
  <c r="O1387" i="67"/>
  <c r="O622" i="67" s="1"/>
  <c r="O1209" i="67"/>
  <c r="O1193" i="67"/>
  <c r="AE141" i="65"/>
  <c r="AN471" i="67" s="1"/>
  <c r="X1420" i="67"/>
  <c r="X957" i="67" s="1"/>
  <c r="X1388" i="67"/>
  <c r="X925" i="67" s="1"/>
  <c r="X1194" i="67"/>
  <c r="X1210" i="67"/>
  <c r="AL130" i="65"/>
  <c r="BN58" i="70"/>
  <c r="X1556" i="67"/>
  <c r="X300" i="67" s="1"/>
  <c r="X1090" i="67"/>
  <c r="X1540" i="67"/>
  <c r="X589" i="67" s="1"/>
  <c r="X1076" i="67"/>
  <c r="AC1210" i="67"/>
  <c r="V131" i="65"/>
  <c r="AC1108" i="67"/>
  <c r="AC1556" i="67"/>
  <c r="AC147" i="67" s="1"/>
  <c r="AC1090" i="67"/>
  <c r="BF21" i="70"/>
  <c r="AC1540" i="67"/>
  <c r="AC131" i="67" s="1"/>
  <c r="AC1076" i="67"/>
  <c r="AJ1419" i="67"/>
  <c r="AJ502" i="67" s="1"/>
  <c r="BF19" i="70"/>
  <c r="BF80" i="70" s="1"/>
  <c r="AC1420" i="67"/>
  <c r="AC503" i="67" s="1"/>
  <c r="Z1401" i="67"/>
  <c r="Z938" i="67" s="1"/>
  <c r="L1556" i="67"/>
  <c r="L1059" i="67" s="1"/>
  <c r="Z1387" i="67"/>
  <c r="Z622" i="67" s="1"/>
  <c r="AC1555" i="67"/>
  <c r="AC756" i="67" s="1"/>
  <c r="AC1075" i="67"/>
  <c r="L1420" i="67"/>
  <c r="AF22" i="68" s="1"/>
  <c r="E22" i="62" s="1"/>
  <c r="AC1539" i="67"/>
  <c r="AC740" i="67" s="1"/>
  <c r="L1388" i="67"/>
  <c r="L925" i="67" s="1"/>
  <c r="AW1540" i="67"/>
  <c r="AW589" i="67" s="1"/>
  <c r="AC1419" i="67"/>
  <c r="AC956" i="67" s="1"/>
  <c r="AW1420" i="67"/>
  <c r="AW198" i="67" s="1"/>
  <c r="AC1401" i="67"/>
  <c r="AC26" i="67" s="1"/>
  <c r="AN141" i="65"/>
  <c r="AW471" i="67" s="1"/>
  <c r="L1540" i="67"/>
  <c r="L1043" i="67" s="1"/>
  <c r="L1108" i="67"/>
  <c r="AW1402" i="67"/>
  <c r="AW333" i="67" s="1"/>
  <c r="F131" i="65"/>
  <c r="F141" i="65" s="1"/>
  <c r="O471" i="67" s="1"/>
  <c r="Z1540" i="67"/>
  <c r="Z284" i="67" s="1"/>
  <c r="Z1555" i="67"/>
  <c r="Z907" i="67" s="1"/>
  <c r="Z1539" i="67"/>
  <c r="Z283" i="67" s="1"/>
  <c r="AX74" i="70"/>
  <c r="V130" i="65"/>
  <c r="V140" i="65" s="1"/>
  <c r="AE470" i="67" s="1"/>
  <c r="I130" i="65"/>
  <c r="I140" i="65" s="1"/>
  <c r="R470" i="67" s="1"/>
  <c r="AK58" i="70"/>
  <c r="I165" i="65" s="1"/>
  <c r="I177" i="65" s="1"/>
  <c r="R1193" i="67"/>
  <c r="R1209" i="67"/>
  <c r="AD1193" i="67"/>
  <c r="AE1193" i="67"/>
  <c r="AE1107" i="67"/>
  <c r="AD1209" i="67"/>
  <c r="R1107" i="67"/>
  <c r="AE1075" i="67"/>
  <c r="R1089" i="67"/>
  <c r="R1075" i="67"/>
  <c r="AL1193" i="67"/>
  <c r="AE1089" i="67"/>
  <c r="AI130" i="65"/>
  <c r="AI140" i="65" s="1"/>
  <c r="AR470" i="67" s="1"/>
  <c r="AL1209" i="67"/>
  <c r="AE1555" i="67"/>
  <c r="AE1058" i="67" s="1"/>
  <c r="BK74" i="70"/>
  <c r="AL1107" i="67"/>
  <c r="AE1539" i="67"/>
  <c r="AE436" i="67" s="1"/>
  <c r="AL1089" i="67"/>
  <c r="AE1419" i="67"/>
  <c r="AE350" i="67" s="1"/>
  <c r="AI75" i="70"/>
  <c r="AH130" i="65"/>
  <c r="AH140" i="65" s="1"/>
  <c r="AQ470" i="67" s="1"/>
  <c r="BJ58" i="70"/>
  <c r="AH165" i="65" s="1"/>
  <c r="AH177" i="65" s="1"/>
  <c r="AE1401" i="67"/>
  <c r="AE938" i="67" s="1"/>
  <c r="AE1387" i="67"/>
  <c r="AE12" i="67" s="1"/>
  <c r="AZ59" i="70"/>
  <c r="Q140" i="65"/>
  <c r="Z470" i="67" s="1"/>
  <c r="AR75" i="70"/>
  <c r="AL1075" i="67"/>
  <c r="G131" i="65"/>
  <c r="G141" i="65" s="1"/>
  <c r="P471" i="67" s="1"/>
  <c r="AR59" i="70"/>
  <c r="G130" i="65"/>
  <c r="G140" i="65" s="1"/>
  <c r="P470" i="67" s="1"/>
  <c r="Q1090" i="67"/>
  <c r="T1193" i="67"/>
  <c r="AG1076" i="67"/>
  <c r="S1075" i="67"/>
  <c r="BH21" i="70"/>
  <c r="X131" i="65"/>
  <c r="X141" i="65" s="1"/>
  <c r="AG471" i="67" s="1"/>
  <c r="BB75" i="70"/>
  <c r="Q1194" i="67"/>
  <c r="AG1540" i="67"/>
  <c r="AG1043" i="67" s="1"/>
  <c r="Q1076" i="67"/>
  <c r="X130" i="65"/>
  <c r="X140" i="65" s="1"/>
  <c r="AG470" i="67" s="1"/>
  <c r="P1194" i="67"/>
  <c r="AU1107" i="67"/>
  <c r="AZ58" i="70"/>
  <c r="X165" i="65" s="1"/>
  <c r="X177" i="65" s="1"/>
  <c r="P1210" i="67"/>
  <c r="AU1089" i="67"/>
  <c r="P1108" i="67"/>
  <c r="AU1209" i="67"/>
  <c r="AU1075" i="67"/>
  <c r="AQ59" i="70"/>
  <c r="P1090" i="67"/>
  <c r="Q1210" i="67"/>
  <c r="AQ75" i="70"/>
  <c r="P1076" i="67"/>
  <c r="Q1108" i="67"/>
  <c r="AE1194" i="67"/>
  <c r="AA1076" i="67"/>
  <c r="Z1556" i="67"/>
  <c r="Z908" i="67" s="1"/>
  <c r="Z1420" i="67"/>
  <c r="Z957" i="67" s="1"/>
  <c r="AS1210" i="67"/>
  <c r="Z1402" i="67"/>
  <c r="Z939" i="67" s="1"/>
  <c r="AS1108" i="67"/>
  <c r="Z1388" i="67"/>
  <c r="Z623" i="67" s="1"/>
  <c r="N131" i="65"/>
  <c r="N141" i="65" s="1"/>
  <c r="W471" i="67" s="1"/>
  <c r="AS1194" i="67"/>
  <c r="Z1210" i="67"/>
  <c r="AP59" i="70"/>
  <c r="AS1090" i="67"/>
  <c r="Z1194" i="67"/>
  <c r="AS1076" i="67"/>
  <c r="Z1076" i="67"/>
  <c r="Z1090" i="67"/>
  <c r="Q141" i="65"/>
  <c r="Z471" i="67" s="1"/>
  <c r="AU1193" i="67"/>
  <c r="AG1420" i="67"/>
  <c r="BA22" i="68" s="1"/>
  <c r="Z22" i="62" s="1"/>
  <c r="AG1210" i="67"/>
  <c r="AH1209" i="67"/>
  <c r="AG1108" i="67"/>
  <c r="AG1194" i="67"/>
  <c r="AG1090" i="67"/>
  <c r="AN1387" i="67"/>
  <c r="AN924" i="67" s="1"/>
  <c r="AN1555" i="67"/>
  <c r="AN146" i="67" s="1"/>
  <c r="AN1539" i="67"/>
  <c r="AN891" i="67" s="1"/>
  <c r="AN1419" i="67"/>
  <c r="AN956" i="67" s="1"/>
  <c r="AH1193" i="67"/>
  <c r="AN1556" i="67"/>
  <c r="AN605" i="67" s="1"/>
  <c r="BC75" i="70"/>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AR1076"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V141" i="65"/>
  <c r="AE471" i="67" s="1"/>
  <c r="AE1210" i="67"/>
  <c r="AE21" i="70"/>
  <c r="AE1108" i="67"/>
  <c r="AE19" i="70"/>
  <c r="AE64" i="70" s="1"/>
  <c r="AE1090" i="67"/>
  <c r="AE1076" i="67"/>
  <c r="AH1388" i="67"/>
  <c r="AH925" i="67" s="1"/>
  <c r="BC19" i="70"/>
  <c r="BC80" i="70" s="1"/>
  <c r="V1402" i="67"/>
  <c r="V485" i="67" s="1"/>
  <c r="Y1402" i="67"/>
  <c r="Y939" i="67" s="1"/>
  <c r="AJ1401" i="67"/>
  <c r="AJ938" i="67" s="1"/>
  <c r="AV1420" i="67"/>
  <c r="BP22" i="68" s="1"/>
  <c r="AO22" i="62" s="1"/>
  <c r="AM1540" i="67"/>
  <c r="AM1043" i="67" s="1"/>
  <c r="AI21" i="70"/>
  <c r="V1388" i="67"/>
  <c r="V166" i="67" s="1"/>
  <c r="Y1388" i="67"/>
  <c r="Y166" i="67" s="1"/>
  <c r="AJ1387" i="67"/>
  <c r="AJ924" i="67" s="1"/>
  <c r="AV1402" i="67"/>
  <c r="AV637" i="67" s="1"/>
  <c r="AM1420" i="67"/>
  <c r="AM655" i="67" s="1"/>
  <c r="AY21" i="70"/>
  <c r="AI19" i="70"/>
  <c r="AI80" i="70" s="1"/>
  <c r="Y1210" i="67"/>
  <c r="AJ1209" i="67"/>
  <c r="AV1388" i="67"/>
  <c r="AV13" i="67" s="1"/>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AJ141" i="65"/>
  <c r="AS471" i="67"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H452" i="67" s="1"/>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AH1539" i="67"/>
  <c r="AH588" i="67" s="1"/>
  <c r="AH1401" i="67"/>
  <c r="AH938" i="67" s="1"/>
  <c r="AU1401" i="67"/>
  <c r="AU787" i="67" s="1"/>
  <c r="AM1075" i="67"/>
  <c r="Y131" i="65"/>
  <c r="Y141" i="65" s="1"/>
  <c r="AH471" i="67" s="1"/>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K925" i="67"/>
  <c r="K319" i="67"/>
  <c r="K623" i="67"/>
  <c r="K13" i="67"/>
  <c r="K774" i="67"/>
  <c r="K166" i="67"/>
  <c r="T1044" i="67"/>
  <c r="T438" i="67"/>
  <c r="T742" i="67"/>
  <c r="T893" i="67"/>
  <c r="T285" i="67"/>
  <c r="T590" i="67"/>
  <c r="T132" i="67"/>
  <c r="F165" i="65"/>
  <c r="F177" i="65" s="1"/>
  <c r="O619" i="67"/>
  <c r="O770" i="67"/>
  <c r="AY80" i="70"/>
  <c r="AY64" i="70"/>
  <c r="AP80" i="70"/>
  <c r="AP64" i="70"/>
  <c r="O165" i="65"/>
  <c r="O177" i="65" s="1"/>
  <c r="Y1043" i="67"/>
  <c r="Y892" i="67"/>
  <c r="Y437" i="67"/>
  <c r="Y741" i="67"/>
  <c r="Y131" i="67"/>
  <c r="Y284" i="67"/>
  <c r="Y589" i="67"/>
  <c r="L892" i="67"/>
  <c r="L284" i="67"/>
  <c r="K938" i="67"/>
  <c r="K636" i="67"/>
  <c r="K332" i="67"/>
  <c r="K787" i="67"/>
  <c r="K484" i="67"/>
  <c r="K26" i="67"/>
  <c r="K179" i="67"/>
  <c r="AE14" i="68"/>
  <c r="D15" i="62" s="1"/>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Q806" i="67"/>
  <c r="AQ45"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O130"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O938" i="67"/>
  <c r="AO332" i="67"/>
  <c r="AO787" i="67"/>
  <c r="AO636" i="67"/>
  <c r="AO484" i="67"/>
  <c r="AO26" i="67"/>
  <c r="AO179" i="67"/>
  <c r="AQ938" i="67"/>
  <c r="AQ636" i="67"/>
  <c r="AQ332" i="67"/>
  <c r="AQ787" i="67"/>
  <c r="AQ484" i="67"/>
  <c r="AQ26" i="67"/>
  <c r="AQ179" i="67"/>
  <c r="BK14" i="68"/>
  <c r="AJ15" i="62" s="1"/>
  <c r="W939" i="67"/>
  <c r="W333" i="67"/>
  <c r="W637" i="67"/>
  <c r="W788" i="67"/>
  <c r="W485" i="67"/>
  <c r="W27" i="67"/>
  <c r="W180" i="67"/>
  <c r="N939" i="67"/>
  <c r="N333" i="67"/>
  <c r="N637" i="67"/>
  <c r="N788" i="67"/>
  <c r="N27" i="67"/>
  <c r="N180" i="67"/>
  <c r="N485" i="67"/>
  <c r="AI908"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AC300" i="67"/>
  <c r="M1058" i="67"/>
  <c r="M452" i="67"/>
  <c r="M907" i="67"/>
  <c r="M756" i="67"/>
  <c r="M604" i="67"/>
  <c r="M299" i="67"/>
  <c r="M146" i="67"/>
  <c r="AU924" i="67"/>
  <c r="AU318" i="67"/>
  <c r="AU622" i="67"/>
  <c r="AU773" i="67"/>
  <c r="AU12" i="67"/>
  <c r="AU165"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AQ939" i="67"/>
  <c r="AQ333" i="67"/>
  <c r="AQ788" i="67"/>
  <c r="AQ637" i="67"/>
  <c r="AQ27" i="67"/>
  <c r="AQ485" i="67"/>
  <c r="AQ180" i="67"/>
  <c r="AI956" i="67"/>
  <c r="AI350" i="67"/>
  <c r="AI805" i="67"/>
  <c r="AI502" i="67"/>
  <c r="AI654" i="67"/>
  <c r="AI44" i="67"/>
  <c r="AI197" i="67"/>
  <c r="BC22" i="68"/>
  <c r="AB22" i="62" s="1"/>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Z924" i="67"/>
  <c r="U926" i="67"/>
  <c r="U320" i="67"/>
  <c r="U472" i="67"/>
  <c r="U624" i="67"/>
  <c r="U775" i="67"/>
  <c r="U14" i="67"/>
  <c r="U167" i="67"/>
  <c r="AO8" i="68"/>
  <c r="N10" i="62"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BK22" i="68"/>
  <c r="AJ22" i="62" s="1"/>
  <c r="W957" i="67"/>
  <c r="W351" i="67"/>
  <c r="W655" i="67"/>
  <c r="W45" i="67"/>
  <c r="W806" i="67"/>
  <c r="W503" i="67"/>
  <c r="W198" i="67"/>
  <c r="AK925"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W924" i="67"/>
  <c r="AW318" i="67"/>
  <c r="AW622" i="67"/>
  <c r="AW773" i="67"/>
  <c r="AW12" i="67"/>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L806"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B938" i="67"/>
  <c r="AB636" i="67"/>
  <c r="AB787" i="67"/>
  <c r="AB332" i="67"/>
  <c r="AB484" i="67"/>
  <c r="AB26" i="67"/>
  <c r="AB179" i="67"/>
  <c r="AL925" i="67"/>
  <c r="AL319" i="67"/>
  <c r="AL774" i="67"/>
  <c r="AL623" i="67"/>
  <c r="AL13" i="67"/>
  <c r="AL166" i="67"/>
  <c r="AP924" i="67"/>
  <c r="AP622" i="67"/>
  <c r="AP773" i="67"/>
  <c r="AP318" i="67"/>
  <c r="AP12" i="67"/>
  <c r="AP165"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O956" i="67"/>
  <c r="O350" i="67"/>
  <c r="O654" i="67"/>
  <c r="O805" i="67"/>
  <c r="O502" i="67"/>
  <c r="O44" i="67"/>
  <c r="O197" i="67"/>
  <c r="AI22" i="68"/>
  <c r="H22" i="62" s="1"/>
  <c r="Z956" i="67"/>
  <c r="Z350" i="67"/>
  <c r="Z805" i="67"/>
  <c r="Z654" i="67"/>
  <c r="Z502" i="67"/>
  <c r="Z44" i="67"/>
  <c r="Z197" i="67"/>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T1384" i="67"/>
  <c r="T1398" i="67"/>
  <c r="T1416" i="67"/>
  <c r="T1536" i="67"/>
  <c r="T1552" i="67"/>
  <c r="W958" i="67"/>
  <c r="W352" i="67"/>
  <c r="W656" i="67"/>
  <c r="W807" i="67"/>
  <c r="W504" i="67"/>
  <c r="W46" i="67"/>
  <c r="W199" i="67"/>
  <c r="AQ23" i="68"/>
  <c r="AO64" i="70"/>
  <c r="AO80" i="70"/>
  <c r="AW64" i="70"/>
  <c r="AW80" i="70"/>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C925" i="67"/>
  <c r="AC774" i="67"/>
  <c r="AC319" i="67"/>
  <c r="AC623" i="67"/>
  <c r="AC13" i="67"/>
  <c r="AC166" i="67"/>
  <c r="AH924" i="67"/>
  <c r="AH318" i="67"/>
  <c r="AH773" i="67"/>
  <c r="AH622" i="67"/>
  <c r="AH12" i="67"/>
  <c r="AH165" i="67"/>
  <c r="O925" i="67"/>
  <c r="O319" i="67"/>
  <c r="O774" i="67"/>
  <c r="O166" i="67"/>
  <c r="O623" i="67"/>
  <c r="O13"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Q80" i="70"/>
  <c r="AQ64" i="70"/>
  <c r="AF80" i="70"/>
  <c r="AF64" i="70"/>
  <c r="AK80" i="70"/>
  <c r="AK64" i="70"/>
  <c r="BG80" i="70"/>
  <c r="BG64" i="70"/>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L939" i="67"/>
  <c r="L333" i="67"/>
  <c r="L485" i="67"/>
  <c r="L637" i="67"/>
  <c r="L788" i="67"/>
  <c r="L27" i="67"/>
  <c r="L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AG64" i="70"/>
  <c r="AG80" i="70"/>
  <c r="U737" i="67"/>
  <c r="U280" i="67"/>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AN938" i="67"/>
  <c r="AN332" i="67"/>
  <c r="AN636" i="67"/>
  <c r="AN787" i="67"/>
  <c r="AN179" i="67"/>
  <c r="AN484" i="67"/>
  <c r="AN26" i="67"/>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Z15" i="62" s="1"/>
  <c r="AV333" i="67"/>
  <c r="AB925" i="67"/>
  <c r="AB774" i="67"/>
  <c r="AB319" i="67"/>
  <c r="AB623" i="67"/>
  <c r="AB13" i="67"/>
  <c r="AB166" i="67"/>
  <c r="AP1059" i="67"/>
  <c r="AP908" i="67"/>
  <c r="AP453" i="67"/>
  <c r="AP757" i="67"/>
  <c r="AP605" i="67"/>
  <c r="AP147" i="67"/>
  <c r="AP300" i="67"/>
  <c r="AP925" i="67"/>
  <c r="AP319" i="67"/>
  <c r="AP623" i="67"/>
  <c r="AP774" i="67"/>
  <c r="AP13" i="67"/>
  <c r="AP166" i="67"/>
  <c r="AW741" i="67"/>
  <c r="AQ1042" i="67"/>
  <c r="AQ436" i="67"/>
  <c r="AQ891" i="67"/>
  <c r="AQ588" i="67"/>
  <c r="AQ130" i="67"/>
  <c r="AQ740" i="67"/>
  <c r="AQ283" i="67"/>
  <c r="W1043" i="67"/>
  <c r="W892" i="67"/>
  <c r="W437" i="67"/>
  <c r="W741" i="67"/>
  <c r="W589" i="67"/>
  <c r="W284" i="67"/>
  <c r="W131"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Z452" i="67" l="1"/>
  <c r="O907" i="67"/>
  <c r="AI300" i="67"/>
  <c r="AI147" i="67"/>
  <c r="AI757" i="67"/>
  <c r="AI453" i="67"/>
  <c r="AI1059" i="67"/>
  <c r="X757" i="67"/>
  <c r="L147" i="67"/>
  <c r="Z892" i="67"/>
  <c r="AB655" i="67"/>
  <c r="X605" i="67"/>
  <c r="L300" i="67"/>
  <c r="X453" i="67"/>
  <c r="L605" i="67"/>
  <c r="X908" i="67"/>
  <c r="L908" i="67"/>
  <c r="X1059" i="67"/>
  <c r="L757" i="67"/>
  <c r="L453" i="67"/>
  <c r="X147" i="67"/>
  <c r="AC284" i="67"/>
  <c r="O588" i="67"/>
  <c r="O891" i="67"/>
  <c r="O436" i="67"/>
  <c r="O1042" i="67"/>
  <c r="Z130" i="67"/>
  <c r="O283" i="67"/>
  <c r="N283" i="67"/>
  <c r="N436" i="67"/>
  <c r="N1042" i="67"/>
  <c r="AV788" i="67"/>
  <c r="AK805" i="67"/>
  <c r="AE1042" i="67"/>
  <c r="O938" i="67"/>
  <c r="AW45" i="67"/>
  <c r="BF64" i="70"/>
  <c r="AD167" i="65" s="1"/>
  <c r="AD179" i="65" s="1"/>
  <c r="AC806" i="67"/>
  <c r="O179" i="67"/>
  <c r="O26" i="67"/>
  <c r="AI14" i="68"/>
  <c r="H15" i="62" s="1"/>
  <c r="O484" i="67"/>
  <c r="O636" i="67"/>
  <c r="O332" i="67"/>
  <c r="O924" i="67"/>
  <c r="AW22" i="68"/>
  <c r="V22" i="62" s="1"/>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Q22" i="62" s="1"/>
  <c r="X166" i="67"/>
  <c r="AC605" i="67"/>
  <c r="X13" i="67"/>
  <c r="AC757" i="67"/>
  <c r="X774" i="67"/>
  <c r="AC908" i="67"/>
  <c r="X623" i="67"/>
  <c r="AC453" i="67"/>
  <c r="X319" i="67"/>
  <c r="AC1059" i="67"/>
  <c r="AW806" i="67"/>
  <c r="Z756" i="67"/>
  <c r="AW655" i="67"/>
  <c r="Z1058" i="67"/>
  <c r="AW351" i="67"/>
  <c r="Z165" i="67"/>
  <c r="BQ22" i="68"/>
  <c r="AP22" i="62" s="1"/>
  <c r="AW957" i="67"/>
  <c r="Z146" i="67"/>
  <c r="Z12" i="67"/>
  <c r="Z299" i="67"/>
  <c r="Z318" i="67"/>
  <c r="AW503" i="67"/>
  <c r="Z604" i="67"/>
  <c r="Z773" i="67"/>
  <c r="AC589" i="67"/>
  <c r="AE956" i="67"/>
  <c r="AC907" i="67"/>
  <c r="AC484" i="67"/>
  <c r="Z740" i="67"/>
  <c r="AC892" i="67"/>
  <c r="AE197" i="67"/>
  <c r="AC1058" i="67"/>
  <c r="AC636" i="67"/>
  <c r="Z588" i="67"/>
  <c r="AC437" i="67"/>
  <c r="AE44" i="67"/>
  <c r="AC332" i="67"/>
  <c r="Z891" i="67"/>
  <c r="AC741" i="67"/>
  <c r="AE502" i="67"/>
  <c r="AC146" i="67"/>
  <c r="AC938" i="67"/>
  <c r="Z436" i="67"/>
  <c r="AC1043" i="67"/>
  <c r="AE805" i="67"/>
  <c r="AC299" i="67"/>
  <c r="AW14" i="68"/>
  <c r="V15" i="62" s="1"/>
  <c r="Z1042" i="67"/>
  <c r="AE654" i="67"/>
  <c r="AC604" i="67"/>
  <c r="AC179" i="67"/>
  <c r="AG503" i="67"/>
  <c r="L166" i="67"/>
  <c r="AE26" i="67"/>
  <c r="AC588" i="67"/>
  <c r="AC130" i="67"/>
  <c r="AC891" i="67"/>
  <c r="AC436" i="67"/>
  <c r="AC1042" i="67"/>
  <c r="AC283" i="67"/>
  <c r="L351" i="67"/>
  <c r="AK350" i="67"/>
  <c r="L131" i="67"/>
  <c r="AH891" i="67"/>
  <c r="AV939" i="67"/>
  <c r="AH436" i="67"/>
  <c r="Z774" i="67"/>
  <c r="L957" i="67"/>
  <c r="AK956" i="67"/>
  <c r="L589" i="67"/>
  <c r="AV180" i="67"/>
  <c r="N740" i="67"/>
  <c r="L198" i="67"/>
  <c r="AK13" i="67"/>
  <c r="AK197" i="67"/>
  <c r="L741" i="67"/>
  <c r="AV27" i="67"/>
  <c r="N130" i="67"/>
  <c r="L45" i="67"/>
  <c r="AK623" i="67"/>
  <c r="AK44" i="67"/>
  <c r="BP14" i="68"/>
  <c r="AO15" i="62" s="1"/>
  <c r="L437" i="67"/>
  <c r="AV485" i="67"/>
  <c r="N588" i="67"/>
  <c r="L503" i="67"/>
  <c r="AK319" i="67"/>
  <c r="AK502" i="67"/>
  <c r="AW131" i="67"/>
  <c r="AW284" i="67"/>
  <c r="L655" i="67"/>
  <c r="AK774" i="67"/>
  <c r="AW939" i="67"/>
  <c r="AW27" i="67"/>
  <c r="L13" i="67"/>
  <c r="AW485" i="67"/>
  <c r="L623" i="67"/>
  <c r="AW637" i="67"/>
  <c r="L319" i="67"/>
  <c r="AW180" i="67"/>
  <c r="L774" i="67"/>
  <c r="BQ14" i="68"/>
  <c r="AP15" i="62" s="1"/>
  <c r="AW788" i="67"/>
  <c r="AW437" i="67"/>
  <c r="AE283" i="67"/>
  <c r="AH1042" i="67"/>
  <c r="AC502" i="67"/>
  <c r="Z319" i="67"/>
  <c r="AB351" i="67"/>
  <c r="Z437" i="67"/>
  <c r="AC44" i="67"/>
  <c r="AB806" i="67"/>
  <c r="AW892" i="67"/>
  <c r="AE740" i="67"/>
  <c r="AC197" i="67"/>
  <c r="AV22" i="68"/>
  <c r="U22" i="62" s="1"/>
  <c r="Z1043" i="67"/>
  <c r="AW1043" i="67"/>
  <c r="AE130" i="67"/>
  <c r="AH283" i="67"/>
  <c r="AC654" i="67"/>
  <c r="Z741" i="67"/>
  <c r="AE588" i="67"/>
  <c r="AH740" i="67"/>
  <c r="AC805" i="67"/>
  <c r="Z131" i="67"/>
  <c r="AE891" i="67"/>
  <c r="AH130" i="67"/>
  <c r="AC350" i="67"/>
  <c r="AE773" i="67"/>
  <c r="AB198" i="67"/>
  <c r="Z589" i="67"/>
  <c r="AB503" i="67"/>
  <c r="AE622" i="67"/>
  <c r="AE318" i="67"/>
  <c r="AE924" i="67"/>
  <c r="AE165" i="67"/>
  <c r="AE179" i="67"/>
  <c r="AE484" i="67"/>
  <c r="AE636" i="67"/>
  <c r="AE332" i="67"/>
  <c r="AE787" i="67"/>
  <c r="AN1059" i="67"/>
  <c r="AE146" i="67"/>
  <c r="AE299" i="67"/>
  <c r="AE604" i="67"/>
  <c r="AE907" i="67"/>
  <c r="AE756" i="67"/>
  <c r="AE452" i="67"/>
  <c r="AN757" i="67"/>
  <c r="AN453" i="67"/>
  <c r="AN908" i="67"/>
  <c r="AN319" i="67"/>
  <c r="AN147" i="67"/>
  <c r="AN300" i="67"/>
  <c r="AN756" i="67"/>
  <c r="AN907" i="67"/>
  <c r="AN452" i="67"/>
  <c r="Z1059" i="67"/>
  <c r="AN741" i="67"/>
  <c r="AN1058" i="67"/>
  <c r="AT22" i="68"/>
  <c r="S22" i="62" s="1"/>
  <c r="Z198" i="67"/>
  <c r="Z45" i="67"/>
  <c r="Z300" i="67"/>
  <c r="Z503" i="67"/>
  <c r="Z147" i="67"/>
  <c r="Z806" i="67"/>
  <c r="Z605" i="67"/>
  <c r="Z655" i="67"/>
  <c r="AN604" i="67"/>
  <c r="Z757" i="67"/>
  <c r="Z351" i="67"/>
  <c r="AN299" i="67"/>
  <c r="Z453" i="67"/>
  <c r="AU484" i="67"/>
  <c r="AE637" i="67"/>
  <c r="AE788" i="67"/>
  <c r="AG284" i="67"/>
  <c r="AG806" i="67"/>
  <c r="AB333" i="67"/>
  <c r="N907" i="67"/>
  <c r="BO14" i="68"/>
  <c r="AN15" i="62" s="1"/>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X15" i="62" s="1"/>
  <c r="Z166" i="67"/>
  <c r="AG198" i="67"/>
  <c r="N299" i="67"/>
  <c r="AA130" i="67"/>
  <c r="AA891" i="67"/>
  <c r="AE27" i="67"/>
  <c r="AE485" i="67"/>
  <c r="Z13" i="67"/>
  <c r="AG45" i="67"/>
  <c r="N604" i="67"/>
  <c r="AH13" i="67"/>
  <c r="N756" i="67"/>
  <c r="AB485" i="67"/>
  <c r="AG655" i="67"/>
  <c r="BH22" i="68"/>
  <c r="AG22" i="62" s="1"/>
  <c r="AT14" i="68"/>
  <c r="S15" i="62" s="1"/>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O15" i="62" s="1"/>
  <c r="AY22" i="68"/>
  <c r="X22" i="62" s="1"/>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G15" i="62" s="1"/>
  <c r="AN588" i="67"/>
  <c r="AN637" i="67"/>
  <c r="AN485" i="67"/>
  <c r="AH503" i="67"/>
  <c r="AN198" i="67"/>
  <c r="AH351"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K15" i="62" s="1"/>
  <c r="AN1043" i="67"/>
  <c r="AR741" i="67"/>
  <c r="T740" i="67"/>
  <c r="AR1043" i="67"/>
  <c r="T1042" i="67"/>
  <c r="AD10" i="70"/>
  <c r="B19" i="65" s="1"/>
  <c r="AE741" i="67"/>
  <c r="AF636" i="67"/>
  <c r="AN623" i="67"/>
  <c r="AN925" i="67"/>
  <c r="AN166" i="67"/>
  <c r="AN13" i="67"/>
  <c r="AV64" i="70"/>
  <c r="T167" i="65" s="1"/>
  <c r="T179" i="65" s="1"/>
  <c r="AH1058" i="67"/>
  <c r="AS131" i="67"/>
  <c r="AU44" i="67"/>
  <c r="AB892" i="67"/>
  <c r="AV166" i="67"/>
  <c r="AR908" i="67"/>
  <c r="Q1043" i="67"/>
  <c r="AL757"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N22" i="62" s="1"/>
  <c r="AH756" i="67"/>
  <c r="AA485" i="67"/>
  <c r="AK300" i="67"/>
  <c r="AG757" i="67"/>
  <c r="AH957" i="67"/>
  <c r="R805" i="67"/>
  <c r="AA788" i="67"/>
  <c r="AK605" i="67"/>
  <c r="AG1059" i="67"/>
  <c r="R350" i="67"/>
  <c r="V655" i="67"/>
  <c r="AA637" i="67"/>
  <c r="AK147" i="67"/>
  <c r="BB22" i="68"/>
  <c r="AA22" i="62" s="1"/>
  <c r="R956" i="67"/>
  <c r="AA333" i="67"/>
  <c r="AK757" i="67"/>
  <c r="AK453" i="67"/>
  <c r="AK908" i="67"/>
  <c r="AS197" i="67"/>
  <c r="AH198" i="67"/>
  <c r="AS44" i="67"/>
  <c r="AG605" i="67"/>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167" i="65" s="1"/>
  <c r="S179" i="65" s="1"/>
  <c r="S26" i="67"/>
  <c r="T773" i="67"/>
  <c r="R26" i="67"/>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AM167" i="65" s="1"/>
  <c r="AM179" i="65" s="1"/>
  <c r="R198" i="67"/>
  <c r="K1398" i="67"/>
  <c r="K481" i="67" s="1"/>
  <c r="AP197" i="67"/>
  <c r="AZ22" i="68"/>
  <c r="Y22" i="62" s="1"/>
  <c r="R45" i="67"/>
  <c r="K1536" i="67"/>
  <c r="K433" i="67" s="1"/>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Q1229" i="67"/>
  <c r="M1228" i="67"/>
  <c r="L1228" i="67"/>
  <c r="AT1228" i="67"/>
  <c r="R1228" i="67"/>
  <c r="K1228" i="67"/>
  <c r="AC1229" i="67"/>
  <c r="W1229" i="67"/>
  <c r="AQ1228" i="67"/>
  <c r="T1262" i="67"/>
  <c r="AI1261" i="67"/>
  <c r="AQ1346" i="67"/>
  <c r="AP1229" i="67"/>
  <c r="Z1260" i="67"/>
  <c r="AO1230" i="67"/>
  <c r="AM1229" i="67"/>
  <c r="AD1363" i="67"/>
  <c r="AT1244" i="67"/>
  <c r="R1229" i="67"/>
  <c r="AM1228" i="67"/>
  <c r="AO1348" i="67"/>
  <c r="Y1244" i="67"/>
  <c r="AI1229" i="67"/>
  <c r="V1228" i="67"/>
  <c r="W1348" i="67"/>
  <c r="U1364" i="67"/>
  <c r="AF1230" i="67"/>
  <c r="P1262" i="67"/>
  <c r="AE1230" i="67"/>
  <c r="AE1364" i="67"/>
  <c r="Q1364" i="67"/>
  <c r="AF1261" i="67"/>
  <c r="AK1346" i="67"/>
  <c r="AJ1262" i="67"/>
  <c r="AR1260" i="67"/>
  <c r="Y10" i="69"/>
  <c r="AI1228" i="67"/>
  <c r="AP1228" i="67"/>
  <c r="AU1229" i="67"/>
  <c r="AM1262" i="67"/>
  <c r="U1228" i="67"/>
  <c r="AR1364" i="67"/>
  <c r="AP1364" i="67"/>
  <c r="X1230" i="67"/>
  <c r="AP1243" i="67"/>
  <c r="Q1244" i="67"/>
  <c r="AI1362" i="67"/>
  <c r="Y1228" i="67"/>
  <c r="AQ1229" i="67"/>
  <c r="AT1229" i="67"/>
  <c r="AL1229" i="67"/>
  <c r="AV1228" i="67"/>
  <c r="K1346" i="67"/>
  <c r="AN1262" i="67"/>
  <c r="AR1346" i="67"/>
  <c r="AB1228" i="67"/>
  <c r="AM1260" i="67"/>
  <c r="AT1346" i="67"/>
  <c r="AV1346" i="67"/>
  <c r="L1243" i="67"/>
  <c r="O1243" i="67"/>
  <c r="AM1348" i="67"/>
  <c r="AG1242" i="67"/>
  <c r="Q1228" i="67"/>
  <c r="AN1242" i="67"/>
  <c r="AN1364" i="67"/>
  <c r="S1364" i="67"/>
  <c r="AK1364" i="67"/>
  <c r="M1346" i="67"/>
  <c r="AA1229"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W1228" i="67"/>
  <c r="AO1229" i="67"/>
  <c r="AR1244" i="67"/>
  <c r="AB1348" i="67"/>
  <c r="AA1348" i="67"/>
  <c r="K1230" i="67"/>
  <c r="AQ1243"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O1229" i="67"/>
  <c r="AH1228" i="67"/>
  <c r="AJ1229" i="67"/>
  <c r="AC1228" i="67"/>
  <c r="AA1228" i="67"/>
  <c r="AW1229" i="67"/>
  <c r="AG1346" i="67"/>
  <c r="X1242" i="67"/>
  <c r="AR1228" i="67"/>
  <c r="AP1347" i="67"/>
  <c r="AG1228" i="67"/>
  <c r="AF1348" i="67"/>
  <c r="AF1243" i="67"/>
  <c r="AI1260" i="67"/>
  <c r="K1243"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S1244" i="67"/>
  <c r="W1362" i="67"/>
  <c r="Q440" i="67"/>
  <c r="Q592" i="67"/>
  <c r="Q134" i="67"/>
  <c r="Q895" i="67"/>
  <c r="Q287" i="67"/>
  <c r="Q744" i="67"/>
  <c r="Y134" i="67"/>
  <c r="Y287" i="67"/>
  <c r="Y440" i="67"/>
  <c r="Y744" i="67"/>
  <c r="Y592" i="67"/>
  <c r="Y895" i="67"/>
  <c r="L745" i="67"/>
  <c r="L441" i="67"/>
  <c r="L896" i="67"/>
  <c r="L593" i="67"/>
  <c r="L135" i="67"/>
  <c r="L288"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N1348" i="67"/>
  <c r="AH1244" i="67"/>
  <c r="N1243" i="67"/>
  <c r="AQ1242" i="67"/>
  <c r="AO1242" i="67"/>
  <c r="AG1362" i="67"/>
  <c r="X1260" i="67"/>
  <c r="U1242" i="67"/>
  <c r="AJ167" i="65"/>
  <c r="AJ179" i="65" s="1"/>
  <c r="U1262" i="67"/>
  <c r="T1347" i="67"/>
  <c r="AV1230" i="67"/>
  <c r="AF1262" i="67"/>
  <c r="P1230" i="67"/>
  <c r="O1364" i="67"/>
  <c r="AT1230" i="67"/>
  <c r="AW1348" i="67"/>
  <c r="Q1262" i="67"/>
  <c r="AF1363" i="67"/>
  <c r="R167" i="65"/>
  <c r="R179" i="65" s="1"/>
  <c r="AK1230" i="67"/>
  <c r="AV1242" i="67"/>
  <c r="L1262" i="67"/>
  <c r="AA1230" i="67"/>
  <c r="R1364" i="67"/>
  <c r="AC1262" i="67"/>
  <c r="M1230" i="67"/>
  <c r="M1364" i="67"/>
  <c r="K1242" i="67"/>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W1347" i="67"/>
  <c r="V1260" i="67"/>
  <c r="Q1362" i="67"/>
  <c r="X167" i="65"/>
  <c r="X179" i="65" s="1"/>
  <c r="W1244" i="67"/>
  <c r="AD1262" i="67"/>
  <c r="Z1230"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K1347" i="67"/>
  <c r="O1260" i="67"/>
  <c r="AF1244" i="67"/>
  <c r="AE1244" i="67"/>
  <c r="AQ1363" i="67"/>
  <c r="AR1362" i="67"/>
  <c r="AB1242"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P1363" i="67"/>
  <c r="T1364" i="67"/>
  <c r="K1261" i="67"/>
  <c r="AF1364" i="67"/>
  <c r="AQ1347" i="67"/>
  <c r="AT1347" i="67"/>
  <c r="AG1243"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N23" i="62" s="1"/>
  <c r="U809" i="67"/>
  <c r="U48" i="67"/>
  <c r="U658" i="67"/>
  <c r="U201" i="67"/>
  <c r="AH1364" i="67"/>
  <c r="AI1347" i="67"/>
  <c r="W1363" i="67"/>
  <c r="AW1363"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R23" i="62" s="1"/>
  <c r="Y201" i="67"/>
  <c r="Y506" i="67"/>
  <c r="L337" i="67"/>
  <c r="L31" i="67"/>
  <c r="L641" i="67"/>
  <c r="L489" i="67"/>
  <c r="L184" i="67"/>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Q167" i="65"/>
  <c r="Q179" i="65" s="1"/>
  <c r="Q1346" i="67"/>
  <c r="AJ1244" i="67"/>
  <c r="AU1243" i="67"/>
  <c r="W1260" i="67"/>
  <c r="AA1244" i="67"/>
  <c r="K1260" i="67"/>
  <c r="W1243" i="67"/>
  <c r="AP1261" i="67"/>
  <c r="V1362" i="67"/>
  <c r="AI1230" i="67"/>
  <c r="Q1242" i="67"/>
  <c r="B167" i="65"/>
  <c r="B179" i="65" s="1"/>
  <c r="Y167" i="65"/>
  <c r="Y179" i="65" s="1"/>
  <c r="AD1230" i="67"/>
  <c r="P1364" i="67"/>
  <c r="V1262" i="67"/>
  <c r="AQ1261" i="67"/>
  <c r="AT1243" i="67"/>
  <c r="AR1242" i="67"/>
  <c r="AE1363" i="67"/>
  <c r="AJ1230" i="67"/>
  <c r="AM1362"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L1363" i="67" l="1"/>
  <c r="O1346" i="67"/>
  <c r="X1363" i="67"/>
  <c r="O1242" i="67"/>
  <c r="O1228" i="67"/>
  <c r="O1362" i="67"/>
  <c r="AC1261" i="67"/>
  <c r="Z1228" i="67"/>
  <c r="AC1363" i="67"/>
  <c r="Z1242" i="67"/>
  <c r="X1347" i="67"/>
  <c r="X1261" i="67"/>
  <c r="X1229" i="67"/>
  <c r="Z1362" i="67"/>
  <c r="AC1242" i="67"/>
  <c r="AH1346" i="67"/>
  <c r="AW1261" i="67"/>
  <c r="Z1346" i="67"/>
  <c r="AC1362" i="67"/>
  <c r="AV1243" i="67"/>
  <c r="AC1347" i="67"/>
  <c r="AK1229" i="67"/>
  <c r="AE1260" i="67"/>
  <c r="AC1346" i="67"/>
  <c r="AW1243" i="67"/>
  <c r="N1346" i="67"/>
  <c r="L1229" i="67"/>
  <c r="AF7" i="68" s="1"/>
  <c r="E9" i="62" s="1"/>
  <c r="L1261" i="67"/>
  <c r="L1347" i="67"/>
  <c r="AK1260" i="67"/>
  <c r="AB1261" i="67"/>
  <c r="AW1347" i="67"/>
  <c r="AE1228" i="67"/>
  <c r="AE1346" i="67"/>
  <c r="AC1260" i="67"/>
  <c r="Z1347" i="67"/>
  <c r="AE1362" i="67"/>
  <c r="AE1242" i="67"/>
  <c r="AN1363" i="67"/>
  <c r="Z1261" i="67"/>
  <c r="AN1362" i="67"/>
  <c r="Z1363" i="67"/>
  <c r="P802" i="67"/>
  <c r="P651" i="67"/>
  <c r="P347" i="67"/>
  <c r="N1362" i="67"/>
  <c r="AE1243" i="67"/>
  <c r="AS1229" i="67"/>
  <c r="AA1346" i="67"/>
  <c r="AG1347" i="67"/>
  <c r="Z1229" i="67"/>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F9" i="62" s="1"/>
  <c r="AH1261" i="67"/>
  <c r="AU1260" i="67"/>
  <c r="AA1362" i="67"/>
  <c r="AH1362" i="67"/>
  <c r="AS1347" i="67"/>
  <c r="AO1347" i="67"/>
  <c r="K280" i="67"/>
  <c r="K737" i="67"/>
  <c r="K585" i="67"/>
  <c r="K888" i="67"/>
  <c r="K127" i="67"/>
  <c r="AK7" i="68"/>
  <c r="J9" i="62" s="1"/>
  <c r="AK1261" i="67"/>
  <c r="AR1363" i="67"/>
  <c r="Y1229" i="67"/>
  <c r="AS7" i="68" s="1"/>
  <c r="R9" i="62" s="1"/>
  <c r="AK1363" i="67"/>
  <c r="AV1229" i="67"/>
  <c r="AO1363" i="67"/>
  <c r="AK1362" i="67"/>
  <c r="U1229" i="67"/>
  <c r="AO7" i="68" s="1"/>
  <c r="N9" i="62" s="1"/>
  <c r="AH1347" i="67"/>
  <c r="AJ15" i="57"/>
  <c r="AV1261" i="67"/>
  <c r="AH1260" i="67"/>
  <c r="AA1243" i="67"/>
  <c r="AH1242"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D1243" i="67"/>
  <c r="AP1346" i="67"/>
  <c r="AJ1347" i="67"/>
  <c r="P1261" i="67"/>
  <c r="AR1243" i="67"/>
  <c r="AA1242" i="67"/>
  <c r="AA1347" i="67"/>
  <c r="AA1363" i="67"/>
  <c r="Y1363" i="67"/>
  <c r="AH1243" i="67"/>
  <c r="K770" i="67"/>
  <c r="AJ1228" i="67"/>
  <c r="AK1228" i="67"/>
  <c r="S1242" i="67"/>
  <c r="AR1229" i="67"/>
  <c r="V1229" i="67"/>
  <c r="N1347" i="67"/>
  <c r="AF1242" i="67"/>
  <c r="T1228" i="67"/>
  <c r="AN7" i="68" s="1"/>
  <c r="M9" i="62" s="1"/>
  <c r="AJ1363" i="67"/>
  <c r="AS1346" i="67"/>
  <c r="AH1229" i="67"/>
  <c r="AM1261" i="67"/>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U42" i="36"/>
  <c r="AT83" i="36"/>
  <c r="G5" i="47"/>
  <c r="AT7" i="68" l="1"/>
  <c r="S9" i="62" s="1"/>
  <c r="AT17" i="68"/>
  <c r="S18" i="62" s="1"/>
  <c r="AH7" i="68"/>
  <c r="G9" i="62" s="1"/>
  <c r="AF17" i="68"/>
  <c r="E18" i="62" s="1"/>
  <c r="AN17" i="68"/>
  <c r="M18" i="62" s="1"/>
  <c r="K1343" i="67"/>
  <c r="AG11" i="50"/>
  <c r="J64" i="65" s="1"/>
  <c r="AG17" i="68"/>
  <c r="F18" i="62" s="1"/>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D64" i="65" s="1"/>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K1350" i="67"/>
  <c r="AV42" i="36"/>
  <c r="AU83" i="36"/>
  <c r="F5" i="47"/>
  <c r="U19" i="55"/>
  <c r="Y100" i="65" l="1"/>
  <c r="AJ9" i="36"/>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D18" i="62" s="1"/>
  <c r="Y83" i="65"/>
  <c r="AV11" i="69" s="1"/>
  <c r="Z1383" i="67"/>
  <c r="Z1397" i="67"/>
  <c r="Z1415" i="67"/>
  <c r="Z1535" i="67"/>
  <c r="Z1551" i="67"/>
  <c r="O1396" i="67"/>
  <c r="O1382" i="67"/>
  <c r="O160" i="67" s="1"/>
  <c r="O1414" i="67"/>
  <c r="O1534" i="67"/>
  <c r="O1550" i="67"/>
  <c r="T1382" i="67"/>
  <c r="T160" i="67" s="1"/>
  <c r="T1396" i="67"/>
  <c r="T1414" i="67"/>
  <c r="T1534" i="67"/>
  <c r="T1550" i="67"/>
  <c r="E4" i="50"/>
  <c r="E4" i="57" s="1"/>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Q1383" i="67" l="1"/>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57" s="1"/>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Q8" i="67" l="1"/>
  <c r="O161" i="67"/>
  <c r="P8" i="67"/>
  <c r="N8" i="67"/>
  <c r="K8" i="67"/>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X17" i="68" l="1"/>
  <c r="W18" i="62" s="1"/>
  <c r="AW17" i="68"/>
  <c r="V18" i="62" s="1"/>
  <c r="BA17" i="68"/>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I72" i="68" l="1"/>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D37" i="62" s="1"/>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518" i="67" l="1"/>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K968" i="67" l="1"/>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6" i="68" l="1"/>
  <c r="D8" i="62" s="1"/>
  <c r="K1272" i="67"/>
  <c r="K1325" i="67"/>
  <c r="AE18" i="68"/>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817" i="67" l="1"/>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K1168" i="67" l="1"/>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K1018" i="67" l="1"/>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BG63" i="68" l="1"/>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K1322" i="67" l="1"/>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O18" i="68" l="1"/>
  <c r="N19" i="62" s="1"/>
  <c r="BB69" i="70"/>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B197" i="65"/>
  <c r="AB198" i="65" s="1"/>
  <c r="Z1269" i="67"/>
  <c r="AS1038" i="67"/>
  <c r="AS1342" i="67" s="1"/>
  <c r="AS934" i="67"/>
  <c r="AS1238" i="67" s="1"/>
  <c r="AI951" i="67"/>
  <c r="AI1255" i="67" s="1"/>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M1267" i="67"/>
  <c r="AV18" i="68"/>
  <c r="U19" i="62" s="1"/>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D197" i="65" l="1"/>
  <c r="AD198" i="65" s="1"/>
  <c r="AD1342" i="67"/>
  <c r="AI1020" i="67"/>
  <c r="Y951" i="67"/>
  <c r="AW1019" i="67"/>
  <c r="AW1256" i="67"/>
  <c r="AW1358" i="67"/>
  <c r="BF18" i="68"/>
  <c r="AE19" i="62" s="1"/>
  <c r="AQ1139" i="67"/>
  <c r="AQ1292" i="67" s="1"/>
  <c r="AQ1171" i="67"/>
  <c r="AQ1237" i="67"/>
  <c r="BK12" i="68" s="1"/>
  <c r="AJ13" i="62" s="1"/>
  <c r="AB1167" i="67"/>
  <c r="AM1085" i="67"/>
  <c r="AQ7" i="67"/>
  <c r="AQ1223" i="67" s="1"/>
  <c r="BK5" i="68" s="1"/>
  <c r="AJ7" i="62" s="1"/>
  <c r="AO1167" i="67"/>
  <c r="AO1320" i="67" s="1"/>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B1324" i="67" s="1"/>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P162" i="65" s="1"/>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I838" i="67"/>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26" i="65"/>
  <c r="AD136" i="65" s="1"/>
  <c r="AM466" i="67" s="1"/>
  <c r="BF54" i="70"/>
  <c r="AM973" i="67" s="1"/>
  <c r="AM1054" i="67"/>
  <c r="X126" i="65"/>
  <c r="X136" i="65" s="1"/>
  <c r="AG466" i="67" s="1"/>
  <c r="AZ54" i="70"/>
  <c r="AG973" i="67" s="1"/>
  <c r="BA18" i="68"/>
  <c r="Z19" i="62" s="1"/>
  <c r="AK12" i="68"/>
  <c r="AR18" i="68"/>
  <c r="Q19" i="62" s="1"/>
  <c r="AM952" i="67"/>
  <c r="AM934" i="67"/>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M1238" i="67" l="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Y1276" i="67" l="1"/>
  <c r="AT51" i="68"/>
  <c r="BK51" i="68"/>
  <c r="BK49" i="68" s="1"/>
  <c r="AD1293" i="67"/>
  <c r="AX47" i="68" s="1"/>
  <c r="AX56" i="68" s="1"/>
  <c r="BH50" i="68"/>
  <c r="BH49" i="68" s="1"/>
  <c r="AD1320" i="67"/>
  <c r="AX50" i="68" s="1"/>
  <c r="AD1324" i="67"/>
  <c r="AX51" i="68" s="1"/>
  <c r="O989" i="67"/>
  <c r="AV50" i="68"/>
  <c r="AV49" i="68" s="1"/>
  <c r="T1320" i="67"/>
  <c r="BE51" i="68"/>
  <c r="AJ1320" i="67"/>
  <c r="AJ1293" i="67"/>
  <c r="BD47" i="68" s="1"/>
  <c r="BD56" i="68" s="1"/>
  <c r="P1320" i="67"/>
  <c r="AJ1324" i="67"/>
  <c r="AF4" i="68"/>
  <c r="AF58" i="68" s="1"/>
  <c r="L1324" i="67"/>
  <c r="AZ5" i="68"/>
  <c r="AZ4" i="68" s="1"/>
  <c r="AZ58" i="68" s="1"/>
  <c r="L1293" i="67"/>
  <c r="AF47" i="68" s="1"/>
  <c r="AF56" i="68" s="1"/>
  <c r="AT50" i="68"/>
  <c r="AW1293" i="67"/>
  <c r="BQ47" i="68" s="1"/>
  <c r="BQ43" i="68" s="1"/>
  <c r="AP39" i="62"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N50" i="68" l="1"/>
  <c r="AT49" i="68"/>
  <c r="AT66" i="68" s="1"/>
  <c r="BG50" i="68"/>
  <c r="AF51" i="68"/>
  <c r="O1293" i="67"/>
  <c r="AI47" i="68" s="1"/>
  <c r="AI56" i="68" s="1"/>
  <c r="BD50" i="68"/>
  <c r="AJ50" i="68"/>
  <c r="AF71" i="68"/>
  <c r="U1320" i="67"/>
  <c r="BE49" i="68"/>
  <c r="AD40" i="62" s="1"/>
  <c r="Y7" i="62"/>
  <c r="AH1320" i="67"/>
  <c r="BD51" i="68"/>
  <c r="AU1293" i="67"/>
  <c r="BO47" i="68" s="1"/>
  <c r="BO56" i="68" s="1"/>
  <c r="AN71" i="68"/>
  <c r="AC1324" i="67"/>
  <c r="BQ71" i="68"/>
  <c r="AP51" i="68"/>
  <c r="AP49" i="68" s="1"/>
  <c r="AU1320" i="67"/>
  <c r="AX49" i="68"/>
  <c r="AX66" i="68" s="1"/>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F49"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BB50" i="68" l="1"/>
  <c r="BG49" i="68"/>
  <c r="AF40" i="62" s="1"/>
  <c r="AO50" i="68"/>
  <c r="AO49" i="68" s="1"/>
  <c r="BD49" i="68"/>
  <c r="AC40" i="62" s="1"/>
  <c r="BP50" i="68"/>
  <c r="BP49" i="68" s="1"/>
  <c r="AJ49" i="68"/>
  <c r="I40" i="62" s="1"/>
  <c r="AW51" i="68"/>
  <c r="AW50" i="68"/>
  <c r="BH72" i="68"/>
  <c r="BH73" i="68" s="1"/>
  <c r="AE5" i="63" s="1"/>
  <c r="AE6" i="63" s="1"/>
  <c r="BF51" i="68"/>
  <c r="BF49" i="68" s="1"/>
  <c r="BL50" i="68"/>
  <c r="BL49" i="68" s="1"/>
  <c r="W40" i="62"/>
  <c r="BN51" i="68"/>
  <c r="BN49" i="68" s="1"/>
  <c r="AS49" i="68"/>
  <c r="AS66" i="68" s="1"/>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BB49" i="68"/>
  <c r="AQ43" i="68"/>
  <c r="BL43" i="68"/>
  <c r="AI43" i="68"/>
  <c r="AI49" i="68"/>
  <c r="AQ49" i="68"/>
  <c r="AR43" i="68"/>
  <c r="AO43" i="68"/>
  <c r="AW43" i="68"/>
  <c r="N1323" i="67"/>
  <c r="AH51" i="68" s="1"/>
  <c r="BB43" i="68"/>
  <c r="BF43" i="68"/>
  <c r="N1319" i="67"/>
  <c r="AZ43" i="68"/>
  <c r="BQ49" i="68"/>
  <c r="AP40" i="62" s="1"/>
  <c r="AH43" i="68"/>
  <c r="BN43" i="68"/>
  <c r="BP43" i="68"/>
  <c r="BG66" i="68" l="1"/>
  <c r="BG72" i="68" s="1"/>
  <c r="BG73" i="68" s="1"/>
  <c r="AD5" i="63" s="1"/>
  <c r="AD6" i="63" s="1"/>
  <c r="AJ66" i="68"/>
  <c r="AJ72" i="68" s="1"/>
  <c r="AJ73" i="68" s="1"/>
  <c r="AJ80" i="68" s="1"/>
  <c r="BD66" i="68"/>
  <c r="BD72" i="68" s="1"/>
  <c r="BD73" i="68" s="1"/>
  <c r="AA5" i="63" s="1"/>
  <c r="AA6" i="63" s="1"/>
  <c r="AW49" i="68"/>
  <c r="V40" i="62" s="1"/>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S72" i="68"/>
  <c r="AS73" i="68" s="1"/>
  <c r="P5" i="63" s="1"/>
  <c r="P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W66" i="68" l="1"/>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<sst xmlns="http://schemas.openxmlformats.org/spreadsheetml/2006/main" count="15688" uniqueCount="1468">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</sst>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37">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66.052032205946048</c:v>
                </c:pt>
                <c:pt idx="1">
                  <c:v>68.826966536313918</c:v>
                </c:pt>
                <c:pt idx="2">
                  <c:v>71.738914034854218</c:v>
                </c:pt>
                <c:pt idx="3">
                  <c:v>73.45116431369587</c:v>
                </c:pt>
                <c:pt idx="4">
                  <c:v>71.463862138314738</c:v>
                </c:pt>
                <c:pt idx="5">
                  <c:v>72.600473223053768</c:v>
                </c:pt>
                <c:pt idx="6">
                  <c:v>73.955054425464226</c:v>
                </c:pt>
                <c:pt idx="7">
                  <c:v>75.293491074918535</c:v>
                </c:pt>
                <c:pt idx="8">
                  <c:v>75.831127135572402</c:v>
                </c:pt>
                <c:pt idx="9">
                  <c:v>76.647004484942386</c:v>
                </c:pt>
                <c:pt idx="10">
                  <c:v>76.821421432378884</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71.738914034854218</c:v>
                </c:pt>
                <c:pt idx="1">
                  <c:v>73.45116431369587</c:v>
                </c:pt>
                <c:pt idx="2">
                  <c:v>71.463862138314738</c:v>
                </c:pt>
                <c:pt idx="3">
                  <c:v>72.600473223053768</c:v>
                </c:pt>
                <c:pt idx="4">
                  <c:v>73.955054425464226</c:v>
                </c:pt>
                <c:pt idx="5">
                  <c:v>75.293491074918535</c:v>
                </c:pt>
                <c:pt idx="6">
                  <c:v>75.831127135572402</c:v>
                </c:pt>
                <c:pt idx="7">
                  <c:v>76.647004484942386</c:v>
                </c:pt>
                <c:pt idx="8">
                  <c:v>76.821421432378884</c:v>
                </c:pt>
                <c:pt idx="9">
                  <c:v>76.571727588702132</c:v>
                </c:pt>
                <c:pt idx="10">
                  <c:v>75.907061000700693</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1461.9296645871291</c:v>
                </c:pt>
                <c:pt idx="13">
                  <c:v>1500.9290445244417</c:v>
                </c:pt>
                <c:pt idx="14">
                  <c:v>1551.6978906253519</c:v>
                </c:pt>
                <c:pt idx="15">
                  <c:v>1579.6991994235052</c:v>
                </c:pt>
                <c:pt idx="16">
                  <c:v>1592.2732513502281</c:v>
                </c:pt>
                <c:pt idx="17">
                  <c:v>1589.0236047287599</c:v>
                </c:pt>
                <c:pt idx="18">
                  <c:v>1597.0850065537832</c:v>
                </c:pt>
                <c:pt idx="19">
                  <c:v>1606.5563837569275</c:v>
                </c:pt>
                <c:pt idx="20">
                  <c:v>1415.0072775848059</c:v>
                </c:pt>
                <c:pt idx="21">
                  <c:v>1536.70155240809</c:v>
                </c:pt>
                <c:pt idx="22">
                  <c:v>6744.037507384478</c:v>
                </c:pt>
                <c:pt idx="23">
                  <c:v>6926.771222909837</c:v>
                </c:pt>
                <c:pt idx="24">
                  <c:v>7096.6522744911281</c:v>
                </c:pt>
                <c:pt idx="25">
                  <c:v>7253.8177845389728</c:v>
                </c:pt>
                <c:pt idx="26">
                  <c:v>7399.2839445061427</c:v>
                </c:pt>
                <c:pt idx="27">
                  <c:v>7532.1343050808382</c:v>
                </c:pt>
                <c:pt idx="28">
                  <c:v>7651.5909694257298</c:v>
                </c:pt>
                <c:pt idx="29">
                  <c:v>7756.8767418066536</c:v>
                </c:pt>
                <c:pt idx="30">
                  <c:v>7847.2607965885627</c:v>
                </c:pt>
                <c:pt idx="31">
                  <c:v>7922.1489778182995</c:v>
                </c:pt>
                <c:pt idx="32">
                  <c:v>7980.9676260799224</c:v>
                </c:pt>
                <c:pt idx="33">
                  <c:v>8023.2742061667559</c:v>
                </c:pt>
                <c:pt idx="34">
                  <c:v>8048.7652009968324</c:v>
                </c:pt>
                <c:pt idx="35">
                  <c:v>8057.1592342558943</c:v>
                </c:pt>
                <c:pt idx="36">
                  <c:v>8048.2514419064692</c:v>
                </c:pt>
                <c:pt idx="37">
                  <c:v>-1729.720172920684</c:v>
                </c:pt>
                <c:pt idx="38">
                  <c:v>-1743.1363116133959</c:v>
                </c:pt>
                <c:pt idx="39">
                  <c:v>-1756.2194276671105</c:v>
                </c:pt>
                <c:pt idx="40">
                  <c:v>-1768.9892716904819</c:v>
                </c:pt>
                <c:pt idx="41">
                  <c:v>-1781.4686113582686</c:v>
                </c:pt>
                <c:pt idx="42">
                  <c:v>-1793.6061565467216</c:v>
                </c:pt>
                <c:pt idx="43">
                  <c:v>-1805.3681328769685</c:v>
                </c:pt>
                <c:pt idx="44">
                  <c:v>-1816.7520540630533</c:v>
                </c:pt>
                <c:pt idx="45">
                  <c:v>-1827.7176925569393</c:v>
                </c:pt>
                <c:pt idx="46">
                  <c:v>-1838.2202672756371</c:v>
                </c:pt>
                <c:pt idx="47">
                  <c:v>-1848.2558672075315</c:v>
                </c:pt>
                <c:pt idx="48">
                  <c:v>-1857.8329848349865</c:v>
                </c:pt>
                <c:pt idx="49">
                  <c:v>-1866.9579615839771</c:v>
                </c:pt>
                <c:pt idx="50">
                  <c:v>-1875.5871338034046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1780.5365679391946</c:v>
                </c:pt>
                <c:pt idx="13">
                  <c:v>1834.6425186756094</c:v>
                </c:pt>
                <c:pt idx="14">
                  <c:v>1905.0768868757145</c:v>
                </c:pt>
                <c:pt idx="15">
                  <c:v>1943.924618219733</c:v>
                </c:pt>
                <c:pt idx="16">
                  <c:v>1961.3692810630382</c:v>
                </c:pt>
                <c:pt idx="17">
                  <c:v>1956.8608704089581</c:v>
                </c:pt>
                <c:pt idx="18">
                  <c:v>1968.0448895064985</c:v>
                </c:pt>
                <c:pt idx="19">
                  <c:v>1981.1850437649266</c:v>
                </c:pt>
                <c:pt idx="20">
                  <c:v>1715.4386006468042</c:v>
                </c:pt>
                <c:pt idx="21">
                  <c:v>1884.2716551485946</c:v>
                </c:pt>
                <c:pt idx="22">
                  <c:v>9108.6906869586874</c:v>
                </c:pt>
                <c:pt idx="23">
                  <c:v>9362.2070614751392</c:v>
                </c:pt>
                <c:pt idx="24">
                  <c:v>9597.8922396159742</c:v>
                </c:pt>
                <c:pt idx="25">
                  <c:v>9815.9364587235832</c:v>
                </c:pt>
                <c:pt idx="26">
                  <c:v>10017.749536204563</c:v>
                </c:pt>
                <c:pt idx="27">
                  <c:v>10202.060032323307</c:v>
                </c:pt>
                <c:pt idx="28">
                  <c:v>10367.788728691561</c:v>
                </c:pt>
                <c:pt idx="29">
                  <c:v>10513.857379599456</c:v>
                </c:pt>
                <c:pt idx="30">
                  <c:v>10639.252071085528</c:v>
                </c:pt>
                <c:pt idx="31">
                  <c:v>10743.148498435625</c:v>
                </c:pt>
                <c:pt idx="32">
                  <c:v>10824.750792891109</c:v>
                </c:pt>
                <c:pt idx="33">
                  <c:v>10883.445001406315</c:v>
                </c:pt>
                <c:pt idx="34">
                  <c:v>10918.810038304729</c:v>
                </c:pt>
                <c:pt idx="35">
                  <c:v>10930.455534995308</c:v>
                </c:pt>
                <c:pt idx="36">
                  <c:v>10918.097272510035</c:v>
                </c:pt>
                <c:pt idx="37">
                  <c:v>-2647.4120085166505</c:v>
                </c:pt>
                <c:pt idx="38">
                  <c:v>-2666.0249439106897</c:v>
                </c:pt>
                <c:pt idx="39">
                  <c:v>-2684.1758589718752</c:v>
                </c:pt>
                <c:pt idx="40">
                  <c:v>-2701.8921547886507</c:v>
                </c:pt>
                <c:pt idx="41">
                  <c:v>-2719.2054181885705</c:v>
                </c:pt>
                <c:pt idx="42">
                  <c:v>-2736.044491606739</c:v>
                </c:pt>
                <c:pt idx="43">
                  <c:v>-2752.3625180192139</c:v>
                </c:pt>
                <c:pt idx="44">
                  <c:v>-2768.1560480669118</c:v>
                </c:pt>
                <c:pt idx="45">
                  <c:v>-2783.3692718950138</c:v>
                </c:pt>
                <c:pt idx="46">
                  <c:v>-2797.9400622831886</c:v>
                </c:pt>
                <c:pt idx="47">
                  <c:v>-2811.8629932733284</c:v>
                </c:pt>
                <c:pt idx="48">
                  <c:v>-2825.1498469458957</c:v>
                </c:pt>
                <c:pt idx="49">
                  <c:v>-2837.8094211043931</c:v>
                </c:pt>
                <c:pt idx="50">
                  <c:v>-2849.7811388022351</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448.98205019678238</c:v>
                </c:pt>
                <c:pt idx="13">
                  <c:v>458.09069820274448</c:v>
                </c:pt>
                <c:pt idx="14">
                  <c:v>468.74154231529377</c:v>
                </c:pt>
                <c:pt idx="15">
                  <c:v>476.91443074207581</c:v>
                </c:pt>
                <c:pt idx="16">
                  <c:v>483.47206766951064</c:v>
                </c:pt>
                <c:pt idx="17">
                  <c:v>488.37546558668777</c:v>
                </c:pt>
                <c:pt idx="18">
                  <c:v>494.66817106631419</c:v>
                </c:pt>
                <c:pt idx="19">
                  <c:v>501.21183128389964</c:v>
                </c:pt>
                <c:pt idx="20">
                  <c:v>481.43853320958169</c:v>
                </c:pt>
                <c:pt idx="21">
                  <c:v>499.0840735548793</c:v>
                </c:pt>
                <c:pt idx="22">
                  <c:v>1109.1520061304807</c:v>
                </c:pt>
                <c:pt idx="23">
                  <c:v>1133.5059391005682</c:v>
                </c:pt>
                <c:pt idx="24">
                  <c:v>1156.8598134865267</c:v>
                </c:pt>
                <c:pt idx="25">
                  <c:v>1179.0071888350301</c:v>
                </c:pt>
                <c:pt idx="26">
                  <c:v>1199.668116240013</c:v>
                </c:pt>
                <c:pt idx="27">
                  <c:v>1218.752265799048</c:v>
                </c:pt>
                <c:pt idx="28">
                  <c:v>1236.1677116826802</c:v>
                </c:pt>
                <c:pt idx="29">
                  <c:v>1251.8351712147482</c:v>
                </c:pt>
                <c:pt idx="30">
                  <c:v>1265.6850840433538</c:v>
                </c:pt>
                <c:pt idx="31">
                  <c:v>1277.6504371932185</c:v>
                </c:pt>
                <c:pt idx="32">
                  <c:v>1287.6786827594553</c:v>
                </c:pt>
                <c:pt idx="33">
                  <c:v>1295.7224238148901</c:v>
                </c:pt>
                <c:pt idx="34">
                  <c:v>1301.7395149133363</c:v>
                </c:pt>
                <c:pt idx="35">
                  <c:v>1305.704616583786</c:v>
                </c:pt>
                <c:pt idx="36">
                  <c:v>1307.604653878127</c:v>
                </c:pt>
                <c:pt idx="37">
                  <c:v>170.46081270505272</c:v>
                </c:pt>
                <c:pt idx="38">
                  <c:v>171.7090102442628</c:v>
                </c:pt>
                <c:pt idx="39">
                  <c:v>172.92622435016034</c:v>
                </c:pt>
                <c:pt idx="40">
                  <c:v>174.1142925604814</c:v>
                </c:pt>
                <c:pt idx="41">
                  <c:v>175.27533311179587</c:v>
                </c:pt>
                <c:pt idx="42">
                  <c:v>176.40457412392917</c:v>
                </c:pt>
                <c:pt idx="43">
                  <c:v>177.49887332938064</c:v>
                </c:pt>
                <c:pt idx="44">
                  <c:v>178.55799941151872</c:v>
                </c:pt>
                <c:pt idx="45">
                  <c:v>179.57820971922604</c:v>
                </c:pt>
                <c:pt idx="46">
                  <c:v>180.55533795407129</c:v>
                </c:pt>
                <c:pt idx="47">
                  <c:v>181.48902024719578</c:v>
                </c:pt>
                <c:pt idx="48">
                  <c:v>182.38004671383544</c:v>
                </c:pt>
                <c:pt idx="49">
                  <c:v>183.22900734135396</c:v>
                </c:pt>
                <c:pt idx="50">
                  <c:v>184.03183979385093</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419.2859914920096</c:v>
                </c:pt>
                <c:pt idx="13">
                  <c:v>427.66019548096807</c:v>
                </c:pt>
                <c:pt idx="14">
                  <c:v>437.45224598008747</c:v>
                </c:pt>
                <c:pt idx="15">
                  <c:v>444.96614209508419</c:v>
                </c:pt>
                <c:pt idx="16">
                  <c:v>450.99502687358489</c:v>
                </c:pt>
                <c:pt idx="17">
                  <c:v>455.50305642644486</c:v>
                </c:pt>
                <c:pt idx="18">
                  <c:v>461.28837157907077</c:v>
                </c:pt>
                <c:pt idx="19">
                  <c:v>467.30440661090256</c:v>
                </c:pt>
                <c:pt idx="20">
                  <c:v>449.12545936204259</c:v>
                </c:pt>
                <c:pt idx="21">
                  <c:v>465.34821319446615</c:v>
                </c:pt>
                <c:pt idx="22">
                  <c:v>1026.2254488902838</c:v>
                </c:pt>
                <c:pt idx="23">
                  <c:v>1048.6156875394709</c:v>
                </c:pt>
                <c:pt idx="24">
                  <c:v>1070.0865038354257</c:v>
                </c:pt>
                <c:pt idx="25">
                  <c:v>1090.4481029297151</c:v>
                </c:pt>
                <c:pt idx="26">
                  <c:v>1109.4431086184998</c:v>
                </c:pt>
                <c:pt idx="27">
                  <c:v>1126.9884744355284</c:v>
                </c:pt>
                <c:pt idx="28">
                  <c:v>1142.9996866695219</c:v>
                </c:pt>
                <c:pt idx="29">
                  <c:v>1157.4038553259911</c:v>
                </c:pt>
                <c:pt idx="30">
                  <c:v>1170.1370288090502</c:v>
                </c:pt>
                <c:pt idx="31">
                  <c:v>1181.1375975006176</c:v>
                </c:pt>
                <c:pt idx="32">
                  <c:v>1190.3572505125758</c:v>
                </c:pt>
                <c:pt idx="33">
                  <c:v>1197.7524126034239</c:v>
                </c:pt>
                <c:pt idx="34">
                  <c:v>1203.2843365778219</c:v>
                </c:pt>
                <c:pt idx="35">
                  <c:v>1206.9297261245001</c:v>
                </c:pt>
                <c:pt idx="36">
                  <c:v>1208.6765605481187</c:v>
                </c:pt>
                <c:pt idx="37">
                  <c:v>163.22234115814967</c:v>
                </c:pt>
                <c:pt idx="38">
                  <c:v>164.36989464852712</c:v>
                </c:pt>
                <c:pt idx="39">
                  <c:v>165.48896294651729</c:v>
                </c:pt>
                <c:pt idx="40">
                  <c:v>166.58123542641914</c:v>
                </c:pt>
                <c:pt idx="41">
                  <c:v>167.64865952819542</c:v>
                </c:pt>
                <c:pt idx="42">
                  <c:v>168.68684813556197</c:v>
                </c:pt>
                <c:pt idx="43">
                  <c:v>169.69291234678275</c:v>
                </c:pt>
                <c:pt idx="44">
                  <c:v>170.66663949663473</c:v>
                </c:pt>
                <c:pt idx="45">
                  <c:v>171.60458870960102</c:v>
                </c:pt>
                <c:pt idx="46">
                  <c:v>172.50292962217213</c:v>
                </c:pt>
                <c:pt idx="47">
                  <c:v>173.36132770478389</c:v>
                </c:pt>
                <c:pt idx="48">
                  <c:v>174.18050936448984</c:v>
                </c:pt>
                <c:pt idx="49">
                  <c:v>174.96101701708335</c:v>
                </c:pt>
                <c:pt idx="50">
                  <c:v>175.69911587893034</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944.20834947610251</c:v>
                </c:pt>
                <c:pt idx="14">
                  <c:v>973.85622853221832</c:v>
                </c:pt>
                <c:pt idx="15">
                  <c:v>993.92642644116052</c:v>
                </c:pt>
                <c:pt idx="16">
                  <c:v>1007.6100166861247</c:v>
                </c:pt>
                <c:pt idx="17">
                  <c:v>1014.746956561449</c:v>
                </c:pt>
                <c:pt idx="18">
                  <c:v>1026.8981254598257</c:v>
                </c:pt>
                <c:pt idx="19">
                  <c:v>1039.800145818496</c:v>
                </c:pt>
                <c:pt idx="20">
                  <c:v>960.95860413481671</c:v>
                </c:pt>
                <c:pt idx="21">
                  <c:v>1019.2706939176599</c:v>
                </c:pt>
                <c:pt idx="22">
                  <c:v>3279.9235587230442</c:v>
                </c:pt>
                <c:pt idx="23">
                  <c:v>3364.018466628524</c:v>
                </c:pt>
                <c:pt idx="24">
                  <c:v>3443.351701547127</c:v>
                </c:pt>
                <c:pt idx="25">
                  <c:v>3517.6228627283508</c:v>
                </c:pt>
                <c:pt idx="26">
                  <c:v>3586.6276739017621</c:v>
                </c:pt>
                <c:pt idx="27">
                  <c:v>3649.9958380204821</c:v>
                </c:pt>
                <c:pt idx="28">
                  <c:v>3707.3883684442944</c:v>
                </c:pt>
                <c:pt idx="29">
                  <c:v>3758.4869018966178</c:v>
                </c:pt>
                <c:pt idx="30">
                  <c:v>3803.000144984725</c:v>
                </c:pt>
                <c:pt idx="31">
                  <c:v>3840.6743564690246</c:v>
                </c:pt>
                <c:pt idx="32">
                  <c:v>3871.2842079101047</c:v>
                </c:pt>
                <c:pt idx="33">
                  <c:v>3894.6447781624033</c:v>
                </c:pt>
                <c:pt idx="34">
                  <c:v>3910.6136469209396</c:v>
                </c:pt>
                <c:pt idx="35">
                  <c:v>3919.0809955872364</c:v>
                </c:pt>
                <c:pt idx="36">
                  <c:v>3919.9755609965082</c:v>
                </c:pt>
                <c:pt idx="37">
                  <c:v>-311.3338576447411</c:v>
                </c:pt>
                <c:pt idx="38">
                  <c:v>-312.59653283087283</c:v>
                </c:pt>
                <c:pt idx="39">
                  <c:v>-313.82786521172255</c:v>
                </c:pt>
                <c:pt idx="40">
                  <c:v>-315.02971363833757</c:v>
                </c:pt>
                <c:pt idx="41">
                  <c:v>-316.20422091638051</c:v>
                </c:pt>
                <c:pt idx="42">
                  <c:v>-317.34655981738916</c:v>
                </c:pt>
                <c:pt idx="43">
                  <c:v>-318.45355162719648</c:v>
                </c:pt>
                <c:pt idx="44">
                  <c:v>-319.52496234616575</c:v>
                </c:pt>
                <c:pt idx="45">
                  <c:v>-320.5570059127578</c:v>
                </c:pt>
                <c:pt idx="46">
                  <c:v>-321.54546770430136</c:v>
                </c:pt>
                <c:pt idx="47">
                  <c:v>-322.48997963147997</c:v>
                </c:pt>
                <c:pt idx="48">
                  <c:v>-323.39134097395186</c:v>
                </c:pt>
                <c:pt idx="49">
                  <c:v>-324.25014856225135</c:v>
                </c:pt>
                <c:pt idx="50">
                  <c:v>-325.0622929420831</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941.69158339834917</c:v>
                </c:pt>
                <c:pt idx="14">
                  <c:v>967.64007013586559</c:v>
                </c:pt>
                <c:pt idx="15">
                  <c:v>985.20595615671004</c:v>
                </c:pt>
                <c:pt idx="16">
                  <c:v>997.18214033234722</c:v>
                </c:pt>
                <c:pt idx="17">
                  <c:v>1003.4285497078976</c:v>
                </c:pt>
                <c:pt idx="18">
                  <c:v>1014.0635244529058</c:v>
                </c:pt>
                <c:pt idx="19">
                  <c:v>1025.3556611865474</c:v>
                </c:pt>
                <c:pt idx="20">
                  <c:v>956.35178084582901</c:v>
                </c:pt>
                <c:pt idx="21">
                  <c:v>1007.3878258021324</c:v>
                </c:pt>
                <c:pt idx="22">
                  <c:v>2985.9617659312617</c:v>
                </c:pt>
                <c:pt idx="23">
                  <c:v>3059.563509865382</c:v>
                </c:pt>
                <c:pt idx="24">
                  <c:v>3128.9977311205785</c:v>
                </c:pt>
                <c:pt idx="25">
                  <c:v>3194.0015122424311</c:v>
                </c:pt>
                <c:pt idx="26">
                  <c:v>3254.3960660710209</c:v>
                </c:pt>
                <c:pt idx="27">
                  <c:v>3309.8573003503129</c:v>
                </c:pt>
                <c:pt idx="28">
                  <c:v>3360.0885263923524</c:v>
                </c:pt>
                <c:pt idx="29">
                  <c:v>3404.8111055382169</c:v>
                </c:pt>
                <c:pt idx="30">
                  <c:v>3443.7700912966711</c:v>
                </c:pt>
                <c:pt idx="31">
                  <c:v>3476.7434036606487</c:v>
                </c:pt>
                <c:pt idx="32">
                  <c:v>3503.5338301411684</c:v>
                </c:pt>
                <c:pt idx="33">
                  <c:v>3523.9795236164173</c:v>
                </c:pt>
                <c:pt idx="34">
                  <c:v>3537.9558346506642</c:v>
                </c:pt>
                <c:pt idx="35">
                  <c:v>3545.366647550753</c:v>
                </c:pt>
                <c:pt idx="36">
                  <c:v>3546.149591201272</c:v>
                </c:pt>
                <c:pt idx="37">
                  <c:v>-157.18703278201249</c:v>
                </c:pt>
                <c:pt idx="38">
                  <c:v>-158.29215434093126</c:v>
                </c:pt>
                <c:pt idx="39">
                  <c:v>-159.36984397577763</c:v>
                </c:pt>
                <c:pt idx="40">
                  <c:v>-160.42172859455582</c:v>
                </c:pt>
                <c:pt idx="41">
                  <c:v>-161.44968362869938</c:v>
                </c:pt>
                <c:pt idx="42">
                  <c:v>-162.44948417991142</c:v>
                </c:pt>
                <c:pt idx="43">
                  <c:v>-163.41834816647037</c:v>
                </c:pt>
                <c:pt idx="44">
                  <c:v>-164.35607078666129</c:v>
                </c:pt>
                <c:pt idx="45">
                  <c:v>-165.25933839476127</c:v>
                </c:pt>
                <c:pt idx="46">
                  <c:v>-166.12446225876047</c:v>
                </c:pt>
                <c:pt idx="47">
                  <c:v>-166.9511202186581</c:v>
                </c:pt>
                <c:pt idx="48">
                  <c:v>-167.74001182188451</c:v>
                </c:pt>
                <c:pt idx="49">
                  <c:v>-168.49165942786973</c:v>
                </c:pt>
                <c:pt idx="50">
                  <c:v>-169.2024663503185</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210.25125025039677</c:v>
                </c:pt>
                <c:pt idx="13">
                  <c:v>215.15729984140495</c:v>
                </c:pt>
                <c:pt idx="14">
                  <c:v>221.26625183821383</c:v>
                </c:pt>
                <c:pt idx="15">
                  <c:v>225.16453122577883</c:v>
                </c:pt>
                <c:pt idx="16">
                  <c:v>227.57954482450737</c:v>
                </c:pt>
                <c:pt idx="17">
                  <c:v>228.47375642089816</c:v>
                </c:pt>
                <c:pt idx="18">
                  <c:v>230.50265811419081</c:v>
                </c:pt>
                <c:pt idx="19">
                  <c:v>232.69090070904008</c:v>
                </c:pt>
                <c:pt idx="20">
                  <c:v>214.33917978413527</c:v>
                </c:pt>
                <c:pt idx="21">
                  <c:v>227.1680687448609</c:v>
                </c:pt>
                <c:pt idx="22">
                  <c:v>742.75548513660544</c:v>
                </c:pt>
                <c:pt idx="23">
                  <c:v>761.52611991902882</c:v>
                </c:pt>
                <c:pt idx="24">
                  <c:v>779.14056059258428</c:v>
                </c:pt>
                <c:pt idx="25">
                  <c:v>795.56118164700956</c:v>
                </c:pt>
                <c:pt idx="26">
                  <c:v>810.79678092647191</c:v>
                </c:pt>
                <c:pt idx="27">
                  <c:v>824.76053972755244</c:v>
                </c:pt>
                <c:pt idx="28">
                  <c:v>837.37525511543799</c:v>
                </c:pt>
                <c:pt idx="29">
                  <c:v>848.56668407784514</c:v>
                </c:pt>
                <c:pt idx="30">
                  <c:v>858.26616194648341</c:v>
                </c:pt>
                <c:pt idx="31">
                  <c:v>866.41545760745657</c:v>
                </c:pt>
                <c:pt idx="32">
                  <c:v>872.96114542951955</c:v>
                </c:pt>
                <c:pt idx="33">
                  <c:v>877.86043290526663</c:v>
                </c:pt>
                <c:pt idx="34">
                  <c:v>881.08175255309925</c:v>
                </c:pt>
                <c:pt idx="35">
                  <c:v>882.59899952694127</c:v>
                </c:pt>
                <c:pt idx="36">
                  <c:v>882.39440414022124</c:v>
                </c:pt>
                <c:pt idx="37">
                  <c:v>-83.806845574283557</c:v>
                </c:pt>
                <c:pt idx="38">
                  <c:v>-84.486277009716261</c:v>
                </c:pt>
                <c:pt idx="39">
                  <c:v>-85.148843231183307</c:v>
                </c:pt>
                <c:pt idx="40">
                  <c:v>-85.795544465702022</c:v>
                </c:pt>
                <c:pt idx="41">
                  <c:v>-86.42753373310147</c:v>
                </c:pt>
                <c:pt idx="42">
                  <c:v>-87.042213555582734</c:v>
                </c:pt>
                <c:pt idx="43">
                  <c:v>-87.637873502503709</c:v>
                </c:pt>
                <c:pt idx="44">
                  <c:v>-88.214387661269512</c:v>
                </c:pt>
                <c:pt idx="45">
                  <c:v>-88.769718794390883</c:v>
                </c:pt>
                <c:pt idx="46">
                  <c:v>-89.301599060412599</c:v>
                </c:pt>
                <c:pt idx="47">
                  <c:v>-89.809830394578782</c:v>
                </c:pt>
                <c:pt idx="48">
                  <c:v>-90.294842880359383</c:v>
                </c:pt>
                <c:pt idx="49">
                  <c:v>-90.756957665608653</c:v>
                </c:pt>
                <c:pt idx="50">
                  <c:v>-91.193963498801665</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232.80307737192553</c:v>
                </c:pt>
                <c:pt idx="13">
                  <c:v>238.58845125065105</c:v>
                </c:pt>
                <c:pt idx="14">
                  <c:v>245.79232692559364</c:v>
                </c:pt>
                <c:pt idx="15">
                  <c:v>250.38930527292379</c:v>
                </c:pt>
                <c:pt idx="16">
                  <c:v>253.23716816784</c:v>
                </c:pt>
                <c:pt idx="17">
                  <c:v>254.29165168168265</c:v>
                </c:pt>
                <c:pt idx="18">
                  <c:v>256.68419880969998</c:v>
                </c:pt>
                <c:pt idx="19">
                  <c:v>259.26464593191383</c:v>
                </c:pt>
                <c:pt idx="20">
                  <c:v>237.62369736441551</c:v>
                </c:pt>
                <c:pt idx="21">
                  <c:v>252.75194213847615</c:v>
                </c:pt>
                <c:pt idx="22">
                  <c:v>860.74945941986732</c:v>
                </c:pt>
                <c:pt idx="23">
                  <c:v>882.88440488726769</c:v>
                </c:pt>
                <c:pt idx="24">
                  <c:v>903.65592850739608</c:v>
                </c:pt>
                <c:pt idx="25">
                  <c:v>923.01966104993642</c:v>
                </c:pt>
                <c:pt idx="26">
                  <c:v>940.98597722001364</c:v>
                </c:pt>
                <c:pt idx="27">
                  <c:v>957.45249756759802</c:v>
                </c:pt>
                <c:pt idx="28">
                  <c:v>972.32818187099122</c:v>
                </c:pt>
                <c:pt idx="29">
                  <c:v>985.52548034579468</c:v>
                </c:pt>
                <c:pt idx="30">
                  <c:v>996.96342137299985</c:v>
                </c:pt>
                <c:pt idx="31">
                  <c:v>1006.5733369216352</c:v>
                </c:pt>
                <c:pt idx="32">
                  <c:v>1014.2922257427881</c:v>
                </c:pt>
                <c:pt idx="33">
                  <c:v>1020.069625514389</c:v>
                </c:pt>
                <c:pt idx="34">
                  <c:v>1023.8683108313401</c:v>
                </c:pt>
                <c:pt idx="35">
                  <c:v>1025.6574980067262</c:v>
                </c:pt>
                <c:pt idx="36">
                  <c:v>1025.4162324458955</c:v>
                </c:pt>
                <c:pt idx="37">
                  <c:v>-113.95983132958665</c:v>
                </c:pt>
                <c:pt idx="38">
                  <c:v>-114.76103906424585</c:v>
                </c:pt>
                <c:pt idx="39">
                  <c:v>-115.54235878788393</c:v>
                </c:pt>
                <c:pt idx="40">
                  <c:v>-116.30497000086095</c:v>
                </c:pt>
                <c:pt idx="41">
                  <c:v>-117.05023238180975</c:v>
                </c:pt>
                <c:pt idx="42">
                  <c:v>-117.77508290009241</c:v>
                </c:pt>
                <c:pt idx="43">
                  <c:v>-118.47750456004374</c:v>
                </c:pt>
                <c:pt idx="44">
                  <c:v>-119.1573488814204</c:v>
                </c:pt>
                <c:pt idx="45">
                  <c:v>-119.81221348725148</c:v>
                </c:pt>
                <c:pt idx="46">
                  <c:v>-120.43942406483949</c:v>
                </c:pt>
                <c:pt idx="47">
                  <c:v>-121.03874704975668</c:v>
                </c:pt>
                <c:pt idx="48">
                  <c:v>-121.61068961047471</c:v>
                </c:pt>
                <c:pt idx="49">
                  <c:v>-122.15563045502996</c:v>
                </c:pt>
                <c:pt idx="50">
                  <c:v>-122.67096200341857</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2896.0855151347182</c:v>
                </c:pt>
                <c:pt idx="14">
                  <c:v>2942.4453105118946</c:v>
                </c:pt>
                <c:pt idx="15">
                  <c:v>2979.877509050561</c:v>
                </c:pt>
                <c:pt idx="16">
                  <c:v>3011.589701515968</c:v>
                </c:pt>
                <c:pt idx="17">
                  <c:v>3037.4479061853244</c:v>
                </c:pt>
                <c:pt idx="18">
                  <c:v>3068.5581134720883</c:v>
                </c:pt>
                <c:pt idx="19">
                  <c:v>3100.7243936023351</c:v>
                </c:pt>
                <c:pt idx="20">
                  <c:v>3031.159231114842</c:v>
                </c:pt>
                <c:pt idx="21">
                  <c:v>3101.5903631989963</c:v>
                </c:pt>
                <c:pt idx="22">
                  <c:v>5367.0475638466096</c:v>
                </c:pt>
                <c:pt idx="23">
                  <c:v>5461.7490777710791</c:v>
                </c:pt>
                <c:pt idx="24">
                  <c:v>5553.4690148613136</c:v>
                </c:pt>
                <c:pt idx="25">
                  <c:v>5641.1186535381921</c:v>
                </c:pt>
                <c:pt idx="26">
                  <c:v>5723.0807930074106</c:v>
                </c:pt>
                <c:pt idx="27">
                  <c:v>5799.044661896236</c:v>
                </c:pt>
                <c:pt idx="28">
                  <c:v>5868.6677531233854</c:v>
                </c:pt>
                <c:pt idx="29">
                  <c:v>5931.6726936057066</c:v>
                </c:pt>
                <c:pt idx="30">
                  <c:v>5987.8244238885518</c:v>
                </c:pt>
                <c:pt idx="31">
                  <c:v>6036.8778522484436</c:v>
                </c:pt>
                <c:pt idx="32">
                  <c:v>6078.659066736911</c:v>
                </c:pt>
                <c:pt idx="33">
                  <c:v>6112.9985011793078</c:v>
                </c:pt>
                <c:pt idx="34">
                  <c:v>6139.7301150523554</c:v>
                </c:pt>
                <c:pt idx="35">
                  <c:v>6158.7708504458433</c:v>
                </c:pt>
                <c:pt idx="36">
                  <c:v>6170.0879714790499</c:v>
                </c:pt>
                <c:pt idx="37">
                  <c:v>1959.5195256894765</c:v>
                </c:pt>
                <c:pt idx="38">
                  <c:v>1968.2370490827163</c:v>
                </c:pt>
                <c:pt idx="39">
                  <c:v>1976.7381814030525</c:v>
                </c:pt>
                <c:pt idx="40">
                  <c:v>1985.0357561785906</c:v>
                </c:pt>
                <c:pt idx="41">
                  <c:v>1993.1445673632284</c:v>
                </c:pt>
                <c:pt idx="42">
                  <c:v>2001.0312877184917</c:v>
                </c:pt>
                <c:pt idx="43">
                  <c:v>2008.6739713667578</c:v>
                </c:pt>
                <c:pt idx="44">
                  <c:v>2016.071002771957</c:v>
                </c:pt>
                <c:pt idx="45">
                  <c:v>2023.1962429235205</c:v>
                </c:pt>
                <c:pt idx="46">
                  <c:v>2030.020594020102</c:v>
                </c:pt>
                <c:pt idx="47">
                  <c:v>2036.5415147690064</c:v>
                </c:pt>
                <c:pt idx="48">
                  <c:v>2042.7645234057986</c:v>
                </c:pt>
                <c:pt idx="49">
                  <c:v>2048.6937404550613</c:v>
                </c:pt>
                <c:pt idx="50">
                  <c:v>2054.3007941990732</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1952.2937553922523</c:v>
                </c:pt>
                <c:pt idx="13">
                  <c:v>1989.2140809840128</c:v>
                </c:pt>
                <c:pt idx="14">
                  <c:v>2031.5845891224524</c:v>
                </c:pt>
                <c:pt idx="15">
                  <c:v>2065.795725300226</c:v>
                </c:pt>
                <c:pt idx="16">
                  <c:v>2094.7790652397453</c:v>
                </c:pt>
                <c:pt idx="17">
                  <c:v>2118.4121564230554</c:v>
                </c:pt>
                <c:pt idx="18">
                  <c:v>2146.8453123571594</c:v>
                </c:pt>
                <c:pt idx="19">
                  <c:v>2176.2436654550011</c:v>
                </c:pt>
                <c:pt idx="20">
                  <c:v>2112.6646254841025</c:v>
                </c:pt>
                <c:pt idx="21">
                  <c:v>2177.0351178663955</c:v>
                </c:pt>
                <c:pt idx="22">
                  <c:v>4247.5484144928814</c:v>
                </c:pt>
                <c:pt idx="23">
                  <c:v>4334.1008083033757</c:v>
                </c:pt>
                <c:pt idx="24">
                  <c:v>4417.9281916928257</c:v>
                </c:pt>
                <c:pt idx="25">
                  <c:v>4498.0355282044593</c:v>
                </c:pt>
                <c:pt idx="26">
                  <c:v>4572.944778108832</c:v>
                </c:pt>
                <c:pt idx="27">
                  <c:v>4642.3719120897977</c:v>
                </c:pt>
                <c:pt idx="28">
                  <c:v>4706.0038959987605</c:v>
                </c:pt>
                <c:pt idx="29">
                  <c:v>4763.5872248669966</c:v>
                </c:pt>
                <c:pt idx="30">
                  <c:v>4814.9070662420536</c:v>
                </c:pt>
                <c:pt idx="31">
                  <c:v>4859.739418685187</c:v>
                </c:pt>
                <c:pt idx="32">
                  <c:v>4897.9253354718057</c:v>
                </c:pt>
                <c:pt idx="33">
                  <c:v>4929.3098416947832</c:v>
                </c:pt>
                <c:pt idx="34">
                  <c:v>4953.7411847140238</c:v>
                </c:pt>
                <c:pt idx="35">
                  <c:v>4971.1434538005878</c:v>
                </c:pt>
                <c:pt idx="36">
                  <c:v>4981.4867300152464</c:v>
                </c:pt>
                <c:pt idx="37">
                  <c:v>1133.2401372872725</c:v>
                </c:pt>
                <c:pt idx="38">
                  <c:v>1141.2075127442865</c:v>
                </c:pt>
                <c:pt idx="39">
                  <c:v>1148.9771177055304</c:v>
                </c:pt>
                <c:pt idx="40">
                  <c:v>1156.5606813665845</c:v>
                </c:pt>
                <c:pt idx="41">
                  <c:v>1163.9717246530463</c:v>
                </c:pt>
                <c:pt idx="42">
                  <c:v>1171.179788154612</c:v>
                </c:pt>
                <c:pt idx="43">
                  <c:v>1178.1648144491371</c:v>
                </c:pt>
                <c:pt idx="44">
                  <c:v>1184.925327018366</c:v>
                </c:pt>
                <c:pt idx="45">
                  <c:v>1191.4374361287266</c:v>
                </c:pt>
                <c:pt idx="46">
                  <c:v>1197.6745478615283</c:v>
                </c:pt>
                <c:pt idx="47">
                  <c:v>1203.6343396037848</c:v>
                </c:pt>
                <c:pt idx="48">
                  <c:v>1209.3218547436938</c:v>
                </c:pt>
                <c:pt idx="49">
                  <c:v>1214.7408592323122</c:v>
                </c:pt>
                <c:pt idx="50">
                  <c:v>1219.8654227546588</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164.54471238917679</c:v>
                </c:pt>
                <c:pt idx="21">
                  <c:v>165.67599678341315</c:v>
                </c:pt>
                <c:pt idx="22">
                  <c:v>168.8389053220381</c:v>
                </c:pt>
                <c:pt idx="23">
                  <c:v>169.86911365750444</c:v>
                </c:pt>
                <c:pt idx="24">
                  <c:v>171.04932261118671</c:v>
                </c:pt>
                <c:pt idx="25">
                  <c:v>172.3101813758152</c:v>
                </c:pt>
                <c:pt idx="26">
                  <c:v>173.52779635027622</c:v>
                </c:pt>
                <c:pt idx="27">
                  <c:v>174.70692743784491</c:v>
                </c:pt>
                <c:pt idx="28">
                  <c:v>175.8468553260584</c:v>
                </c:pt>
                <c:pt idx="29">
                  <c:v>176.95078087099483</c:v>
                </c:pt>
                <c:pt idx="30">
                  <c:v>178.02327175648031</c:v>
                </c:pt>
                <c:pt idx="31">
                  <c:v>179.06477708379279</c:v>
                </c:pt>
                <c:pt idx="32">
                  <c:v>180.07952298379922</c:v>
                </c:pt>
                <c:pt idx="33">
                  <c:v>181.06862884384691</c:v>
                </c:pt>
                <c:pt idx="34">
                  <c:v>182.02985487076239</c:v>
                </c:pt>
                <c:pt idx="35">
                  <c:v>182.96540968193935</c:v>
                </c:pt>
                <c:pt idx="36">
                  <c:v>183.87857836887861</c:v>
                </c:pt>
                <c:pt idx="37">
                  <c:v>180.5604798910507</c:v>
                </c:pt>
                <c:pt idx="38">
                  <c:v>181.43232064928867</c:v>
                </c:pt>
                <c:pt idx="39">
                  <c:v>182.28252010545432</c:v>
                </c:pt>
                <c:pt idx="40">
                  <c:v>183.11236174252423</c:v>
                </c:pt>
                <c:pt idx="41">
                  <c:v>183.9233251059384</c:v>
                </c:pt>
                <c:pt idx="42">
                  <c:v>184.71207713382233</c:v>
                </c:pt>
                <c:pt idx="43">
                  <c:v>185.47642301582417</c:v>
                </c:pt>
                <c:pt idx="44">
                  <c:v>186.21620118195105</c:v>
                </c:pt>
                <c:pt idx="45">
                  <c:v>186.92879746602691</c:v>
                </c:pt>
                <c:pt idx="46">
                  <c:v>187.61130179278783</c:v>
                </c:pt>
                <c:pt idx="47">
                  <c:v>188.26346000718891</c:v>
                </c:pt>
                <c:pt idx="48">
                  <c:v>188.88582398875616</c:v>
                </c:pt>
                <c:pt idx="49">
                  <c:v>189.478805831741</c:v>
                </c:pt>
                <c:pt idx="50">
                  <c:v>190.03956807660649</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168.49335641070593</c:v>
                </c:pt>
                <c:pt idx="13">
                  <c:v>171.01670205543255</c:v>
                </c:pt>
                <c:pt idx="14">
                  <c:v>173.64186960514101</c:v>
                </c:pt>
                <c:pt idx="15">
                  <c:v>176.34634777530448</c:v>
                </c:pt>
                <c:pt idx="16">
                  <c:v>179.1394509955492</c:v>
                </c:pt>
                <c:pt idx="17">
                  <c:v>182.02483461097441</c:v>
                </c:pt>
                <c:pt idx="18">
                  <c:v>184.9573289719192</c:v>
                </c:pt>
                <c:pt idx="19">
                  <c:v>187.93821358431839</c:v>
                </c:pt>
                <c:pt idx="20">
                  <c:v>189.19283903649284</c:v>
                </c:pt>
                <c:pt idx="21">
                  <c:v>191.17477999216524</c:v>
                </c:pt>
                <c:pt idx="22">
                  <c:v>196.71600199052781</c:v>
                </c:pt>
                <c:pt idx="23">
                  <c:v>198.52086388320342</c:v>
                </c:pt>
                <c:pt idx="24">
                  <c:v>200.58851766988292</c:v>
                </c:pt>
                <c:pt idx="25">
                  <c:v>202.79746498469368</c:v>
                </c:pt>
                <c:pt idx="26">
                  <c:v>204.93065182826655</c:v>
                </c:pt>
                <c:pt idx="27">
                  <c:v>206.99641725954564</c:v>
                </c:pt>
                <c:pt idx="28">
                  <c:v>208.99350108716129</c:v>
                </c:pt>
                <c:pt idx="29">
                  <c:v>210.92751101487664</c:v>
                </c:pt>
                <c:pt idx="30">
                  <c:v>212.80644934493628</c:v>
                </c:pt>
                <c:pt idx="31">
                  <c:v>214.6311028752672</c:v>
                </c:pt>
                <c:pt idx="32">
                  <c:v>216.40887552825339</c:v>
                </c:pt>
                <c:pt idx="33">
                  <c:v>218.14172840195303</c:v>
                </c:pt>
                <c:pt idx="34">
                  <c:v>219.82573751593719</c:v>
                </c:pt>
                <c:pt idx="35">
                  <c:v>221.46477223257858</c:v>
                </c:pt>
                <c:pt idx="36">
                  <c:v>223.0645878309403</c:v>
                </c:pt>
                <c:pt idx="37">
                  <c:v>217.25148256610493</c:v>
                </c:pt>
                <c:pt idx="38">
                  <c:v>218.77889416515097</c:v>
                </c:pt>
                <c:pt idx="39">
                  <c:v>220.26839152872282</c:v>
                </c:pt>
                <c:pt idx="40">
                  <c:v>221.72222324036892</c:v>
                </c:pt>
                <c:pt idx="41">
                  <c:v>223.14298137306227</c:v>
                </c:pt>
                <c:pt idx="42">
                  <c:v>224.52482660658387</c:v>
                </c:pt>
                <c:pt idx="43">
                  <c:v>225.86391376765226</c:v>
                </c:pt>
                <c:pt idx="44">
                  <c:v>227.15995979553793</c:v>
                </c:pt>
                <c:pt idx="45">
                  <c:v>228.40838483124551</c:v>
                </c:pt>
                <c:pt idx="46">
                  <c:v>229.60409060118516</c:v>
                </c:pt>
                <c:pt idx="47">
                  <c:v>230.74663184128789</c:v>
                </c:pt>
                <c:pt idx="48">
                  <c:v>231.83697541067494</c:v>
                </c:pt>
                <c:pt idx="49">
                  <c:v>232.87584327322955</c:v>
                </c:pt>
                <c:pt idx="50">
                  <c:v>233.85826437366731</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604015.06594627828</c:v>
                </c:pt>
                <c:pt idx="28">
                  <c:v>606157.85554919671</c:v>
                </c:pt>
                <c:pt idx="29">
                  <c:v>608615.99513645715</c:v>
                </c:pt>
                <c:pt idx="30">
                  <c:v>591322.41163745022</c:v>
                </c:pt>
                <c:pt idx="31">
                  <c:v>601496.9511698751</c:v>
                </c:pt>
                <c:pt idx="32">
                  <c:v>1034923.6075225763</c:v>
                </c:pt>
                <c:pt idx="33">
                  <c:v>1047399.1285581163</c:v>
                </c:pt>
                <c:pt idx="34">
                  <c:v>1059327.4427172677</c:v>
                </c:pt>
                <c:pt idx="35">
                  <c:v>1070505.6520089905</c:v>
                </c:pt>
                <c:pt idx="36">
                  <c:v>1080635.2397358473</c:v>
                </c:pt>
                <c:pt idx="37">
                  <c:v>1089668.9004951715</c:v>
                </c:pt>
                <c:pt idx="38">
                  <c:v>1097554.0084447339</c:v>
                </c:pt>
                <c:pt idx="39">
                  <c:v>1104250.7335875784</c:v>
                </c:pt>
                <c:pt idx="40">
                  <c:v>1109727.4879097647</c:v>
                </c:pt>
                <c:pt idx="41">
                  <c:v>1113951.0653098414</c:v>
                </c:pt>
                <c:pt idx="42">
                  <c:v>1116901.5865918756</c:v>
                </c:pt>
                <c:pt idx="43">
                  <c:v>1118559.9831987994</c:v>
                </c:pt>
                <c:pt idx="44">
                  <c:v>1118907.8325413887</c:v>
                </c:pt>
                <c:pt idx="45">
                  <c:v>1117941.7703009425</c:v>
                </c:pt>
                <c:pt idx="46">
                  <c:v>1115667.2963556021</c:v>
                </c:pt>
                <c:pt idx="47">
                  <c:v>352977.83999699447</c:v>
                </c:pt>
                <c:pt idx="48">
                  <c:v>353235.50789657497</c:v>
                </c:pt>
                <c:pt idx="49">
                  <c:v>353474.62715966295</c:v>
                </c:pt>
                <c:pt idx="50">
                  <c:v>353696.81534571305</c:v>
                </c:pt>
                <c:pt idx="51">
                  <c:v>353904.06494897016</c:v>
                </c:pt>
                <c:pt idx="52">
                  <c:v>354089.87141117838</c:v>
                </c:pt>
                <c:pt idx="53">
                  <c:v>354249.86667107692</c:v>
                </c:pt>
                <c:pt idx="54">
                  <c:v>354383.35025856091</c:v>
                </c:pt>
                <c:pt idx="55">
                  <c:v>354485.36599126982</c:v>
                </c:pt>
                <c:pt idx="56">
                  <c:v>354550.53300491563</c:v>
                </c:pt>
                <c:pt idx="57">
                  <c:v>354578.18668771023</c:v>
                </c:pt>
                <c:pt idx="58">
                  <c:v>354569.09132560756</c:v>
                </c:pt>
                <c:pt idx="59">
                  <c:v>354523.779919889</c:v>
                </c:pt>
                <c:pt idx="60">
                  <c:v>354437.19147932017</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500469.62606977345</c:v>
                </c:pt>
                <c:pt idx="28">
                  <c:v>502245.08031219151</c:v>
                </c:pt>
                <c:pt idx="29">
                  <c:v>504281.82454163593</c:v>
                </c:pt>
                <c:pt idx="30">
                  <c:v>489952.85535674449</c:v>
                </c:pt>
                <c:pt idx="31">
                  <c:v>498383.18811218225</c:v>
                </c:pt>
                <c:pt idx="32">
                  <c:v>857508.13194727746</c:v>
                </c:pt>
                <c:pt idx="33">
                  <c:v>867844.99223386776</c:v>
                </c:pt>
                <c:pt idx="34">
                  <c:v>877728.45253716467</c:v>
                </c:pt>
                <c:pt idx="35">
                  <c:v>886990.39737887774</c:v>
                </c:pt>
                <c:pt idx="36">
                  <c:v>895383.4843525592</c:v>
                </c:pt>
                <c:pt idx="37">
                  <c:v>902868.51755314216</c:v>
                </c:pt>
                <c:pt idx="38">
                  <c:v>909401.89271135093</c:v>
                </c:pt>
                <c:pt idx="39">
                  <c:v>914950.60782970779</c:v>
                </c:pt>
                <c:pt idx="40">
                  <c:v>919488.48998237646</c:v>
                </c:pt>
                <c:pt idx="41">
                  <c:v>922988.02554244013</c:v>
                </c:pt>
                <c:pt idx="42">
                  <c:v>925432.74317612546</c:v>
                </c:pt>
                <c:pt idx="43">
                  <c:v>926806.84322186233</c:v>
                </c:pt>
                <c:pt idx="44">
                  <c:v>927095.0612485793</c:v>
                </c:pt>
                <c:pt idx="45">
                  <c:v>926294.60967792373</c:v>
                </c:pt>
                <c:pt idx="46">
                  <c:v>924410.04555178457</c:v>
                </c:pt>
                <c:pt idx="47">
                  <c:v>292467.35314036685</c:v>
                </c:pt>
                <c:pt idx="48">
                  <c:v>292680.84940001921</c:v>
                </c:pt>
                <c:pt idx="49">
                  <c:v>292878.97678943502</c:v>
                </c:pt>
                <c:pt idx="50">
                  <c:v>293063.07557216223</c:v>
                </c:pt>
                <c:pt idx="51">
                  <c:v>293234.79667200387</c:v>
                </c:pt>
                <c:pt idx="52">
                  <c:v>293388.75059783354</c:v>
                </c:pt>
                <c:pt idx="53">
                  <c:v>293521.31809889228</c:v>
                </c:pt>
                <c:pt idx="54">
                  <c:v>293631.91878566478</c:v>
                </c:pt>
                <c:pt idx="55">
                  <c:v>293716.44610705215</c:v>
                </c:pt>
                <c:pt idx="56">
                  <c:v>293770.44163264439</c:v>
                </c:pt>
                <c:pt idx="57">
                  <c:v>293793.35468410276</c:v>
                </c:pt>
                <c:pt idx="58">
                  <c:v>293785.81852693198</c:v>
                </c:pt>
                <c:pt idx="59">
                  <c:v>293748.27479076519</c:v>
                </c:pt>
                <c:pt idx="60">
                  <c:v>293676.53008286527</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621272.6392590293</c:v>
                </c:pt>
                <c:pt idx="28">
                  <c:v>623476.65142203099</c:v>
                </c:pt>
                <c:pt idx="29">
                  <c:v>626005.02356892754</c:v>
                </c:pt>
                <c:pt idx="30">
                  <c:v>608217.33768423472</c:v>
                </c:pt>
                <c:pt idx="31">
                  <c:v>618682.57834615733</c:v>
                </c:pt>
                <c:pt idx="32">
                  <c:v>1064492.8534517928</c:v>
                </c:pt>
                <c:pt idx="33">
                  <c:v>1077324.8179454913</c:v>
                </c:pt>
                <c:pt idx="34">
                  <c:v>1089593.9410806184</c:v>
                </c:pt>
                <c:pt idx="35">
                  <c:v>1101091.527780676</c:v>
                </c:pt>
                <c:pt idx="36">
                  <c:v>1111510.5322997288</c:v>
                </c:pt>
                <c:pt idx="37">
                  <c:v>1120802.2976521766</c:v>
                </c:pt>
                <c:pt idx="38">
                  <c:v>1128912.6944002979</c:v>
                </c:pt>
                <c:pt idx="39">
                  <c:v>1135800.7545472237</c:v>
                </c:pt>
                <c:pt idx="40">
                  <c:v>1141433.9875643295</c:v>
                </c:pt>
                <c:pt idx="41">
                  <c:v>1145778.2386044087</c:v>
                </c:pt>
                <c:pt idx="42">
                  <c:v>1148813.0604945007</c:v>
                </c:pt>
                <c:pt idx="43">
                  <c:v>1150518.8398616223</c:v>
                </c:pt>
                <c:pt idx="44">
                  <c:v>1150876.6277568573</c:v>
                </c:pt>
                <c:pt idx="45">
                  <c:v>1149882.9637381125</c:v>
                </c:pt>
                <c:pt idx="46">
                  <c:v>1147543.5048229052</c:v>
                </c:pt>
                <c:pt idx="47">
                  <c:v>363062.92113976576</c:v>
                </c:pt>
                <c:pt idx="48">
                  <c:v>363327.9509793343</c:v>
                </c:pt>
                <c:pt idx="49">
                  <c:v>363573.90222136764</c:v>
                </c:pt>
                <c:pt idx="50">
                  <c:v>363802.43864130491</c:v>
                </c:pt>
                <c:pt idx="51">
                  <c:v>364015.60966179799</c:v>
                </c:pt>
                <c:pt idx="52">
                  <c:v>364206.72488006926</c:v>
                </c:pt>
                <c:pt idx="53">
                  <c:v>364371.29143310775</c:v>
                </c:pt>
                <c:pt idx="54">
                  <c:v>364508.58883737703</c:v>
                </c:pt>
                <c:pt idx="55">
                  <c:v>364613.51930530614</c:v>
                </c:pt>
                <c:pt idx="56">
                  <c:v>364680.54823362757</c:v>
                </c:pt>
                <c:pt idx="57">
                  <c:v>364708.9920216449</c:v>
                </c:pt>
                <c:pt idx="58">
                  <c:v>364699.63679205358</c:v>
                </c:pt>
                <c:pt idx="59">
                  <c:v>364653.03077474306</c:v>
                </c:pt>
                <c:pt idx="60">
                  <c:v>364563.96837872942</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5954880.1627134718</c:v>
                </c:pt>
                <c:pt idx="23">
                  <c:v>5903235.3888004785</c:v>
                </c:pt>
                <c:pt idx="24">
                  <c:v>5883575.786790872</c:v>
                </c:pt>
                <c:pt idx="25">
                  <c:v>5805008.3335930649</c:v>
                </c:pt>
                <c:pt idx="26">
                  <c:v>5690965.7565264786</c:v>
                </c:pt>
                <c:pt idx="27">
                  <c:v>5543806.2775503118</c:v>
                </c:pt>
                <c:pt idx="28">
                  <c:v>5427737.2925172495</c:v>
                </c:pt>
                <c:pt idx="29">
                  <c:v>5317922.8374796035</c:v>
                </c:pt>
                <c:pt idx="30">
                  <c:v>4755918.1218965715</c:v>
                </c:pt>
                <c:pt idx="31">
                  <c:v>4939149.1944778934</c:v>
                </c:pt>
                <c:pt idx="32">
                  <c:v>15566694.993877109</c:v>
                </c:pt>
                <c:pt idx="33">
                  <c:v>15641779.067004707</c:v>
                </c:pt>
                <c:pt idx="34">
                  <c:v>15689832.688180834</c:v>
                </c:pt>
                <c:pt idx="35">
                  <c:v>15710846.069805361</c:v>
                </c:pt>
                <c:pt idx="36">
                  <c:v>15705264.354760379</c:v>
                </c:pt>
                <c:pt idx="37">
                  <c:v>15672819.997851543</c:v>
                </c:pt>
                <c:pt idx="38">
                  <c:v>15613433.523932638</c:v>
                </c:pt>
                <c:pt idx="39">
                  <c:v>15527154.06979692</c:v>
                </c:pt>
                <c:pt idx="40">
                  <c:v>15414175.643613048</c:v>
                </c:pt>
                <c:pt idx="41">
                  <c:v>15146507.038818283</c:v>
                </c:pt>
                <c:pt idx="42">
                  <c:v>14853625.744490532</c:v>
                </c:pt>
                <c:pt idx="43">
                  <c:v>14536847.734424569</c:v>
                </c:pt>
                <c:pt idx="44">
                  <c:v>14197638.514468007</c:v>
                </c:pt>
                <c:pt idx="45">
                  <c:v>13837558.240646992</c:v>
                </c:pt>
                <c:pt idx="46">
                  <c:v>13458268.255725138</c:v>
                </c:pt>
                <c:pt idx="47">
                  <c:v>-1039155.8627087944</c:v>
                </c:pt>
                <c:pt idx="48">
                  <c:v>-1014135.9924717954</c:v>
                </c:pt>
                <c:pt idx="49">
                  <c:v>-989376.44121652725</c:v>
                </c:pt>
                <c:pt idx="50">
                  <c:v>-964874.65173804481</c:v>
                </c:pt>
                <c:pt idx="51">
                  <c:v>-945428.22862049635</c:v>
                </c:pt>
                <c:pt idx="52">
                  <c:v>-926166.27609481115</c:v>
                </c:pt>
                <c:pt idx="53">
                  <c:v>-907074.46766085073</c:v>
                </c:pt>
                <c:pt idx="54">
                  <c:v>-888148.07415729144</c:v>
                </c:pt>
                <c:pt idx="55">
                  <c:v>-869373.25849270087</c:v>
                </c:pt>
                <c:pt idx="56">
                  <c:v>-850736.4700094898</c:v>
                </c:pt>
                <c:pt idx="57">
                  <c:v>-832235.53239271138</c:v>
                </c:pt>
                <c:pt idx="58">
                  <c:v>-813871.5886540697</c:v>
                </c:pt>
                <c:pt idx="59">
                  <c:v>-795645.3399709207</c:v>
                </c:pt>
                <c:pt idx="60">
                  <c:v>-777546.31788674416</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5280742.7858025115</c:v>
                </c:pt>
                <c:pt idx="23">
                  <c:v>5234944.5900683487</c:v>
                </c:pt>
                <c:pt idx="24">
                  <c:v>5217510.6033805832</c:v>
                </c:pt>
                <c:pt idx="25">
                  <c:v>5147837.57884668</c:v>
                </c:pt>
                <c:pt idx="26">
                  <c:v>5046705.4822027264</c:v>
                </c:pt>
                <c:pt idx="27">
                  <c:v>4916205.5668842383</c:v>
                </c:pt>
                <c:pt idx="28">
                  <c:v>4813276.4669492589</c:v>
                </c:pt>
                <c:pt idx="29">
                  <c:v>4715893.8370102132</c:v>
                </c:pt>
                <c:pt idx="30">
                  <c:v>4217512.2967762044</c:v>
                </c:pt>
                <c:pt idx="31">
                  <c:v>4380000.2290653009</c:v>
                </c:pt>
                <c:pt idx="32">
                  <c:v>13804427.636079699</c:v>
                </c:pt>
                <c:pt idx="33">
                  <c:v>13871011.625457004</c:v>
                </c:pt>
                <c:pt idx="34">
                  <c:v>13913625.214047153</c:v>
                </c:pt>
                <c:pt idx="35">
                  <c:v>13932259.722280223</c:v>
                </c:pt>
                <c:pt idx="36">
                  <c:v>13927309.899504486</c:v>
                </c:pt>
                <c:pt idx="37">
                  <c:v>13898538.488660801</c:v>
                </c:pt>
                <c:pt idx="38">
                  <c:v>13845875.01178932</c:v>
                </c:pt>
                <c:pt idx="39">
                  <c:v>13769363.043027457</c:v>
                </c:pt>
                <c:pt idx="40">
                  <c:v>13669174.627354965</c:v>
                </c:pt>
                <c:pt idx="41">
                  <c:v>13431808.128763383</c:v>
                </c:pt>
                <c:pt idx="42">
                  <c:v>13172083.207378397</c:v>
                </c:pt>
                <c:pt idx="43">
                  <c:v>12891166.858829334</c:v>
                </c:pt>
                <c:pt idx="44">
                  <c:v>12590358.682641439</c:v>
                </c:pt>
                <c:pt idx="45">
                  <c:v>12271042.213403936</c:v>
                </c:pt>
                <c:pt idx="46">
                  <c:v>11934690.717341159</c:v>
                </c:pt>
                <c:pt idx="47">
                  <c:v>-921515.57636440243</c:v>
                </c:pt>
                <c:pt idx="48">
                  <c:v>-899328.14426744112</c:v>
                </c:pt>
                <c:pt idx="49">
                  <c:v>-877371.56107880711</c:v>
                </c:pt>
                <c:pt idx="50">
                  <c:v>-855643.55908845481</c:v>
                </c:pt>
                <c:pt idx="51">
                  <c:v>-838398.61783327023</c:v>
                </c:pt>
                <c:pt idx="52">
                  <c:v>-821317.26370671915</c:v>
                </c:pt>
                <c:pt idx="53">
                  <c:v>-804386.79207660339</c:v>
                </c:pt>
                <c:pt idx="54">
                  <c:v>-787603.00915835274</c:v>
                </c:pt>
                <c:pt idx="55">
                  <c:v>-770953.64432371582</c:v>
                </c:pt>
                <c:pt idx="56">
                  <c:v>-754426.68095181172</c:v>
                </c:pt>
                <c:pt idx="57">
                  <c:v>-738020.1891029703</c:v>
                </c:pt>
                <c:pt idx="58">
                  <c:v>-721735.1823913448</c:v>
                </c:pt>
                <c:pt idx="59">
                  <c:v>-705572.28261572216</c:v>
                </c:pt>
                <c:pt idx="60">
                  <c:v>-689522.20642786729</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559717.1030773099</c:v>
                </c:pt>
                <c:pt idx="24">
                  <c:v>581386.33409904351</c:v>
                </c:pt>
                <c:pt idx="25">
                  <c:v>597546.77075746469</c:v>
                </c:pt>
                <c:pt idx="26">
                  <c:v>610009.49754182238</c:v>
                </c:pt>
                <c:pt idx="27">
                  <c:v>618596.39996388659</c:v>
                </c:pt>
                <c:pt idx="28">
                  <c:v>630321.10002649156</c:v>
                </c:pt>
                <c:pt idx="29">
                  <c:v>642612.00897727197</c:v>
                </c:pt>
                <c:pt idx="30">
                  <c:v>597926.80550167628</c:v>
                </c:pt>
                <c:pt idx="31">
                  <c:v>635923.78226835607</c:v>
                </c:pt>
                <c:pt idx="32">
                  <c:v>2051862.6305769777</c:v>
                </c:pt>
                <c:pt idx="33">
                  <c:v>2110128.1093969485</c:v>
                </c:pt>
                <c:pt idx="34">
                  <c:v>2165681.5943024219</c:v>
                </c:pt>
                <c:pt idx="35">
                  <c:v>2218309.6215923456</c:v>
                </c:pt>
                <c:pt idx="36">
                  <c:v>2267857.4872500789</c:v>
                </c:pt>
                <c:pt idx="37">
                  <c:v>2314063.8575068722</c:v>
                </c:pt>
                <c:pt idx="38">
                  <c:v>2356684.8108836943</c:v>
                </c:pt>
                <c:pt idx="39">
                  <c:v>2395487.2900291942</c:v>
                </c:pt>
                <c:pt idx="40">
                  <c:v>2430253.3946859613</c:v>
                </c:pt>
                <c:pt idx="41">
                  <c:v>2467246.0848619989</c:v>
                </c:pt>
                <c:pt idx="42">
                  <c:v>2499930.2988543268</c:v>
                </c:pt>
                <c:pt idx="43">
                  <c:v>2528114.7198890457</c:v>
                </c:pt>
                <c:pt idx="44">
                  <c:v>2551633.274717289</c:v>
                </c:pt>
                <c:pt idx="45">
                  <c:v>2570339.3559679454</c:v>
                </c:pt>
                <c:pt idx="46">
                  <c:v>2584110.295193579</c:v>
                </c:pt>
                <c:pt idx="47">
                  <c:v>-206283.35899440647</c:v>
                </c:pt>
                <c:pt idx="48">
                  <c:v>-208171.35185682061</c:v>
                </c:pt>
                <c:pt idx="49">
                  <c:v>-210046.86042128532</c:v>
                </c:pt>
                <c:pt idx="50">
                  <c:v>-211910.8188296984</c:v>
                </c:pt>
                <c:pt idx="51">
                  <c:v>-213498.50210210861</c:v>
                </c:pt>
                <c:pt idx="52">
                  <c:v>-215070.30981703315</c:v>
                </c:pt>
                <c:pt idx="53">
                  <c:v>-216623.83626085726</c:v>
                </c:pt>
                <c:pt idx="54">
                  <c:v>-218158.6541779798</c:v>
                </c:pt>
                <c:pt idx="55">
                  <c:v>-219671.89978816328</c:v>
                </c:pt>
                <c:pt idx="56">
                  <c:v>-221160.37634344128</c:v>
                </c:pt>
                <c:pt idx="57">
                  <c:v>-222623.4999354897</c:v>
                </c:pt>
                <c:pt idx="58">
                  <c:v>-224061.49175282463</c:v>
                </c:pt>
                <c:pt idx="59">
                  <c:v>-225474.44027129476</c:v>
                </c:pt>
                <c:pt idx="60">
                  <c:v>-226859.15549894181</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19294878.757226616</c:v>
                      </c:pt>
                      <c:pt idx="31">
                        <c:v>19307720.31860701</c:v>
                      </c:pt>
                      <c:pt idx="32">
                        <c:v>19559205.069961581</c:v>
                      </c:pt>
                      <c:pt idx="33">
                        <c:v>19565339.844192322</c:v>
                      </c:pt>
                      <c:pt idx="34">
                        <c:v>19591581.184798744</c:v>
                      </c:pt>
                      <c:pt idx="35">
                        <c:v>19629513.679572582</c:v>
                      </c:pt>
                      <c:pt idx="36">
                        <c:v>19664751.667307843</c:v>
                      </c:pt>
                      <c:pt idx="37">
                        <c:v>19697731.441644121</c:v>
                      </c:pt>
                      <c:pt idx="38">
                        <c:v>19728277.139336508</c:v>
                      </c:pt>
                      <c:pt idx="39">
                        <c:v>19756663.97963132</c:v>
                      </c:pt>
                      <c:pt idx="40">
                        <c:v>19783322.561984386</c:v>
                      </c:pt>
                      <c:pt idx="41">
                        <c:v>19808227.76785814</c:v>
                      </c:pt>
                      <c:pt idx="42">
                        <c:v>19831777.943671755</c:v>
                      </c:pt>
                      <c:pt idx="43">
                        <c:v>19854030.096347492</c:v>
                      </c:pt>
                      <c:pt idx="44">
                        <c:v>19874679.234480295</c:v>
                      </c:pt>
                      <c:pt idx="45">
                        <c:v>19893914.25161792</c:v>
                      </c:pt>
                      <c:pt idx="46">
                        <c:v>19912042.010925505</c:v>
                      </c:pt>
                      <c:pt idx="47">
                        <c:v>19475049.108869474</c:v>
                      </c:pt>
                      <c:pt idx="48">
                        <c:v>19492958.180870771</c:v>
                      </c:pt>
                      <c:pt idx="49">
                        <c:v>19509662.73535268</c:v>
                      </c:pt>
                      <c:pt idx="50">
                        <c:v>19525264.861968085</c:v>
                      </c:pt>
                      <c:pt idx="51">
                        <c:v>19539888.662803639</c:v>
                      </c:pt>
                      <c:pt idx="52">
                        <c:v>19553149.472452078</c:v>
                      </c:pt>
                      <c:pt idx="53">
                        <c:v>19564790.407166932</c:v>
                      </c:pt>
                      <c:pt idx="54">
                        <c:v>19574773.841368008</c:v>
                      </c:pt>
                      <c:pt idx="55">
                        <c:v>19582807.445582233</c:v>
                      </c:pt>
                      <c:pt idx="56">
                        <c:v>19588573.465668801</c:v>
                      </c:pt>
                      <c:pt idx="57">
                        <c:v>19592036.068410829</c:v>
                      </c:pt>
                      <c:pt idx="58">
                        <c:v>19593244.644470215</c:v>
                      </c:pt>
                      <c:pt idx="59">
                        <c:v>19592234.545043476</c:v>
                      </c:pt>
                      <c:pt idx="60">
                        <c:v>19588706.691560276</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2883142.8028039774</c:v>
                      </c:pt>
                      <c:pt idx="31">
                        <c:v>2885061.6568033467</c:v>
                      </c:pt>
                      <c:pt idx="32">
                        <c:v>2922639.8380402364</c:v>
                      </c:pt>
                      <c:pt idx="33">
                        <c:v>2923556.5284425314</c:v>
                      </c:pt>
                      <c:pt idx="34">
                        <c:v>2927477.6483032606</c:v>
                      </c:pt>
                      <c:pt idx="35">
                        <c:v>2933145.7222349835</c:v>
                      </c:pt>
                      <c:pt idx="36">
                        <c:v>2938411.1686781836</c:v>
                      </c:pt>
                      <c:pt idx="37">
                        <c:v>2943339.1809353284</c:v>
                      </c:pt>
                      <c:pt idx="38">
                        <c:v>2947903.480590513</c:v>
                      </c:pt>
                      <c:pt idx="39">
                        <c:v>2952145.1923587029</c:v>
                      </c:pt>
                      <c:pt idx="40">
                        <c:v>2956128.6586873224</c:v>
                      </c:pt>
                      <c:pt idx="41">
                        <c:v>2959850.1262316764</c:v>
                      </c:pt>
                      <c:pt idx="42">
                        <c:v>2963369.1180199175</c:v>
                      </c:pt>
                      <c:pt idx="43">
                        <c:v>2966694.1523277862</c:v>
                      </c:pt>
                      <c:pt idx="44">
                        <c:v>2969779.6557269408</c:v>
                      </c:pt>
                      <c:pt idx="45">
                        <c:v>2972653.8536900342</c:v>
                      </c:pt>
                      <c:pt idx="46">
                        <c:v>2975362.5993336961</c:v>
                      </c:pt>
                      <c:pt idx="47">
                        <c:v>2910064.809371301</c:v>
                      </c:pt>
                      <c:pt idx="48">
                        <c:v>2912740.87760138</c:v>
                      </c:pt>
                      <c:pt idx="49">
                        <c:v>2915236.9604549981</c:v>
                      </c:pt>
                      <c:pt idx="50">
                        <c:v>2917568.3127078749</c:v>
                      </c:pt>
                      <c:pt idx="51">
                        <c:v>2919753.4783499693</c:v>
                      </c:pt>
                      <c:pt idx="52">
                        <c:v>2921734.9786422644</c:v>
                      </c:pt>
                      <c:pt idx="53">
                        <c:v>2923474.428657128</c:v>
                      </c:pt>
                      <c:pt idx="54">
                        <c:v>2924966.2061814265</c:v>
                      </c:pt>
                      <c:pt idx="55">
                        <c:v>2926166.6297996445</c:v>
                      </c:pt>
                      <c:pt idx="56">
                        <c:v>2927028.2190079815</c:v>
                      </c:pt>
                      <c:pt idx="57">
                        <c:v>2927545.6194177098</c:v>
                      </c:pt>
                      <c:pt idx="58">
                        <c:v>2927726.2112426758</c:v>
                      </c:pt>
                      <c:pt idx="59">
                        <c:v>2927575.2768455772</c:v>
                      </c:pt>
                      <c:pt idx="60">
                        <c:v>2927048.1263250983</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2134616.11169963</c:v>
                      </c:pt>
                      <c:pt idx="31">
                        <c:v>2138109.4674663781</c:v>
                      </c:pt>
                      <c:pt idx="32">
                        <c:v>2181460.1937599764</c:v>
                      </c:pt>
                      <c:pt idx="33">
                        <c:v>2183418.7272190307</c:v>
                      </c:pt>
                      <c:pt idx="34">
                        <c:v>2188603.9714687425</c:v>
                      </c:pt>
                      <c:pt idx="35">
                        <c:v>2195602.1293189167</c:v>
                      </c:pt>
                      <c:pt idx="36">
                        <c:v>2202020.4162375215</c:v>
                      </c:pt>
                      <c:pt idx="37">
                        <c:v>2207943.6707722908</c:v>
                      </c:pt>
                      <c:pt idx="38">
                        <c:v>2213353.7246603156</c:v>
                      </c:pt>
                      <c:pt idx="39">
                        <c:v>2218306.1326348721</c:v>
                      </c:pt>
                      <c:pt idx="40">
                        <c:v>2222880.7982622627</c:v>
                      </c:pt>
                      <c:pt idx="41">
                        <c:v>2227081.4073423054</c:v>
                      </c:pt>
                      <c:pt idx="42">
                        <c:v>2230980.4914978449</c:v>
                      </c:pt>
                      <c:pt idx="43">
                        <c:v>2234593.6283040005</c:v>
                      </c:pt>
                      <c:pt idx="44">
                        <c:v>2237876.7029687106</c:v>
                      </c:pt>
                      <c:pt idx="45">
                        <c:v>2240866.0743360408</c:v>
                      </c:pt>
                      <c:pt idx="46">
                        <c:v>2243616.6672446863</c:v>
                      </c:pt>
                      <c:pt idx="47">
                        <c:v>2172392.1510401987</c:v>
                      </c:pt>
                      <c:pt idx="48">
                        <c:v>2175137.4797161301</c:v>
                      </c:pt>
                      <c:pt idx="49">
                        <c:v>2177637.0641602017</c:v>
                      </c:pt>
                      <c:pt idx="50">
                        <c:v>2179911.1340294322</c:v>
                      </c:pt>
                      <c:pt idx="51">
                        <c:v>2181983.1167039187</c:v>
                      </c:pt>
                      <c:pt idx="52">
                        <c:v>2183794.1926580667</c:v>
                      </c:pt>
                      <c:pt idx="53">
                        <c:v>2185306.3123972258</c:v>
                      </c:pt>
                      <c:pt idx="54">
                        <c:v>2186516.6980708055</c:v>
                      </c:pt>
                      <c:pt idx="55">
                        <c:v>2187381.648274323</c:v>
                      </c:pt>
                      <c:pt idx="56">
                        <c:v>2187853.5469475901</c:v>
                      </c:pt>
                      <c:pt idx="57">
                        <c:v>2187929.9590612692</c:v>
                      </c:pt>
                      <c:pt idx="58">
                        <c:v>2187621.9207132552</c:v>
                      </c:pt>
                      <c:pt idx="59">
                        <c:v>2186938.0464040749</c:v>
                      </c:pt>
                      <c:pt idx="60">
                        <c:v>2185833.6603005412</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4143666.5697698691</c:v>
                      </c:pt>
                      <c:pt idx="31">
                        <c:v>4150447.7897876743</c:v>
                      </c:pt>
                      <c:pt idx="32">
                        <c:v>4234599.1996517181</c:v>
                      </c:pt>
                      <c:pt idx="33">
                        <c:v>4238401.0587192941</c:v>
                      </c:pt>
                      <c:pt idx="34">
                        <c:v>4248466.5328510879</c:v>
                      </c:pt>
                      <c:pt idx="35">
                        <c:v>4262051.1922073076</c:v>
                      </c:pt>
                      <c:pt idx="36">
                        <c:v>4274510.2197551876</c:v>
                      </c:pt>
                      <c:pt idx="37">
                        <c:v>4286008.3020873871</c:v>
                      </c:pt>
                      <c:pt idx="38">
                        <c:v>4296510.171399435</c:v>
                      </c:pt>
                      <c:pt idx="39">
                        <c:v>4306123.6692323983</c:v>
                      </c:pt>
                      <c:pt idx="40">
                        <c:v>4315003.9025090979</c:v>
                      </c:pt>
                      <c:pt idx="41">
                        <c:v>4323158.0260174153</c:v>
                      </c:pt>
                      <c:pt idx="42">
                        <c:v>4330726.8364369925</c:v>
                      </c:pt>
                      <c:pt idx="43">
                        <c:v>4337740.5725901173</c:v>
                      </c:pt>
                      <c:pt idx="44">
                        <c:v>4344113.5998804374</c:v>
                      </c:pt>
                      <c:pt idx="45">
                        <c:v>4349916.497240549</c:v>
                      </c:pt>
                      <c:pt idx="46">
                        <c:v>4355255.8834749786</c:v>
                      </c:pt>
                      <c:pt idx="47">
                        <c:v>4216996.5284897964</c:v>
                      </c:pt>
                      <c:pt idx="48">
                        <c:v>4222325.6959195463</c:v>
                      </c:pt>
                      <c:pt idx="49">
                        <c:v>4227177.8304286264</c:v>
                      </c:pt>
                      <c:pt idx="50">
                        <c:v>4231592.2013512505</c:v>
                      </c:pt>
                      <c:pt idx="51">
                        <c:v>4235614.2853664299</c:v>
                      </c:pt>
                      <c:pt idx="52">
                        <c:v>4239129.9033950698</c:v>
                      </c:pt>
                      <c:pt idx="53">
                        <c:v>4242065.1946534375</c:v>
                      </c:pt>
                      <c:pt idx="54">
                        <c:v>4244414.7668433273</c:v>
                      </c:pt>
                      <c:pt idx="55">
                        <c:v>4246093.7878266266</c:v>
                      </c:pt>
                      <c:pt idx="56">
                        <c:v>4247009.8264276739</c:v>
                      </c:pt>
                      <c:pt idx="57">
                        <c:v>4247158.1558248159</c:v>
                      </c:pt>
                      <c:pt idx="58">
                        <c:v>4246560.1990316128</c:v>
                      </c:pt>
                      <c:pt idx="59">
                        <c:v>4245232.6783137918</c:v>
                      </c:pt>
                      <c:pt idx="60">
                        <c:v>4243088.8699951675</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309973.53172331408</c:v>
                      </c:pt>
                      <c:pt idx="24">
                        <c:v>312241.56810798903</c:v>
                      </c:pt>
                      <c:pt idx="25">
                        <c:v>312726.42527824314</c:v>
                      </c:pt>
                      <c:pt idx="26">
                        <c:v>312032.30780712381</c:v>
                      </c:pt>
                      <c:pt idx="27">
                        <c:v>310184.61831503396</c:v>
                      </c:pt>
                      <c:pt idx="28">
                        <c:v>309160.15388587426</c:v>
                      </c:pt>
                      <c:pt idx="29">
                        <c:v>308239.46209968906</c:v>
                      </c:pt>
                      <c:pt idx="30">
                        <c:v>294517.6531577555</c:v>
                      </c:pt>
                      <c:pt idx="31">
                        <c:v>301858.44070166023</c:v>
                      </c:pt>
                      <c:pt idx="32">
                        <c:v>647959.983994929</c:v>
                      </c:pt>
                      <c:pt idx="33">
                        <c:v>656258.51310214202</c:v>
                      </c:pt>
                      <c:pt idx="34">
                        <c:v>662941.93280236714</c:v>
                      </c:pt>
                      <c:pt idx="35">
                        <c:v>668320.71592275577</c:v>
                      </c:pt>
                      <c:pt idx="36">
                        <c:v>672992.98154037318</c:v>
                      </c:pt>
                      <c:pt idx="37">
                        <c:v>676905.65600066155</c:v>
                      </c:pt>
                      <c:pt idx="38">
                        <c:v>680036.79493059521</c:v>
                      </c:pt>
                      <c:pt idx="39">
                        <c:v>682348.24607523973</c:v>
                      </c:pt>
                      <c:pt idx="40">
                        <c:v>683799.14378610451</c:v>
                      </c:pt>
                      <c:pt idx="41">
                        <c:v>684373.63654909784</c:v>
                      </c:pt>
                      <c:pt idx="42">
                        <c:v>684041.72165558289</c:v>
                      </c:pt>
                      <c:pt idx="43">
                        <c:v>682793.70286200021</c:v>
                      </c:pt>
                      <c:pt idx="44">
                        <c:v>680640.86120435607</c:v>
                      </c:pt>
                      <c:pt idx="45">
                        <c:v>677577.56070166884</c:v>
                      </c:pt>
                      <c:pt idx="46">
                        <c:v>673598.32944589283</c:v>
                      </c:pt>
                      <c:pt idx="47">
                        <c:v>99172.5386975859</c:v>
                      </c:pt>
                      <c:pt idx="48">
                        <c:v>99172.5386975859</c:v>
                      </c:pt>
                      <c:pt idx="49">
                        <c:v>99172.5386975859</c:v>
                      </c:pt>
                      <c:pt idx="50">
                        <c:v>99172.5386975859</c:v>
                      </c:pt>
                      <c:pt idx="51">
                        <c:v>99172.5386975859</c:v>
                      </c:pt>
                      <c:pt idx="52">
                        <c:v>99172.5386975859</c:v>
                      </c:pt>
                      <c:pt idx="53">
                        <c:v>99172.5386975859</c:v>
                      </c:pt>
                      <c:pt idx="54">
                        <c:v>99172.5386975859</c:v>
                      </c:pt>
                      <c:pt idx="55">
                        <c:v>99172.5386975859</c:v>
                      </c:pt>
                      <c:pt idx="56">
                        <c:v>99172.5386975859</c:v>
                      </c:pt>
                      <c:pt idx="57">
                        <c:v>99172.5386975859</c:v>
                      </c:pt>
                      <c:pt idx="58">
                        <c:v>99172.5386975859</c:v>
                      </c:pt>
                      <c:pt idx="59">
                        <c:v>99172.5386975859</c:v>
                      </c:pt>
                      <c:pt idx="60">
                        <c:v>99172.5386975859</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1647045.1860532647</c:v>
                      </c:pt>
                      <c:pt idx="24">
                        <c:v>1647784.019010039</c:v>
                      </c:pt>
                      <c:pt idx="25">
                        <c:v>1632656.0990208655</c:v>
                      </c:pt>
                      <c:pt idx="26">
                        <c:v>1607948.7164639281</c:v>
                      </c:pt>
                      <c:pt idx="27">
                        <c:v>1574056.8450456359</c:v>
                      </c:pt>
                      <c:pt idx="28">
                        <c:v>1549447.5878836229</c:v>
                      </c:pt>
                      <c:pt idx="29">
                        <c:v>1527015.9199472496</c:v>
                      </c:pt>
                      <c:pt idx="30">
                        <c:v>1373893.3263119359</c:v>
                      </c:pt>
                      <c:pt idx="31">
                        <c:v>1422952.5691280668</c:v>
                      </c:pt>
                      <c:pt idx="32">
                        <c:v>4548493.9904950364</c:v>
                      </c:pt>
                      <c:pt idx="33">
                        <c:v>4560962.539341609</c:v>
                      </c:pt>
                      <c:pt idx="34">
                        <c:v>4565567.5401573936</c:v>
                      </c:pt>
                      <c:pt idx="35">
                        <c:v>4562516.7726062052</c:v>
                      </c:pt>
                      <c:pt idx="36">
                        <c:v>4552270.4855006905</c:v>
                      </c:pt>
                      <c:pt idx="37">
                        <c:v>4534734.5602203431</c:v>
                      </c:pt>
                      <c:pt idx="38">
                        <c:v>4509883.7964351429</c:v>
                      </c:pt>
                      <c:pt idx="39">
                        <c:v>4477720.5244091665</c:v>
                      </c:pt>
                      <c:pt idx="40">
                        <c:v>4438285.9964855248</c:v>
                      </c:pt>
                      <c:pt idx="41">
                        <c:v>4391681.7093471689</c:v>
                      </c:pt>
                      <c:pt idx="42">
                        <c:v>4338036.0241695745</c:v>
                      </c:pt>
                      <c:pt idx="43">
                        <c:v>4277530.3261559019</c:v>
                      </c:pt>
                      <c:pt idx="44">
                        <c:v>4210397.0505048446</c:v>
                      </c:pt>
                      <c:pt idx="45">
                        <c:v>4136887.9711882346</c:v>
                      </c:pt>
                      <c:pt idx="46">
                        <c:v>4057285.6229150845</c:v>
                      </c:pt>
                      <c:pt idx="47">
                        <c:v>-378067.1431512342</c:v>
                      </c:pt>
                      <c:pt idx="48">
                        <c:v>-373974.22118522861</c:v>
                      </c:pt>
                      <c:pt idx="49">
                        <c:v>-369866.79826982657</c:v>
                      </c:pt>
                      <c:pt idx="50">
                        <c:v>-365749.13565556059</c:v>
                      </c:pt>
                      <c:pt idx="51">
                        <c:v>-361625.94284646778</c:v>
                      </c:pt>
                      <c:pt idx="52">
                        <c:v>-357486.29005510121</c:v>
                      </c:pt>
                      <c:pt idx="53">
                        <c:v>-353323.7245647891</c:v>
                      </c:pt>
                      <c:pt idx="54">
                        <c:v>-349138.64848070475</c:v>
                      </c:pt>
                      <c:pt idx="55">
                        <c:v>-344924.12642266747</c:v>
                      </c:pt>
                      <c:pt idx="56">
                        <c:v>-340672.96380764054</c:v>
                      </c:pt>
                      <c:pt idx="57">
                        <c:v>-336386.36719111202</c:v>
                      </c:pt>
                      <c:pt idx="58">
                        <c:v>-332067.9035896397</c:v>
                      </c:pt>
                      <c:pt idx="59">
                        <c:v>-327720.62418101879</c:v>
                      </c:pt>
                      <c:pt idx="60">
                        <c:v>-323338.51037587819</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224597.07082544517</c:v>
                      </c:pt>
                      <c:pt idx="24">
                        <c:v>224697.82077409624</c:v>
                      </c:pt>
                      <c:pt idx="25">
                        <c:v>222634.9225937544</c:v>
                      </c:pt>
                      <c:pt idx="26">
                        <c:v>219265.73406326291</c:v>
                      </c:pt>
                      <c:pt idx="27">
                        <c:v>214644.1152334958</c:v>
                      </c:pt>
                      <c:pt idx="28">
                        <c:v>211288.30743867584</c:v>
                      </c:pt>
                      <c:pt idx="29">
                        <c:v>208229.44362917039</c:v>
                      </c:pt>
                      <c:pt idx="30">
                        <c:v>187349.08995162763</c:v>
                      </c:pt>
                      <c:pt idx="31">
                        <c:v>194038.98669928181</c:v>
                      </c:pt>
                      <c:pt idx="32">
                        <c:v>620249.18052205048</c:v>
                      </c:pt>
                      <c:pt idx="33">
                        <c:v>621949.43718294671</c:v>
                      </c:pt>
                      <c:pt idx="34">
                        <c:v>622577.39183964464</c:v>
                      </c:pt>
                      <c:pt idx="35">
                        <c:v>622161.37808266433</c:v>
                      </c:pt>
                      <c:pt idx="36">
                        <c:v>620764.15711373056</c:v>
                      </c:pt>
                      <c:pt idx="37">
                        <c:v>618372.89457550133</c:v>
                      </c:pt>
                      <c:pt idx="38">
                        <c:v>614984.15405933757</c:v>
                      </c:pt>
                      <c:pt idx="39">
                        <c:v>610598.25332852267</c:v>
                      </c:pt>
                      <c:pt idx="40">
                        <c:v>605220.81770257163</c:v>
                      </c:pt>
                      <c:pt idx="41">
                        <c:v>598865.6876382503</c:v>
                      </c:pt>
                      <c:pt idx="42">
                        <c:v>591550.3669322147</c:v>
                      </c:pt>
                      <c:pt idx="43">
                        <c:v>583299.58993035019</c:v>
                      </c:pt>
                      <c:pt idx="44">
                        <c:v>574145.0523415698</c:v>
                      </c:pt>
                      <c:pt idx="45">
                        <c:v>564121.08698021376</c:v>
                      </c:pt>
                      <c:pt idx="46">
                        <c:v>553266.22130660247</c:v>
                      </c:pt>
                      <c:pt idx="47">
                        <c:v>-51554.61042971375</c:v>
                      </c:pt>
                      <c:pt idx="48">
                        <c:v>-50996.484707076626</c:v>
                      </c:pt>
                      <c:pt idx="49">
                        <c:v>-50436.381582249072</c:v>
                      </c:pt>
                      <c:pt idx="50">
                        <c:v>-49874.882134849169</c:v>
                      </c:pt>
                      <c:pt idx="51">
                        <c:v>-49312.628569972876</c:v>
                      </c:pt>
                      <c:pt idx="52">
                        <c:v>-48748.130462059256</c:v>
                      </c:pt>
                      <c:pt idx="53">
                        <c:v>-48180.507895198512</c:v>
                      </c:pt>
                      <c:pt idx="54">
                        <c:v>-47609.815701914289</c:v>
                      </c:pt>
                      <c:pt idx="55">
                        <c:v>-47035.108148545558</c:v>
                      </c:pt>
                      <c:pt idx="56">
                        <c:v>-46455.404155587348</c:v>
                      </c:pt>
                      <c:pt idx="57">
                        <c:v>-45870.86825333345</c:v>
                      </c:pt>
                      <c:pt idx="58">
                        <c:v>-45281.986853132679</c:v>
                      </c:pt>
                      <c:pt idx="59">
                        <c:v>-44689.176024684377</c:v>
                      </c:pt>
                      <c:pt idx="60">
                        <c:v>-44091.615051256122</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23653841.793715</c:v>
                      </c:pt>
                      <c:pt idx="23">
                        <c:v>24134771.290486101</c:v>
                      </c:pt>
                      <c:pt idx="24">
                        <c:v>24696932.291742448</c:v>
                      </c:pt>
                      <c:pt idx="25">
                        <c:v>25128517.122223888</c:v>
                      </c:pt>
                      <c:pt idx="26">
                        <c:v>25474971.393442623</c:v>
                      </c:pt>
                      <c:pt idx="27">
                        <c:v>25734234.718944561</c:v>
                      </c:pt>
                      <c:pt idx="28">
                        <c:v>26066681.867313132</c:v>
                      </c:pt>
                      <c:pt idx="29">
                        <c:v>26412334.873995654</c:v>
                      </c:pt>
                      <c:pt idx="30">
                        <c:v>25371106.885045256</c:v>
                      </c:pt>
                      <c:pt idx="31">
                        <c:v>26301759.864103805</c:v>
                      </c:pt>
                      <c:pt idx="32">
                        <c:v>58453993.075396262</c:v>
                      </c:pt>
                      <c:pt idx="33">
                        <c:v>59739070.443922609</c:v>
                      </c:pt>
                      <c:pt idx="34">
                        <c:v>60971447.47047931</c:v>
                      </c:pt>
                      <c:pt idx="35">
                        <c:v>62140240.38118834</c:v>
                      </c:pt>
                      <c:pt idx="36">
                        <c:v>63230690.129821882</c:v>
                      </c:pt>
                      <c:pt idx="37">
                        <c:v>64238030.957677633</c:v>
                      </c:pt>
                      <c:pt idx="38">
                        <c:v>65157412.811972722</c:v>
                      </c:pt>
                      <c:pt idx="39">
                        <c:v>65984651.89490328</c:v>
                      </c:pt>
                      <c:pt idx="40">
                        <c:v>66716076.782532059</c:v>
                      </c:pt>
                      <c:pt idx="41">
                        <c:v>67348150.272239521</c:v>
                      </c:pt>
                      <c:pt idx="42">
                        <c:v>67878097.621147081</c:v>
                      </c:pt>
                      <c:pt idx="43">
                        <c:v>68303415.631308526</c:v>
                      </c:pt>
                      <c:pt idx="44">
                        <c:v>68621877.969516248</c:v>
                      </c:pt>
                      <c:pt idx="45">
                        <c:v>68832144.300082967</c:v>
                      </c:pt>
                      <c:pt idx="46">
                        <c:v>68933520.94400239</c:v>
                      </c:pt>
                      <c:pt idx="47">
                        <c:v>8986405.4583409671</c:v>
                      </c:pt>
                      <c:pt idx="48">
                        <c:v>9052359.785518948</c:v>
                      </c:pt>
                      <c:pt idx="49">
                        <c:v>9116679.1899604667</c:v>
                      </c:pt>
                      <c:pt idx="50">
                        <c:v>9179460.5648498666</c:v>
                      </c:pt>
                      <c:pt idx="51">
                        <c:v>9240815.6048103776</c:v>
                      </c:pt>
                      <c:pt idx="52">
                        <c:v>9300492.7436588462</c:v>
                      </c:pt>
                      <c:pt idx="53">
                        <c:v>9358326.3155942075</c:v>
                      </c:pt>
                      <c:pt idx="54">
                        <c:v>9414304.1199616734</c:v>
                      </c:pt>
                      <c:pt idx="55">
                        <c:v>9468228.8191304449</c:v>
                      </c:pt>
                      <c:pt idx="56">
                        <c:v>9519880.7258345038</c:v>
                      </c:pt>
                      <c:pt idx="57">
                        <c:v>9569240.6276933048</c:v>
                      </c:pt>
                      <c:pt idx="58">
                        <c:v>9616350.1568514053</c:v>
                      </c:pt>
                      <c:pt idx="59">
                        <c:v>9661240.394951161</c:v>
                      </c:pt>
                      <c:pt idx="60">
                        <c:v>9703697.1154731549</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94043391.409974962</c:v>
                      </c:pt>
                      <c:pt idx="23">
                        <c:v>95281774.784899995</c:v>
                      </c:pt>
                      <c:pt idx="24">
                        <c:v>97270973.713722691</c:v>
                      </c:pt>
                      <c:pt idx="25">
                        <c:v>97842130.842887655</c:v>
                      </c:pt>
                      <c:pt idx="26">
                        <c:v>97491901.623900309</c:v>
                      </c:pt>
                      <c:pt idx="27">
                        <c:v>96224012.280420974</c:v>
                      </c:pt>
                      <c:pt idx="28">
                        <c:v>95690259.829558358</c:v>
                      </c:pt>
                      <c:pt idx="29">
                        <c:v>95277598.733681634</c:v>
                      </c:pt>
                      <c:pt idx="30">
                        <c:v>83092786.05011037</c:v>
                      </c:pt>
                      <c:pt idx="31">
                        <c:v>89381268.281634822</c:v>
                      </c:pt>
                      <c:pt idx="32">
                        <c:v>388652143.84659076</c:v>
                      </c:pt>
                      <c:pt idx="33">
                        <c:v>395620031.65685779</c:v>
                      </c:pt>
                      <c:pt idx="34">
                        <c:v>401810251.07019573</c:v>
                      </c:pt>
                      <c:pt idx="35">
                        <c:v>407249233.73769373</c:v>
                      </c:pt>
                      <c:pt idx="36">
                        <c:v>412010896.32823962</c:v>
                      </c:pt>
                      <c:pt idx="37">
                        <c:v>416059521.97388119</c:v>
                      </c:pt>
                      <c:pt idx="38">
                        <c:v>419367689.7745806</c:v>
                      </c:pt>
                      <c:pt idx="39">
                        <c:v>421908447.5243901</c:v>
                      </c:pt>
                      <c:pt idx="40">
                        <c:v>423657757.3261283</c:v>
                      </c:pt>
                      <c:pt idx="41">
                        <c:v>424599227.84356123</c:v>
                      </c:pt>
                      <c:pt idx="42">
                        <c:v>424717662.24588925</c:v>
                      </c:pt>
                      <c:pt idx="43">
                        <c:v>424004872.02672267</c:v>
                      </c:pt>
                      <c:pt idx="44">
                        <c:v>422459862.18418473</c:v>
                      </c:pt>
                      <c:pt idx="45">
                        <c:v>420082512.31946158</c:v>
                      </c:pt>
                      <c:pt idx="46">
                        <c:v>416876383.56053138</c:v>
                      </c:pt>
                      <c:pt idx="47">
                        <c:v>-89020230.204841599</c:v>
                      </c:pt>
                      <c:pt idx="48">
                        <c:v>-89146208.089037806</c:v>
                      </c:pt>
                      <c:pt idx="49">
                        <c:v>-89260278.921735153</c:v>
                      </c:pt>
                      <c:pt idx="50">
                        <c:v>-89363412.734265909</c:v>
                      </c:pt>
                      <c:pt idx="51">
                        <c:v>-89456718.537233844</c:v>
                      </c:pt>
                      <c:pt idx="52">
                        <c:v>-89537592.271047369</c:v>
                      </c:pt>
                      <c:pt idx="53">
                        <c:v>-89604368.784275606</c:v>
                      </c:pt>
                      <c:pt idx="54">
                        <c:v>-89656972.479263023</c:v>
                      </c:pt>
                      <c:pt idx="55">
                        <c:v>-89693483.690001965</c:v>
                      </c:pt>
                      <c:pt idx="56">
                        <c:v>-89711808.563796133</c:v>
                      </c:pt>
                      <c:pt idx="57">
                        <c:v>-89711887.098993719</c:v>
                      </c:pt>
                      <c:pt idx="58">
                        <c:v>-89694262.947943121</c:v>
                      </c:pt>
                      <c:pt idx="59">
                        <c:v>-89659368.15995191</c:v>
                      </c:pt>
                      <c:pt idx="60">
                        <c:v>-89605239.831014261</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985576.74140479264</c:v>
                      </c:pt>
                      <c:pt idx="23">
                        <c:v>1005615.4704369218</c:v>
                      </c:pt>
                      <c:pt idx="24">
                        <c:v>1029038.8454892697</c:v>
                      </c:pt>
                      <c:pt idx="25">
                        <c:v>1047021.5467593296</c:v>
                      </c:pt>
                      <c:pt idx="26">
                        <c:v>1061457.1413934438</c:v>
                      </c:pt>
                      <c:pt idx="27">
                        <c:v>1072259.7799560244</c:v>
                      </c:pt>
                      <c:pt idx="28">
                        <c:v>1086111.7444713814</c:v>
                      </c:pt>
                      <c:pt idx="29">
                        <c:v>1100513.9530831533</c:v>
                      </c:pt>
                      <c:pt idx="30">
                        <c:v>1057129.4535435534</c:v>
                      </c:pt>
                      <c:pt idx="31">
                        <c:v>1095906.6610043263</c:v>
                      </c:pt>
                      <c:pt idx="32">
                        <c:v>2435583.0448081796</c:v>
                      </c:pt>
                      <c:pt idx="33">
                        <c:v>2489127.9351634444</c:v>
                      </c:pt>
                      <c:pt idx="34">
                        <c:v>2540476.9779366404</c:v>
                      </c:pt>
                      <c:pt idx="35">
                        <c:v>2589176.6825495167</c:v>
                      </c:pt>
                      <c:pt idx="36">
                        <c:v>2634612.0887425812</c:v>
                      </c:pt>
                      <c:pt idx="37">
                        <c:v>2676584.6232365705</c:v>
                      </c:pt>
                      <c:pt idx="38">
                        <c:v>2714892.2004988659</c:v>
                      </c:pt>
                      <c:pt idx="39">
                        <c:v>2749360.4956209725</c:v>
                      </c:pt>
                      <c:pt idx="40">
                        <c:v>2779836.5326055051</c:v>
                      </c:pt>
                      <c:pt idx="41">
                        <c:v>2806172.9280099827</c:v>
                      </c:pt>
                      <c:pt idx="42">
                        <c:v>2828254.0675477977</c:v>
                      </c:pt>
                      <c:pt idx="43">
                        <c:v>2845975.6513045249</c:v>
                      </c:pt>
                      <c:pt idx="44">
                        <c:v>2859244.915396513</c:v>
                      </c:pt>
                      <c:pt idx="45">
                        <c:v>2868006.0125034596</c:v>
                      </c:pt>
                      <c:pt idx="46">
                        <c:v>2872230.0393334352</c:v>
                      </c:pt>
                      <c:pt idx="47">
                        <c:v>374433.56076420727</c:v>
                      </c:pt>
                      <c:pt idx="48">
                        <c:v>377181.65772995655</c:v>
                      </c:pt>
                      <c:pt idx="49">
                        <c:v>379861.63291501981</c:v>
                      </c:pt>
                      <c:pt idx="50">
                        <c:v>382477.52353541146</c:v>
                      </c:pt>
                      <c:pt idx="51">
                        <c:v>385033.98353376606</c:v>
                      </c:pt>
                      <c:pt idx="52">
                        <c:v>387520.53098578565</c:v>
                      </c:pt>
                      <c:pt idx="53">
                        <c:v>389930.26314975898</c:v>
                      </c:pt>
                      <c:pt idx="54">
                        <c:v>392262.67166507011</c:v>
                      </c:pt>
                      <c:pt idx="55">
                        <c:v>394509.53413043555</c:v>
                      </c:pt>
                      <c:pt idx="56">
                        <c:v>396661.69690977142</c:v>
                      </c:pt>
                      <c:pt idx="57">
                        <c:v>398718.35948722134</c:v>
                      </c:pt>
                      <c:pt idx="58">
                        <c:v>400681.25653547561</c:v>
                      </c:pt>
                      <c:pt idx="59">
                        <c:v>402551.68312296539</c:v>
                      </c:pt>
                      <c:pt idx="60">
                        <c:v>404320.71314471518</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3918474.6420822935</c:v>
                      </c:pt>
                      <c:pt idx="23">
                        <c:v>3970073.9493708364</c:v>
                      </c:pt>
                      <c:pt idx="24">
                        <c:v>4052957.2380717825</c:v>
                      </c:pt>
                      <c:pt idx="25">
                        <c:v>4076755.4517869898</c:v>
                      </c:pt>
                      <c:pt idx="26">
                        <c:v>4062162.5676625171</c:v>
                      </c:pt>
                      <c:pt idx="27">
                        <c:v>4009333.845017544</c:v>
                      </c:pt>
                      <c:pt idx="28">
                        <c:v>3987094.1595649356</c:v>
                      </c:pt>
                      <c:pt idx="29">
                        <c:v>3969899.9472367382</c:v>
                      </c:pt>
                      <c:pt idx="30">
                        <c:v>3462199.4187546023</c:v>
                      </c:pt>
                      <c:pt idx="31">
                        <c:v>3724219.5117347874</c:v>
                      </c:pt>
                      <c:pt idx="32">
                        <c:v>16193839.326941296</c:v>
                      </c:pt>
                      <c:pt idx="33">
                        <c:v>16484167.985702422</c:v>
                      </c:pt>
                      <c:pt idx="34">
                        <c:v>16742093.794591503</c:v>
                      </c:pt>
                      <c:pt idx="35">
                        <c:v>16968718.072403919</c:v>
                      </c:pt>
                      <c:pt idx="36">
                        <c:v>17167120.680343334</c:v>
                      </c:pt>
                      <c:pt idx="37">
                        <c:v>17335813.415578399</c:v>
                      </c:pt>
                      <c:pt idx="38">
                        <c:v>17473653.740607541</c:v>
                      </c:pt>
                      <c:pt idx="39">
                        <c:v>17579518.646849606</c:v>
                      </c:pt>
                      <c:pt idx="40">
                        <c:v>17652406.555255361</c:v>
                      </c:pt>
                      <c:pt idx="41">
                        <c:v>17691634.493481737</c:v>
                      </c:pt>
                      <c:pt idx="42">
                        <c:v>17696569.260245401</c:v>
                      </c:pt>
                      <c:pt idx="43">
                        <c:v>17666869.667780127</c:v>
                      </c:pt>
                      <c:pt idx="44">
                        <c:v>17602494.257674381</c:v>
                      </c:pt>
                      <c:pt idx="45">
                        <c:v>17503438.013310917</c:v>
                      </c:pt>
                      <c:pt idx="46">
                        <c:v>17369849.315022156</c:v>
                      </c:pt>
                      <c:pt idx="47">
                        <c:v>-3709176.2585350703</c:v>
                      </c:pt>
                      <c:pt idx="48">
                        <c:v>-3714425.3370432453</c:v>
                      </c:pt>
                      <c:pt idx="49">
                        <c:v>-3719178.2884056349</c:v>
                      </c:pt>
                      <c:pt idx="50">
                        <c:v>-3723475.5305944164</c:v>
                      </c:pt>
                      <c:pt idx="51">
                        <c:v>-3727363.2723847469</c:v>
                      </c:pt>
                      <c:pt idx="52">
                        <c:v>-3730733.0112936441</c:v>
                      </c:pt>
                      <c:pt idx="53">
                        <c:v>-3733515.3660114869</c:v>
                      </c:pt>
                      <c:pt idx="54">
                        <c:v>-3735707.1866359627</c:v>
                      </c:pt>
                      <c:pt idx="55">
                        <c:v>-3737228.4870834188</c:v>
                      </c:pt>
                      <c:pt idx="56">
                        <c:v>-3737992.0234915093</c:v>
                      </c:pt>
                      <c:pt idx="57">
                        <c:v>-3737995.295791408</c:v>
                      </c:pt>
                      <c:pt idx="58">
                        <c:v>-3737260.9561643</c:v>
                      </c:pt>
                      <c:pt idx="59">
                        <c:v>-3735807.0066646663</c:v>
                      </c:pt>
                      <c:pt idx="60">
                        <c:v>-3733551.6596255978</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24596.567437021014</c:v>
                </c:pt>
                <c:pt idx="13">
                  <c:v>24497.747310072355</c:v>
                </c:pt>
                <c:pt idx="14">
                  <c:v>24503.520525013511</c:v>
                </c:pt>
                <c:pt idx="15">
                  <c:v>24330.600675717978</c:v>
                </c:pt>
                <c:pt idx="16">
                  <c:v>24050.505209418396</c:v>
                </c:pt>
                <c:pt idx="17">
                  <c:v>23669.383405227261</c:v>
                </c:pt>
                <c:pt idx="18">
                  <c:v>23387.298701141393</c:v>
                </c:pt>
                <c:pt idx="19">
                  <c:v>23126.614059508956</c:v>
                </c:pt>
                <c:pt idx="20">
                  <c:v>21392.93953700738</c:v>
                </c:pt>
                <c:pt idx="21">
                  <c:v>22014.083437868067</c:v>
                </c:pt>
                <c:pt idx="22">
                  <c:v>56032.072122577665</c:v>
                </c:pt>
                <c:pt idx="23">
                  <c:v>56387.714166571561</c:v>
                </c:pt>
                <c:pt idx="24">
                  <c:v>56665.381042402791</c:v>
                </c:pt>
                <c:pt idx="25">
                  <c:v>56861.872755180499</c:v>
                </c:pt>
                <c:pt idx="26">
                  <c:v>56973.570914767282</c:v>
                </c:pt>
                <c:pt idx="27">
                  <c:v>56999.225085508784</c:v>
                </c:pt>
                <c:pt idx="28">
                  <c:v>56937.975415198875</c:v>
                </c:pt>
                <c:pt idx="29">
                  <c:v>56789.500530797806</c:v>
                </c:pt>
                <c:pt idx="30">
                  <c:v>56553.98142272314</c:v>
                </c:pt>
                <c:pt idx="31">
                  <c:v>55882.65194016615</c:v>
                </c:pt>
                <c:pt idx="32">
                  <c:v>55127.862761515571</c:v>
                </c:pt>
                <c:pt idx="33">
                  <c:v>54292.951227005775</c:v>
                </c:pt>
                <c:pt idx="34">
                  <c:v>53381.633593419647</c:v>
                </c:pt>
                <c:pt idx="35">
                  <c:v>52398.102292235519</c:v>
                </c:pt>
                <c:pt idx="36">
                  <c:v>51346.937420336333</c:v>
                </c:pt>
                <c:pt idx="37">
                  <c:v>2863.5939896353152</c:v>
                </c:pt>
                <c:pt idx="38">
                  <c:v>2936.4053616578226</c:v>
                </c:pt>
                <c:pt idx="39">
                  <c:v>3008.1157154435814</c:v>
                </c:pt>
                <c:pt idx="40">
                  <c:v>3078.7641612333764</c:v>
                </c:pt>
                <c:pt idx="41">
                  <c:v>3135.3618100886833</c:v>
                </c:pt>
                <c:pt idx="42">
                  <c:v>3191.0262701857569</c:v>
                </c:pt>
                <c:pt idx="43">
                  <c:v>3245.720122576347</c:v>
                </c:pt>
                <c:pt idx="44">
                  <c:v>3299.4459945950121</c:v>
                </c:pt>
                <c:pt idx="45">
                  <c:v>3352.1545115293084</c:v>
                </c:pt>
                <c:pt idx="46">
                  <c:v>3403.7879433333815</c:v>
                </c:pt>
                <c:pt idx="47">
                  <c:v>3454.3426033996911</c:v>
                </c:pt>
                <c:pt idx="48">
                  <c:v>3503.8314062986174</c:v>
                </c:pt>
                <c:pt idx="49">
                  <c:v>3552.2641887408727</c:v>
                </c:pt>
                <c:pt idx="50">
                  <c:v>3599.5805282644615</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776.88026181002783</c:v>
                </c:pt>
                <c:pt idx="15">
                  <c:v>774.22773270072685</c:v>
                </c:pt>
                <c:pt idx="16">
                  <c:v>767.77846974201952</c:v>
                </c:pt>
                <c:pt idx="17">
                  <c:v>757.64147058917911</c:v>
                </c:pt>
                <c:pt idx="18">
                  <c:v>751.15754383054059</c:v>
                </c:pt>
                <c:pt idx="19">
                  <c:v>745.51317364056126</c:v>
                </c:pt>
                <c:pt idx="20">
                  <c:v>686.13120665304496</c:v>
                </c:pt>
                <c:pt idx="21">
                  <c:v>708.75463781476492</c:v>
                </c:pt>
                <c:pt idx="22">
                  <c:v>1989.4091279819295</c:v>
                </c:pt>
                <c:pt idx="23">
                  <c:v>2002.8421867762245</c:v>
                </c:pt>
                <c:pt idx="24">
                  <c:v>2013.2635270784995</c:v>
                </c:pt>
                <c:pt idx="25">
                  <c:v>2020.666550513884</c:v>
                </c:pt>
                <c:pt idx="26">
                  <c:v>2025.108970496176</c:v>
                </c:pt>
                <c:pt idx="27">
                  <c:v>2026.520579934715</c:v>
                </c:pt>
                <c:pt idx="28">
                  <c:v>2024.8542996972278</c:v>
                </c:pt>
                <c:pt idx="29">
                  <c:v>2020.0766071452153</c:v>
                </c:pt>
                <c:pt idx="30">
                  <c:v>2012.1705445328967</c:v>
                </c:pt>
                <c:pt idx="31">
                  <c:v>2001.1843984436582</c:v>
                </c:pt>
                <c:pt idx="32">
                  <c:v>1987.0957444650371</c:v>
                </c:pt>
                <c:pt idx="33">
                  <c:v>1969.9433810173034</c:v>
                </c:pt>
                <c:pt idx="34">
                  <c:v>1949.7858062578432</c:v>
                </c:pt>
                <c:pt idx="35">
                  <c:v>1926.6939076070657</c:v>
                </c:pt>
                <c:pt idx="36">
                  <c:v>1900.7535340392546</c:v>
                </c:pt>
                <c:pt idx="37">
                  <c:v>-31.554386682627324</c:v>
                </c:pt>
                <c:pt idx="38">
                  <c:v>-30.300389088117189</c:v>
                </c:pt>
                <c:pt idx="39">
                  <c:v>-29.043419266188771</c:v>
                </c:pt>
                <c:pt idx="40">
                  <c:v>-27.784621852546252</c:v>
                </c:pt>
                <c:pt idx="41">
                  <c:v>-26.523135992360828</c:v>
                </c:pt>
                <c:pt idx="42">
                  <c:v>-25.258775061373768</c:v>
                </c:pt>
                <c:pt idx="43">
                  <c:v>-23.990368199030943</c:v>
                </c:pt>
                <c:pt idx="44">
                  <c:v>-22.718240489243172</c:v>
                </c:pt>
                <c:pt idx="45">
                  <c:v>-21.441166242215616</c:v>
                </c:pt>
                <c:pt idx="46">
                  <c:v>-20.157911141858431</c:v>
                </c:pt>
                <c:pt idx="47">
                  <c:v>-18.869035946146806</c:v>
                </c:pt>
                <c:pt idx="48">
                  <c:v>-17.57558428960775</c:v>
                </c:pt>
                <c:pt idx="49">
                  <c:v>-16.278475371421244</c:v>
                </c:pt>
                <c:pt idx="50">
                  <c:v>-14.976775057899713</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1628.3498454049952</c:v>
                </c:pt>
                <c:pt idx="14">
                  <c:v>1654.3267410473245</c:v>
                </c:pt>
                <c:pt idx="15">
                  <c:v>1663.6384309182047</c:v>
                </c:pt>
                <c:pt idx="16">
                  <c:v>1662.3021398559861</c:v>
                </c:pt>
                <c:pt idx="17">
                  <c:v>1650.3976769413121</c:v>
                </c:pt>
                <c:pt idx="18">
                  <c:v>1647.5009704288248</c:v>
                </c:pt>
                <c:pt idx="19">
                  <c:v>1646.2684747308629</c:v>
                </c:pt>
                <c:pt idx="20">
                  <c:v>1499.3361276564717</c:v>
                </c:pt>
                <c:pt idx="21">
                  <c:v>1577.3560251072734</c:v>
                </c:pt>
                <c:pt idx="22">
                  <c:v>5155.8934530928118</c:v>
                </c:pt>
                <c:pt idx="23">
                  <c:v>5242.7690506636527</c:v>
                </c:pt>
                <c:pt idx="24">
                  <c:v>5321.2996390873295</c:v>
                </c:pt>
                <c:pt idx="25">
                  <c:v>5391.3884562478806</c:v>
                </c:pt>
                <c:pt idx="26">
                  <c:v>5453.2165713883915</c:v>
                </c:pt>
                <c:pt idx="27">
                  <c:v>5506.3812128817053</c:v>
                </c:pt>
                <c:pt idx="28">
                  <c:v>5550.5475194976107</c:v>
                </c:pt>
                <c:pt idx="29">
                  <c:v>5585.4070236046136</c:v>
                </c:pt>
                <c:pt idx="30">
                  <c:v>5610.6924571048703</c:v>
                </c:pt>
                <c:pt idx="31">
                  <c:v>5620.9400565137012</c:v>
                </c:pt>
                <c:pt idx="32">
                  <c:v>5621.3502562071208</c:v>
                </c:pt>
                <c:pt idx="33">
                  <c:v>5611.8495954416239</c:v>
                </c:pt>
                <c:pt idx="34">
                  <c:v>5592.4315797193904</c:v>
                </c:pt>
                <c:pt idx="35">
                  <c:v>5563.1223773999391</c:v>
                </c:pt>
                <c:pt idx="36">
                  <c:v>5523.9960192381877</c:v>
                </c:pt>
                <c:pt idx="37">
                  <c:v>-516.45011818944261</c:v>
                </c:pt>
                <c:pt idx="38">
                  <c:v>-515.96304450073899</c:v>
                </c:pt>
                <c:pt idx="39">
                  <c:v>-515.43589183827578</c:v>
                </c:pt>
                <c:pt idx="40">
                  <c:v>-514.8733763232309</c:v>
                </c:pt>
                <c:pt idx="41">
                  <c:v>-514.46413193415469</c:v>
                </c:pt>
                <c:pt idx="42">
                  <c:v>-514.00599403809395</c:v>
                </c:pt>
                <c:pt idx="43">
                  <c:v>-513.48972139294051</c:v>
                </c:pt>
                <c:pt idx="44">
                  <c:v>-512.91465629781123</c:v>
                </c:pt>
                <c:pt idx="45">
                  <c:v>-512.2702928008548</c:v>
                </c:pt>
                <c:pt idx="46">
                  <c:v>-511.54525812713905</c:v>
                </c:pt>
                <c:pt idx="47">
                  <c:v>-510.73910825711812</c:v>
                </c:pt>
                <c:pt idx="48">
                  <c:v>-509.854635356031</c:v>
                </c:pt>
                <c:pt idx="49">
                  <c:v>-508.89403698832388</c:v>
                </c:pt>
                <c:pt idx="50">
                  <c:v>-507.84676064716342</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893.8099998865514</c:v>
                </c:pt>
                <c:pt idx="22">
                  <c:v>900.67357822106953</c:v>
                </c:pt>
                <c:pt idx="23">
                  <c:v>1065.3940139484962</c:v>
                </c:pt>
                <c:pt idx="24">
                  <c:v>1069.5090816299301</c:v>
                </c:pt>
                <c:pt idx="25">
                  <c:v>1073.3182252319168</c:v>
                </c:pt>
                <c:pt idx="26">
                  <c:v>1076.8218555552182</c:v>
                </c:pt>
                <c:pt idx="27">
                  <c:v>1080.0226317758113</c:v>
                </c:pt>
                <c:pt idx="28">
                  <c:v>1082.9177749187229</c:v>
                </c:pt>
                <c:pt idx="29">
                  <c:v>1085.5049609833559</c:v>
                </c:pt>
                <c:pt idx="30">
                  <c:v>1087.7819132444117</c:v>
                </c:pt>
                <c:pt idx="31">
                  <c:v>1089.7465011362146</c:v>
                </c:pt>
                <c:pt idx="32">
                  <c:v>1091.3969473327843</c:v>
                </c:pt>
                <c:pt idx="33">
                  <c:v>1092.7315009729246</c:v>
                </c:pt>
                <c:pt idx="34">
                  <c:v>1093.7487030524378</c:v>
                </c:pt>
                <c:pt idx="35">
                  <c:v>1094.4473857214566</c:v>
                </c:pt>
                <c:pt idx="36">
                  <c:v>1094.8263628266327</c:v>
                </c:pt>
                <c:pt idx="37">
                  <c:v>1094.8845593444271</c:v>
                </c:pt>
                <c:pt idx="38">
                  <c:v>607.97020905828253</c:v>
                </c:pt>
                <c:pt idx="39">
                  <c:v>607.55745037474526</c:v>
                </c:pt>
                <c:pt idx="40">
                  <c:v>607.15409314091119</c:v>
                </c:pt>
                <c:pt idx="41">
                  <c:v>606.75958690378332</c:v>
                </c:pt>
                <c:pt idx="42">
                  <c:v>606.37328175345601</c:v>
                </c:pt>
                <c:pt idx="43">
                  <c:v>605.99682053444815</c:v>
                </c:pt>
                <c:pt idx="44">
                  <c:v>605.63131244884619</c:v>
                </c:pt>
                <c:pt idx="45">
                  <c:v>605.27689810634104</c:v>
                </c:pt>
                <c:pt idx="46">
                  <c:v>604.93489516166983</c:v>
                </c:pt>
                <c:pt idx="47">
                  <c:v>604.60677047885349</c:v>
                </c:pt>
                <c:pt idx="48">
                  <c:v>604.29271780451234</c:v>
                </c:pt>
                <c:pt idx="49">
                  <c:v>603.99253980993103</c:v>
                </c:pt>
                <c:pt idx="50">
                  <c:v>603.70610230649959</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469.91049414760272</c:v>
                </c:pt>
                <c:pt idx="22">
                  <c:v>469.73756057025111</c:v>
                </c:pt>
                <c:pt idx="23">
                  <c:v>465.58729188751397</c:v>
                </c:pt>
                <c:pt idx="24">
                  <c:v>465.48360932711904</c:v>
                </c:pt>
                <c:pt idx="25">
                  <c:v>465.38763477891212</c:v>
                </c:pt>
                <c:pt idx="26">
                  <c:v>465.29935789242586</c:v>
                </c:pt>
                <c:pt idx="27">
                  <c:v>465.21871166750475</c:v>
                </c:pt>
                <c:pt idx="28">
                  <c:v>465.1457661227397</c:v>
                </c:pt>
                <c:pt idx="29">
                  <c:v>465.080579813263</c:v>
                </c:pt>
                <c:pt idx="30">
                  <c:v>465.02321010306639</c:v>
                </c:pt>
                <c:pt idx="31">
                  <c:v>464.97371067352793</c:v>
                </c:pt>
                <c:pt idx="32">
                  <c:v>464.93212630585725</c:v>
                </c:pt>
                <c:pt idx="33">
                  <c:v>464.89850111446157</c:v>
                </c:pt>
                <c:pt idx="34">
                  <c:v>464.87287186016789</c:v>
                </c:pt>
                <c:pt idx="35">
                  <c:v>464.8552679679272</c:v>
                </c:pt>
                <c:pt idx="36">
                  <c:v>464.84571932386154</c:v>
                </c:pt>
                <c:pt idx="37">
                  <c:v>464.84425301408538</c:v>
                </c:pt>
                <c:pt idx="38">
                  <c:v>477.11246594251554</c:v>
                </c:pt>
                <c:pt idx="39">
                  <c:v>477.12286574160703</c:v>
                </c:pt>
                <c:pt idx="40">
                  <c:v>477.13302866333646</c:v>
                </c:pt>
                <c:pt idx="41">
                  <c:v>477.14296857682592</c:v>
                </c:pt>
                <c:pt idx="42">
                  <c:v>477.15270185709755</c:v>
                </c:pt>
                <c:pt idx="43">
                  <c:v>477.16218711131398</c:v>
                </c:pt>
                <c:pt idx="44">
                  <c:v>477.17139639220409</c:v>
                </c:pt>
                <c:pt idx="45">
                  <c:v>477.18032615698962</c:v>
                </c:pt>
                <c:pt idx="46">
                  <c:v>477.18894320626106</c:v>
                </c:pt>
                <c:pt idx="47">
                  <c:v>477.1972105811567</c:v>
                </c:pt>
                <c:pt idx="48">
                  <c:v>477.20512340006883</c:v>
                </c:pt>
                <c:pt idx="49">
                  <c:v>477.2126866348591</c:v>
                </c:pt>
                <c:pt idx="50">
                  <c:v>477.21990366652125</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17093.826915551952</c:v>
                </c:pt>
                <c:pt idx="14">
                  <c:v>17091.396392844257</c:v>
                </c:pt>
                <c:pt idx="15">
                  <c:v>16996.52378933522</c:v>
                </c:pt>
                <c:pt idx="16">
                  <c:v>16845.135916251191</c:v>
                </c:pt>
                <c:pt idx="17">
                  <c:v>16640.888084222788</c:v>
                </c:pt>
                <c:pt idx="18">
                  <c:v>16487.529960272332</c:v>
                </c:pt>
                <c:pt idx="19">
                  <c:v>16345.805129696333</c:v>
                </c:pt>
                <c:pt idx="20">
                  <c:v>15442.498897334191</c:v>
                </c:pt>
                <c:pt idx="21">
                  <c:v>15750.943286516664</c:v>
                </c:pt>
                <c:pt idx="22">
                  <c:v>33312.269154363297</c:v>
                </c:pt>
                <c:pt idx="23">
                  <c:v>33609.072223490439</c:v>
                </c:pt>
                <c:pt idx="24">
                  <c:v>33737.696617721129</c:v>
                </c:pt>
                <c:pt idx="25">
                  <c:v>33824.004578088119</c:v>
                </c:pt>
                <c:pt idx="26">
                  <c:v>33866.164598582895</c:v>
                </c:pt>
                <c:pt idx="27">
                  <c:v>33863.61579402881</c:v>
                </c:pt>
                <c:pt idx="28">
                  <c:v>33815.995567881691</c:v>
                </c:pt>
                <c:pt idx="29">
                  <c:v>33723.223210999226</c:v>
                </c:pt>
                <c:pt idx="30">
                  <c:v>33585.479307194204</c:v>
                </c:pt>
                <c:pt idx="31">
                  <c:v>33216.870873793028</c:v>
                </c:pt>
                <c:pt idx="32">
                  <c:v>32805.284931154434</c:v>
                </c:pt>
                <c:pt idx="33">
                  <c:v>32352.561966538182</c:v>
                </c:pt>
                <c:pt idx="34">
                  <c:v>31860.735404641982</c:v>
                </c:pt>
                <c:pt idx="35">
                  <c:v>31332.083916991192</c:v>
                </c:pt>
                <c:pt idx="36">
                  <c:v>30769.083180828537</c:v>
                </c:pt>
                <c:pt idx="37">
                  <c:v>6047.5720050875789</c:v>
                </c:pt>
                <c:pt idx="38">
                  <c:v>5700.0295711204262</c:v>
                </c:pt>
                <c:pt idx="39">
                  <c:v>5738.7423920860329</c:v>
                </c:pt>
                <c:pt idx="40">
                  <c:v>5776.900805096876</c:v>
                </c:pt>
                <c:pt idx="41">
                  <c:v>5807.5670565658629</c:v>
                </c:pt>
                <c:pt idx="42">
                  <c:v>5837.7438425028104</c:v>
                </c:pt>
                <c:pt idx="43">
                  <c:v>5867.4120579655573</c:v>
                </c:pt>
                <c:pt idx="44">
                  <c:v>5896.5737412741164</c:v>
                </c:pt>
                <c:pt idx="45">
                  <c:v>5925.2021354424523</c:v>
                </c:pt>
                <c:pt idx="46">
                  <c:v>5953.2668964003005</c:v>
                </c:pt>
                <c:pt idx="47">
                  <c:v>5980.7669219308082</c:v>
                </c:pt>
                <c:pt idx="48">
                  <c:v>6007.7090563142428</c:v>
                </c:pt>
                <c:pt idx="49">
                  <c:v>6034.0981838862199</c:v>
                </c:pt>
                <c:pt idx="50">
                  <c:v>6059.9013374203532</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1997.8167979558439</c:v>
                </c:pt>
                <c:pt idx="18">
                  <c:v>1981.3182233351415</c:v>
                </c:pt>
                <c:pt idx="19">
                  <c:v>1966.2827775921453</c:v>
                </c:pt>
                <c:pt idx="20">
                  <c:v>1855.0324856213779</c:v>
                </c:pt>
                <c:pt idx="21">
                  <c:v>1895.2966379778347</c:v>
                </c:pt>
                <c:pt idx="22">
                  <c:v>4092.2077070290761</c:v>
                </c:pt>
                <c:pt idx="23">
                  <c:v>4119.3508292204397</c:v>
                </c:pt>
                <c:pt idx="24">
                  <c:v>4138.6233146004733</c:v>
                </c:pt>
                <c:pt idx="25">
                  <c:v>4152.8029430545121</c:v>
                </c:pt>
                <c:pt idx="26">
                  <c:v>4161.4921749631267</c:v>
                </c:pt>
                <c:pt idx="27">
                  <c:v>4164.6098753594988</c:v>
                </c:pt>
                <c:pt idx="28">
                  <c:v>4162.0930945327327</c:v>
                </c:pt>
                <c:pt idx="29">
                  <c:v>4153.9184974906266</c:v>
                </c:pt>
                <c:pt idx="30">
                  <c:v>4140.0968073883751</c:v>
                </c:pt>
                <c:pt idx="31">
                  <c:v>4099.452195620157</c:v>
                </c:pt>
                <c:pt idx="32">
                  <c:v>4053.3734930089595</c:v>
                </c:pt>
                <c:pt idx="33">
                  <c:v>4002.0643041433041</c:v>
                </c:pt>
                <c:pt idx="34">
                  <c:v>3945.7489239332363</c:v>
                </c:pt>
                <c:pt idx="35">
                  <c:v>3884.6881373536157</c:v>
                </c:pt>
                <c:pt idx="36">
                  <c:v>3819.169466179434</c:v>
                </c:pt>
                <c:pt idx="37">
                  <c:v>664.12241108963667</c:v>
                </c:pt>
                <c:pt idx="38">
                  <c:v>659.4745800618964</c:v>
                </c:pt>
                <c:pt idx="39">
                  <c:v>664.10039058383097</c:v>
                </c:pt>
                <c:pt idx="40">
                  <c:v>668.64813944174898</c:v>
                </c:pt>
                <c:pt idx="41">
                  <c:v>672.33014216349636</c:v>
                </c:pt>
                <c:pt idx="42">
                  <c:v>675.93855047831858</c:v>
                </c:pt>
                <c:pt idx="43">
                  <c:v>679.46796619123234</c:v>
                </c:pt>
                <c:pt idx="44">
                  <c:v>682.91810716316115</c:v>
                </c:pt>
                <c:pt idx="45">
                  <c:v>686.28237716647902</c:v>
                </c:pt>
                <c:pt idx="46">
                  <c:v>689.55337721332842</c:v>
                </c:pt>
                <c:pt idx="47">
                  <c:v>692.7304614366434</c:v>
                </c:pt>
                <c:pt idx="48">
                  <c:v>695.81501698037243</c:v>
                </c:pt>
                <c:pt idx="49">
                  <c:v>698.80806377107808</c:v>
                </c:pt>
                <c:pt idx="50">
                  <c:v>701.70223256615009</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463.94620254720871</c:v>
                </c:pt>
                <c:pt idx="13">
                  <c:v>468.55349021707195</c:v>
                </c:pt>
                <c:pt idx="14">
                  <c:v>475.46673921112142</c:v>
                </c:pt>
                <c:pt idx="15">
                  <c:v>478.52713833996262</c:v>
                </c:pt>
                <c:pt idx="16">
                  <c:v>479.13075008565454</c:v>
                </c:pt>
                <c:pt idx="17">
                  <c:v>477.27784879908728</c:v>
                </c:pt>
                <c:pt idx="18">
                  <c:v>477.58815133846184</c:v>
                </c:pt>
                <c:pt idx="19">
                  <c:v>478.32509917641192</c:v>
                </c:pt>
                <c:pt idx="20">
                  <c:v>443.9175638870023</c:v>
                </c:pt>
                <c:pt idx="21">
                  <c:v>462.68648804238023</c:v>
                </c:pt>
                <c:pt idx="22">
                  <c:v>1317.966828312595</c:v>
                </c:pt>
                <c:pt idx="23">
                  <c:v>1339.2621867022526</c:v>
                </c:pt>
                <c:pt idx="24">
                  <c:v>1358.663287636766</c:v>
                </c:pt>
                <c:pt idx="25">
                  <c:v>1376.1134034897402</c:v>
                </c:pt>
                <c:pt idx="26">
                  <c:v>1391.5999690343706</c:v>
                </c:pt>
                <c:pt idx="27">
                  <c:v>1405.024568211617</c:v>
                </c:pt>
                <c:pt idx="28">
                  <c:v>1416.3026817438217</c:v>
                </c:pt>
                <c:pt idx="29">
                  <c:v>1425.357672628686</c:v>
                </c:pt>
                <c:pt idx="30">
                  <c:v>1432.1232776986146</c:v>
                </c:pt>
                <c:pt idx="31">
                  <c:v>1436.6882128110303</c:v>
                </c:pt>
                <c:pt idx="32">
                  <c:v>1438.8848480365857</c:v>
                </c:pt>
                <c:pt idx="33">
                  <c:v>1438.6847490111045</c:v>
                </c:pt>
                <c:pt idx="34">
                  <c:v>1436.0742896551883</c:v>
                </c:pt>
                <c:pt idx="35">
                  <c:v>1431.0497024924882</c:v>
                </c:pt>
                <c:pt idx="36">
                  <c:v>1423.6194195080968</c:v>
                </c:pt>
                <c:pt idx="37">
                  <c:v>-38.332753408722951</c:v>
                </c:pt>
                <c:pt idx="38">
                  <c:v>-38.309567523145773</c:v>
                </c:pt>
                <c:pt idx="39">
                  <c:v>-38.278018396735675</c:v>
                </c:pt>
                <c:pt idx="40">
                  <c:v>-38.238972886886053</c:v>
                </c:pt>
                <c:pt idx="41">
                  <c:v>-38.18534320439602</c:v>
                </c:pt>
                <c:pt idx="42">
                  <c:v>-38.122789106338089</c:v>
                </c:pt>
                <c:pt idx="43">
                  <c:v>-38.050142573277995</c:v>
                </c:pt>
                <c:pt idx="44">
                  <c:v>-37.967471703883575</c:v>
                </c:pt>
                <c:pt idx="45">
                  <c:v>-37.873431759503518</c:v>
                </c:pt>
                <c:pt idx="46">
                  <c:v>-37.766564219884955</c:v>
                </c:pt>
                <c:pt idx="47">
                  <c:v>-37.646973836875254</c:v>
                </c:pt>
                <c:pt idx="48">
                  <c:v>-37.515218064067831</c:v>
                </c:pt>
                <c:pt idx="49">
                  <c:v>-37.371760215821965</c:v>
                </c:pt>
                <c:pt idx="50">
                  <c:v>-37.215258783869729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22916.931601602213</c:v>
                </c:pt>
                <c:pt idx="4">
                  <c:v>22902.965793483327</c:v>
                </c:pt>
                <c:pt idx="5">
                  <c:v>22783.71717272891</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26982.018509963775</c:v>
                      </c:pt>
                      <c:pt idx="3">
                        <c:v>26899.412164760484</c:v>
                      </c:pt>
                      <c:pt idx="4">
                        <c:v>26934.727527870862</c:v>
                      </c:pt>
                      <c:pt idx="5">
                        <c:v>26768.466839336907</c:v>
                      </c:pt>
                      <c:pt idx="6">
                        <c:v>26480.585819016404</c:v>
                      </c:pt>
                      <c:pt idx="7">
                        <c:v>26077.422552757755</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49879.473570311653</c:v>
                      </c:pt>
                      <c:pt idx="3">
                        <c:v>49816.343766362697</c:v>
                      </c:pt>
                      <c:pt idx="4">
                        <c:v>49837.693321354192</c:v>
                      </c:pt>
                      <c:pt idx="5">
                        <c:v>49552.184012065816</c:v>
                      </c:pt>
                      <c:pt idx="6">
                        <c:v>49119.041014062772</c:v>
                      </c:pt>
                      <c:pt idx="7">
                        <c:v>48506.139935969462</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598039.0074127327</c:v>
                </c:pt>
                <c:pt idx="25">
                  <c:v>601046.62603335571</c:v>
                </c:pt>
                <c:pt idx="26">
                  <c:v>603045.20236245112</c:v>
                </c:pt>
                <c:pt idx="27">
                  <c:v>604015.06594627828</c:v>
                </c:pt>
                <c:pt idx="28">
                  <c:v>606157.85554919671</c:v>
                </c:pt>
                <c:pt idx="29">
                  <c:v>608615.99513645715</c:v>
                </c:pt>
                <c:pt idx="30">
                  <c:v>591322.41163745022</c:v>
                </c:pt>
                <c:pt idx="31">
                  <c:v>601496.9511698751</c:v>
                </c:pt>
                <c:pt idx="32">
                  <c:v>1034923.6075225763</c:v>
                </c:pt>
                <c:pt idx="33">
                  <c:v>1047399.1285581163</c:v>
                </c:pt>
                <c:pt idx="34">
                  <c:v>1059327.4427172677</c:v>
                </c:pt>
                <c:pt idx="35">
                  <c:v>1070505.6520089905</c:v>
                </c:pt>
                <c:pt idx="36">
                  <c:v>1080635.2397358473</c:v>
                </c:pt>
                <c:pt idx="37">
                  <c:v>1089668.9004951715</c:v>
                </c:pt>
                <c:pt idx="38">
                  <c:v>1097554.0084447339</c:v>
                </c:pt>
                <c:pt idx="39">
                  <c:v>1104250.7335875784</c:v>
                </c:pt>
                <c:pt idx="40">
                  <c:v>1109727.4879097647</c:v>
                </c:pt>
                <c:pt idx="41">
                  <c:v>1113951.0653098414</c:v>
                </c:pt>
                <c:pt idx="42">
                  <c:v>1116901.5865918756</c:v>
                </c:pt>
                <c:pt idx="43">
                  <c:v>1118559.9831987994</c:v>
                </c:pt>
                <c:pt idx="44">
                  <c:v>1118907.8325413887</c:v>
                </c:pt>
                <c:pt idx="45">
                  <c:v>1117941.7703009425</c:v>
                </c:pt>
                <c:pt idx="46">
                  <c:v>1115667.2963556021</c:v>
                </c:pt>
                <c:pt idx="47">
                  <c:v>352977.83999699447</c:v>
                </c:pt>
                <c:pt idx="48">
                  <c:v>353235.50789657497</c:v>
                </c:pt>
                <c:pt idx="49">
                  <c:v>353474.62715966295</c:v>
                </c:pt>
                <c:pt idx="50">
                  <c:v>353696.81534571305</c:v>
                </c:pt>
                <c:pt idx="51">
                  <c:v>353904.06494897016</c:v>
                </c:pt>
                <c:pt idx="52">
                  <c:v>354089.87141117838</c:v>
                </c:pt>
                <c:pt idx="53">
                  <c:v>354249.86667107692</c:v>
                </c:pt>
                <c:pt idx="54">
                  <c:v>354383.35025856091</c:v>
                </c:pt>
                <c:pt idx="55">
                  <c:v>354485.36599126982</c:v>
                </c:pt>
                <c:pt idx="56">
                  <c:v>354550.53300491563</c:v>
                </c:pt>
                <c:pt idx="57">
                  <c:v>354578.18668771023</c:v>
                </c:pt>
                <c:pt idx="58">
                  <c:v>354569.09132560756</c:v>
                </c:pt>
                <c:pt idx="59">
                  <c:v>354523.779919889</c:v>
                </c:pt>
                <c:pt idx="60">
                  <c:v>354437.19147932017</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495518.03471340711</c:v>
                </c:pt>
                <c:pt idx="25">
                  <c:v>498010.06157049473</c:v>
                </c:pt>
                <c:pt idx="26">
                  <c:v>499666.02481460234</c:v>
                </c:pt>
                <c:pt idx="27">
                  <c:v>500469.62606977345</c:v>
                </c:pt>
                <c:pt idx="28">
                  <c:v>502245.08031219151</c:v>
                </c:pt>
                <c:pt idx="29">
                  <c:v>504281.82454163593</c:v>
                </c:pt>
                <c:pt idx="30">
                  <c:v>489952.85535674449</c:v>
                </c:pt>
                <c:pt idx="31">
                  <c:v>498383.18811218225</c:v>
                </c:pt>
                <c:pt idx="32">
                  <c:v>857508.13194727746</c:v>
                </c:pt>
                <c:pt idx="33">
                  <c:v>867844.99223386776</c:v>
                </c:pt>
                <c:pt idx="34">
                  <c:v>877728.45253716467</c:v>
                </c:pt>
                <c:pt idx="35">
                  <c:v>886990.39737887774</c:v>
                </c:pt>
                <c:pt idx="36">
                  <c:v>895383.4843525592</c:v>
                </c:pt>
                <c:pt idx="37">
                  <c:v>902868.51755314216</c:v>
                </c:pt>
                <c:pt idx="38">
                  <c:v>909401.89271135093</c:v>
                </c:pt>
                <c:pt idx="39">
                  <c:v>914950.60782970779</c:v>
                </c:pt>
                <c:pt idx="40">
                  <c:v>919488.48998237646</c:v>
                </c:pt>
                <c:pt idx="41">
                  <c:v>922988.02554244013</c:v>
                </c:pt>
                <c:pt idx="42">
                  <c:v>925432.74317612546</c:v>
                </c:pt>
                <c:pt idx="43">
                  <c:v>926806.84322186233</c:v>
                </c:pt>
                <c:pt idx="44">
                  <c:v>927095.0612485793</c:v>
                </c:pt>
                <c:pt idx="45">
                  <c:v>926294.60967792373</c:v>
                </c:pt>
                <c:pt idx="46">
                  <c:v>924410.04555178457</c:v>
                </c:pt>
                <c:pt idx="47">
                  <c:v>292467.35314036685</c:v>
                </c:pt>
                <c:pt idx="48">
                  <c:v>292680.84940001921</c:v>
                </c:pt>
                <c:pt idx="49">
                  <c:v>292878.97678943502</c:v>
                </c:pt>
                <c:pt idx="50">
                  <c:v>293063.07557216223</c:v>
                </c:pt>
                <c:pt idx="51">
                  <c:v>293234.79667200387</c:v>
                </c:pt>
                <c:pt idx="52">
                  <c:v>293388.75059783354</c:v>
                </c:pt>
                <c:pt idx="53">
                  <c:v>293521.31809889228</c:v>
                </c:pt>
                <c:pt idx="54">
                  <c:v>293631.91878566478</c:v>
                </c:pt>
                <c:pt idx="55">
                  <c:v>293716.44610705215</c:v>
                </c:pt>
                <c:pt idx="56">
                  <c:v>293770.44163264439</c:v>
                </c:pt>
                <c:pt idx="57">
                  <c:v>293793.35468410276</c:v>
                </c:pt>
                <c:pt idx="58">
                  <c:v>293785.81852693198</c:v>
                </c:pt>
                <c:pt idx="59">
                  <c:v>293748.27479076519</c:v>
                </c:pt>
                <c:pt idx="60">
                  <c:v>293676.53008286527</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615125.83619595377</c:v>
                </c:pt>
                <c:pt idx="25">
                  <c:v>618219.38677716604</c:v>
                </c:pt>
                <c:pt idx="26">
                  <c:v>620275.0652870927</c:v>
                </c:pt>
                <c:pt idx="27">
                  <c:v>621272.6392590293</c:v>
                </c:pt>
                <c:pt idx="28">
                  <c:v>623476.65142203099</c:v>
                </c:pt>
                <c:pt idx="29">
                  <c:v>626005.02356892754</c:v>
                </c:pt>
                <c:pt idx="30">
                  <c:v>608217.33768423472</c:v>
                </c:pt>
                <c:pt idx="31">
                  <c:v>618682.57834615733</c:v>
                </c:pt>
                <c:pt idx="32">
                  <c:v>1064492.8534517928</c:v>
                </c:pt>
                <c:pt idx="33">
                  <c:v>1077324.8179454913</c:v>
                </c:pt>
                <c:pt idx="34">
                  <c:v>1089593.9410806184</c:v>
                </c:pt>
                <c:pt idx="35">
                  <c:v>1101091.527780676</c:v>
                </c:pt>
                <c:pt idx="36">
                  <c:v>1111510.5322997288</c:v>
                </c:pt>
                <c:pt idx="37">
                  <c:v>1120802.2976521766</c:v>
                </c:pt>
                <c:pt idx="38">
                  <c:v>1128912.6944002979</c:v>
                </c:pt>
                <c:pt idx="39">
                  <c:v>1135800.7545472237</c:v>
                </c:pt>
                <c:pt idx="40">
                  <c:v>1141433.9875643295</c:v>
                </c:pt>
                <c:pt idx="41">
                  <c:v>1145778.2386044087</c:v>
                </c:pt>
                <c:pt idx="42">
                  <c:v>1148813.0604945007</c:v>
                </c:pt>
                <c:pt idx="43">
                  <c:v>1150518.8398616223</c:v>
                </c:pt>
                <c:pt idx="44">
                  <c:v>1150876.6277568573</c:v>
                </c:pt>
                <c:pt idx="45">
                  <c:v>1149882.9637381125</c:v>
                </c:pt>
                <c:pt idx="46">
                  <c:v>1147543.5048229052</c:v>
                </c:pt>
                <c:pt idx="47">
                  <c:v>363062.92113976576</c:v>
                </c:pt>
                <c:pt idx="48">
                  <c:v>363327.9509793343</c:v>
                </c:pt>
                <c:pt idx="49">
                  <c:v>363573.90222136764</c:v>
                </c:pt>
                <c:pt idx="50">
                  <c:v>363802.43864130491</c:v>
                </c:pt>
                <c:pt idx="51">
                  <c:v>364015.60966179799</c:v>
                </c:pt>
                <c:pt idx="52">
                  <c:v>364206.72488006926</c:v>
                </c:pt>
                <c:pt idx="53">
                  <c:v>364371.29143310775</c:v>
                </c:pt>
                <c:pt idx="54">
                  <c:v>364508.58883737703</c:v>
                </c:pt>
                <c:pt idx="55">
                  <c:v>364613.51930530614</c:v>
                </c:pt>
                <c:pt idx="56">
                  <c:v>364680.54823362757</c:v>
                </c:pt>
                <c:pt idx="57">
                  <c:v>364708.9920216449</c:v>
                </c:pt>
                <c:pt idx="58">
                  <c:v>364699.63679205358</c:v>
                </c:pt>
                <c:pt idx="59">
                  <c:v>364653.03077474306</c:v>
                </c:pt>
                <c:pt idx="60">
                  <c:v>364563.96837872942</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5954880.1627134718</c:v>
                </c:pt>
                <c:pt idx="23">
                  <c:v>5903235.3888004785</c:v>
                </c:pt>
                <c:pt idx="24">
                  <c:v>5883575.786790872</c:v>
                </c:pt>
                <c:pt idx="25">
                  <c:v>5805008.3335930649</c:v>
                </c:pt>
                <c:pt idx="26">
                  <c:v>5690965.7565264786</c:v>
                </c:pt>
                <c:pt idx="27">
                  <c:v>5543806.2775503118</c:v>
                </c:pt>
                <c:pt idx="28">
                  <c:v>5427737.2925172495</c:v>
                </c:pt>
                <c:pt idx="29">
                  <c:v>5317922.8374796035</c:v>
                </c:pt>
                <c:pt idx="30">
                  <c:v>4755918.1218965715</c:v>
                </c:pt>
                <c:pt idx="31">
                  <c:v>4939149.1944778934</c:v>
                </c:pt>
                <c:pt idx="32">
                  <c:v>15566694.993877109</c:v>
                </c:pt>
                <c:pt idx="33">
                  <c:v>15641779.067004707</c:v>
                </c:pt>
                <c:pt idx="34">
                  <c:v>15689832.688180834</c:v>
                </c:pt>
                <c:pt idx="35">
                  <c:v>15710846.069805361</c:v>
                </c:pt>
                <c:pt idx="36">
                  <c:v>15705264.354760379</c:v>
                </c:pt>
                <c:pt idx="37">
                  <c:v>15672819.997851543</c:v>
                </c:pt>
                <c:pt idx="38">
                  <c:v>15613433.523932638</c:v>
                </c:pt>
                <c:pt idx="39">
                  <c:v>15527154.06979692</c:v>
                </c:pt>
                <c:pt idx="40">
                  <c:v>15414175.643613048</c:v>
                </c:pt>
                <c:pt idx="41">
                  <c:v>15146507.038818283</c:v>
                </c:pt>
                <c:pt idx="42">
                  <c:v>14853625.744490532</c:v>
                </c:pt>
                <c:pt idx="43">
                  <c:v>14536847.734424569</c:v>
                </c:pt>
                <c:pt idx="44">
                  <c:v>14197638.514468007</c:v>
                </c:pt>
                <c:pt idx="45">
                  <c:v>13837558.240646992</c:v>
                </c:pt>
                <c:pt idx="46">
                  <c:v>13458268.255725138</c:v>
                </c:pt>
                <c:pt idx="47">
                  <c:v>-1039155.8627087944</c:v>
                </c:pt>
                <c:pt idx="48">
                  <c:v>-1014135.9924717954</c:v>
                </c:pt>
                <c:pt idx="49">
                  <c:v>-989376.44121652725</c:v>
                </c:pt>
                <c:pt idx="50">
                  <c:v>-964874.65173804481</c:v>
                </c:pt>
                <c:pt idx="51">
                  <c:v>-945428.22862049635</c:v>
                </c:pt>
                <c:pt idx="52">
                  <c:v>-926166.27609481115</c:v>
                </c:pt>
                <c:pt idx="53">
                  <c:v>-907074.46766085073</c:v>
                </c:pt>
                <c:pt idx="54">
                  <c:v>-888148.07415729144</c:v>
                </c:pt>
                <c:pt idx="55">
                  <c:v>-869373.25849270087</c:v>
                </c:pt>
                <c:pt idx="56">
                  <c:v>-850736.4700094898</c:v>
                </c:pt>
                <c:pt idx="57">
                  <c:v>-832235.53239271138</c:v>
                </c:pt>
                <c:pt idx="58">
                  <c:v>-813871.5886540697</c:v>
                </c:pt>
                <c:pt idx="59">
                  <c:v>-795645.3399709207</c:v>
                </c:pt>
                <c:pt idx="60">
                  <c:v>-777546.31788674416</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5280742.7858025115</c:v>
                </c:pt>
                <c:pt idx="23">
                  <c:v>5234944.5900683487</c:v>
                </c:pt>
                <c:pt idx="24">
                  <c:v>5217510.6033805832</c:v>
                </c:pt>
                <c:pt idx="25">
                  <c:v>5147837.57884668</c:v>
                </c:pt>
                <c:pt idx="26">
                  <c:v>5046705.4822027264</c:v>
                </c:pt>
                <c:pt idx="27">
                  <c:v>4916205.5668842383</c:v>
                </c:pt>
                <c:pt idx="28">
                  <c:v>4813276.4669492589</c:v>
                </c:pt>
                <c:pt idx="29">
                  <c:v>4715893.8370102132</c:v>
                </c:pt>
                <c:pt idx="30">
                  <c:v>4217512.2967762044</c:v>
                </c:pt>
                <c:pt idx="31">
                  <c:v>4380000.2290653009</c:v>
                </c:pt>
                <c:pt idx="32">
                  <c:v>13804427.636079699</c:v>
                </c:pt>
                <c:pt idx="33">
                  <c:v>13871011.625457004</c:v>
                </c:pt>
                <c:pt idx="34">
                  <c:v>13913625.214047153</c:v>
                </c:pt>
                <c:pt idx="35">
                  <c:v>13932259.722280223</c:v>
                </c:pt>
                <c:pt idx="36">
                  <c:v>13927309.899504486</c:v>
                </c:pt>
                <c:pt idx="37">
                  <c:v>13898538.488660801</c:v>
                </c:pt>
                <c:pt idx="38">
                  <c:v>13845875.01178932</c:v>
                </c:pt>
                <c:pt idx="39">
                  <c:v>13769363.043027457</c:v>
                </c:pt>
                <c:pt idx="40">
                  <c:v>13669174.627354965</c:v>
                </c:pt>
                <c:pt idx="41">
                  <c:v>13431808.128763383</c:v>
                </c:pt>
                <c:pt idx="42">
                  <c:v>13172083.207378397</c:v>
                </c:pt>
                <c:pt idx="43">
                  <c:v>12891166.858829334</c:v>
                </c:pt>
                <c:pt idx="44">
                  <c:v>12590358.682641439</c:v>
                </c:pt>
                <c:pt idx="45">
                  <c:v>12271042.213403936</c:v>
                </c:pt>
                <c:pt idx="46">
                  <c:v>11934690.717341159</c:v>
                </c:pt>
                <c:pt idx="47">
                  <c:v>-921515.57636440243</c:v>
                </c:pt>
                <c:pt idx="48">
                  <c:v>-899328.14426744112</c:v>
                </c:pt>
                <c:pt idx="49">
                  <c:v>-877371.56107880711</c:v>
                </c:pt>
                <c:pt idx="50">
                  <c:v>-855643.55908845481</c:v>
                </c:pt>
                <c:pt idx="51">
                  <c:v>-838398.61783327023</c:v>
                </c:pt>
                <c:pt idx="52">
                  <c:v>-821317.26370671915</c:v>
                </c:pt>
                <c:pt idx="53">
                  <c:v>-804386.79207660339</c:v>
                </c:pt>
                <c:pt idx="54">
                  <c:v>-787603.00915835274</c:v>
                </c:pt>
                <c:pt idx="55">
                  <c:v>-770953.64432371582</c:v>
                </c:pt>
                <c:pt idx="56">
                  <c:v>-754426.68095181172</c:v>
                </c:pt>
                <c:pt idx="57">
                  <c:v>-738020.1891029703</c:v>
                </c:pt>
                <c:pt idx="58">
                  <c:v>-721735.1823913448</c:v>
                </c:pt>
                <c:pt idx="59">
                  <c:v>-705572.28261572216</c:v>
                </c:pt>
                <c:pt idx="60">
                  <c:v>-689522.20642786729</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559717.1030773099</c:v>
                </c:pt>
                <c:pt idx="24">
                  <c:v>581386.33409904351</c:v>
                </c:pt>
                <c:pt idx="25">
                  <c:v>597546.77075746469</c:v>
                </c:pt>
                <c:pt idx="26">
                  <c:v>610009.49754182238</c:v>
                </c:pt>
                <c:pt idx="27">
                  <c:v>618596.39996388659</c:v>
                </c:pt>
                <c:pt idx="28">
                  <c:v>630321.10002649156</c:v>
                </c:pt>
                <c:pt idx="29">
                  <c:v>642612.00897727197</c:v>
                </c:pt>
                <c:pt idx="30">
                  <c:v>597926.80550167628</c:v>
                </c:pt>
                <c:pt idx="31">
                  <c:v>635923.78226835607</c:v>
                </c:pt>
                <c:pt idx="32">
                  <c:v>2051862.6305769777</c:v>
                </c:pt>
                <c:pt idx="33">
                  <c:v>2110128.1093969485</c:v>
                </c:pt>
                <c:pt idx="34">
                  <c:v>2165681.5943024219</c:v>
                </c:pt>
                <c:pt idx="35">
                  <c:v>2218309.6215923456</c:v>
                </c:pt>
                <c:pt idx="36">
                  <c:v>2267857.4872500789</c:v>
                </c:pt>
                <c:pt idx="37">
                  <c:v>2314063.8575068722</c:v>
                </c:pt>
                <c:pt idx="38">
                  <c:v>2356684.8108836943</c:v>
                </c:pt>
                <c:pt idx="39">
                  <c:v>2395487.2900291942</c:v>
                </c:pt>
                <c:pt idx="40">
                  <c:v>2430253.3946859613</c:v>
                </c:pt>
                <c:pt idx="41">
                  <c:v>2467246.0848619989</c:v>
                </c:pt>
                <c:pt idx="42">
                  <c:v>2499930.2988543268</c:v>
                </c:pt>
                <c:pt idx="43">
                  <c:v>2528114.7198890457</c:v>
                </c:pt>
                <c:pt idx="44">
                  <c:v>2551633.274717289</c:v>
                </c:pt>
                <c:pt idx="45">
                  <c:v>2570339.3559679454</c:v>
                </c:pt>
                <c:pt idx="46">
                  <c:v>2584110.295193579</c:v>
                </c:pt>
                <c:pt idx="47">
                  <c:v>-206283.35899440647</c:v>
                </c:pt>
                <c:pt idx="48">
                  <c:v>-208171.35185682061</c:v>
                </c:pt>
                <c:pt idx="49">
                  <c:v>-210046.86042128532</c:v>
                </c:pt>
                <c:pt idx="50">
                  <c:v>-211910.8188296984</c:v>
                </c:pt>
                <c:pt idx="51">
                  <c:v>-213498.50210210861</c:v>
                </c:pt>
                <c:pt idx="52">
                  <c:v>-215070.30981703315</c:v>
                </c:pt>
                <c:pt idx="53">
                  <c:v>-216623.83626085726</c:v>
                </c:pt>
                <c:pt idx="54">
                  <c:v>-218158.6541779798</c:v>
                </c:pt>
                <c:pt idx="55">
                  <c:v>-219671.89978816328</c:v>
                </c:pt>
                <c:pt idx="56">
                  <c:v>-221160.37634344128</c:v>
                </c:pt>
                <c:pt idx="57">
                  <c:v>-222623.4999354897</c:v>
                </c:pt>
                <c:pt idx="58">
                  <c:v>-224061.49175282463</c:v>
                </c:pt>
                <c:pt idx="59">
                  <c:v>-225474.44027129476</c:v>
                </c:pt>
                <c:pt idx="60">
                  <c:v>-226859.15549894181</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19294878.757226616</c:v>
                      </c:pt>
                      <c:pt idx="31">
                        <c:v>19307720.31860701</c:v>
                      </c:pt>
                      <c:pt idx="32">
                        <c:v>19559205.069961581</c:v>
                      </c:pt>
                      <c:pt idx="33">
                        <c:v>19565339.844192322</c:v>
                      </c:pt>
                      <c:pt idx="34">
                        <c:v>19591581.184798744</c:v>
                      </c:pt>
                      <c:pt idx="35">
                        <c:v>19629513.679572582</c:v>
                      </c:pt>
                      <c:pt idx="36">
                        <c:v>19664751.667307843</c:v>
                      </c:pt>
                      <c:pt idx="37">
                        <c:v>19697731.441644121</c:v>
                      </c:pt>
                      <c:pt idx="38">
                        <c:v>19728277.139336508</c:v>
                      </c:pt>
                      <c:pt idx="39">
                        <c:v>19756663.97963132</c:v>
                      </c:pt>
                      <c:pt idx="40">
                        <c:v>19783322.561984386</c:v>
                      </c:pt>
                      <c:pt idx="41">
                        <c:v>19808227.76785814</c:v>
                      </c:pt>
                      <c:pt idx="42">
                        <c:v>19831777.943671755</c:v>
                      </c:pt>
                      <c:pt idx="43">
                        <c:v>19854030.096347492</c:v>
                      </c:pt>
                      <c:pt idx="44">
                        <c:v>19874679.234480295</c:v>
                      </c:pt>
                      <c:pt idx="45">
                        <c:v>19893914.25161792</c:v>
                      </c:pt>
                      <c:pt idx="46">
                        <c:v>19912042.010925505</c:v>
                      </c:pt>
                      <c:pt idx="47">
                        <c:v>19475049.108869474</c:v>
                      </c:pt>
                      <c:pt idx="48">
                        <c:v>19492958.180870771</c:v>
                      </c:pt>
                      <c:pt idx="49">
                        <c:v>19509662.73535268</c:v>
                      </c:pt>
                      <c:pt idx="50">
                        <c:v>19525264.861968085</c:v>
                      </c:pt>
                      <c:pt idx="51">
                        <c:v>19539888.662803639</c:v>
                      </c:pt>
                      <c:pt idx="52">
                        <c:v>19553149.472452078</c:v>
                      </c:pt>
                      <c:pt idx="53">
                        <c:v>19564790.407166932</c:v>
                      </c:pt>
                      <c:pt idx="54">
                        <c:v>19574773.841368008</c:v>
                      </c:pt>
                      <c:pt idx="55">
                        <c:v>19582807.445582233</c:v>
                      </c:pt>
                      <c:pt idx="56">
                        <c:v>19588573.465668801</c:v>
                      </c:pt>
                      <c:pt idx="57">
                        <c:v>19592036.068410829</c:v>
                      </c:pt>
                      <c:pt idx="58">
                        <c:v>19593244.644470215</c:v>
                      </c:pt>
                      <c:pt idx="59">
                        <c:v>19592234.545043476</c:v>
                      </c:pt>
                      <c:pt idx="60">
                        <c:v>19588706.691560276</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2883142.8028039774</c:v>
                      </c:pt>
                      <c:pt idx="31">
                        <c:v>2885061.6568033467</c:v>
                      </c:pt>
                      <c:pt idx="32">
                        <c:v>2922639.8380402364</c:v>
                      </c:pt>
                      <c:pt idx="33">
                        <c:v>2923556.5284425314</c:v>
                      </c:pt>
                      <c:pt idx="34">
                        <c:v>2927477.6483032606</c:v>
                      </c:pt>
                      <c:pt idx="35">
                        <c:v>2933145.7222349835</c:v>
                      </c:pt>
                      <c:pt idx="36">
                        <c:v>2938411.1686781836</c:v>
                      </c:pt>
                      <c:pt idx="37">
                        <c:v>2943339.1809353284</c:v>
                      </c:pt>
                      <c:pt idx="38">
                        <c:v>2947903.480590513</c:v>
                      </c:pt>
                      <c:pt idx="39">
                        <c:v>2952145.1923587029</c:v>
                      </c:pt>
                      <c:pt idx="40">
                        <c:v>2956128.6586873224</c:v>
                      </c:pt>
                      <c:pt idx="41">
                        <c:v>2959850.1262316764</c:v>
                      </c:pt>
                      <c:pt idx="42">
                        <c:v>2963369.1180199175</c:v>
                      </c:pt>
                      <c:pt idx="43">
                        <c:v>2966694.1523277862</c:v>
                      </c:pt>
                      <c:pt idx="44">
                        <c:v>2969779.6557269408</c:v>
                      </c:pt>
                      <c:pt idx="45">
                        <c:v>2972653.8536900342</c:v>
                      </c:pt>
                      <c:pt idx="46">
                        <c:v>2975362.5993336961</c:v>
                      </c:pt>
                      <c:pt idx="47">
                        <c:v>2910064.809371301</c:v>
                      </c:pt>
                      <c:pt idx="48">
                        <c:v>2912740.87760138</c:v>
                      </c:pt>
                      <c:pt idx="49">
                        <c:v>2915236.9604549981</c:v>
                      </c:pt>
                      <c:pt idx="50">
                        <c:v>2917568.3127078749</c:v>
                      </c:pt>
                      <c:pt idx="51">
                        <c:v>2919753.4783499693</c:v>
                      </c:pt>
                      <c:pt idx="52">
                        <c:v>2921734.9786422644</c:v>
                      </c:pt>
                      <c:pt idx="53">
                        <c:v>2923474.428657128</c:v>
                      </c:pt>
                      <c:pt idx="54">
                        <c:v>2924966.2061814265</c:v>
                      </c:pt>
                      <c:pt idx="55">
                        <c:v>2926166.6297996445</c:v>
                      </c:pt>
                      <c:pt idx="56">
                        <c:v>2927028.2190079815</c:v>
                      </c:pt>
                      <c:pt idx="57">
                        <c:v>2927545.6194177098</c:v>
                      </c:pt>
                      <c:pt idx="58">
                        <c:v>2927726.2112426758</c:v>
                      </c:pt>
                      <c:pt idx="59">
                        <c:v>2927575.2768455772</c:v>
                      </c:pt>
                      <c:pt idx="60">
                        <c:v>2927048.1263250983</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2068089.0408217218</c:v>
                      </c:pt>
                      <c:pt idx="23">
                        <c:v>2073465.0740723512</c:v>
                      </c:pt>
                      <c:pt idx="24">
                        <c:v>2080881.121959276</c:v>
                      </c:pt>
                      <c:pt idx="25">
                        <c:v>2089915.8268703569</c:v>
                      </c:pt>
                      <c:pt idx="26">
                        <c:v>2100556.3029240505</c:v>
                      </c:pt>
                      <c:pt idx="27">
                        <c:v>2112737.7866022554</c:v>
                      </c:pt>
                      <c:pt idx="28">
                        <c:v>2125847.6846541641</c:v>
                      </c:pt>
                      <c:pt idx="29">
                        <c:v>2139834.1013227375</c:v>
                      </c:pt>
                      <c:pt idx="30">
                        <c:v>2134616.11169963</c:v>
                      </c:pt>
                      <c:pt idx="31">
                        <c:v>2138109.4674663781</c:v>
                      </c:pt>
                      <c:pt idx="32">
                        <c:v>2181460.1937599764</c:v>
                      </c:pt>
                      <c:pt idx="33">
                        <c:v>2183418.7272190307</c:v>
                      </c:pt>
                      <c:pt idx="34">
                        <c:v>2188603.9714687425</c:v>
                      </c:pt>
                      <c:pt idx="35">
                        <c:v>2195602.1293189167</c:v>
                      </c:pt>
                      <c:pt idx="36">
                        <c:v>2202020.4162375215</c:v>
                      </c:pt>
                      <c:pt idx="37">
                        <c:v>2207943.6707722908</c:v>
                      </c:pt>
                      <c:pt idx="38">
                        <c:v>2213353.7246603156</c:v>
                      </c:pt>
                      <c:pt idx="39">
                        <c:v>2218306.1326348721</c:v>
                      </c:pt>
                      <c:pt idx="40">
                        <c:v>2222880.7982622627</c:v>
                      </c:pt>
                      <c:pt idx="41">
                        <c:v>2227081.4073423054</c:v>
                      </c:pt>
                      <c:pt idx="42">
                        <c:v>2230980.4914978449</c:v>
                      </c:pt>
                      <c:pt idx="43">
                        <c:v>2234593.6283040005</c:v>
                      </c:pt>
                      <c:pt idx="44">
                        <c:v>2237876.7029687106</c:v>
                      </c:pt>
                      <c:pt idx="45">
                        <c:v>2240866.0743360408</c:v>
                      </c:pt>
                      <c:pt idx="46">
                        <c:v>2243616.6672446863</c:v>
                      </c:pt>
                      <c:pt idx="47">
                        <c:v>2172392.1510401987</c:v>
                      </c:pt>
                      <c:pt idx="48">
                        <c:v>2175137.4797161301</c:v>
                      </c:pt>
                      <c:pt idx="49">
                        <c:v>2177637.0641602017</c:v>
                      </c:pt>
                      <c:pt idx="50">
                        <c:v>2179911.1340294322</c:v>
                      </c:pt>
                      <c:pt idx="51">
                        <c:v>2181983.1167039187</c:v>
                      </c:pt>
                      <c:pt idx="52">
                        <c:v>2183794.1926580667</c:v>
                      </c:pt>
                      <c:pt idx="53">
                        <c:v>2185306.3123972258</c:v>
                      </c:pt>
                      <c:pt idx="54">
                        <c:v>2186516.6980708055</c:v>
                      </c:pt>
                      <c:pt idx="55">
                        <c:v>2187381.648274323</c:v>
                      </c:pt>
                      <c:pt idx="56">
                        <c:v>2187853.5469475901</c:v>
                      </c:pt>
                      <c:pt idx="57">
                        <c:v>2187929.9590612692</c:v>
                      </c:pt>
                      <c:pt idx="58">
                        <c:v>2187621.9207132552</c:v>
                      </c:pt>
                      <c:pt idx="59">
                        <c:v>2186938.0464040749</c:v>
                      </c:pt>
                      <c:pt idx="60">
                        <c:v>2185833.6603005412</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4014525.785124518</c:v>
                      </c:pt>
                      <c:pt idx="23">
                        <c:v>4024961.6143757398</c:v>
                      </c:pt>
                      <c:pt idx="24">
                        <c:v>4039357.4720385941</c:v>
                      </c:pt>
                      <c:pt idx="25">
                        <c:v>4056895.4286306924</c:v>
                      </c:pt>
                      <c:pt idx="26">
                        <c:v>4077550.4703819798</c:v>
                      </c:pt>
                      <c:pt idx="27">
                        <c:v>4101196.8798749652</c:v>
                      </c:pt>
                      <c:pt idx="28">
                        <c:v>4126645.5055051413</c:v>
                      </c:pt>
                      <c:pt idx="29">
                        <c:v>4153795.6084500193</c:v>
                      </c:pt>
                      <c:pt idx="30">
                        <c:v>4143666.5697698691</c:v>
                      </c:pt>
                      <c:pt idx="31">
                        <c:v>4150447.7897876743</c:v>
                      </c:pt>
                      <c:pt idx="32">
                        <c:v>4234599.1996517181</c:v>
                      </c:pt>
                      <c:pt idx="33">
                        <c:v>4238401.0587192941</c:v>
                      </c:pt>
                      <c:pt idx="34">
                        <c:v>4248466.5328510879</c:v>
                      </c:pt>
                      <c:pt idx="35">
                        <c:v>4262051.1922073076</c:v>
                      </c:pt>
                      <c:pt idx="36">
                        <c:v>4274510.2197551876</c:v>
                      </c:pt>
                      <c:pt idx="37">
                        <c:v>4286008.3020873871</c:v>
                      </c:pt>
                      <c:pt idx="38">
                        <c:v>4296510.171399435</c:v>
                      </c:pt>
                      <c:pt idx="39">
                        <c:v>4306123.6692323983</c:v>
                      </c:pt>
                      <c:pt idx="40">
                        <c:v>4315003.9025090979</c:v>
                      </c:pt>
                      <c:pt idx="41">
                        <c:v>4323158.0260174153</c:v>
                      </c:pt>
                      <c:pt idx="42">
                        <c:v>4330726.8364369925</c:v>
                      </c:pt>
                      <c:pt idx="43">
                        <c:v>4337740.5725901173</c:v>
                      </c:pt>
                      <c:pt idx="44">
                        <c:v>4344113.5998804374</c:v>
                      </c:pt>
                      <c:pt idx="45">
                        <c:v>4349916.497240549</c:v>
                      </c:pt>
                      <c:pt idx="46">
                        <c:v>4355255.8834749786</c:v>
                      </c:pt>
                      <c:pt idx="47">
                        <c:v>4216996.5284897964</c:v>
                      </c:pt>
                      <c:pt idx="48">
                        <c:v>4222325.6959195463</c:v>
                      </c:pt>
                      <c:pt idx="49">
                        <c:v>4227177.8304286264</c:v>
                      </c:pt>
                      <c:pt idx="50">
                        <c:v>4231592.2013512505</c:v>
                      </c:pt>
                      <c:pt idx="51">
                        <c:v>4235614.2853664299</c:v>
                      </c:pt>
                      <c:pt idx="52">
                        <c:v>4239129.9033950698</c:v>
                      </c:pt>
                      <c:pt idx="53">
                        <c:v>4242065.1946534375</c:v>
                      </c:pt>
                      <c:pt idx="54">
                        <c:v>4244414.7668433273</c:v>
                      </c:pt>
                      <c:pt idx="55">
                        <c:v>4246093.7878266266</c:v>
                      </c:pt>
                      <c:pt idx="56">
                        <c:v>4247009.8264276739</c:v>
                      </c:pt>
                      <c:pt idx="57">
                        <c:v>4247158.1558248159</c:v>
                      </c:pt>
                      <c:pt idx="58">
                        <c:v>4246560.1990316128</c:v>
                      </c:pt>
                      <c:pt idx="59">
                        <c:v>4245232.6783137918</c:v>
                      </c:pt>
                      <c:pt idx="60">
                        <c:v>4243088.8699951675</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308478.97111537727</c:v>
                      </c:pt>
                      <c:pt idx="23">
                        <c:v>309973.53172331408</c:v>
                      </c:pt>
                      <c:pt idx="24">
                        <c:v>312241.56810798903</c:v>
                      </c:pt>
                      <c:pt idx="25">
                        <c:v>312726.42527824314</c:v>
                      </c:pt>
                      <c:pt idx="26">
                        <c:v>312032.30780712381</c:v>
                      </c:pt>
                      <c:pt idx="27">
                        <c:v>310184.61831503396</c:v>
                      </c:pt>
                      <c:pt idx="28">
                        <c:v>309160.15388587426</c:v>
                      </c:pt>
                      <c:pt idx="29">
                        <c:v>308239.46209968906</c:v>
                      </c:pt>
                      <c:pt idx="30">
                        <c:v>294517.6531577555</c:v>
                      </c:pt>
                      <c:pt idx="31">
                        <c:v>301858.44070166023</c:v>
                      </c:pt>
                      <c:pt idx="32">
                        <c:v>647959.983994929</c:v>
                      </c:pt>
                      <c:pt idx="33">
                        <c:v>656258.51310214202</c:v>
                      </c:pt>
                      <c:pt idx="34">
                        <c:v>662941.93280236714</c:v>
                      </c:pt>
                      <c:pt idx="35">
                        <c:v>668320.71592275577</c:v>
                      </c:pt>
                      <c:pt idx="36">
                        <c:v>672992.98154037318</c:v>
                      </c:pt>
                      <c:pt idx="37">
                        <c:v>676905.65600066155</c:v>
                      </c:pt>
                      <c:pt idx="38">
                        <c:v>680036.79493059521</c:v>
                      </c:pt>
                      <c:pt idx="39">
                        <c:v>682348.24607523973</c:v>
                      </c:pt>
                      <c:pt idx="40">
                        <c:v>683799.14378610451</c:v>
                      </c:pt>
                      <c:pt idx="41">
                        <c:v>684373.63654909784</c:v>
                      </c:pt>
                      <c:pt idx="42">
                        <c:v>684041.72165558289</c:v>
                      </c:pt>
                      <c:pt idx="43">
                        <c:v>682793.70286200021</c:v>
                      </c:pt>
                      <c:pt idx="44">
                        <c:v>680640.86120435607</c:v>
                      </c:pt>
                      <c:pt idx="45">
                        <c:v>677577.56070166884</c:v>
                      </c:pt>
                      <c:pt idx="46">
                        <c:v>673598.32944589283</c:v>
                      </c:pt>
                      <c:pt idx="47">
                        <c:v>99172.5386975859</c:v>
                      </c:pt>
                      <c:pt idx="48">
                        <c:v>99172.5386975859</c:v>
                      </c:pt>
                      <c:pt idx="49">
                        <c:v>99172.5386975859</c:v>
                      </c:pt>
                      <c:pt idx="50">
                        <c:v>99172.5386975859</c:v>
                      </c:pt>
                      <c:pt idx="51">
                        <c:v>99172.5386975859</c:v>
                      </c:pt>
                      <c:pt idx="52">
                        <c:v>99172.5386975859</c:v>
                      </c:pt>
                      <c:pt idx="53">
                        <c:v>99172.5386975859</c:v>
                      </c:pt>
                      <c:pt idx="54">
                        <c:v>99172.5386975859</c:v>
                      </c:pt>
                      <c:pt idx="55">
                        <c:v>99172.5386975859</c:v>
                      </c:pt>
                      <c:pt idx="56">
                        <c:v>99172.5386975859</c:v>
                      </c:pt>
                      <c:pt idx="57">
                        <c:v>99172.5386975859</c:v>
                      </c:pt>
                      <c:pt idx="58">
                        <c:v>99172.5386975859</c:v>
                      </c:pt>
                      <c:pt idx="59">
                        <c:v>99172.5386975859</c:v>
                      </c:pt>
                      <c:pt idx="60">
                        <c:v>99172.5386975859</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1656046.9024620028</c:v>
                      </c:pt>
                      <c:pt idx="23">
                        <c:v>1647045.1860532647</c:v>
                      </c:pt>
                      <c:pt idx="24">
                        <c:v>1647784.019010039</c:v>
                      </c:pt>
                      <c:pt idx="25">
                        <c:v>1632656.0990208655</c:v>
                      </c:pt>
                      <c:pt idx="26">
                        <c:v>1607948.7164639281</c:v>
                      </c:pt>
                      <c:pt idx="27">
                        <c:v>1574056.8450456359</c:v>
                      </c:pt>
                      <c:pt idx="28">
                        <c:v>1549447.5878836229</c:v>
                      </c:pt>
                      <c:pt idx="29">
                        <c:v>1527015.9199472496</c:v>
                      </c:pt>
                      <c:pt idx="30">
                        <c:v>1373893.3263119359</c:v>
                      </c:pt>
                      <c:pt idx="31">
                        <c:v>1422952.5691280668</c:v>
                      </c:pt>
                      <c:pt idx="32">
                        <c:v>4548493.9904950364</c:v>
                      </c:pt>
                      <c:pt idx="33">
                        <c:v>4560962.539341609</c:v>
                      </c:pt>
                      <c:pt idx="34">
                        <c:v>4565567.5401573936</c:v>
                      </c:pt>
                      <c:pt idx="35">
                        <c:v>4562516.7726062052</c:v>
                      </c:pt>
                      <c:pt idx="36">
                        <c:v>4552270.4855006905</c:v>
                      </c:pt>
                      <c:pt idx="37">
                        <c:v>4534734.5602203431</c:v>
                      </c:pt>
                      <c:pt idx="38">
                        <c:v>4509883.7964351429</c:v>
                      </c:pt>
                      <c:pt idx="39">
                        <c:v>4477720.5244091665</c:v>
                      </c:pt>
                      <c:pt idx="40">
                        <c:v>4438285.9964855248</c:v>
                      </c:pt>
                      <c:pt idx="41">
                        <c:v>4391681.7093471689</c:v>
                      </c:pt>
                      <c:pt idx="42">
                        <c:v>4338036.0241695745</c:v>
                      </c:pt>
                      <c:pt idx="43">
                        <c:v>4277530.3261559019</c:v>
                      </c:pt>
                      <c:pt idx="44">
                        <c:v>4210397.0505048446</c:v>
                      </c:pt>
                      <c:pt idx="45">
                        <c:v>4136887.9711882346</c:v>
                      </c:pt>
                      <c:pt idx="46">
                        <c:v>4057285.6229150845</c:v>
                      </c:pt>
                      <c:pt idx="47">
                        <c:v>-378067.1431512342</c:v>
                      </c:pt>
                      <c:pt idx="48">
                        <c:v>-373974.22118522861</c:v>
                      </c:pt>
                      <c:pt idx="49">
                        <c:v>-369866.79826982657</c:v>
                      </c:pt>
                      <c:pt idx="50">
                        <c:v>-365749.13565556059</c:v>
                      </c:pt>
                      <c:pt idx="51">
                        <c:v>-361625.94284646778</c:v>
                      </c:pt>
                      <c:pt idx="52">
                        <c:v>-357486.29005510121</c:v>
                      </c:pt>
                      <c:pt idx="53">
                        <c:v>-353323.7245647891</c:v>
                      </c:pt>
                      <c:pt idx="54">
                        <c:v>-349138.64848070475</c:v>
                      </c:pt>
                      <c:pt idx="55">
                        <c:v>-344924.12642266747</c:v>
                      </c:pt>
                      <c:pt idx="56">
                        <c:v>-340672.96380764054</c:v>
                      </c:pt>
                      <c:pt idx="57">
                        <c:v>-336386.36719111202</c:v>
                      </c:pt>
                      <c:pt idx="58">
                        <c:v>-332067.9035896397</c:v>
                      </c:pt>
                      <c:pt idx="59">
                        <c:v>-327720.62418101879</c:v>
                      </c:pt>
                      <c:pt idx="60">
                        <c:v>-323338.51037587819</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225824.57760845491</c:v>
                      </c:pt>
                      <c:pt idx="23">
                        <c:v>224597.07082544517</c:v>
                      </c:pt>
                      <c:pt idx="24">
                        <c:v>224697.82077409624</c:v>
                      </c:pt>
                      <c:pt idx="25">
                        <c:v>222634.9225937544</c:v>
                      </c:pt>
                      <c:pt idx="26">
                        <c:v>219265.73406326291</c:v>
                      </c:pt>
                      <c:pt idx="27">
                        <c:v>214644.1152334958</c:v>
                      </c:pt>
                      <c:pt idx="28">
                        <c:v>211288.30743867584</c:v>
                      </c:pt>
                      <c:pt idx="29">
                        <c:v>208229.44362917039</c:v>
                      </c:pt>
                      <c:pt idx="30">
                        <c:v>187349.08995162763</c:v>
                      </c:pt>
                      <c:pt idx="31">
                        <c:v>194038.98669928181</c:v>
                      </c:pt>
                      <c:pt idx="32">
                        <c:v>620249.18052205048</c:v>
                      </c:pt>
                      <c:pt idx="33">
                        <c:v>621949.43718294671</c:v>
                      </c:pt>
                      <c:pt idx="34">
                        <c:v>622577.39183964464</c:v>
                      </c:pt>
                      <c:pt idx="35">
                        <c:v>622161.37808266433</c:v>
                      </c:pt>
                      <c:pt idx="36">
                        <c:v>620764.15711373056</c:v>
                      </c:pt>
                      <c:pt idx="37">
                        <c:v>618372.89457550133</c:v>
                      </c:pt>
                      <c:pt idx="38">
                        <c:v>614984.15405933757</c:v>
                      </c:pt>
                      <c:pt idx="39">
                        <c:v>610598.25332852267</c:v>
                      </c:pt>
                      <c:pt idx="40">
                        <c:v>605220.81770257163</c:v>
                      </c:pt>
                      <c:pt idx="41">
                        <c:v>598865.6876382503</c:v>
                      </c:pt>
                      <c:pt idx="42">
                        <c:v>591550.3669322147</c:v>
                      </c:pt>
                      <c:pt idx="43">
                        <c:v>583299.58993035019</c:v>
                      </c:pt>
                      <c:pt idx="44">
                        <c:v>574145.0523415698</c:v>
                      </c:pt>
                      <c:pt idx="45">
                        <c:v>564121.08698021376</c:v>
                      </c:pt>
                      <c:pt idx="46">
                        <c:v>553266.22130660247</c:v>
                      </c:pt>
                      <c:pt idx="47">
                        <c:v>-51554.61042971375</c:v>
                      </c:pt>
                      <c:pt idx="48">
                        <c:v>-50996.484707076626</c:v>
                      </c:pt>
                      <c:pt idx="49">
                        <c:v>-50436.381582249072</c:v>
                      </c:pt>
                      <c:pt idx="50">
                        <c:v>-49874.882134849169</c:v>
                      </c:pt>
                      <c:pt idx="51">
                        <c:v>-49312.628569972876</c:v>
                      </c:pt>
                      <c:pt idx="52">
                        <c:v>-48748.130462059256</c:v>
                      </c:pt>
                      <c:pt idx="53">
                        <c:v>-48180.507895198512</c:v>
                      </c:pt>
                      <c:pt idx="54">
                        <c:v>-47609.815701914289</c:v>
                      </c:pt>
                      <c:pt idx="55">
                        <c:v>-47035.108148545558</c:v>
                      </c:pt>
                      <c:pt idx="56">
                        <c:v>-46455.404155587348</c:v>
                      </c:pt>
                      <c:pt idx="57">
                        <c:v>-45870.86825333345</c:v>
                      </c:pt>
                      <c:pt idx="58">
                        <c:v>-45281.986853132679</c:v>
                      </c:pt>
                      <c:pt idx="59">
                        <c:v>-44689.176024684377</c:v>
                      </c:pt>
                      <c:pt idx="60">
                        <c:v>-44091.615051256122</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23653841.793715</c:v>
                      </c:pt>
                      <c:pt idx="23">
                        <c:v>24134771.290486101</c:v>
                      </c:pt>
                      <c:pt idx="24">
                        <c:v>24696932.291742448</c:v>
                      </c:pt>
                      <c:pt idx="25">
                        <c:v>25128517.122223888</c:v>
                      </c:pt>
                      <c:pt idx="26">
                        <c:v>25474971.393442623</c:v>
                      </c:pt>
                      <c:pt idx="27">
                        <c:v>25734234.718944561</c:v>
                      </c:pt>
                      <c:pt idx="28">
                        <c:v>26066681.867313132</c:v>
                      </c:pt>
                      <c:pt idx="29">
                        <c:v>26412334.873995654</c:v>
                      </c:pt>
                      <c:pt idx="30">
                        <c:v>25371106.885045256</c:v>
                      </c:pt>
                      <c:pt idx="31">
                        <c:v>26301759.864103805</c:v>
                      </c:pt>
                      <c:pt idx="32">
                        <c:v>58453993.075396262</c:v>
                      </c:pt>
                      <c:pt idx="33">
                        <c:v>59739070.443922609</c:v>
                      </c:pt>
                      <c:pt idx="34">
                        <c:v>60971447.47047931</c:v>
                      </c:pt>
                      <c:pt idx="35">
                        <c:v>62140240.38118834</c:v>
                      </c:pt>
                      <c:pt idx="36">
                        <c:v>63230690.129821882</c:v>
                      </c:pt>
                      <c:pt idx="37">
                        <c:v>64238030.957677633</c:v>
                      </c:pt>
                      <c:pt idx="38">
                        <c:v>65157412.811972722</c:v>
                      </c:pt>
                      <c:pt idx="39">
                        <c:v>65984651.89490328</c:v>
                      </c:pt>
                      <c:pt idx="40">
                        <c:v>66716076.782532059</c:v>
                      </c:pt>
                      <c:pt idx="41">
                        <c:v>67348150.272239521</c:v>
                      </c:pt>
                      <c:pt idx="42">
                        <c:v>67878097.621147081</c:v>
                      </c:pt>
                      <c:pt idx="43">
                        <c:v>68303415.631308526</c:v>
                      </c:pt>
                      <c:pt idx="44">
                        <c:v>68621877.969516248</c:v>
                      </c:pt>
                      <c:pt idx="45">
                        <c:v>68832144.300082967</c:v>
                      </c:pt>
                      <c:pt idx="46">
                        <c:v>68933520.94400239</c:v>
                      </c:pt>
                      <c:pt idx="47">
                        <c:v>8986405.4583409671</c:v>
                      </c:pt>
                      <c:pt idx="48">
                        <c:v>9052359.785518948</c:v>
                      </c:pt>
                      <c:pt idx="49">
                        <c:v>9116679.1899604667</c:v>
                      </c:pt>
                      <c:pt idx="50">
                        <c:v>9179460.5648498666</c:v>
                      </c:pt>
                      <c:pt idx="51">
                        <c:v>9240815.6048103776</c:v>
                      </c:pt>
                      <c:pt idx="52">
                        <c:v>9300492.7436588462</c:v>
                      </c:pt>
                      <c:pt idx="53">
                        <c:v>9358326.3155942075</c:v>
                      </c:pt>
                      <c:pt idx="54">
                        <c:v>9414304.1199616734</c:v>
                      </c:pt>
                      <c:pt idx="55">
                        <c:v>9468228.8191304449</c:v>
                      </c:pt>
                      <c:pt idx="56">
                        <c:v>9519880.7258345038</c:v>
                      </c:pt>
                      <c:pt idx="57">
                        <c:v>9569240.6276933048</c:v>
                      </c:pt>
                      <c:pt idx="58">
                        <c:v>9616350.1568514053</c:v>
                      </c:pt>
                      <c:pt idx="59">
                        <c:v>9661240.394951161</c:v>
                      </c:pt>
                      <c:pt idx="60">
                        <c:v>9703697.1154731549</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94043391.409974962</c:v>
                      </c:pt>
                      <c:pt idx="23">
                        <c:v>95281774.784899995</c:v>
                      </c:pt>
                      <c:pt idx="24">
                        <c:v>97270973.713722691</c:v>
                      </c:pt>
                      <c:pt idx="25">
                        <c:v>97842130.842887655</c:v>
                      </c:pt>
                      <c:pt idx="26">
                        <c:v>97491901.623900309</c:v>
                      </c:pt>
                      <c:pt idx="27">
                        <c:v>96224012.280420974</c:v>
                      </c:pt>
                      <c:pt idx="28">
                        <c:v>95690259.829558358</c:v>
                      </c:pt>
                      <c:pt idx="29">
                        <c:v>95277598.733681634</c:v>
                      </c:pt>
                      <c:pt idx="30">
                        <c:v>83092786.05011037</c:v>
                      </c:pt>
                      <c:pt idx="31">
                        <c:v>89381268.281634822</c:v>
                      </c:pt>
                      <c:pt idx="32">
                        <c:v>388652143.84659076</c:v>
                      </c:pt>
                      <c:pt idx="33">
                        <c:v>395620031.65685779</c:v>
                      </c:pt>
                      <c:pt idx="34">
                        <c:v>401810251.07019573</c:v>
                      </c:pt>
                      <c:pt idx="35">
                        <c:v>407249233.73769373</c:v>
                      </c:pt>
                      <c:pt idx="36">
                        <c:v>412010896.32823962</c:v>
                      </c:pt>
                      <c:pt idx="37">
                        <c:v>416059521.97388119</c:v>
                      </c:pt>
                      <c:pt idx="38">
                        <c:v>419367689.7745806</c:v>
                      </c:pt>
                      <c:pt idx="39">
                        <c:v>421908447.5243901</c:v>
                      </c:pt>
                      <c:pt idx="40">
                        <c:v>423657757.3261283</c:v>
                      </c:pt>
                      <c:pt idx="41">
                        <c:v>424599227.84356123</c:v>
                      </c:pt>
                      <c:pt idx="42">
                        <c:v>424717662.24588925</c:v>
                      </c:pt>
                      <c:pt idx="43">
                        <c:v>424004872.02672267</c:v>
                      </c:pt>
                      <c:pt idx="44">
                        <c:v>422459862.18418473</c:v>
                      </c:pt>
                      <c:pt idx="45">
                        <c:v>420082512.31946158</c:v>
                      </c:pt>
                      <c:pt idx="46">
                        <c:v>416876383.56053138</c:v>
                      </c:pt>
                      <c:pt idx="47">
                        <c:v>-89020230.204841599</c:v>
                      </c:pt>
                      <c:pt idx="48">
                        <c:v>-89146208.089037806</c:v>
                      </c:pt>
                      <c:pt idx="49">
                        <c:v>-89260278.921735153</c:v>
                      </c:pt>
                      <c:pt idx="50">
                        <c:v>-89363412.734265909</c:v>
                      </c:pt>
                      <c:pt idx="51">
                        <c:v>-89456718.537233844</c:v>
                      </c:pt>
                      <c:pt idx="52">
                        <c:v>-89537592.271047369</c:v>
                      </c:pt>
                      <c:pt idx="53">
                        <c:v>-89604368.784275606</c:v>
                      </c:pt>
                      <c:pt idx="54">
                        <c:v>-89656972.479263023</c:v>
                      </c:pt>
                      <c:pt idx="55">
                        <c:v>-89693483.690001965</c:v>
                      </c:pt>
                      <c:pt idx="56">
                        <c:v>-89711808.563796133</c:v>
                      </c:pt>
                      <c:pt idx="57">
                        <c:v>-89711887.098993719</c:v>
                      </c:pt>
                      <c:pt idx="58">
                        <c:v>-89694262.947943121</c:v>
                      </c:pt>
                      <c:pt idx="59">
                        <c:v>-89659368.15995191</c:v>
                      </c:pt>
                      <c:pt idx="60">
                        <c:v>-89605239.831014261</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985576.74140479264</c:v>
                      </c:pt>
                      <c:pt idx="23">
                        <c:v>1005615.4704369218</c:v>
                      </c:pt>
                      <c:pt idx="24">
                        <c:v>1029038.8454892697</c:v>
                      </c:pt>
                      <c:pt idx="25">
                        <c:v>1047021.5467593296</c:v>
                      </c:pt>
                      <c:pt idx="26">
                        <c:v>1061457.1413934438</c:v>
                      </c:pt>
                      <c:pt idx="27">
                        <c:v>1072259.7799560244</c:v>
                      </c:pt>
                      <c:pt idx="28">
                        <c:v>1086111.7444713814</c:v>
                      </c:pt>
                      <c:pt idx="29">
                        <c:v>1100513.9530831533</c:v>
                      </c:pt>
                      <c:pt idx="30">
                        <c:v>1057129.4535435534</c:v>
                      </c:pt>
                      <c:pt idx="31">
                        <c:v>1095906.6610043263</c:v>
                      </c:pt>
                      <c:pt idx="32">
                        <c:v>2435583.0448081796</c:v>
                      </c:pt>
                      <c:pt idx="33">
                        <c:v>2489127.9351634444</c:v>
                      </c:pt>
                      <c:pt idx="34">
                        <c:v>2540476.9779366404</c:v>
                      </c:pt>
                      <c:pt idx="35">
                        <c:v>2589176.6825495167</c:v>
                      </c:pt>
                      <c:pt idx="36">
                        <c:v>2634612.0887425812</c:v>
                      </c:pt>
                      <c:pt idx="37">
                        <c:v>2676584.6232365705</c:v>
                      </c:pt>
                      <c:pt idx="38">
                        <c:v>2714892.2004988659</c:v>
                      </c:pt>
                      <c:pt idx="39">
                        <c:v>2749360.4956209725</c:v>
                      </c:pt>
                      <c:pt idx="40">
                        <c:v>2779836.5326055051</c:v>
                      </c:pt>
                      <c:pt idx="41">
                        <c:v>2806172.9280099827</c:v>
                      </c:pt>
                      <c:pt idx="42">
                        <c:v>2828254.0675477977</c:v>
                      </c:pt>
                      <c:pt idx="43">
                        <c:v>2845975.6513045249</c:v>
                      </c:pt>
                      <c:pt idx="44">
                        <c:v>2859244.915396513</c:v>
                      </c:pt>
                      <c:pt idx="45">
                        <c:v>2868006.0125034596</c:v>
                      </c:pt>
                      <c:pt idx="46">
                        <c:v>2872230.0393334352</c:v>
                      </c:pt>
                      <c:pt idx="47">
                        <c:v>374433.56076420727</c:v>
                      </c:pt>
                      <c:pt idx="48">
                        <c:v>377181.65772995655</c:v>
                      </c:pt>
                      <c:pt idx="49">
                        <c:v>379861.63291501981</c:v>
                      </c:pt>
                      <c:pt idx="50">
                        <c:v>382477.52353541146</c:v>
                      </c:pt>
                      <c:pt idx="51">
                        <c:v>385033.98353376606</c:v>
                      </c:pt>
                      <c:pt idx="52">
                        <c:v>387520.53098578565</c:v>
                      </c:pt>
                      <c:pt idx="53">
                        <c:v>389930.26314975898</c:v>
                      </c:pt>
                      <c:pt idx="54">
                        <c:v>392262.67166507011</c:v>
                      </c:pt>
                      <c:pt idx="55">
                        <c:v>394509.53413043555</c:v>
                      </c:pt>
                      <c:pt idx="56">
                        <c:v>396661.69690977142</c:v>
                      </c:pt>
                      <c:pt idx="57">
                        <c:v>398718.35948722134</c:v>
                      </c:pt>
                      <c:pt idx="58">
                        <c:v>400681.25653547561</c:v>
                      </c:pt>
                      <c:pt idx="59">
                        <c:v>402551.68312296539</c:v>
                      </c:pt>
                      <c:pt idx="60">
                        <c:v>404320.71314471518</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3918474.6420822935</c:v>
                      </c:pt>
                      <c:pt idx="23">
                        <c:v>3970073.9493708364</c:v>
                      </c:pt>
                      <c:pt idx="24">
                        <c:v>4052957.2380717825</c:v>
                      </c:pt>
                      <c:pt idx="25">
                        <c:v>4076755.4517869898</c:v>
                      </c:pt>
                      <c:pt idx="26">
                        <c:v>4062162.5676625171</c:v>
                      </c:pt>
                      <c:pt idx="27">
                        <c:v>4009333.845017544</c:v>
                      </c:pt>
                      <c:pt idx="28">
                        <c:v>3987094.1595649356</c:v>
                      </c:pt>
                      <c:pt idx="29">
                        <c:v>3969899.9472367382</c:v>
                      </c:pt>
                      <c:pt idx="30">
                        <c:v>3462199.4187546023</c:v>
                      </c:pt>
                      <c:pt idx="31">
                        <c:v>3724219.5117347874</c:v>
                      </c:pt>
                      <c:pt idx="32">
                        <c:v>16193839.326941296</c:v>
                      </c:pt>
                      <c:pt idx="33">
                        <c:v>16484167.985702422</c:v>
                      </c:pt>
                      <c:pt idx="34">
                        <c:v>16742093.794591503</c:v>
                      </c:pt>
                      <c:pt idx="35">
                        <c:v>16968718.072403919</c:v>
                      </c:pt>
                      <c:pt idx="36">
                        <c:v>17167120.680343334</c:v>
                      </c:pt>
                      <c:pt idx="37">
                        <c:v>17335813.415578399</c:v>
                      </c:pt>
                      <c:pt idx="38">
                        <c:v>17473653.740607541</c:v>
                      </c:pt>
                      <c:pt idx="39">
                        <c:v>17579518.646849606</c:v>
                      </c:pt>
                      <c:pt idx="40">
                        <c:v>17652406.555255361</c:v>
                      </c:pt>
                      <c:pt idx="41">
                        <c:v>17691634.493481737</c:v>
                      </c:pt>
                      <c:pt idx="42">
                        <c:v>17696569.260245401</c:v>
                      </c:pt>
                      <c:pt idx="43">
                        <c:v>17666869.667780127</c:v>
                      </c:pt>
                      <c:pt idx="44">
                        <c:v>17602494.257674381</c:v>
                      </c:pt>
                      <c:pt idx="45">
                        <c:v>17503438.013310917</c:v>
                      </c:pt>
                      <c:pt idx="46">
                        <c:v>17369849.315022156</c:v>
                      </c:pt>
                      <c:pt idx="47">
                        <c:v>-3709176.2585350703</c:v>
                      </c:pt>
                      <c:pt idx="48">
                        <c:v>-3714425.3370432453</c:v>
                      </c:pt>
                      <c:pt idx="49">
                        <c:v>-3719178.2884056349</c:v>
                      </c:pt>
                      <c:pt idx="50">
                        <c:v>-3723475.5305944164</c:v>
                      </c:pt>
                      <c:pt idx="51">
                        <c:v>-3727363.2723847469</c:v>
                      </c:pt>
                      <c:pt idx="52">
                        <c:v>-3730733.0112936441</c:v>
                      </c:pt>
                      <c:pt idx="53">
                        <c:v>-3733515.3660114869</c:v>
                      </c:pt>
                      <c:pt idx="54">
                        <c:v>-3735707.1866359627</c:v>
                      </c:pt>
                      <c:pt idx="55">
                        <c:v>-3737228.4870834188</c:v>
                      </c:pt>
                      <c:pt idx="56">
                        <c:v>-3737992.0234915093</c:v>
                      </c:pt>
                      <c:pt idx="57">
                        <c:v>-3737995.295791408</c:v>
                      </c:pt>
                      <c:pt idx="58">
                        <c:v>-3737260.9561643</c:v>
                      </c:pt>
                      <c:pt idx="59">
                        <c:v>-3735807.0066646663</c:v>
                      </c:pt>
                      <c:pt idx="60">
                        <c:v>-3733551.6596255978</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24596.567437021014</c:v>
                </c:pt>
                <c:pt idx="13">
                  <c:v>24497.747310072355</c:v>
                </c:pt>
                <c:pt idx="14">
                  <c:v>24503.520525013511</c:v>
                </c:pt>
                <c:pt idx="15">
                  <c:v>24330.600675717978</c:v>
                </c:pt>
                <c:pt idx="16">
                  <c:v>24050.505209418396</c:v>
                </c:pt>
                <c:pt idx="17">
                  <c:v>23669.383405227261</c:v>
                </c:pt>
                <c:pt idx="18">
                  <c:v>23387.298701141393</c:v>
                </c:pt>
                <c:pt idx="19">
                  <c:v>23126.614059508956</c:v>
                </c:pt>
                <c:pt idx="20">
                  <c:v>21392.93953700738</c:v>
                </c:pt>
                <c:pt idx="21">
                  <c:v>22014.083437868067</c:v>
                </c:pt>
                <c:pt idx="22">
                  <c:v>56032.072122577665</c:v>
                </c:pt>
                <c:pt idx="23">
                  <c:v>56387.714166571561</c:v>
                </c:pt>
                <c:pt idx="24">
                  <c:v>56665.381042402791</c:v>
                </c:pt>
                <c:pt idx="25">
                  <c:v>56861.872755180499</c:v>
                </c:pt>
                <c:pt idx="26">
                  <c:v>56973.570914767282</c:v>
                </c:pt>
                <c:pt idx="27">
                  <c:v>56999.225085508784</c:v>
                </c:pt>
                <c:pt idx="28">
                  <c:v>56937.975415198875</c:v>
                </c:pt>
                <c:pt idx="29">
                  <c:v>56789.500530797806</c:v>
                </c:pt>
                <c:pt idx="30">
                  <c:v>56553.98142272314</c:v>
                </c:pt>
                <c:pt idx="31">
                  <c:v>55882.65194016615</c:v>
                </c:pt>
                <c:pt idx="32">
                  <c:v>55127.862761515571</c:v>
                </c:pt>
                <c:pt idx="33">
                  <c:v>54292.951227005775</c:v>
                </c:pt>
                <c:pt idx="34">
                  <c:v>53381.633593419647</c:v>
                </c:pt>
                <c:pt idx="35">
                  <c:v>52398.102292235519</c:v>
                </c:pt>
                <c:pt idx="36">
                  <c:v>51346.937420336333</c:v>
                </c:pt>
                <c:pt idx="37">
                  <c:v>2863.5939896353152</c:v>
                </c:pt>
                <c:pt idx="38">
                  <c:v>2936.4053616578226</c:v>
                </c:pt>
                <c:pt idx="39">
                  <c:v>3008.1157154435814</c:v>
                </c:pt>
                <c:pt idx="40">
                  <c:v>3078.7641612333764</c:v>
                </c:pt>
                <c:pt idx="41">
                  <c:v>3135.3618100886833</c:v>
                </c:pt>
                <c:pt idx="42">
                  <c:v>3191.0262701857569</c:v>
                </c:pt>
                <c:pt idx="43">
                  <c:v>3245.720122576347</c:v>
                </c:pt>
                <c:pt idx="44">
                  <c:v>3299.4459945950121</c:v>
                </c:pt>
                <c:pt idx="45">
                  <c:v>3352.1545115293084</c:v>
                </c:pt>
                <c:pt idx="46">
                  <c:v>3403.7879433333815</c:v>
                </c:pt>
                <c:pt idx="47">
                  <c:v>3454.3426033996911</c:v>
                </c:pt>
                <c:pt idx="48">
                  <c:v>3503.8314062986174</c:v>
                </c:pt>
                <c:pt idx="49">
                  <c:v>3552.2641887408727</c:v>
                </c:pt>
                <c:pt idx="50">
                  <c:v>3599.5805282644615</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776.88026181002783</c:v>
                </c:pt>
                <c:pt idx="15">
                  <c:v>774.22773270072685</c:v>
                </c:pt>
                <c:pt idx="16">
                  <c:v>767.77846974201952</c:v>
                </c:pt>
                <c:pt idx="17">
                  <c:v>757.64147058917911</c:v>
                </c:pt>
                <c:pt idx="18">
                  <c:v>751.15754383054059</c:v>
                </c:pt>
                <c:pt idx="19">
                  <c:v>745.51317364056126</c:v>
                </c:pt>
                <c:pt idx="20">
                  <c:v>686.13120665304496</c:v>
                </c:pt>
                <c:pt idx="21">
                  <c:v>708.75463781476492</c:v>
                </c:pt>
                <c:pt idx="22">
                  <c:v>1989.4091279819295</c:v>
                </c:pt>
                <c:pt idx="23">
                  <c:v>2002.8421867762245</c:v>
                </c:pt>
                <c:pt idx="24">
                  <c:v>2013.2635270784995</c:v>
                </c:pt>
                <c:pt idx="25">
                  <c:v>2020.666550513884</c:v>
                </c:pt>
                <c:pt idx="26">
                  <c:v>2025.108970496176</c:v>
                </c:pt>
                <c:pt idx="27">
                  <c:v>2026.520579934715</c:v>
                </c:pt>
                <c:pt idx="28">
                  <c:v>2024.8542996972278</c:v>
                </c:pt>
                <c:pt idx="29">
                  <c:v>2020.0766071452153</c:v>
                </c:pt>
                <c:pt idx="30">
                  <c:v>2012.1705445328967</c:v>
                </c:pt>
                <c:pt idx="31">
                  <c:v>2001.1843984436582</c:v>
                </c:pt>
                <c:pt idx="32">
                  <c:v>1987.0957444650371</c:v>
                </c:pt>
                <c:pt idx="33">
                  <c:v>1969.9433810173034</c:v>
                </c:pt>
                <c:pt idx="34">
                  <c:v>1949.7858062578432</c:v>
                </c:pt>
                <c:pt idx="35">
                  <c:v>1926.6939076070657</c:v>
                </c:pt>
                <c:pt idx="36">
                  <c:v>1900.7535340392546</c:v>
                </c:pt>
                <c:pt idx="37">
                  <c:v>-31.554386682627324</c:v>
                </c:pt>
                <c:pt idx="38">
                  <c:v>-30.300389088117189</c:v>
                </c:pt>
                <c:pt idx="39">
                  <c:v>-29.043419266188771</c:v>
                </c:pt>
                <c:pt idx="40">
                  <c:v>-27.784621852546252</c:v>
                </c:pt>
                <c:pt idx="41">
                  <c:v>-26.523135992360828</c:v>
                </c:pt>
                <c:pt idx="42">
                  <c:v>-25.258775061373768</c:v>
                </c:pt>
                <c:pt idx="43">
                  <c:v>-23.990368199030943</c:v>
                </c:pt>
                <c:pt idx="44">
                  <c:v>-22.718240489243172</c:v>
                </c:pt>
                <c:pt idx="45">
                  <c:v>-21.441166242215616</c:v>
                </c:pt>
                <c:pt idx="46">
                  <c:v>-20.157911141858431</c:v>
                </c:pt>
                <c:pt idx="47">
                  <c:v>-18.869035946146806</c:v>
                </c:pt>
                <c:pt idx="48">
                  <c:v>-17.57558428960775</c:v>
                </c:pt>
                <c:pt idx="49">
                  <c:v>-16.278475371421244</c:v>
                </c:pt>
                <c:pt idx="50">
                  <c:v>-14.976775057899713</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1611.8202237640569</c:v>
                </c:pt>
                <c:pt idx="13">
                  <c:v>1628.3498454049952</c:v>
                </c:pt>
                <c:pt idx="14">
                  <c:v>1654.3267410473245</c:v>
                </c:pt>
                <c:pt idx="15">
                  <c:v>1663.6384309182047</c:v>
                </c:pt>
                <c:pt idx="16">
                  <c:v>1662.3021398559861</c:v>
                </c:pt>
                <c:pt idx="17">
                  <c:v>1650.3976769413121</c:v>
                </c:pt>
                <c:pt idx="18">
                  <c:v>1647.5009704288248</c:v>
                </c:pt>
                <c:pt idx="19">
                  <c:v>1646.2684747308629</c:v>
                </c:pt>
                <c:pt idx="20">
                  <c:v>1499.3361276564717</c:v>
                </c:pt>
                <c:pt idx="21">
                  <c:v>1577.3560251072734</c:v>
                </c:pt>
                <c:pt idx="22">
                  <c:v>5155.8934530928118</c:v>
                </c:pt>
                <c:pt idx="23">
                  <c:v>5242.7690506636527</c:v>
                </c:pt>
                <c:pt idx="24">
                  <c:v>5321.2996390873295</c:v>
                </c:pt>
                <c:pt idx="25">
                  <c:v>5391.3884562478806</c:v>
                </c:pt>
                <c:pt idx="26">
                  <c:v>5453.2165713883915</c:v>
                </c:pt>
                <c:pt idx="27">
                  <c:v>5506.3812128817053</c:v>
                </c:pt>
                <c:pt idx="28">
                  <c:v>5550.5475194976107</c:v>
                </c:pt>
                <c:pt idx="29">
                  <c:v>5585.4070236046136</c:v>
                </c:pt>
                <c:pt idx="30">
                  <c:v>5610.6924571048703</c:v>
                </c:pt>
                <c:pt idx="31">
                  <c:v>5620.9400565137012</c:v>
                </c:pt>
                <c:pt idx="32">
                  <c:v>5621.3502562071208</c:v>
                </c:pt>
                <c:pt idx="33">
                  <c:v>5611.8495954416239</c:v>
                </c:pt>
                <c:pt idx="34">
                  <c:v>5592.4315797193904</c:v>
                </c:pt>
                <c:pt idx="35">
                  <c:v>5563.1223773999391</c:v>
                </c:pt>
                <c:pt idx="36">
                  <c:v>5523.9960192381877</c:v>
                </c:pt>
                <c:pt idx="37">
                  <c:v>-516.45011818944261</c:v>
                </c:pt>
                <c:pt idx="38">
                  <c:v>-515.96304450073899</c:v>
                </c:pt>
                <c:pt idx="39">
                  <c:v>-515.43589183827578</c:v>
                </c:pt>
                <c:pt idx="40">
                  <c:v>-514.8733763232309</c:v>
                </c:pt>
                <c:pt idx="41">
                  <c:v>-514.46413193415469</c:v>
                </c:pt>
                <c:pt idx="42">
                  <c:v>-514.00599403809395</c:v>
                </c:pt>
                <c:pt idx="43">
                  <c:v>-513.48972139294051</c:v>
                </c:pt>
                <c:pt idx="44">
                  <c:v>-512.91465629781123</c:v>
                </c:pt>
                <c:pt idx="45">
                  <c:v>-512.2702928008548</c:v>
                </c:pt>
                <c:pt idx="46">
                  <c:v>-511.54525812713905</c:v>
                </c:pt>
                <c:pt idx="47">
                  <c:v>-510.73910825711812</c:v>
                </c:pt>
                <c:pt idx="48">
                  <c:v>-509.854635356031</c:v>
                </c:pt>
                <c:pt idx="49">
                  <c:v>-508.89403698832388</c:v>
                </c:pt>
                <c:pt idx="50">
                  <c:v>-507.84676064716342</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893.8099998865514</c:v>
                </c:pt>
                <c:pt idx="22">
                  <c:v>900.67357822106953</c:v>
                </c:pt>
                <c:pt idx="23">
                  <c:v>1065.3940139484962</c:v>
                </c:pt>
                <c:pt idx="24">
                  <c:v>1069.5090816299301</c:v>
                </c:pt>
                <c:pt idx="25">
                  <c:v>1073.3182252319168</c:v>
                </c:pt>
                <c:pt idx="26">
                  <c:v>1076.8218555552182</c:v>
                </c:pt>
                <c:pt idx="27">
                  <c:v>1080.0226317758113</c:v>
                </c:pt>
                <c:pt idx="28">
                  <c:v>1082.9177749187229</c:v>
                </c:pt>
                <c:pt idx="29">
                  <c:v>1085.5049609833559</c:v>
                </c:pt>
                <c:pt idx="30">
                  <c:v>1087.7819132444117</c:v>
                </c:pt>
                <c:pt idx="31">
                  <c:v>1089.7465011362146</c:v>
                </c:pt>
                <c:pt idx="32">
                  <c:v>1091.3969473327843</c:v>
                </c:pt>
                <c:pt idx="33">
                  <c:v>1092.7315009729246</c:v>
                </c:pt>
                <c:pt idx="34">
                  <c:v>1093.7487030524378</c:v>
                </c:pt>
                <c:pt idx="35">
                  <c:v>1094.4473857214566</c:v>
                </c:pt>
                <c:pt idx="36">
                  <c:v>1094.8263628266327</c:v>
                </c:pt>
                <c:pt idx="37">
                  <c:v>1094.8845593444271</c:v>
                </c:pt>
                <c:pt idx="38">
                  <c:v>607.97020905828253</c:v>
                </c:pt>
                <c:pt idx="39">
                  <c:v>607.55745037474526</c:v>
                </c:pt>
                <c:pt idx="40">
                  <c:v>607.15409314091119</c:v>
                </c:pt>
                <c:pt idx="41">
                  <c:v>606.75958690378332</c:v>
                </c:pt>
                <c:pt idx="42">
                  <c:v>606.37328175345601</c:v>
                </c:pt>
                <c:pt idx="43">
                  <c:v>605.99682053444815</c:v>
                </c:pt>
                <c:pt idx="44">
                  <c:v>605.63131244884619</c:v>
                </c:pt>
                <c:pt idx="45">
                  <c:v>605.27689810634104</c:v>
                </c:pt>
                <c:pt idx="46">
                  <c:v>604.93489516166983</c:v>
                </c:pt>
                <c:pt idx="47">
                  <c:v>604.60677047885349</c:v>
                </c:pt>
                <c:pt idx="48">
                  <c:v>604.29271780451234</c:v>
                </c:pt>
                <c:pt idx="49">
                  <c:v>603.99253980993103</c:v>
                </c:pt>
                <c:pt idx="50">
                  <c:v>603.70610230649959</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469.91049414760272</c:v>
                </c:pt>
                <c:pt idx="22">
                  <c:v>469.73756057025111</c:v>
                </c:pt>
                <c:pt idx="23">
                  <c:v>465.58729188751397</c:v>
                </c:pt>
                <c:pt idx="24">
                  <c:v>465.48360932711904</c:v>
                </c:pt>
                <c:pt idx="25">
                  <c:v>465.38763477891212</c:v>
                </c:pt>
                <c:pt idx="26">
                  <c:v>465.29935789242586</c:v>
                </c:pt>
                <c:pt idx="27">
                  <c:v>465.21871166750475</c:v>
                </c:pt>
                <c:pt idx="28">
                  <c:v>465.1457661227397</c:v>
                </c:pt>
                <c:pt idx="29">
                  <c:v>465.080579813263</c:v>
                </c:pt>
                <c:pt idx="30">
                  <c:v>465.02321010306639</c:v>
                </c:pt>
                <c:pt idx="31">
                  <c:v>464.97371067352793</c:v>
                </c:pt>
                <c:pt idx="32">
                  <c:v>464.93212630585725</c:v>
                </c:pt>
                <c:pt idx="33">
                  <c:v>464.89850111446157</c:v>
                </c:pt>
                <c:pt idx="34">
                  <c:v>464.87287186016789</c:v>
                </c:pt>
                <c:pt idx="35">
                  <c:v>464.8552679679272</c:v>
                </c:pt>
                <c:pt idx="36">
                  <c:v>464.84571932386154</c:v>
                </c:pt>
                <c:pt idx="37">
                  <c:v>464.84425301408538</c:v>
                </c:pt>
                <c:pt idx="38">
                  <c:v>477.11246594251554</c:v>
                </c:pt>
                <c:pt idx="39">
                  <c:v>477.12286574160703</c:v>
                </c:pt>
                <c:pt idx="40">
                  <c:v>477.13302866333646</c:v>
                </c:pt>
                <c:pt idx="41">
                  <c:v>477.14296857682592</c:v>
                </c:pt>
                <c:pt idx="42">
                  <c:v>477.15270185709755</c:v>
                </c:pt>
                <c:pt idx="43">
                  <c:v>477.16218711131398</c:v>
                </c:pt>
                <c:pt idx="44">
                  <c:v>477.17139639220409</c:v>
                </c:pt>
                <c:pt idx="45">
                  <c:v>477.18032615698962</c:v>
                </c:pt>
                <c:pt idx="46">
                  <c:v>477.18894320626106</c:v>
                </c:pt>
                <c:pt idx="47">
                  <c:v>477.1972105811567</c:v>
                </c:pt>
                <c:pt idx="48">
                  <c:v>477.20512340006883</c:v>
                </c:pt>
                <c:pt idx="49">
                  <c:v>477.2126866348591</c:v>
                </c:pt>
                <c:pt idx="50">
                  <c:v>477.21990366652125</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17151.705697759644</c:v>
                </c:pt>
                <c:pt idx="13">
                  <c:v>17093.826915551952</c:v>
                </c:pt>
                <c:pt idx="14">
                  <c:v>17091.396392844257</c:v>
                </c:pt>
                <c:pt idx="15">
                  <c:v>16996.52378933522</c:v>
                </c:pt>
                <c:pt idx="16">
                  <c:v>16845.135916251191</c:v>
                </c:pt>
                <c:pt idx="17">
                  <c:v>16640.888084222788</c:v>
                </c:pt>
                <c:pt idx="18">
                  <c:v>16487.529960272332</c:v>
                </c:pt>
                <c:pt idx="19">
                  <c:v>16345.805129696333</c:v>
                </c:pt>
                <c:pt idx="20">
                  <c:v>15442.498897334191</c:v>
                </c:pt>
                <c:pt idx="21">
                  <c:v>15750.943286516664</c:v>
                </c:pt>
                <c:pt idx="22">
                  <c:v>33312.269154363297</c:v>
                </c:pt>
                <c:pt idx="23">
                  <c:v>33609.072223490431</c:v>
                </c:pt>
                <c:pt idx="24">
                  <c:v>33737.696617721129</c:v>
                </c:pt>
                <c:pt idx="25">
                  <c:v>33824.004578088119</c:v>
                </c:pt>
                <c:pt idx="26">
                  <c:v>33866.164598582895</c:v>
                </c:pt>
                <c:pt idx="27">
                  <c:v>33863.61579402881</c:v>
                </c:pt>
                <c:pt idx="28">
                  <c:v>33815.995567881699</c:v>
                </c:pt>
                <c:pt idx="29">
                  <c:v>33723.223210999226</c:v>
                </c:pt>
                <c:pt idx="30">
                  <c:v>33585.479307194197</c:v>
                </c:pt>
                <c:pt idx="31">
                  <c:v>33216.870873793028</c:v>
                </c:pt>
                <c:pt idx="32">
                  <c:v>32805.284931154434</c:v>
                </c:pt>
                <c:pt idx="33">
                  <c:v>32352.561966538182</c:v>
                </c:pt>
                <c:pt idx="34">
                  <c:v>31860.735404641982</c:v>
                </c:pt>
                <c:pt idx="35">
                  <c:v>31332.083916991196</c:v>
                </c:pt>
                <c:pt idx="36">
                  <c:v>30769.083180828537</c:v>
                </c:pt>
                <c:pt idx="37">
                  <c:v>6047.5720050875789</c:v>
                </c:pt>
                <c:pt idx="38">
                  <c:v>5700.0295711204262</c:v>
                </c:pt>
                <c:pt idx="39">
                  <c:v>5738.7423920860329</c:v>
                </c:pt>
                <c:pt idx="40">
                  <c:v>5776.900805096876</c:v>
                </c:pt>
                <c:pt idx="41">
                  <c:v>5807.5670565658629</c:v>
                </c:pt>
                <c:pt idx="42">
                  <c:v>5837.7438425028104</c:v>
                </c:pt>
                <c:pt idx="43">
                  <c:v>5867.4120579655573</c:v>
                </c:pt>
                <c:pt idx="44">
                  <c:v>5896.5737412741164</c:v>
                </c:pt>
                <c:pt idx="45">
                  <c:v>5925.2021354424523</c:v>
                </c:pt>
                <c:pt idx="46">
                  <c:v>5953.2668964003005</c:v>
                </c:pt>
                <c:pt idx="47">
                  <c:v>5980.7669219308082</c:v>
                </c:pt>
                <c:pt idx="48">
                  <c:v>6007.7090563142428</c:v>
                </c:pt>
                <c:pt idx="49">
                  <c:v>6034.0981838862199</c:v>
                </c:pt>
                <c:pt idx="50">
                  <c:v>6059.9013374203532</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1997.8167979558439</c:v>
                </c:pt>
                <c:pt idx="18">
                  <c:v>1981.3182233351415</c:v>
                </c:pt>
                <c:pt idx="19">
                  <c:v>1966.2827775921453</c:v>
                </c:pt>
                <c:pt idx="20">
                  <c:v>1855.0324856213779</c:v>
                </c:pt>
                <c:pt idx="21">
                  <c:v>1895.2966379778347</c:v>
                </c:pt>
                <c:pt idx="22">
                  <c:v>4092.2077070290761</c:v>
                </c:pt>
                <c:pt idx="23">
                  <c:v>4119.3508292204397</c:v>
                </c:pt>
                <c:pt idx="24">
                  <c:v>4138.6233146004733</c:v>
                </c:pt>
                <c:pt idx="25">
                  <c:v>4152.8029430545121</c:v>
                </c:pt>
                <c:pt idx="26">
                  <c:v>4161.4921749631267</c:v>
                </c:pt>
                <c:pt idx="27">
                  <c:v>4164.6098753594988</c:v>
                </c:pt>
                <c:pt idx="28">
                  <c:v>4162.0930945327327</c:v>
                </c:pt>
                <c:pt idx="29">
                  <c:v>4153.9184974906266</c:v>
                </c:pt>
                <c:pt idx="30">
                  <c:v>4140.0968073883751</c:v>
                </c:pt>
                <c:pt idx="31">
                  <c:v>4099.452195620157</c:v>
                </c:pt>
                <c:pt idx="32">
                  <c:v>4053.3734930089595</c:v>
                </c:pt>
                <c:pt idx="33">
                  <c:v>4002.0643041433041</c:v>
                </c:pt>
                <c:pt idx="34">
                  <c:v>3945.7489239332363</c:v>
                </c:pt>
                <c:pt idx="35">
                  <c:v>3884.6881373536157</c:v>
                </c:pt>
                <c:pt idx="36">
                  <c:v>3819.169466179434</c:v>
                </c:pt>
                <c:pt idx="37">
                  <c:v>664.12241108963667</c:v>
                </c:pt>
                <c:pt idx="38">
                  <c:v>659.4745800618964</c:v>
                </c:pt>
                <c:pt idx="39">
                  <c:v>664.10039058383097</c:v>
                </c:pt>
                <c:pt idx="40">
                  <c:v>668.64813944174898</c:v>
                </c:pt>
                <c:pt idx="41">
                  <c:v>672.33014216349636</c:v>
                </c:pt>
                <c:pt idx="42">
                  <c:v>675.93855047831858</c:v>
                </c:pt>
                <c:pt idx="43">
                  <c:v>679.46796619123234</c:v>
                </c:pt>
                <c:pt idx="44">
                  <c:v>682.91810716316115</c:v>
                </c:pt>
                <c:pt idx="45">
                  <c:v>686.28237716647902</c:v>
                </c:pt>
                <c:pt idx="46">
                  <c:v>689.55337721332842</c:v>
                </c:pt>
                <c:pt idx="47">
                  <c:v>692.7304614366434</c:v>
                </c:pt>
                <c:pt idx="48">
                  <c:v>695.81501698037243</c:v>
                </c:pt>
                <c:pt idx="49">
                  <c:v>698.80806377107808</c:v>
                </c:pt>
                <c:pt idx="50">
                  <c:v>701.70223256615009</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463.94620254720871</c:v>
                </c:pt>
                <c:pt idx="13">
                  <c:v>468.55349021707195</c:v>
                </c:pt>
                <c:pt idx="14">
                  <c:v>475.46673921112142</c:v>
                </c:pt>
                <c:pt idx="15">
                  <c:v>478.52713833996262</c:v>
                </c:pt>
                <c:pt idx="16">
                  <c:v>479.13075008565454</c:v>
                </c:pt>
                <c:pt idx="17">
                  <c:v>477.27784879908728</c:v>
                </c:pt>
                <c:pt idx="18">
                  <c:v>477.58815133846184</c:v>
                </c:pt>
                <c:pt idx="19">
                  <c:v>478.32509917641192</c:v>
                </c:pt>
                <c:pt idx="20">
                  <c:v>443.9175638870023</c:v>
                </c:pt>
                <c:pt idx="21">
                  <c:v>462.68648804238023</c:v>
                </c:pt>
                <c:pt idx="22">
                  <c:v>1317.966828312595</c:v>
                </c:pt>
                <c:pt idx="23">
                  <c:v>1339.2621867022526</c:v>
                </c:pt>
                <c:pt idx="24">
                  <c:v>1358.663287636766</c:v>
                </c:pt>
                <c:pt idx="25">
                  <c:v>1376.1134034897402</c:v>
                </c:pt>
                <c:pt idx="26">
                  <c:v>1391.5999690343706</c:v>
                </c:pt>
                <c:pt idx="27">
                  <c:v>1405.024568211617</c:v>
                </c:pt>
                <c:pt idx="28">
                  <c:v>1416.3026817438217</c:v>
                </c:pt>
                <c:pt idx="29">
                  <c:v>1425.357672628686</c:v>
                </c:pt>
                <c:pt idx="30">
                  <c:v>1432.1232776986146</c:v>
                </c:pt>
                <c:pt idx="31">
                  <c:v>1436.6882128110303</c:v>
                </c:pt>
                <c:pt idx="32">
                  <c:v>1438.8848480365857</c:v>
                </c:pt>
                <c:pt idx="33">
                  <c:v>1438.6847490111045</c:v>
                </c:pt>
                <c:pt idx="34">
                  <c:v>1436.0742896551883</c:v>
                </c:pt>
                <c:pt idx="35">
                  <c:v>1431.0497024924882</c:v>
                </c:pt>
                <c:pt idx="36">
                  <c:v>1423.6194195080968</c:v>
                </c:pt>
                <c:pt idx="37">
                  <c:v>-38.332753408722951</c:v>
                </c:pt>
                <c:pt idx="38">
                  <c:v>-38.309567523145773</c:v>
                </c:pt>
                <c:pt idx="39">
                  <c:v>-38.278018396735675</c:v>
                </c:pt>
                <c:pt idx="40">
                  <c:v>-38.238972886886053</c:v>
                </c:pt>
                <c:pt idx="41">
                  <c:v>-38.18534320439602</c:v>
                </c:pt>
                <c:pt idx="42">
                  <c:v>-38.122789106338089</c:v>
                </c:pt>
                <c:pt idx="43">
                  <c:v>-38.050142573277995</c:v>
                </c:pt>
                <c:pt idx="44">
                  <c:v>-37.967471703883575</c:v>
                </c:pt>
                <c:pt idx="45">
                  <c:v>-37.873431759503518</c:v>
                </c:pt>
                <c:pt idx="46">
                  <c:v>-37.766564219884955</c:v>
                </c:pt>
                <c:pt idx="47">
                  <c:v>-37.646973836875254</c:v>
                </c:pt>
                <c:pt idx="48">
                  <c:v>-37.515218064067831</c:v>
                </c:pt>
                <c:pt idx="49">
                  <c:v>-37.371760215821965</c:v>
                </c:pt>
                <c:pt idx="50">
                  <c:v>-37.215258783869729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22916.931601602213</c:v>
                </c:pt>
                <c:pt idx="4">
                  <c:v>22902.965793483327</c:v>
                </c:pt>
                <c:pt idx="5">
                  <c:v>22783.71717272891</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26982.018509963775</c:v>
                      </c:pt>
                      <c:pt idx="3">
                        <c:v>26899.412164760484</c:v>
                      </c:pt>
                      <c:pt idx="4">
                        <c:v>26934.727527870862</c:v>
                      </c:pt>
                      <c:pt idx="5">
                        <c:v>26768.466839336907</c:v>
                      </c:pt>
                      <c:pt idx="6">
                        <c:v>26480.585819016404</c:v>
                      </c:pt>
                      <c:pt idx="7">
                        <c:v>26077.422552757755</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49879.473570311653</c:v>
                      </c:pt>
                      <c:pt idx="3">
                        <c:v>49816.343766362697</c:v>
                      </c:pt>
                      <c:pt idx="4">
                        <c:v>49837.693321354192</c:v>
                      </c:pt>
                      <c:pt idx="5">
                        <c:v>49552.184012065816</c:v>
                      </c:pt>
                      <c:pt idx="6">
                        <c:v>49119.041014062772</c:v>
                      </c:pt>
                      <c:pt idx="7">
                        <c:v>48506.139935969462</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49879.473570311653</c:v>
                </c:pt>
                <c:pt idx="1">
                  <c:v>49816.343766362697</c:v>
                </c:pt>
                <c:pt idx="2">
                  <c:v>49837.693321354192</c:v>
                </c:pt>
                <c:pt idx="3">
                  <c:v>49552.184012065816</c:v>
                </c:pt>
                <c:pt idx="4">
                  <c:v>49119.041014062772</c:v>
                </c:pt>
                <c:pt idx="5">
                  <c:v>48506.139935969462</c:v>
                </c:pt>
                <c:pt idx="6">
                  <c:v>48052.087616742072</c:v>
                </c:pt>
                <c:pt idx="7">
                  <c:v>47638.317777423879</c:v>
                </c:pt>
                <c:pt idx="8">
                  <c:v>44659.253273605718</c:v>
                </c:pt>
                <c:pt idx="9">
                  <c:v>45748.017372690476</c:v>
                </c:pt>
                <c:pt idx="10">
                  <c:v>105253.76536933912</c:v>
                </c:pt>
                <c:pt idx="11">
                  <c:v>106223.88725831211</c:v>
                </c:pt>
                <c:pt idx="12">
                  <c:v>106770.17490039667</c:v>
                </c:pt>
                <c:pt idx="13">
                  <c:v>107174.16879935921</c:v>
                </c:pt>
                <c:pt idx="14">
                  <c:v>107430.24813731473</c:v>
                </c:pt>
                <c:pt idx="15">
                  <c:v>107535.9516558644</c:v>
                </c:pt>
                <c:pt idx="16">
                  <c:v>107489.52478795048</c:v>
                </c:pt>
                <c:pt idx="17">
                  <c:v>107290.12122368094</c:v>
                </c:pt>
                <c:pt idx="18">
                  <c:v>106937.76055206884</c:v>
                </c:pt>
                <c:pt idx="19">
                  <c:v>105870.93370376204</c:v>
                </c:pt>
                <c:pt idx="20">
                  <c:v>104656.62112515626</c:v>
                </c:pt>
                <c:pt idx="21">
                  <c:v>103300.13944489992</c:v>
                </c:pt>
                <c:pt idx="22">
                  <c:v>101807.49959472047</c:v>
                </c:pt>
                <c:pt idx="23">
                  <c:v>100185.52561247512</c:v>
                </c:pt>
                <c:pt idx="24">
                  <c:v>98441.72794951158</c:v>
                </c:pt>
                <c:pt idx="25">
                  <c:v>12655.190989646824</c:v>
                </c:pt>
                <c:pt idx="26">
                  <c:v>11910.944419010844</c:v>
                </c:pt>
                <c:pt idx="27">
                  <c:v>12034.902222208848</c:v>
                </c:pt>
                <c:pt idx="28">
                  <c:v>12157.219499192179</c:v>
                </c:pt>
                <c:pt idx="29">
                  <c:v>12257.000701044681</c:v>
                </c:pt>
                <c:pt idx="30">
                  <c:v>12355.354341646918</c:v>
                </c:pt>
                <c:pt idx="31">
                  <c:v>12452.231680487279</c:v>
                </c:pt>
                <c:pt idx="32">
                  <c:v>12547.638446854375</c:v>
                </c:pt>
                <c:pt idx="33">
                  <c:v>12641.505126269316</c:v>
                </c:pt>
                <c:pt idx="34">
                  <c:v>12733.751595694723</c:v>
                </c:pt>
                <c:pt idx="35">
                  <c:v>12824.373628854022</c:v>
                </c:pt>
                <c:pt idx="36">
                  <c:v>12913.388167353462</c:v>
                </c:pt>
                <c:pt idx="37">
                  <c:v>13000.807179731093</c:v>
                </c:pt>
                <c:pt idx="38">
                  <c:v>13086.542604397095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49879.473570311653</c:v>
                </c:pt>
                <c:pt idx="1">
                  <c:v>49816.343766362697</c:v>
                </c:pt>
                <c:pt idx="2">
                  <c:v>49837.693321354192</c:v>
                </c:pt>
                <c:pt idx="3">
                  <c:v>49552.184012065816</c:v>
                </c:pt>
                <c:pt idx="4">
                  <c:v>49119.041014062772</c:v>
                </c:pt>
                <c:pt idx="5">
                  <c:v>48506.139935969462</c:v>
                </c:pt>
                <c:pt idx="6">
                  <c:v>48052.087616742072</c:v>
                </c:pt>
                <c:pt idx="7">
                  <c:v>47638.317777423879</c:v>
                </c:pt>
                <c:pt idx="8">
                  <c:v>44659.253273605718</c:v>
                </c:pt>
                <c:pt idx="9">
                  <c:v>45748.017372690476</c:v>
                </c:pt>
                <c:pt idx="10">
                  <c:v>105253.76536933912</c:v>
                </c:pt>
                <c:pt idx="11">
                  <c:v>106223.88725831211</c:v>
                </c:pt>
                <c:pt idx="12">
                  <c:v>106770.17490039667</c:v>
                </c:pt>
                <c:pt idx="13">
                  <c:v>107174.16879935921</c:v>
                </c:pt>
                <c:pt idx="14">
                  <c:v>107430.24813731473</c:v>
                </c:pt>
                <c:pt idx="15">
                  <c:v>107535.9516558644</c:v>
                </c:pt>
                <c:pt idx="16">
                  <c:v>107489.52478795048</c:v>
                </c:pt>
                <c:pt idx="17">
                  <c:v>107290.12122368094</c:v>
                </c:pt>
                <c:pt idx="18">
                  <c:v>106937.76055206882</c:v>
                </c:pt>
                <c:pt idx="19">
                  <c:v>105870.93370376204</c:v>
                </c:pt>
                <c:pt idx="20">
                  <c:v>104656.62112515626</c:v>
                </c:pt>
                <c:pt idx="21">
                  <c:v>103300.13944489992</c:v>
                </c:pt>
                <c:pt idx="22">
                  <c:v>101807.49959472047</c:v>
                </c:pt>
                <c:pt idx="23">
                  <c:v>100185.52561247512</c:v>
                </c:pt>
                <c:pt idx="24">
                  <c:v>98441.72794951158</c:v>
                </c:pt>
                <c:pt idx="25">
                  <c:v>12655.190989646824</c:v>
                </c:pt>
                <c:pt idx="26">
                  <c:v>11910.944419010844</c:v>
                </c:pt>
                <c:pt idx="27">
                  <c:v>12034.902222208848</c:v>
                </c:pt>
                <c:pt idx="28">
                  <c:v>12157.219499192179</c:v>
                </c:pt>
                <c:pt idx="29">
                  <c:v>12257.000701044681</c:v>
                </c:pt>
                <c:pt idx="30">
                  <c:v>12355.354341646918</c:v>
                </c:pt>
                <c:pt idx="31">
                  <c:v>12452.231680487279</c:v>
                </c:pt>
                <c:pt idx="32">
                  <c:v>12547.638446854375</c:v>
                </c:pt>
                <c:pt idx="33">
                  <c:v>12641.505126269316</c:v>
                </c:pt>
                <c:pt idx="34">
                  <c:v>12733.751595694723</c:v>
                </c:pt>
                <c:pt idx="35">
                  <c:v>12824.373628854022</c:v>
                </c:pt>
                <c:pt idx="36">
                  <c:v>12913.388167353462</c:v>
                </c:pt>
                <c:pt idx="37">
                  <c:v>13000.807179731093</c:v>
                </c:pt>
                <c:pt idx="38">
                  <c:v>13086.542604397095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ow r="8">
          <cell r="B8">
            <v>1E-3</v>
          </cell>
        </row>
      </sheetData>
      <sheetData sheetId="12" refreshError="1"/>
      <sheetData sheetId="13" refreshError="1"/>
      <sheetData sheetId="14" refreshError="1"/>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5546875"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36" t="s">
        <v>691</v>
      </c>
      <c r="B4" s="36" t="s">
        <v>694</v>
      </c>
      <c r="C4" s="36" t="s">
        <v>695</v>
      </c>
      <c r="D4" s="36"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1389</v>
      </c>
      <c r="B13" t="s">
        <v>696</v>
      </c>
      <c r="C13" t="s">
        <v>1390</v>
      </c>
      <c r="D13" s="14" t="s">
        <v>1391</v>
      </c>
    </row>
    <row r="17" spans="1:6" ht="15.75" x14ac:dyDescent="0.25">
      <c r="A17" s="20" t="s">
        <v>697</v>
      </c>
      <c r="B17" s="20"/>
      <c r="C17" s="20"/>
      <c r="D17" s="20"/>
    </row>
    <row r="18" spans="1:6" x14ac:dyDescent="0.25">
      <c r="A18" s="36" t="s">
        <v>691</v>
      </c>
      <c r="B18" s="117" t="s">
        <v>700</v>
      </c>
      <c r="C18" s="117"/>
      <c r="D18" s="36" t="s">
        <v>283</v>
      </c>
    </row>
    <row r="19" spans="1:6" ht="51" customHeight="1" x14ac:dyDescent="0.25">
      <c r="A19" s="50" t="s">
        <v>7</v>
      </c>
      <c r="B19" s="116" t="s">
        <v>701</v>
      </c>
      <c r="C19" s="116"/>
      <c r="D19" s="4"/>
    </row>
    <row r="20" spans="1:6" ht="75" x14ac:dyDescent="0.25">
      <c r="A20" s="51" t="s">
        <v>316</v>
      </c>
      <c r="B20" s="116" t="s">
        <v>827</v>
      </c>
      <c r="C20" s="116"/>
      <c r="D20" s="52" t="s">
        <v>828</v>
      </c>
    </row>
    <row r="21" spans="1:6" ht="45" customHeight="1" x14ac:dyDescent="0.25">
      <c r="A21" s="55" t="s">
        <v>826</v>
      </c>
      <c r="B21" s="116" t="s">
        <v>781</v>
      </c>
      <c r="C21" s="116"/>
      <c r="D21" s="52"/>
    </row>
    <row r="22" spans="1:6" ht="99" customHeight="1" x14ac:dyDescent="0.25">
      <c r="A22" s="82" t="s">
        <v>829</v>
      </c>
      <c r="B22" s="118" t="s">
        <v>830</v>
      </c>
      <c r="C22" s="119"/>
      <c r="D22" s="52"/>
    </row>
    <row r="23" spans="1:6" x14ac:dyDescent="0.25">
      <c r="A23" s="53" t="s">
        <v>8</v>
      </c>
      <c r="B23" s="116" t="s">
        <v>728</v>
      </c>
      <c r="C23" s="116"/>
      <c r="D23" s="4"/>
    </row>
    <row r="24" spans="1:6" ht="60" customHeight="1" x14ac:dyDescent="0.25">
      <c r="A24" s="83" t="s">
        <v>876</v>
      </c>
      <c r="B24" s="118" t="s">
        <v>878</v>
      </c>
      <c r="C24" s="119"/>
      <c r="D24" s="4"/>
    </row>
    <row r="25" spans="1:6" ht="75" hidden="1" x14ac:dyDescent="0.25">
      <c r="A25" s="54" t="s">
        <v>783</v>
      </c>
      <c r="B25" s="116" t="s">
        <v>782</v>
      </c>
      <c r="C25" s="116"/>
      <c r="D25" s="76" t="s">
        <v>729</v>
      </c>
    </row>
    <row r="26" spans="1:6" ht="90" x14ac:dyDescent="0.25">
      <c r="A26" s="56" t="s">
        <v>142</v>
      </c>
      <c r="B26" s="116" t="s">
        <v>831</v>
      </c>
      <c r="C26" s="116"/>
      <c r="D26" s="52" t="s">
        <v>801</v>
      </c>
    </row>
    <row r="27" spans="1:6" ht="63" customHeight="1" x14ac:dyDescent="0.25">
      <c r="A27" s="56" t="s">
        <v>279</v>
      </c>
      <c r="B27" s="116" t="s">
        <v>730</v>
      </c>
      <c r="C27" s="116"/>
      <c r="D27" s="52" t="s">
        <v>731</v>
      </c>
    </row>
    <row r="28" spans="1:6" ht="46.5" customHeight="1" x14ac:dyDescent="0.25">
      <c r="A28" s="56" t="s">
        <v>699</v>
      </c>
      <c r="B28" s="116" t="s">
        <v>732</v>
      </c>
      <c r="C28" s="116"/>
      <c r="D28" s="4"/>
    </row>
    <row r="29" spans="1:6" x14ac:dyDescent="0.25">
      <c r="A29" s="56" t="s">
        <v>784</v>
      </c>
      <c r="B29" s="116" t="s">
        <v>733</v>
      </c>
      <c r="C29" s="116"/>
      <c r="D29" s="4"/>
    </row>
    <row r="30" spans="1:6" x14ac:dyDescent="0.25">
      <c r="A30" s="57" t="s">
        <v>785</v>
      </c>
      <c r="B30" s="116" t="s">
        <v>734</v>
      </c>
      <c r="C30" s="116"/>
      <c r="D30" s="4"/>
    </row>
    <row r="31" spans="1:6" ht="63.75" customHeight="1" x14ac:dyDescent="0.25">
      <c r="A31" s="112" t="s">
        <v>1392</v>
      </c>
      <c r="B31" s="116" t="s">
        <v>1398</v>
      </c>
      <c r="C31" s="116"/>
      <c r="D31" s="4"/>
      <c r="F31" t="s">
        <v>1403</v>
      </c>
    </row>
    <row r="32" spans="1:6" x14ac:dyDescent="0.25">
      <c r="A32" s="113" t="s">
        <v>1393</v>
      </c>
      <c r="B32" s="125" t="s">
        <v>1399</v>
      </c>
      <c r="C32" s="126"/>
      <c r="D32" s="4"/>
    </row>
    <row r="33" spans="1:4" x14ac:dyDescent="0.25">
      <c r="A33" s="113" t="s">
        <v>1400</v>
      </c>
      <c r="B33" s="127"/>
      <c r="C33" s="128"/>
      <c r="D33" s="4"/>
    </row>
    <row r="34" spans="1:4" x14ac:dyDescent="0.25">
      <c r="A34" s="113" t="s">
        <v>1394</v>
      </c>
      <c r="B34" s="127"/>
      <c r="C34" s="128"/>
      <c r="D34" s="4"/>
    </row>
    <row r="35" spans="1:4" x14ac:dyDescent="0.25">
      <c r="A35" s="113" t="s">
        <v>1395</v>
      </c>
      <c r="B35" s="129"/>
      <c r="C35" s="130"/>
      <c r="D35" s="4"/>
    </row>
    <row r="36" spans="1:4" ht="31.5" customHeight="1" x14ac:dyDescent="0.25">
      <c r="A36" s="113" t="s">
        <v>1396</v>
      </c>
      <c r="B36" s="116" t="s">
        <v>1401</v>
      </c>
      <c r="C36" s="116"/>
      <c r="D36" s="4"/>
    </row>
    <row r="37" spans="1:4" ht="47.25" customHeight="1" x14ac:dyDescent="0.25">
      <c r="A37" s="112" t="s">
        <v>1397</v>
      </c>
      <c r="B37" s="116" t="s">
        <v>1402</v>
      </c>
      <c r="C37" s="116"/>
      <c r="D37" s="4"/>
    </row>
    <row r="40" spans="1:4" ht="15.75" x14ac:dyDescent="0.25">
      <c r="A40" s="20" t="s">
        <v>702</v>
      </c>
      <c r="B40" s="123" t="s">
        <v>283</v>
      </c>
      <c r="C40" s="123"/>
    </row>
    <row r="41" spans="1:4" ht="50.25" customHeight="1" x14ac:dyDescent="0.25">
      <c r="A41" s="58" t="s">
        <v>324</v>
      </c>
      <c r="B41" s="124" t="s">
        <v>707</v>
      </c>
      <c r="C41" s="124"/>
    </row>
    <row r="42" spans="1:4" x14ac:dyDescent="0.25">
      <c r="A42" s="59" t="s">
        <v>703</v>
      </c>
      <c r="B42" s="122"/>
      <c r="C42" s="122"/>
    </row>
    <row r="43" spans="1:4" x14ac:dyDescent="0.25">
      <c r="A43" s="60" t="s">
        <v>704</v>
      </c>
      <c r="B43" s="122" t="s">
        <v>706</v>
      </c>
      <c r="C43" s="122"/>
    </row>
    <row r="44" spans="1:4" x14ac:dyDescent="0.25">
      <c r="A44" s="61" t="s">
        <v>708</v>
      </c>
      <c r="B44" s="120"/>
      <c r="C44" s="121"/>
    </row>
    <row r="45" spans="1:4" x14ac:dyDescent="0.25">
      <c r="A45" s="62" t="s">
        <v>714</v>
      </c>
      <c r="B45" s="120"/>
      <c r="C45" s="121"/>
    </row>
    <row r="46" spans="1:4" x14ac:dyDescent="0.25">
      <c r="A46" s="63" t="s">
        <v>715</v>
      </c>
      <c r="B46" s="120"/>
      <c r="C46" s="121"/>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5546875" defaultRowHeight="15" x14ac:dyDescent="0.25"/>
  <cols>
    <col min="3" max="3" width="14.7109375" customWidth="1"/>
  </cols>
  <sheetData>
    <row r="6" spans="1:6" x14ac:dyDescent="0.25">
      <c r="D6" t="s">
        <v>886</v>
      </c>
      <c r="E6" t="s">
        <v>887</v>
      </c>
      <c r="F6" t="s">
        <v>888</v>
      </c>
    </row>
    <row r="7" spans="1:6" x14ac:dyDescent="0.25">
      <c r="A7" t="s">
        <v>889</v>
      </c>
      <c r="B7" t="s">
        <v>1443</v>
      </c>
      <c r="C7" t="str">
        <f>"DriversCGE!"&amp;ADDRESS(ROW(DriversCGE!A7),COLUMN(DriversCGE!A7),4)</f>
        <v>DriversCGE!A7</v>
      </c>
      <c r="D7">
        <v>1</v>
      </c>
      <c r="E7">
        <v>1</v>
      </c>
    </row>
    <row r="8" spans="1:6" x14ac:dyDescent="0.25">
      <c r="A8" t="s">
        <v>889</v>
      </c>
      <c r="B8" t="s">
        <v>906</v>
      </c>
      <c r="C8" t="str">
        <f>"DriversCGE!"&amp;ADDRESS(ROW(DriversCGE!A34),COLUMN(DriversCGE!A34),4)</f>
        <v>DriversCGE!A34</v>
      </c>
      <c r="E8">
        <v>1</v>
      </c>
    </row>
    <row r="9" spans="1:6" x14ac:dyDescent="0.25">
      <c r="A9" t="s">
        <v>889</v>
      </c>
      <c r="B9" t="s">
        <v>1405</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ColWidth="8.85546875"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907</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31" workbookViewId="0">
      <selection activeCell="W49" sqref="W49"/>
    </sheetView>
  </sheetViews>
  <sheetFormatPr defaultColWidth="8.85546875" defaultRowHeight="15" x14ac:dyDescent="0.25"/>
  <sheetData>
    <row r="7" spans="1:53" x14ac:dyDescent="0.25">
      <c r="B7" s="115" t="s">
        <v>1410</v>
      </c>
      <c r="C7" s="115" t="s">
        <v>1411</v>
      </c>
      <c r="D7" s="115" t="s">
        <v>1412</v>
      </c>
      <c r="E7" s="115" t="s">
        <v>1453</v>
      </c>
      <c r="F7" s="115" t="s">
        <v>1454</v>
      </c>
      <c r="G7" s="115" t="s">
        <v>1455</v>
      </c>
      <c r="H7" s="115" t="s">
        <v>1456</v>
      </c>
      <c r="I7" s="115" t="s">
        <v>1457</v>
      </c>
      <c r="J7" s="115" t="s">
        <v>1458</v>
      </c>
      <c r="K7" s="115" t="s">
        <v>1459</v>
      </c>
      <c r="L7" s="115" t="s">
        <v>1460</v>
      </c>
      <c r="M7" s="115" t="s">
        <v>1461</v>
      </c>
      <c r="N7" s="115" t="s">
        <v>1462</v>
      </c>
      <c r="O7" s="115" t="s">
        <v>1463</v>
      </c>
      <c r="P7" s="115" t="s">
        <v>1464</v>
      </c>
      <c r="Q7" s="115" t="s">
        <v>1465</v>
      </c>
      <c r="R7" s="115" t="s">
        <v>1466</v>
      </c>
      <c r="S7" s="115" t="s">
        <v>1467</v>
      </c>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row>
    <row r="8" spans="1:53" x14ac:dyDescent="0.25">
      <c r="A8" s="115" t="s">
        <v>891</v>
      </c>
      <c r="B8">
        <v>2742.3903804389333</v>
      </c>
      <c r="C8">
        <v>2637.1323532526635</v>
      </c>
      <c r="D8">
        <v>2682.1731546448636</v>
      </c>
      <c r="E8">
        <v>7319.5617960455738</v>
      </c>
      <c r="F8">
        <v>7494.8308163079182</v>
      </c>
      <c r="G8">
        <v>7660.7935453052314</v>
      </c>
      <c r="H8">
        <v>7816.6291234264672</v>
      </c>
      <c r="I8">
        <v>7961.5517724759829</v>
      </c>
      <c r="J8">
        <v>8094.8172985378196</v>
      </c>
      <c r="K8">
        <v>8215.7293759486838</v>
      </c>
      <c r="L8">
        <v>8323.64553920859</v>
      </c>
      <c r="M8">
        <v>8417.982811589447</v>
      </c>
      <c r="N8">
        <v>8498.2229022061783</v>
      </c>
      <c r="O8">
        <v>8563.916907369301</v>
      </c>
      <c r="P8">
        <v>8614.6894570998229</v>
      </c>
      <c r="Q8">
        <v>8650.2422536951126</v>
      </c>
      <c r="R8">
        <v>8670.3569561083241</v>
      </c>
      <c r="S8">
        <v>8674.8973715470001</v>
      </c>
    </row>
    <row r="9" spans="1:53" x14ac:dyDescent="0.25">
      <c r="A9" s="115" t="s">
        <v>1442</v>
      </c>
      <c r="B9">
        <v>102.81301388133461</v>
      </c>
      <c r="C9">
        <v>106.51153774352382</v>
      </c>
      <c r="D9">
        <v>114.77721897044289</v>
      </c>
      <c r="E9">
        <v>289.28654241024299</v>
      </c>
      <c r="F9">
        <v>296.21359218127122</v>
      </c>
      <c r="G9">
        <v>302.77283512209027</v>
      </c>
      <c r="H9">
        <v>308.93182890277654</v>
      </c>
      <c r="I9">
        <v>314.65951769462703</v>
      </c>
      <c r="J9">
        <v>319.92648917886788</v>
      </c>
      <c r="K9">
        <v>324.70522290425646</v>
      </c>
      <c r="L9">
        <v>328.9703271016831</v>
      </c>
      <c r="M9">
        <v>332.69876114020923</v>
      </c>
      <c r="N9">
        <v>335.87004092771502</v>
      </c>
      <c r="O9">
        <v>338.46642471956818</v>
      </c>
      <c r="P9">
        <v>340.47307699878388</v>
      </c>
      <c r="Q9">
        <v>341.8782083285887</v>
      </c>
      <c r="R9">
        <v>342.67318934997616</v>
      </c>
      <c r="S9">
        <v>342.85263739891133</v>
      </c>
    </row>
    <row r="10" spans="1:53" x14ac:dyDescent="0.25">
      <c r="A10" s="115" t="s">
        <v>897</v>
      </c>
      <c r="B10">
        <v>195.00072986247545</v>
      </c>
      <c r="C10">
        <v>180.87467818897028</v>
      </c>
      <c r="D10">
        <v>213.71558026833137</v>
      </c>
      <c r="E10">
        <v>539.31317359320883</v>
      </c>
      <c r="F10">
        <v>552.22718322713592</v>
      </c>
      <c r="G10">
        <v>564.45549532665075</v>
      </c>
      <c r="H10">
        <v>575.93762807409212</v>
      </c>
      <c r="I10">
        <v>586.61568448815979</v>
      </c>
      <c r="J10">
        <v>596.4348315619377</v>
      </c>
      <c r="K10">
        <v>605.34376327277187</v>
      </c>
      <c r="L10">
        <v>613.29514207268119</v>
      </c>
      <c r="M10">
        <v>620.24601361028249</v>
      </c>
      <c r="N10">
        <v>626.15818965657195</v>
      </c>
      <c r="O10">
        <v>630.99859450563179</v>
      </c>
      <c r="P10">
        <v>634.73957049430101</v>
      </c>
      <c r="Q10">
        <v>637.35913872750837</v>
      </c>
      <c r="R10">
        <v>638.84121160244638</v>
      </c>
      <c r="S10">
        <v>639.17575428790974</v>
      </c>
    </row>
    <row r="11" spans="1:53" x14ac:dyDescent="0.25">
      <c r="A11" s="115" t="s">
        <v>894</v>
      </c>
      <c r="B11">
        <v>155.24978901659648</v>
      </c>
      <c r="C11">
        <v>147.13248590714034</v>
      </c>
      <c r="D11">
        <v>155.28869860560138</v>
      </c>
      <c r="E11">
        <v>431.45696988360572</v>
      </c>
      <c r="F11">
        <v>442.1365768460326</v>
      </c>
      <c r="G11">
        <v>452.2539046562319</v>
      </c>
      <c r="H11">
        <v>461.75949738679077</v>
      </c>
      <c r="I11">
        <v>470.60601324322437</v>
      </c>
      <c r="J11">
        <v>478.7486164897378</v>
      </c>
      <c r="K11">
        <v>486.14535618252467</v>
      </c>
      <c r="L11">
        <v>492.75752730063232</v>
      </c>
      <c r="M11">
        <v>498.55000998082255</v>
      </c>
      <c r="N11">
        <v>503.49158274392465</v>
      </c>
      <c r="O11">
        <v>507.55520584453268</v>
      </c>
      <c r="P11">
        <v>510.71827118097099</v>
      </c>
      <c r="Q11">
        <v>512.96281556454733</v>
      </c>
      <c r="R11">
        <v>514.27569456139031</v>
      </c>
      <c r="S11">
        <v>514.64871458081916</v>
      </c>
    </row>
    <row r="12" spans="1:53" x14ac:dyDescent="0.25">
      <c r="A12" s="115" t="s">
        <v>900</v>
      </c>
      <c r="B12">
        <v>361.17597823921318</v>
      </c>
      <c r="C12">
        <v>310.16273048568081</v>
      </c>
      <c r="D12">
        <v>362.71525232252429</v>
      </c>
      <c r="E12">
        <v>1019.6380993377895</v>
      </c>
      <c r="F12">
        <v>1044.8766165131667</v>
      </c>
      <c r="G12">
        <v>1068.7863308505011</v>
      </c>
      <c r="H12">
        <v>1091.2503659256115</v>
      </c>
      <c r="I12">
        <v>1112.156841526293</v>
      </c>
      <c r="J12">
        <v>1131.399799868527</v>
      </c>
      <c r="K12">
        <v>1148.8801006356791</v>
      </c>
      <c r="L12">
        <v>1164.5062744188547</v>
      </c>
      <c r="M12">
        <v>1178.1953244116489</v>
      </c>
      <c r="N12">
        <v>1189.8734666404512</v>
      </c>
      <c r="O12">
        <v>1199.4767995889185</v>
      </c>
      <c r="P12">
        <v>1206.9518947962049</v>
      </c>
      <c r="Q12">
        <v>1212.2563008642458</v>
      </c>
      <c r="R12">
        <v>1215.358954288439</v>
      </c>
      <c r="S12">
        <v>1216.2404916146943</v>
      </c>
    </row>
    <row r="13" spans="1:53" x14ac:dyDescent="0.25">
      <c r="A13" s="115" t="s">
        <v>902</v>
      </c>
      <c r="B13">
        <v>24.014738063745149</v>
      </c>
      <c r="C13">
        <v>22.484027694833721</v>
      </c>
      <c r="D13">
        <v>23.520505091618798</v>
      </c>
      <c r="E13">
        <v>66.786337195974269</v>
      </c>
      <c r="F13">
        <v>68.43946110287402</v>
      </c>
      <c r="G13">
        <v>70.005548369552002</v>
      </c>
      <c r="H13">
        <v>71.476943585445639</v>
      </c>
      <c r="I13">
        <v>72.846318592081175</v>
      </c>
      <c r="J13">
        <v>74.106733150273129</v>
      </c>
      <c r="K13">
        <v>75.251693565228464</v>
      </c>
      <c r="L13">
        <v>76.275208586924734</v>
      </c>
      <c r="M13">
        <v>77.171841921148967</v>
      </c>
      <c r="N13">
        <v>77.936760714612916</v>
      </c>
      <c r="O13">
        <v>78.565779415383403</v>
      </c>
      <c r="P13">
        <v>79.055398457090519</v>
      </c>
      <c r="Q13">
        <v>79.402837271425355</v>
      </c>
      <c r="R13">
        <v>79.606061197566405</v>
      </c>
      <c r="S13">
        <v>79.663801928479032</v>
      </c>
    </row>
    <row r="14" spans="1:53" x14ac:dyDescent="0.25">
      <c r="A14" s="115" t="s">
        <v>892</v>
      </c>
      <c r="B14">
        <v>78.727153819699168</v>
      </c>
      <c r="C14">
        <v>72.810038068507737</v>
      </c>
      <c r="D14">
        <v>76.219532657217584</v>
      </c>
      <c r="E14">
        <v>219.14701156481777</v>
      </c>
      <c r="F14">
        <v>224.57143187522334</v>
      </c>
      <c r="G14">
        <v>229.71025755052744</v>
      </c>
      <c r="H14">
        <v>234.53836877704489</v>
      </c>
      <c r="I14">
        <v>239.03171955828549</v>
      </c>
      <c r="J14">
        <v>243.16753678314754</v>
      </c>
      <c r="K14">
        <v>246.92451259335266</v>
      </c>
      <c r="L14">
        <v>250.2829878101962</v>
      </c>
      <c r="M14">
        <v>253.22512423980839</v>
      </c>
      <c r="N14">
        <v>255.73506376809107</v>
      </c>
      <c r="O14">
        <v>257.79907228060677</v>
      </c>
      <c r="P14">
        <v>259.40566659765238</v>
      </c>
      <c r="Q14">
        <v>260.54572279866369</v>
      </c>
      <c r="R14">
        <v>261.21256452052063</v>
      </c>
      <c r="S14">
        <v>261.40203004829675</v>
      </c>
    </row>
    <row r="15" spans="1:53" x14ac:dyDescent="0.25">
      <c r="A15" s="115" t="s">
        <v>899</v>
      </c>
      <c r="B15">
        <v>9.7246298269514497</v>
      </c>
      <c r="C15">
        <v>8.7084972152089382</v>
      </c>
      <c r="D15">
        <v>9.8096967546584466</v>
      </c>
      <c r="E15">
        <v>48.998881596547079</v>
      </c>
      <c r="F15">
        <v>50.211722814967501</v>
      </c>
      <c r="G15">
        <v>51.360708187898531</v>
      </c>
      <c r="H15">
        <v>52.440221198976559</v>
      </c>
      <c r="I15">
        <v>53.444885425650895</v>
      </c>
      <c r="J15">
        <v>54.369609048660635</v>
      </c>
      <c r="K15">
        <v>55.209627863294962</v>
      </c>
      <c r="L15">
        <v>55.960546291613937</v>
      </c>
      <c r="M15">
        <v>56.618375908025648</v>
      </c>
      <c r="N15">
        <v>57.179571011178766</v>
      </c>
      <c r="O15">
        <v>57.641060802880126</v>
      </c>
      <c r="P15">
        <v>58.000277769392667</v>
      </c>
      <c r="Q15">
        <v>58.255181901590888</v>
      </c>
      <c r="R15">
        <v>58.404280437498784</v>
      </c>
      <c r="S15">
        <v>58.446642863049739</v>
      </c>
    </row>
    <row r="16" spans="1:53" x14ac:dyDescent="0.25">
      <c r="A16" s="115" t="s">
        <v>896</v>
      </c>
      <c r="B16">
        <v>20.822016404952738</v>
      </c>
      <c r="C16">
        <v>18.77584485837378</v>
      </c>
      <c r="D16">
        <v>21.138915538483698</v>
      </c>
      <c r="E16">
        <v>57.948195195008886</v>
      </c>
      <c r="F16">
        <v>59.382553641070473</v>
      </c>
      <c r="G16">
        <v>60.741393404292936</v>
      </c>
      <c r="H16">
        <v>62.018072149668818</v>
      </c>
      <c r="I16">
        <v>63.206231487511133</v>
      </c>
      <c r="J16">
        <v>64.299849612284419</v>
      </c>
      <c r="K16">
        <v>65.293292169580255</v>
      </c>
      <c r="L16">
        <v>66.181360758942191</v>
      </c>
      <c r="M16">
        <v>66.959338495878328</v>
      </c>
      <c r="N16">
        <v>67.623032080719071</v>
      </c>
      <c r="O16">
        <v>68.168809854795839</v>
      </c>
      <c r="P16">
        <v>68.593635365390654</v>
      </c>
      <c r="Q16">
        <v>68.895096009538861</v>
      </c>
      <c r="R16">
        <v>69.071426382407807</v>
      </c>
      <c r="S16">
        <v>69.121526017843848</v>
      </c>
    </row>
    <row r="17" spans="1:19" x14ac:dyDescent="0.25">
      <c r="A17" s="115" t="s">
        <v>898</v>
      </c>
      <c r="B17">
        <v>13.081394956064811</v>
      </c>
      <c r="C17">
        <v>8.9362621425366662</v>
      </c>
      <c r="D17">
        <v>14.884271166952967</v>
      </c>
      <c r="E17">
        <v>36.353112381329318</v>
      </c>
      <c r="F17">
        <v>37.252940125908957</v>
      </c>
      <c r="G17">
        <v>38.105392121254276</v>
      </c>
      <c r="H17">
        <v>38.906301377346196</v>
      </c>
      <c r="I17">
        <v>39.651679033891874</v>
      </c>
      <c r="J17">
        <v>40.337747382670514</v>
      </c>
      <c r="K17">
        <v>40.960971778326609</v>
      </c>
      <c r="L17">
        <v>41.518091066041428</v>
      </c>
      <c r="M17">
        <v>42.006146164320789</v>
      </c>
      <c r="N17">
        <v>42.422506456393549</v>
      </c>
      <c r="O17">
        <v>42.764893664303578</v>
      </c>
      <c r="P17">
        <v>43.03140290548248</v>
      </c>
      <c r="Q17">
        <v>43.220520662099197</v>
      </c>
      <c r="R17">
        <v>43.331139428388205</v>
      </c>
      <c r="S17">
        <v>43.362568839971111</v>
      </c>
    </row>
    <row r="18" spans="1:19" x14ac:dyDescent="0.25">
      <c r="A18" s="115" t="s">
        <v>895</v>
      </c>
      <c r="B18">
        <v>0.12038694518980531</v>
      </c>
      <c r="C18">
        <v>0.12038694518980537</v>
      </c>
      <c r="D18">
        <v>0.11990268373147554</v>
      </c>
      <c r="E18">
        <v>0.33351479248925975</v>
      </c>
      <c r="F18">
        <v>0.34177009289824734</v>
      </c>
      <c r="G18">
        <v>0.34959075340600249</v>
      </c>
      <c r="H18">
        <v>0.35693854474629533</v>
      </c>
      <c r="I18">
        <v>0.36377687187056762</v>
      </c>
      <c r="J18">
        <v>0.37007107690523405</v>
      </c>
      <c r="K18">
        <v>0.37578873191125328</v>
      </c>
      <c r="L18">
        <v>0.38089991803707729</v>
      </c>
      <c r="M18">
        <v>0.38537748774606229</v>
      </c>
      <c r="N18">
        <v>0.38919730693939036</v>
      </c>
      <c r="O18">
        <v>0.3923384739844365</v>
      </c>
      <c r="P18">
        <v>0.39478351289433466</v>
      </c>
      <c r="Q18">
        <v>0.39651853818439625</v>
      </c>
      <c r="R18">
        <v>0.39753338925126791</v>
      </c>
      <c r="S18">
        <v>0.39782173247679914</v>
      </c>
    </row>
    <row r="19" spans="1:19" x14ac:dyDescent="0.25">
      <c r="A19" s="115" t="s">
        <v>893</v>
      </c>
      <c r="B19">
        <v>142.16546283895991</v>
      </c>
      <c r="C19">
        <v>134.89217727375285</v>
      </c>
      <c r="D19">
        <v>153.37137001313079</v>
      </c>
      <c r="E19">
        <v>395.15944330102462</v>
      </c>
      <c r="F19">
        <v>404.94059840227339</v>
      </c>
      <c r="G19">
        <v>414.2067776605453</v>
      </c>
      <c r="H19">
        <v>422.91268576690231</v>
      </c>
      <c r="I19">
        <v>431.01496368797757</v>
      </c>
      <c r="J19">
        <v>438.47254761988484</v>
      </c>
      <c r="K19">
        <v>445.24701585951664</v>
      </c>
      <c r="L19">
        <v>451.30291955426378</v>
      </c>
      <c r="M19">
        <v>456.6080933977928</v>
      </c>
      <c r="N19">
        <v>461.13394250535436</v>
      </c>
      <c r="O19">
        <v>464.85570192589319</v>
      </c>
      <c r="P19">
        <v>467.75266552763759</v>
      </c>
      <c r="Q19">
        <v>469.80838132547888</v>
      </c>
      <c r="R19">
        <v>471.01081069787733</v>
      </c>
      <c r="S19">
        <v>471.35244936292753</v>
      </c>
    </row>
    <row r="20" spans="1:19" x14ac:dyDescent="0.25">
      <c r="A20" s="115" t="s">
        <v>904</v>
      </c>
      <c r="B20">
        <v>65.034909150272782</v>
      </c>
      <c r="C20">
        <v>54.312123333217684</v>
      </c>
      <c r="D20">
        <v>57.389581804747699</v>
      </c>
      <c r="E20">
        <v>168.45276310645031</v>
      </c>
      <c r="F20">
        <v>172.62237775468975</v>
      </c>
      <c r="G20">
        <v>176.57246303281511</v>
      </c>
      <c r="H20">
        <v>180.28370997560802</v>
      </c>
      <c r="I20">
        <v>183.73763503395921</v>
      </c>
      <c r="J20">
        <v>186.91673309355198</v>
      </c>
      <c r="K20">
        <v>189.8046253428422</v>
      </c>
      <c r="L20">
        <v>192.38620026856049</v>
      </c>
      <c r="M20">
        <v>194.64774610240696</v>
      </c>
      <c r="N20">
        <v>196.57707311330375</v>
      </c>
      <c r="O20">
        <v>198.16362423497247</v>
      </c>
      <c r="P20">
        <v>199.39857263771356</v>
      </c>
      <c r="Q20">
        <v>200.27490499463551</v>
      </c>
      <c r="R20">
        <v>200.78748935432793</v>
      </c>
      <c r="S20">
        <v>200.93312671182329</v>
      </c>
    </row>
    <row r="21" spans="1:19" x14ac:dyDescent="0.25">
      <c r="A21" s="115" t="s">
        <v>903</v>
      </c>
      <c r="B21">
        <v>227.80708143759878</v>
      </c>
      <c r="C21">
        <v>201.06364280424455</v>
      </c>
      <c r="D21">
        <v>215.54613757222825</v>
      </c>
      <c r="E21">
        <v>723.31020621108212</v>
      </c>
      <c r="F21">
        <v>741.21388897307395</v>
      </c>
      <c r="G21">
        <v>758.17494644926796</v>
      </c>
      <c r="H21">
        <v>774.11046891852811</v>
      </c>
      <c r="I21">
        <v>788.94109086929359</v>
      </c>
      <c r="J21">
        <v>802.59164803822637</v>
      </c>
      <c r="K21">
        <v>814.99181233253057</v>
      </c>
      <c r="L21">
        <v>826.07669724291145</v>
      </c>
      <c r="M21">
        <v>835.7874265492726</v>
      </c>
      <c r="N21">
        <v>844.07165942480287</v>
      </c>
      <c r="O21">
        <v>850.88406545374664</v>
      </c>
      <c r="P21">
        <v>856.18674358958833</v>
      </c>
      <c r="Q21">
        <v>859.94957968740948</v>
      </c>
      <c r="R21">
        <v>862.15053793868742</v>
      </c>
      <c r="S21">
        <v>862.77588230905815</v>
      </c>
    </row>
    <row r="22" spans="1:19" x14ac:dyDescent="0.25">
      <c r="A22" s="115" t="s">
        <v>905</v>
      </c>
      <c r="B22">
        <v>10.302230225095824</v>
      </c>
      <c r="C22">
        <v>9.0740668507537094</v>
      </c>
      <c r="D22">
        <v>9.8010737139732438</v>
      </c>
      <c r="E22">
        <v>20.261023643722531</v>
      </c>
      <c r="F22">
        <v>20.762533143568525</v>
      </c>
      <c r="G22">
        <v>21.237638269414649</v>
      </c>
      <c r="H22">
        <v>21.684016593337443</v>
      </c>
      <c r="I22">
        <v>22.099444966136986</v>
      </c>
      <c r="J22">
        <v>22.48181792199297</v>
      </c>
      <c r="K22">
        <v>22.829165463608636</v>
      </c>
      <c r="L22">
        <v>23.139670020752447</v>
      </c>
      <c r="M22">
        <v>23.411682380573282</v>
      </c>
      <c r="N22">
        <v>23.643736396567963</v>
      </c>
      <c r="O22">
        <v>23.834562294554516</v>
      </c>
      <c r="P22">
        <v>23.983098408330832</v>
      </c>
      <c r="Q22">
        <v>24.088501194702072</v>
      </c>
      <c r="R22">
        <v>24.150153397014527</v>
      </c>
      <c r="S22">
        <v>24.167670247965546</v>
      </c>
    </row>
    <row r="23" spans="1:19" x14ac:dyDescent="0.25">
      <c r="A23" s="115" t="s">
        <v>901</v>
      </c>
      <c r="B23">
        <v>46.843472029851981</v>
      </c>
      <c r="C23">
        <v>30.530274246117447</v>
      </c>
      <c r="D23">
        <v>29.456267962228345</v>
      </c>
      <c r="E23">
        <v>128.73670990085427</v>
      </c>
      <c r="F23">
        <v>131.92325585872345</v>
      </c>
      <c r="G23">
        <v>134.94203081471696</v>
      </c>
      <c r="H23">
        <v>137.77827827207</v>
      </c>
      <c r="I23">
        <v>140.41787254203911</v>
      </c>
      <c r="J23">
        <v>142.84743568542035</v>
      </c>
      <c r="K23">
        <v>145.05445051774376</v>
      </c>
      <c r="L23">
        <v>147.02736836231185</v>
      </c>
      <c r="M23">
        <v>148.75571026998003</v>
      </c>
      <c r="N23">
        <v>150.23016047860466</v>
      </c>
      <c r="O23">
        <v>151.44265095799247</v>
      </c>
      <c r="P23">
        <v>152.38643597721318</v>
      </c>
      <c r="Q23">
        <v>153.05615573917697</v>
      </c>
      <c r="R23">
        <v>153.44788825098942</v>
      </c>
      <c r="S23">
        <v>153.55918873604446</v>
      </c>
    </row>
    <row r="24" spans="1:19" x14ac:dyDescent="0.25">
      <c r="A24" s="115" t="s">
        <v>890</v>
      </c>
      <c r="B24">
        <v>94.10849652850473</v>
      </c>
      <c r="C24">
        <v>89.697482758419454</v>
      </c>
      <c r="D24">
        <v>90.295458177058492</v>
      </c>
      <c r="E24">
        <v>80.747716747819837</v>
      </c>
      <c r="F24">
        <v>79.778744146845995</v>
      </c>
      <c r="G24">
        <v>78.821399217083837</v>
      </c>
      <c r="H24">
        <v>77.87554242647883</v>
      </c>
      <c r="I24">
        <v>76.941035917361077</v>
      </c>
      <c r="J24">
        <v>76.017743486352742</v>
      </c>
      <c r="K24">
        <v>75.105530564516513</v>
      </c>
      <c r="L24">
        <v>74.204264197742319</v>
      </c>
      <c r="M24">
        <v>73.313813027369406</v>
      </c>
      <c r="N24">
        <v>72.434047271040967</v>
      </c>
      <c r="O24">
        <v>71.564838703788482</v>
      </c>
      <c r="P24">
        <v>70.706060639343022</v>
      </c>
      <c r="Q24">
        <v>69.857587911670905</v>
      </c>
      <c r="R24">
        <v>69.019296856730847</v>
      </c>
      <c r="S24">
        <v>68.19106529445007</v>
      </c>
    </row>
    <row r="25" spans="1:19" x14ac:dyDescent="0.25">
      <c r="A25" s="115" t="s">
        <v>1444</v>
      </c>
      <c r="B25">
        <v>97.599403971319745</v>
      </c>
      <c r="C25">
        <v>96.689497718670538</v>
      </c>
      <c r="D25">
        <v>97.826710184037921</v>
      </c>
      <c r="E25">
        <v>271.50883398563155</v>
      </c>
      <c r="F25">
        <v>278.22933646024813</v>
      </c>
      <c r="G25">
        <v>284.59600583526981</v>
      </c>
      <c r="H25">
        <v>290.57772030221327</v>
      </c>
      <c r="I25">
        <v>296.1446884419646</v>
      </c>
      <c r="J25">
        <v>301.26869585726928</v>
      </c>
      <c r="K25">
        <v>305.9233435034194</v>
      </c>
      <c r="L25">
        <v>310.08427494201732</v>
      </c>
      <c r="M25">
        <v>313.72938981594018</v>
      </c>
      <c r="N25">
        <v>316.83904095757532</v>
      </c>
      <c r="O25">
        <v>319.39621269616327</v>
      </c>
      <c r="P25">
        <v>321.3866781220629</v>
      </c>
      <c r="Q25">
        <v>322.79913329361392</v>
      </c>
      <c r="R25">
        <v>323.62530663296968</v>
      </c>
      <c r="S25">
        <v>323.8600420471542</v>
      </c>
    </row>
    <row r="26" spans="1:19" x14ac:dyDescent="0.25">
      <c r="A26" s="115" t="s">
        <v>1445</v>
      </c>
      <c r="B26">
        <v>2.4822992718581061</v>
      </c>
      <c r="C26">
        <v>2.1742748383862307</v>
      </c>
      <c r="D26">
        <v>2.3526827136977588</v>
      </c>
      <c r="E26">
        <v>6.9204319441521411</v>
      </c>
      <c r="F26">
        <v>7.0917294276386329</v>
      </c>
      <c r="G26">
        <v>7.2540081331745521</v>
      </c>
      <c r="H26">
        <v>7.4064748034856294</v>
      </c>
      <c r="I26">
        <v>7.5483700913142799</v>
      </c>
      <c r="J26">
        <v>7.6789748457836078</v>
      </c>
      <c r="K26">
        <v>7.7976161871585061</v>
      </c>
      <c r="L26">
        <v>7.9036732992693555</v>
      </c>
      <c r="M26">
        <v>7.9965828707307933</v>
      </c>
      <c r="N26">
        <v>8.0758441189923502</v>
      </c>
      <c r="O26">
        <v>8.1410233351770582</v>
      </c>
      <c r="P26">
        <v>8.1917578925574457</v>
      </c>
      <c r="Q26">
        <v>8.2277596673262234</v>
      </c>
      <c r="R26">
        <v>8.2488178269638102</v>
      </c>
      <c r="S26">
        <v>8.2548009488935836</v>
      </c>
    </row>
    <row r="27" spans="1:19" x14ac:dyDescent="0.25">
      <c r="A27" s="115" t="s">
        <v>1446</v>
      </c>
      <c r="B27">
        <v>0.28999999999999998</v>
      </c>
      <c r="C27">
        <v>0.29000000000000015</v>
      </c>
      <c r="D27">
        <v>0.28883342322530647</v>
      </c>
      <c r="E27">
        <v>0.80599408184904431</v>
      </c>
      <c r="F27">
        <v>0.82594439117076424</v>
      </c>
      <c r="G27">
        <v>0.84484432073117255</v>
      </c>
      <c r="H27">
        <v>0.86260148313688034</v>
      </c>
      <c r="I27">
        <v>0.87912744035387169</v>
      </c>
      <c r="J27">
        <v>0.89433843585431561</v>
      </c>
      <c r="K27">
        <v>0.908156102118862</v>
      </c>
      <c r="L27">
        <v>0.92050813525627007</v>
      </c>
      <c r="M27">
        <v>0.93132892871965034</v>
      </c>
      <c r="N27">
        <v>0.94056015843685992</v>
      </c>
      <c r="O27">
        <v>0.94815131212905468</v>
      </c>
      <c r="P27">
        <v>0.95406015616130868</v>
      </c>
      <c r="Q27">
        <v>0.95825313394562428</v>
      </c>
      <c r="R27">
        <v>0.96070569069056411</v>
      </c>
      <c r="S27">
        <v>0.96140252015226446</v>
      </c>
    </row>
    <row r="28" spans="1:19" x14ac:dyDescent="0.25">
      <c r="A28" s="115" t="s">
        <v>1447</v>
      </c>
      <c r="B28">
        <v>7.816978240367306E-2</v>
      </c>
      <c r="C28">
        <v>7.8169782403673116E-2</v>
      </c>
      <c r="D28">
        <v>7.7855337389820187E-2</v>
      </c>
      <c r="E28">
        <v>0.22234319499283986</v>
      </c>
      <c r="F28">
        <v>0.22784672859883154</v>
      </c>
      <c r="G28">
        <v>0.23306050227066832</v>
      </c>
      <c r="H28">
        <v>0.23795902983086356</v>
      </c>
      <c r="I28">
        <v>0.24251791458037844</v>
      </c>
      <c r="J28">
        <v>0.24671405127015605</v>
      </c>
      <c r="K28">
        <v>0.25052582127416884</v>
      </c>
      <c r="L28">
        <v>0.25393327869138488</v>
      </c>
      <c r="M28">
        <v>0.25691832516404151</v>
      </c>
      <c r="N28">
        <v>0.25946487129292689</v>
      </c>
      <c r="O28">
        <v>0.26155898265629096</v>
      </c>
      <c r="P28">
        <v>0.26318900859622313</v>
      </c>
      <c r="Q28">
        <v>0.26434569212293085</v>
      </c>
      <c r="R28">
        <v>0.26502225950084529</v>
      </c>
      <c r="S28">
        <v>0.26521448831786609</v>
      </c>
    </row>
    <row r="29" spans="1:19" x14ac:dyDescent="0.25">
      <c r="A29" s="115"/>
    </row>
    <row r="30" spans="1:19" x14ac:dyDescent="0.25">
      <c r="A30" s="115"/>
    </row>
    <row r="34" spans="1:82" x14ac:dyDescent="0.25">
      <c r="A34" s="115" t="s">
        <v>1410</v>
      </c>
      <c r="B34" s="115" t="s">
        <v>1411</v>
      </c>
      <c r="C34" s="115" t="s">
        <v>1412</v>
      </c>
      <c r="D34" s="115" t="s">
        <v>1413</v>
      </c>
      <c r="E34" s="115" t="s">
        <v>1414</v>
      </c>
      <c r="F34" s="115" t="s">
        <v>1415</v>
      </c>
      <c r="G34" s="115" t="s">
        <v>1416</v>
      </c>
      <c r="H34" s="115" t="s">
        <v>1417</v>
      </c>
      <c r="I34" s="115" t="s">
        <v>1418</v>
      </c>
      <c r="J34" s="115" t="s">
        <v>1419</v>
      </c>
      <c r="K34" s="115" t="s">
        <v>1420</v>
      </c>
      <c r="L34" s="115" t="s">
        <v>1421</v>
      </c>
      <c r="M34" s="115" t="s">
        <v>1422</v>
      </c>
      <c r="N34" s="115" t="s">
        <v>1423</v>
      </c>
      <c r="O34" s="115" t="s">
        <v>1424</v>
      </c>
      <c r="P34" s="115" t="s">
        <v>1425</v>
      </c>
      <c r="Q34" s="115" t="s">
        <v>1426</v>
      </c>
      <c r="R34" s="115" t="s">
        <v>1427</v>
      </c>
      <c r="S34" s="115" t="s">
        <v>1428</v>
      </c>
      <c r="T34" s="115" t="s">
        <v>1429</v>
      </c>
      <c r="U34" s="115" t="s">
        <v>1430</v>
      </c>
      <c r="V34" s="115" t="s">
        <v>1431</v>
      </c>
      <c r="W34" s="115" t="s">
        <v>1432</v>
      </c>
      <c r="X34" s="115" t="s">
        <v>1433</v>
      </c>
      <c r="Y34" s="115" t="s">
        <v>1434</v>
      </c>
      <c r="Z34" s="115" t="s">
        <v>1435</v>
      </c>
      <c r="AA34" s="115" t="s">
        <v>1436</v>
      </c>
      <c r="AB34" s="115" t="s">
        <v>1437</v>
      </c>
      <c r="AC34" s="115" t="s">
        <v>1438</v>
      </c>
      <c r="AD34" s="115" t="s">
        <v>1439</v>
      </c>
      <c r="AE34" s="115" t="s">
        <v>1440</v>
      </c>
      <c r="AF34" s="115" t="s">
        <v>1441</v>
      </c>
      <c r="AG34" s="115" t="s">
        <v>1448</v>
      </c>
      <c r="AH34" s="115" t="s">
        <v>1449</v>
      </c>
      <c r="AI34" s="115" t="s">
        <v>1450</v>
      </c>
      <c r="AJ34" s="115" t="s">
        <v>1451</v>
      </c>
      <c r="AK34" s="115" t="s">
        <v>1452</v>
      </c>
      <c r="AL34" s="115" t="s">
        <v>1453</v>
      </c>
      <c r="AM34" s="115" t="s">
        <v>1454</v>
      </c>
      <c r="AN34" s="115" t="s">
        <v>1455</v>
      </c>
      <c r="AO34" s="115" t="s">
        <v>1456</v>
      </c>
      <c r="AP34" s="115" t="s">
        <v>1457</v>
      </c>
      <c r="AQ34" s="115" t="s">
        <v>1458</v>
      </c>
      <c r="AR34" s="115" t="s">
        <v>1459</v>
      </c>
      <c r="AS34" s="115" t="s">
        <v>1460</v>
      </c>
      <c r="AT34" s="115" t="s">
        <v>1461</v>
      </c>
      <c r="AU34" s="115" t="s">
        <v>1462</v>
      </c>
      <c r="AV34" s="115" t="s">
        <v>1463</v>
      </c>
      <c r="AW34" s="115" t="s">
        <v>1464</v>
      </c>
      <c r="AX34" s="115" t="s">
        <v>1465</v>
      </c>
      <c r="AY34" s="115" t="s">
        <v>1466</v>
      </c>
      <c r="AZ34" s="115" t="s">
        <v>1467</v>
      </c>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row>
    <row r="35" spans="1:82" x14ac:dyDescent="0.25">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row>
    <row r="86" spans="1:5" x14ac:dyDescent="0.25">
      <c r="A86" s="115" t="s">
        <v>1406</v>
      </c>
      <c r="B86" s="115" t="s">
        <v>891</v>
      </c>
      <c r="C86" s="115" t="s">
        <v>1407</v>
      </c>
      <c r="D86" s="115" t="s">
        <v>1408</v>
      </c>
      <c r="E86" s="115" t="s">
        <v>1409</v>
      </c>
    </row>
    <row r="87" spans="1:5" x14ac:dyDescent="0.25">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5546875"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85">
        <f>'Net zero emission summary'!AE5</f>
        <v>977.4832471049433</v>
      </c>
      <c r="E7" s="85">
        <f>'Net zero emission summary'!AF5</f>
        <v>972.58505850583788</v>
      </c>
      <c r="F7" s="85">
        <f>'Net zero emission summary'!AG5</f>
        <v>972.49373775284243</v>
      </c>
      <c r="G7" s="85">
        <f>'Net zero emission summary'!AH5</f>
        <v>963.8258890853682</v>
      </c>
      <c r="H7" s="85">
        <f>'Net zero emission summary'!AI5</f>
        <v>949.97028936128629</v>
      </c>
      <c r="I7" s="85">
        <f>'Net zero emission summary'!AJ5</f>
        <v>931.22387023867623</v>
      </c>
      <c r="J7" s="85">
        <f>'Net zero emission summary'!AK5</f>
        <v>917.0943260670341</v>
      </c>
      <c r="K7" s="85">
        <f>'Net zero emission summary'!AL5</f>
        <v>903.91074691874087</v>
      </c>
      <c r="L7" s="85">
        <f>'Net zero emission summary'!AM5</f>
        <v>822.19746865486604</v>
      </c>
      <c r="M7" s="85">
        <f>'Net zero emission summary'!AN5</f>
        <v>851.41897094428953</v>
      </c>
      <c r="N7" s="85">
        <f>'Net zero emission summary'!AO5</f>
        <v>2458.4098311853322</v>
      </c>
      <c r="O7" s="85">
        <f>'Net zero emission summary'!AP5</f>
        <v>2475.0970973342455</v>
      </c>
      <c r="P7" s="85">
        <f>'Net zero emission summary'!AQ5</f>
        <v>2487.8963989019903</v>
      </c>
      <c r="Q7" s="85">
        <f>'Net zero emission summary'!AR5</f>
        <v>2496.7401695910794</v>
      </c>
      <c r="R7" s="85">
        <f>'Net zero emission summary'!AS5</f>
        <v>2501.5993090262882</v>
      </c>
      <c r="S7" s="85">
        <f>'Net zero emission summary'!AT5</f>
        <v>2502.4104372261727</v>
      </c>
      <c r="T7" s="85">
        <f>'Net zero emission summary'!AU5</f>
        <v>2499.1347241198105</v>
      </c>
      <c r="U7" s="85">
        <f>'Net zero emission summary'!AV5</f>
        <v>2491.7544158964151</v>
      </c>
      <c r="V7" s="85">
        <f>'Net zero emission summary'!AW5</f>
        <v>2480.2740382134953</v>
      </c>
      <c r="W7" s="85">
        <f>'Net zero emission summary'!AX5</f>
        <v>2448.0859633035029</v>
      </c>
      <c r="X7" s="85">
        <f>'Net zero emission summary'!AY5</f>
        <v>2411.9647791427751</v>
      </c>
      <c r="Y7" s="85">
        <f>'Net zero emission summary'!AZ5</f>
        <v>2372.0686287609406</v>
      </c>
      <c r="Z7" s="85">
        <f>'Net zero emission summary'!BA5</f>
        <v>2328.5771363700151</v>
      </c>
      <c r="AA7" s="85">
        <f>'Net zero emission summary'!BB5</f>
        <v>2281.6876055294888</v>
      </c>
      <c r="AB7" s="85">
        <f>'Net zero emission summary'!BC5</f>
        <v>2231.6145099321634</v>
      </c>
      <c r="AC7" s="85">
        <f>'Net zero emission summary'!BD5</f>
        <v>-56.496958059540226</v>
      </c>
      <c r="AD7" s="85">
        <f>'Net zero emission summary'!BE5</f>
        <v>-53.223099252333391</v>
      </c>
      <c r="AE7" s="85">
        <f>'Net zero emission summary'!BF5</f>
        <v>-49.987924259766096</v>
      </c>
      <c r="AF7" s="85">
        <f>'Net zero emission summary'!BG5</f>
        <v>-46.790721017950347</v>
      </c>
      <c r="AG7" s="85">
        <f>'Net zero emission summary'!BH5</f>
        <v>-44.25138589184936</v>
      </c>
      <c r="AH7" s="85">
        <f>'Net zero emission summary'!BI5</f>
        <v>-41.741245666674018</v>
      </c>
      <c r="AI7" s="85">
        <f>'Net zero emission summary'!BJ5</f>
        <v>-39.259415370622193</v>
      </c>
      <c r="AJ7" s="85">
        <f>'Net zero emission summary'!BK5</f>
        <v>-36.805428271112085</v>
      </c>
      <c r="AK7" s="85">
        <f>'Net zero emission summary'!BL5</f>
        <v>-34.378592939633918</v>
      </c>
      <c r="AL7" s="85">
        <f>'Net zero emission summary'!BM5</f>
        <v>-31.978348697815846</v>
      </c>
      <c r="AM7" s="85">
        <f>'Net zero emission summary'!BN5</f>
        <v>-29.60454852606896</v>
      </c>
      <c r="AN7" s="85">
        <f>'Net zero emission summary'!BO5</f>
        <v>-27.257154717130838</v>
      </c>
      <c r="AO7" s="85">
        <f>'Net zero emission summary'!BP5</f>
        <v>-24.936124381325964</v>
      </c>
      <c r="AP7" s="85">
        <f>'Net zero emission summary'!BQ5</f>
        <v>-22.641221191515044</v>
      </c>
    </row>
    <row r="8" spans="1:42" x14ac:dyDescent="0.25">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149.09353044662001</v>
      </c>
      <c r="M8" s="85">
        <f>'Net zero emission summary'!AN6</f>
        <v>149.19275852401506</v>
      </c>
      <c r="N8" s="85">
        <f>'Net zero emission summary'!AO6</f>
        <v>151.13600729508602</v>
      </c>
      <c r="O8" s="85">
        <f>'Net zero emission summary'!AP6</f>
        <v>151.18341133219153</v>
      </c>
      <c r="P8" s="85">
        <f>'Net zero emission summary'!AQ6</f>
        <v>151.38618089420282</v>
      </c>
      <c r="Q8" s="85">
        <f>'Net zero emission summary'!AR6</f>
        <v>151.67928921769311</v>
      </c>
      <c r="R8" s="85">
        <f>'Net zero emission summary'!AS6</f>
        <v>151.951576805679</v>
      </c>
      <c r="S8" s="85">
        <f>'Net zero emission summary'!AT6</f>
        <v>152.20641494438905</v>
      </c>
      <c r="T8" s="85">
        <f>'Net zero emission summary'!AU6</f>
        <v>152.44244472028012</v>
      </c>
      <c r="U8" s="85">
        <f>'Net zero emission summary'!AV6</f>
        <v>152.66179278102877</v>
      </c>
      <c r="V8" s="85">
        <f>'Net zero emission summary'!AW6</f>
        <v>152.86778641331486</v>
      </c>
      <c r="W8" s="85">
        <f>'Net zero emission summary'!AX6</f>
        <v>153.06023152359194</v>
      </c>
      <c r="X8" s="85">
        <f>'Net zero emission summary'!AY6</f>
        <v>153.24220617597868</v>
      </c>
      <c r="Y8" s="85">
        <f>'Net zero emission summary'!AZ6</f>
        <v>153.41415086887915</v>
      </c>
      <c r="Z8" s="85">
        <f>'Net zero emission summary'!BA6</f>
        <v>153.57370890205652</v>
      </c>
      <c r="AA8" s="85">
        <f>'Net zero emission summary'!BB6</f>
        <v>153.72233987555649</v>
      </c>
      <c r="AB8" s="85">
        <f>'Net zero emission summary'!BC6</f>
        <v>153.86241495290008</v>
      </c>
      <c r="AC8" s="85">
        <f>'Net zero emission summary'!BD6</f>
        <v>150.48572545060168</v>
      </c>
      <c r="AD8" s="85">
        <f>'Net zero emission summary'!BE6</f>
        <v>150.62411070843578</v>
      </c>
      <c r="AE8" s="85">
        <f>'Net zero emission summary'!BF6</f>
        <v>150.75318853440103</v>
      </c>
      <c r="AF8" s="85">
        <f>'Net zero emission summary'!BG6</f>
        <v>150.87374778583941</v>
      </c>
      <c r="AG8" s="85">
        <f>'Net zero emission summary'!BH6</f>
        <v>150.98674741245298</v>
      </c>
      <c r="AH8" s="85">
        <f>'Net zero emission summary'!BI6</f>
        <v>151.08921506472191</v>
      </c>
      <c r="AI8" s="85">
        <f>'Net zero emission summary'!BJ6</f>
        <v>151.17916577527956</v>
      </c>
      <c r="AJ8" s="85">
        <f>'Net zero emission summary'!BK6</f>
        <v>151.25630880736327</v>
      </c>
      <c r="AK8" s="85">
        <f>'Net zero emission summary'!BL6</f>
        <v>151.31838530079867</v>
      </c>
      <c r="AL8" s="85">
        <f>'Net zero emission summary'!BM6</f>
        <v>151.36293993636539</v>
      </c>
      <c r="AM8" s="85">
        <f>'Net zero emission summary'!BN6</f>
        <v>151.38969582707807</v>
      </c>
      <c r="AN8" s="85">
        <f>'Net zero emission summary'!BO6</f>
        <v>151.39903461970664</v>
      </c>
      <c r="AO8" s="85">
        <f>'Net zero emission summary'!BP6</f>
        <v>151.39122947661508</v>
      </c>
      <c r="AP8" s="85">
        <f>'Net zero emission summary'!BQ6</f>
        <v>151.36396938665408</v>
      </c>
    </row>
    <row r="9" spans="1:42" x14ac:dyDescent="0.25">
      <c r="A9" t="str">
        <f>'Emissions summary'!C7</f>
        <v>3A1d Goats</v>
      </c>
      <c r="B9" t="str">
        <f t="shared" si="1"/>
        <v>A3A1d</v>
      </c>
      <c r="C9" t="str">
        <f>'Emissions summary'!D7</f>
        <v>CH4</v>
      </c>
      <c r="D9" s="85">
        <f>'Net zero emission summary'!AE7</f>
        <v>37.504515885641105</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38.710975345227183</v>
      </c>
      <c r="M9" s="85">
        <f>'Net zero emission summary'!AN7</f>
        <v>38.774326880998657</v>
      </c>
      <c r="N9" s="85">
        <f>'Net zero emission summary'!AO7</f>
        <v>39.560486456742233</v>
      </c>
      <c r="O9" s="85">
        <f>'Net zero emission summary'!AP7</f>
        <v>39.596004196925449</v>
      </c>
      <c r="P9" s="85">
        <f>'Net zero emission summary'!AQ7</f>
        <v>39.690037902194234</v>
      </c>
      <c r="Q9" s="85">
        <f>'Net zero emission summary'!AR7</f>
        <v>39.816948551146659</v>
      </c>
      <c r="R9" s="85">
        <f>'Net zero emission summary'!AS7</f>
        <v>39.933343318947259</v>
      </c>
      <c r="S9" s="85">
        <f>'Net zero emission summary'!AT7</f>
        <v>40.040760741219216</v>
      </c>
      <c r="T9" s="85">
        <f>'Net zero emission summary'!AU7</f>
        <v>40.138871338964556</v>
      </c>
      <c r="U9" s="85">
        <f>'Net zero emission summary'!AV7</f>
        <v>40.228682589780007</v>
      </c>
      <c r="V9" s="85">
        <f>'Net zero emission summary'!AW7</f>
        <v>40.311643534065951</v>
      </c>
      <c r="W9" s="85">
        <f>'Net zero emission summary'!AX7</f>
        <v>40.387821013305057</v>
      </c>
      <c r="X9" s="85">
        <f>'Net zero emission summary'!AY7</f>
        <v>40.458530378697169</v>
      </c>
      <c r="Y9" s="85">
        <f>'Net zero emission summary'!AZ7</f>
        <v>40.524054127466513</v>
      </c>
      <c r="Z9" s="85">
        <f>'Net zero emission summary'!BA7</f>
        <v>40.583592243807701</v>
      </c>
      <c r="AA9" s="85">
        <f>'Net zero emission summary'!BB7</f>
        <v>40.637804090455063</v>
      </c>
      <c r="AB9" s="85">
        <f>'Net zero emission summary'!BC7</f>
        <v>40.68768572195205</v>
      </c>
      <c r="AC9" s="85">
        <f>'Net zero emission summary'!BD7</f>
        <v>39.396038724791367</v>
      </c>
      <c r="AD9" s="85">
        <f>'Net zero emission summary'!BE7</f>
        <v>39.445824890137935</v>
      </c>
      <c r="AE9" s="85">
        <f>'Net zero emission summary'!BF7</f>
        <v>39.491154516976891</v>
      </c>
      <c r="AF9" s="85">
        <f>'Net zero emission summary'!BG7</f>
        <v>39.53239446741042</v>
      </c>
      <c r="AG9" s="85">
        <f>'Net zero emission summary'!BH7</f>
        <v>39.569969593817532</v>
      </c>
      <c r="AH9" s="85">
        <f>'Net zero emission summary'!BI7</f>
        <v>39.602813212033055</v>
      </c>
      <c r="AI9" s="85">
        <f>'Net zero emission summary'!BJ7</f>
        <v>39.630235299602241</v>
      </c>
      <c r="AJ9" s="85">
        <f>'Net zero emission summary'!BK7</f>
        <v>39.652185480579206</v>
      </c>
      <c r="AK9" s="85">
        <f>'Net zero emission summary'!BL7</f>
        <v>39.667871235886544</v>
      </c>
      <c r="AL9" s="85">
        <f>'Net zero emission summary'!BM7</f>
        <v>39.676429054693479</v>
      </c>
      <c r="AM9" s="85">
        <f>'Net zero emission summary'!BN7</f>
        <v>39.677814778071323</v>
      </c>
      <c r="AN9" s="85">
        <f>'Net zero emission summary'!BO7</f>
        <v>39.672228544167254</v>
      </c>
      <c r="AO9" s="85">
        <f>'Net zero emission summary'!BP7</f>
        <v>39.659826575786695</v>
      </c>
      <c r="AP9" s="85">
        <f>'Net zero emission summary'!BQ7</f>
        <v>39.639798682719096</v>
      </c>
    </row>
    <row r="10" spans="1:42" x14ac:dyDescent="0.25">
      <c r="A10" t="str">
        <f>'Emissions summary'!C8</f>
        <v>3A1f Horses</v>
      </c>
      <c r="B10" t="str">
        <f t="shared" si="1"/>
        <v>A3A1f</v>
      </c>
      <c r="C10" t="str">
        <f>'Emissions summary'!D8</f>
        <v>CH4</v>
      </c>
      <c r="D10" s="85">
        <f>'Net zero emission summary'!AE8</f>
        <v>5.5526214800767901</v>
      </c>
      <c r="E10" s="85">
        <f>'Net zero emission summary'!AF8</f>
        <v>5.5795235710196529</v>
      </c>
      <c r="F10" s="85">
        <f>'Net zero emission summary'!AG8</f>
        <v>5.6203482259438022</v>
      </c>
      <c r="G10" s="85">
        <f>'Net zero emission summary'!AH8</f>
        <v>5.6290756550083767</v>
      </c>
      <c r="H10" s="85">
        <f>'Net zero emission summary'!AI8</f>
        <v>5.6165815405282284</v>
      </c>
      <c r="I10" s="85">
        <f>'Net zero emission summary'!AJ8</f>
        <v>5.5833231296706112</v>
      </c>
      <c r="J10" s="85">
        <f>'Net zero emission summary'!AK8</f>
        <v>5.5648827699457364</v>
      </c>
      <c r="K10" s="85">
        <f>'Net zero emission summary'!AL8</f>
        <v>5.5483103177944031</v>
      </c>
      <c r="L10" s="85">
        <f>'Net zero emission summary'!AM8</f>
        <v>5.301317756839599</v>
      </c>
      <c r="M10" s="85">
        <f>'Net zero emission summary'!AN8</f>
        <v>5.4334519326298842</v>
      </c>
      <c r="N10" s="85">
        <f>'Net zero emission summary'!AO8</f>
        <v>11.663279711908721</v>
      </c>
      <c r="O10" s="85">
        <f>'Net zero emission summary'!AP8</f>
        <v>11.812653235838557</v>
      </c>
      <c r="P10" s="85">
        <f>'Net zero emission summary'!AQ8</f>
        <v>11.932954790442608</v>
      </c>
      <c r="Q10" s="85">
        <f>'Net zero emission summary'!AR8</f>
        <v>12.029772886609605</v>
      </c>
      <c r="R10" s="85">
        <f>'Net zero emission summary'!AS8</f>
        <v>12.113873667726716</v>
      </c>
      <c r="S10" s="85">
        <f>'Net zero emission summary'!AT8</f>
        <v>12.184301808011908</v>
      </c>
      <c r="T10" s="85">
        <f>'Net zero emission summary'!AU8</f>
        <v>12.240662308750712</v>
      </c>
      <c r="U10" s="85">
        <f>'Net zero emission summary'!AV8</f>
        <v>12.282268429354316</v>
      </c>
      <c r="V10" s="85">
        <f>'Net zero emission summary'!AW8</f>
        <v>12.308384588149881</v>
      </c>
      <c r="W10" s="85">
        <f>'Net zero emission summary'!AX8</f>
        <v>12.31872545788376</v>
      </c>
      <c r="X10" s="85">
        <f>'Net zero emission summary'!AY8</f>
        <v>12.312750989800492</v>
      </c>
      <c r="Y10" s="85">
        <f>'Net zero emission summary'!AZ8</f>
        <v>12.290286651516004</v>
      </c>
      <c r="Z10" s="85">
        <f>'Net zero emission summary'!BA8</f>
        <v>12.251535501678408</v>
      </c>
      <c r="AA10" s="85">
        <f>'Net zero emission summary'!BB8</f>
        <v>12.196396092630039</v>
      </c>
      <c r="AB10" s="85">
        <f>'Net zero emission summary'!BC8</f>
        <v>12.124769930026071</v>
      </c>
      <c r="AC10" s="85">
        <f>'Net zero emission summary'!BD8</f>
        <v>1.7851056965565462</v>
      </c>
      <c r="AD10" s="85">
        <f>'Net zero emission summary'!BE8</f>
        <v>1.7851056965565462</v>
      </c>
      <c r="AE10" s="85">
        <f>'Net zero emission summary'!BF8</f>
        <v>1.7851056965565462</v>
      </c>
      <c r="AF10" s="85">
        <f>'Net zero emission summary'!BG8</f>
        <v>1.7851056965565462</v>
      </c>
      <c r="AG10" s="85">
        <f>'Net zero emission summary'!BH8</f>
        <v>1.7851056965565462</v>
      </c>
      <c r="AH10" s="85">
        <f>'Net zero emission summary'!BI8</f>
        <v>1.7851056965565462</v>
      </c>
      <c r="AI10" s="85">
        <f>'Net zero emission summary'!BJ8</f>
        <v>1.7851056965565462</v>
      </c>
      <c r="AJ10" s="85">
        <f>'Net zero emission summary'!BK8</f>
        <v>1.7851056965565462</v>
      </c>
      <c r="AK10" s="85">
        <f>'Net zero emission summary'!BL8</f>
        <v>1.7851056965565462</v>
      </c>
      <c r="AL10" s="85">
        <f>'Net zero emission summary'!BM8</f>
        <v>1.7851056965565462</v>
      </c>
      <c r="AM10" s="85">
        <f>'Net zero emission summary'!BN8</f>
        <v>1.7851056965565462</v>
      </c>
      <c r="AN10" s="85">
        <f>'Net zero emission summary'!BO8</f>
        <v>1.7851056965565462</v>
      </c>
      <c r="AO10" s="85">
        <f>'Net zero emission summary'!BP8</f>
        <v>1.7851056965565462</v>
      </c>
      <c r="AP10" s="85">
        <f>'Net zero emission summary'!BQ8</f>
        <v>1.7851056965565462</v>
      </c>
    </row>
    <row r="11" spans="1:42" x14ac:dyDescent="0.25">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25">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2.0846138094278084</v>
      </c>
      <c r="G12" s="85">
        <f>'Net zero emission summary'!AH10</f>
        <v>2.0654754572205234</v>
      </c>
      <c r="H12" s="85">
        <f>'Net zero emission summary'!AI10</f>
        <v>2.0342181138558564</v>
      </c>
      <c r="I12" s="85">
        <f>'Net zero emission summary'!AJ10</f>
        <v>1.9913414611083866</v>
      </c>
      <c r="J12" s="85">
        <f>'Net zero emission summary'!AK10</f>
        <v>1.9602082563146459</v>
      </c>
      <c r="K12" s="85">
        <f>'Net zero emission summary'!AL10</f>
        <v>1.931829922619702</v>
      </c>
      <c r="L12" s="85">
        <f>'Net zero emission summary'!AM10</f>
        <v>1.7381143206081298</v>
      </c>
      <c r="M12" s="85">
        <f>'Net zero emission summary'!AN10</f>
        <v>1.8001792355937847</v>
      </c>
      <c r="N12" s="85">
        <f>'Net zero emission summary'!AO10</f>
        <v>5.754305949867077</v>
      </c>
      <c r="O12" s="85">
        <f>'Net zero emission summary'!AP10</f>
        <v>5.7700799280154422</v>
      </c>
      <c r="P12" s="85">
        <f>'Net zero emission summary'!AQ10</f>
        <v>5.7759057208270379</v>
      </c>
      <c r="Q12" s="85">
        <f>'Net zero emission summary'!AR10</f>
        <v>5.7720461906378926</v>
      </c>
      <c r="R12" s="85">
        <f>'Net zero emission summary'!AS10</f>
        <v>5.7590835988484965</v>
      </c>
      <c r="S12" s="85">
        <f>'Net zero emission summary'!AT10</f>
        <v>5.7368988758637034</v>
      </c>
      <c r="T12" s="85">
        <f>'Net zero emission summary'!AU10</f>
        <v>5.705460140711641</v>
      </c>
      <c r="U12" s="85">
        <f>'Net zero emission summary'!AV10</f>
        <v>5.664770341412571</v>
      </c>
      <c r="V12" s="85">
        <f>'Net zero emission summary'!AW10</f>
        <v>5.6148816663620158</v>
      </c>
      <c r="W12" s="85">
        <f>'Net zero emission summary'!AX10</f>
        <v>5.5559225191519808</v>
      </c>
      <c r="X12" s="85">
        <f>'Net zero emission summary'!AY10</f>
        <v>5.4880552896805996</v>
      </c>
      <c r="Y12" s="85">
        <f>'Net zero emission summary'!AZ10</f>
        <v>5.4115094486157318</v>
      </c>
      <c r="Z12" s="85">
        <f>'Net zero emission summary'!BA10</f>
        <v>5.3265790500442032</v>
      </c>
      <c r="AA12" s="85">
        <f>'Net zero emission summary'!BB10</f>
        <v>5.2335826135611061</v>
      </c>
      <c r="AB12" s="85">
        <f>'Net zero emission summary'!BC10</f>
        <v>5.1328775742120873</v>
      </c>
      <c r="AC12" s="85">
        <f>'Net zero emission summary'!BD10</f>
        <v>-0.47829325834673075</v>
      </c>
      <c r="AD12" s="85">
        <f>'Net zero emission summary'!BE10</f>
        <v>-0.47311529718627987</v>
      </c>
      <c r="AE12" s="85">
        <f>'Net zero emission summary'!BF10</f>
        <v>-0.46791899085497352</v>
      </c>
      <c r="AF12" s="85">
        <f>'Net zero emission summary'!BG10</f>
        <v>-0.46270973026667117</v>
      </c>
      <c r="AG12" s="85">
        <f>'Net zero emission summary'!BH10</f>
        <v>-0.45749347342135216</v>
      </c>
      <c r="AH12" s="85">
        <f>'Net zero emission summary'!BI10</f>
        <v>-0.45225639303001325</v>
      </c>
      <c r="AI12" s="85">
        <f>'Net zero emission summary'!BJ10</f>
        <v>-0.44699032575199377</v>
      </c>
      <c r="AJ12" s="85">
        <f>'Net zero emission summary'!BK10</f>
        <v>-0.44169578029109668</v>
      </c>
      <c r="AK12" s="85">
        <f>'Net zero emission summary'!BL10</f>
        <v>-0.43636398268839816</v>
      </c>
      <c r="AL12" s="85">
        <f>'Net zero emission summary'!BM10</f>
        <v>-0.43098583106708765</v>
      </c>
      <c r="AM12" s="85">
        <f>'Net zero emission summary'!BN10</f>
        <v>-0.42556285184215836</v>
      </c>
      <c r="AN12" s="85">
        <f>'Net zero emission summary'!BO10</f>
        <v>-0.42009955765112178</v>
      </c>
      <c r="AO12" s="85">
        <f>'Net zero emission summary'!BP10</f>
        <v>-0.41459980854316714</v>
      </c>
      <c r="AP12" s="85">
        <f>'Net zero emission summary'!BQ10</f>
        <v>-0.4090559903926741</v>
      </c>
    </row>
    <row r="13" spans="1:42" x14ac:dyDescent="0.25">
      <c r="A13" t="str">
        <f>'Emissions summary'!C12</f>
        <v>3A2a Cattle</v>
      </c>
      <c r="B13" t="str">
        <f t="shared" si="1"/>
        <v>A3A2a</v>
      </c>
      <c r="C13" t="str">
        <f>'Emissions summary'!D12</f>
        <v>CH4</v>
      </c>
      <c r="D13" s="85">
        <f>'Net zero emission summary'!AE12</f>
        <v>10.513994827787096</v>
      </c>
      <c r="E13" s="85">
        <f>'Net zero emission summary'!AF12</f>
        <v>10.583676395984559</v>
      </c>
      <c r="F13" s="85">
        <f>'Net zero emission summary'!AG12</f>
        <v>10.680340304941298</v>
      </c>
      <c r="G13" s="85">
        <f>'Net zero emission summary'!AH12</f>
        <v>10.74258011113773</v>
      </c>
      <c r="H13" s="85">
        <f>'Net zero emission summary'!AI12</f>
        <v>10.783729898618766</v>
      </c>
      <c r="I13" s="85">
        <f>'Net zero emission summary'!AJ12</f>
        <v>10.803370567699298</v>
      </c>
      <c r="J13" s="85">
        <f>'Net zero emission summary'!AK12</f>
        <v>10.846236588865763</v>
      </c>
      <c r="K13" s="85">
        <f>'Net zero emission summary'!AL12</f>
        <v>10.895047418651059</v>
      </c>
      <c r="L13" s="85">
        <f>'Net zero emission summary'!AM12</f>
        <v>10.551123611358374</v>
      </c>
      <c r="M13" s="85">
        <f>'Net zero emission summary'!AN12</f>
        <v>10.759579411529058</v>
      </c>
      <c r="N13" s="85">
        <f>'Net zero emission summary'!AO12</f>
        <v>19.541255534962506</v>
      </c>
      <c r="O13" s="85">
        <f>'Net zero emission summary'!AP12</f>
        <v>19.80287772165271</v>
      </c>
      <c r="P13" s="85">
        <f>'Net zero emission summary'!AQ12</f>
        <v>20.052232548088636</v>
      </c>
      <c r="Q13" s="85">
        <f>'Net zero emission summary'!AR12</f>
        <v>20.285737256561795</v>
      </c>
      <c r="R13" s="85">
        <f>'Net zero emission summary'!AS12</f>
        <v>20.498272001784848</v>
      </c>
      <c r="S13" s="85">
        <f>'Net zero emission summary'!AT12</f>
        <v>20.68881007646317</v>
      </c>
      <c r="T13" s="85">
        <f>'Net zero emission summary'!AU12</f>
        <v>20.856256048232122</v>
      </c>
      <c r="U13" s="85">
        <f>'Net zero emission summary'!AV12</f>
        <v>20.999741709603121</v>
      </c>
      <c r="V13" s="85">
        <f>'Net zero emission summary'!AW12</f>
        <v>21.118554024646244</v>
      </c>
      <c r="W13" s="85">
        <f>'Net zero emission summary'!AX12</f>
        <v>21.214048862203224</v>
      </c>
      <c r="X13" s="85">
        <f>'Net zero emission summary'!AY12</f>
        <v>21.283785981588661</v>
      </c>
      <c r="Y13" s="85">
        <f>'Net zero emission summary'!AZ12</f>
        <v>21.327316071481416</v>
      </c>
      <c r="Z13" s="85">
        <f>'Net zero emission summary'!BA12</f>
        <v>21.344226729028581</v>
      </c>
      <c r="AA13" s="85">
        <f>'Net zero emission summary'!BB12</f>
        <v>21.33437719716807</v>
      </c>
      <c r="AB13" s="85">
        <f>'Net zero emission summary'!BC12</f>
        <v>21.29779874003944</v>
      </c>
      <c r="AC13" s="85">
        <f>'Net zero emission summary'!BD12</f>
        <v>5.7011206255954496</v>
      </c>
      <c r="AD13" s="85">
        <f>'Net zero emission summary'!BE12</f>
        <v>5.7044831800588351</v>
      </c>
      <c r="AE13" s="85">
        <f>'Net zero emission summary'!BF12</f>
        <v>5.7075388739594679</v>
      </c>
      <c r="AF13" s="85">
        <f>'Net zero emission summary'!BG12</f>
        <v>5.710314045290942</v>
      </c>
      <c r="AG13" s="85">
        <f>'Net zero emission summary'!BH12</f>
        <v>5.7129397815367593</v>
      </c>
      <c r="AH13" s="85">
        <f>'Net zero emission summary'!BI12</f>
        <v>5.715215245924111</v>
      </c>
      <c r="AI13" s="85">
        <f>'Net zero emission summary'!BJ12</f>
        <v>5.7170698003578906</v>
      </c>
      <c r="AJ13" s="85">
        <f>'Net zero emission summary'!BK12</f>
        <v>5.7184922204670956</v>
      </c>
      <c r="AK13" s="85">
        <f>'Net zero emission summary'!BL12</f>
        <v>5.7194024072449068</v>
      </c>
      <c r="AL13" s="85">
        <f>'Net zero emission summary'!BM12</f>
        <v>5.7197134337282396</v>
      </c>
      <c r="AM13" s="85">
        <f>'Net zero emission summary'!BN12</f>
        <v>5.7194147416013505</v>
      </c>
      <c r="AN13" s="85">
        <f>'Net zero emission summary'!BO12</f>
        <v>5.7185189019751732</v>
      </c>
      <c r="AO13" s="85">
        <f>'Net zero emission summary'!BP12</f>
        <v>5.7170347416271579</v>
      </c>
      <c r="AP13" s="85">
        <f>'Net zero emission summary'!BQ12</f>
        <v>5.7148805976280084</v>
      </c>
    </row>
    <row r="14" spans="1:42" x14ac:dyDescent="0.25">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4.0755596007698479E-2</v>
      </c>
      <c r="M14" s="85">
        <f>'Net zero emission summary'!AN13</f>
        <v>4.0782720587972464E-2</v>
      </c>
      <c r="N14" s="85">
        <f>'Net zero emission summary'!AO13</f>
        <v>4.1313919102213693E-2</v>
      </c>
      <c r="O14" s="85">
        <f>'Net zero emission summary'!AP13</f>
        <v>4.1326877275379349E-2</v>
      </c>
      <c r="P14" s="85">
        <f>'Net zero emission summary'!AQ13</f>
        <v>4.1382305531234821E-2</v>
      </c>
      <c r="Q14" s="85">
        <f>'Net zero emission summary'!AR13</f>
        <v>4.1462428420423109E-2</v>
      </c>
      <c r="R14" s="85">
        <f>'Net zero emission summary'!AS13</f>
        <v>4.1536859838745679E-2</v>
      </c>
      <c r="S14" s="85">
        <f>'Net zero emission summary'!AT13</f>
        <v>4.1606521347179418E-2</v>
      </c>
      <c r="T14" s="85">
        <f>'Net zero emission summary'!AU13</f>
        <v>4.1671041478691412E-2</v>
      </c>
      <c r="U14" s="85">
        <f>'Net zero emission summary'!AV13</f>
        <v>4.1731001564968555E-2</v>
      </c>
      <c r="V14" s="85">
        <f>'Net zero emission summary'!AW13</f>
        <v>4.1787311139451513E-2</v>
      </c>
      <c r="W14" s="85">
        <f>'Net zero emission summary'!AX13</f>
        <v>4.1839917145524444E-2</v>
      </c>
      <c r="X14" s="85">
        <f>'Net zero emission summary'!AY13</f>
        <v>4.1889660990170809E-2</v>
      </c>
      <c r="Y14" s="85">
        <f>'Net zero emission summary'!AZ13</f>
        <v>4.1936663086227746E-2</v>
      </c>
      <c r="Z14" s="85">
        <f>'Net zero emission summary'!BA13</f>
        <v>4.1980279215784011E-2</v>
      </c>
      <c r="AA14" s="85">
        <f>'Net zero emission summary'!BB13</f>
        <v>4.202090836912184E-2</v>
      </c>
      <c r="AB14" s="85">
        <f>'Net zero emission summary'!BC13</f>
        <v>4.2059198717776553E-2</v>
      </c>
      <c r="AC14" s="85">
        <f>'Net zero emission summary'!BD13</f>
        <v>4.11361607241972E-2</v>
      </c>
      <c r="AD14" s="85">
        <f>'Net zero emission summary'!BE13</f>
        <v>4.1173989150721221E-2</v>
      </c>
      <c r="AE14" s="85">
        <f>'Net zero emission summary'!BF13</f>
        <v>4.1209273335842019E-2</v>
      </c>
      <c r="AF14" s="85">
        <f>'Net zero emission summary'!BG13</f>
        <v>4.1242228918367263E-2</v>
      </c>
      <c r="AG14" s="85">
        <f>'Net zero emission summary'!BH13</f>
        <v>4.1273118032854578E-2</v>
      </c>
      <c r="AH14" s="85">
        <f>'Net zero emission summary'!BI13</f>
        <v>4.1301128170029677E-2</v>
      </c>
      <c r="AI14" s="85">
        <f>'Net zero emission summary'!BJ13</f>
        <v>4.1325716727354134E-2</v>
      </c>
      <c r="AJ14" s="85">
        <f>'Net zero emission summary'!BK13</f>
        <v>4.1346804230218914E-2</v>
      </c>
      <c r="AK14" s="85">
        <f>'Net zero emission summary'!BL13</f>
        <v>4.1363773205870966E-2</v>
      </c>
      <c r="AL14" s="85">
        <f>'Net zero emission summary'!BM13</f>
        <v>4.1375952478318198E-2</v>
      </c>
      <c r="AM14" s="85">
        <f>'Net zero emission summary'!BN13</f>
        <v>4.1383266358869852E-2</v>
      </c>
      <c r="AN14" s="85">
        <f>'Net zero emission summary'!BO13</f>
        <v>4.1385819172921751E-2</v>
      </c>
      <c r="AO14" s="85">
        <f>'Net zero emission summary'!BP13</f>
        <v>4.1383685591017356E-2</v>
      </c>
      <c r="AP14" s="85">
        <f>'Net zero emission summary'!BQ13</f>
        <v>4.1376233884627037E-2</v>
      </c>
    </row>
    <row r="15" spans="1:42" x14ac:dyDescent="0.25">
      <c r="A15" t="str">
        <f>'Emissions summary'!C14</f>
        <v>3A2d Goats</v>
      </c>
      <c r="B15" t="str">
        <f t="shared" si="1"/>
        <v>A3A2d</v>
      </c>
      <c r="C15" t="str">
        <f>'Emissions summary'!D14</f>
        <v>CH4</v>
      </c>
      <c r="D15" s="85">
        <f>'Net zero emission summary'!AE14</f>
        <v>4.23818915638281E-2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4.3565554612885075E-2</v>
      </c>
      <c r="K15" s="85">
        <f>'Net zero emission summary'!AL14</f>
        <v>4.3852181920952263E-2</v>
      </c>
      <c r="L15" s="85">
        <f>'Net zero emission summary'!AM14</f>
        <v>4.3745248289941946E-2</v>
      </c>
      <c r="M15" s="85">
        <f>'Net zero emission summary'!AN14</f>
        <v>4.3816838546636774E-2</v>
      </c>
      <c r="N15" s="85">
        <f>'Net zero emission summary'!AO14</f>
        <v>4.4705236359652817E-2</v>
      </c>
      <c r="O15" s="85">
        <f>'Net zero emission summary'!AP14</f>
        <v>4.4745373099922374E-2</v>
      </c>
      <c r="P15" s="85">
        <f>'Net zero emission summary'!AQ14</f>
        <v>4.4851635671400408E-2</v>
      </c>
      <c r="Q15" s="85">
        <f>'Net zero emission summary'!AR14</f>
        <v>4.4995050757162272E-2</v>
      </c>
      <c r="R15" s="85">
        <f>'Net zero emission summary'!AS14</f>
        <v>4.5126582395713849E-2</v>
      </c>
      <c r="S15" s="85">
        <f>'Net zero emission summary'!AT14</f>
        <v>4.5247969205683018E-2</v>
      </c>
      <c r="T15" s="85">
        <f>'Net zero emission summary'!AU14</f>
        <v>4.5358838860089012E-2</v>
      </c>
      <c r="U15" s="85">
        <f>'Net zero emission summary'!AV14</f>
        <v>4.5460329856663373E-2</v>
      </c>
      <c r="V15" s="85">
        <f>'Net zero emission summary'!AW14</f>
        <v>4.555407968016411E-2</v>
      </c>
      <c r="W15" s="85">
        <f>'Net zero emission summary'!AX14</f>
        <v>4.5640163864654373E-2</v>
      </c>
      <c r="X15" s="85">
        <f>'Net zero emission summary'!AY14</f>
        <v>4.5720068819719878E-2</v>
      </c>
      <c r="Y15" s="85">
        <f>'Net zero emission summary'!AZ14</f>
        <v>4.5794113780696463E-2</v>
      </c>
      <c r="Z15" s="85">
        <f>'Net zero emission summary'!BA14</f>
        <v>4.5861394691570793E-2</v>
      </c>
      <c r="AA15" s="85">
        <f>'Net zero emission summary'!BB14</f>
        <v>4.5922656663678077E-2</v>
      </c>
      <c r="AB15" s="85">
        <f>'Net zero emission summary'!BC14</f>
        <v>4.5979025286154857E-2</v>
      </c>
      <c r="AC15" s="85">
        <f>'Net zero emission summary'!BD14</f>
        <v>4.4519402579936501E-2</v>
      </c>
      <c r="AD15" s="85">
        <f>'Net zero emission summary'!BE14</f>
        <v>4.4575663321110487E-2</v>
      </c>
      <c r="AE15" s="85">
        <f>'Net zero emission summary'!BF14</f>
        <v>4.4626887961235831E-2</v>
      </c>
      <c r="AF15" s="85">
        <f>'Net zero emission summary'!BG14</f>
        <v>4.4673491071983908E-2</v>
      </c>
      <c r="AG15" s="85">
        <f>'Net zero emission summary'!BH14</f>
        <v>4.4715952756804463E-2</v>
      </c>
      <c r="AH15" s="85">
        <f>'Net zero emission summary'!BI14</f>
        <v>4.4753067611720015E-2</v>
      </c>
      <c r="AI15" s="85">
        <f>'Net zero emission summary'!BJ14</f>
        <v>4.478405587844915E-2</v>
      </c>
      <c r="AJ15" s="85">
        <f>'Net zero emission summary'!BK14</f>
        <v>4.4808860629770526E-2</v>
      </c>
      <c r="AK15" s="85">
        <f>'Net zero emission summary'!BL14</f>
        <v>4.4826586281330981E-2</v>
      </c>
      <c r="AL15" s="85">
        <f>'Net zero emission summary'!BM14</f>
        <v>4.4836257024710377E-2</v>
      </c>
      <c r="AM15" s="85">
        <f>'Net zero emission summary'!BN14</f>
        <v>4.4837822958213328E-2</v>
      </c>
      <c r="AN15" s="85">
        <f>'Net zero emission summary'!BO14</f>
        <v>4.4831510247490852E-2</v>
      </c>
      <c r="AO15" s="85">
        <f>'Net zero emission summary'!BP14</f>
        <v>4.481749543176345E-2</v>
      </c>
      <c r="AP15" s="85">
        <f>'Net zero emission summary'!BQ14</f>
        <v>4.4794862957454724E-2</v>
      </c>
    </row>
    <row r="16" spans="1:42" x14ac:dyDescent="0.25">
      <c r="A16" t="str">
        <f>'Emissions summary'!C15</f>
        <v>3A2f Horses</v>
      </c>
      <c r="B16" t="str">
        <f t="shared" si="1"/>
        <v>A3A2f</v>
      </c>
      <c r="C16" t="str">
        <f>'Emissions summary'!D15</f>
        <v>CH4</v>
      </c>
      <c r="D16" s="85">
        <f>'Net zero emission summary'!AE15</f>
        <v>4.1336182129460552E-3</v>
      </c>
      <c r="E16" s="85">
        <f>'Net zero emission summary'!AF15</f>
        <v>4.1536453250924088E-3</v>
      </c>
      <c r="F16" s="85">
        <f>'Net zero emission summary'!AG15</f>
        <v>4.1840370126470534E-3</v>
      </c>
      <c r="G16" s="85">
        <f>'Net zero emission summary'!AH15</f>
        <v>4.1905340987284578E-3</v>
      </c>
      <c r="H16" s="85">
        <f>'Net zero emission summary'!AI15</f>
        <v>4.1812329246154597E-3</v>
      </c>
      <c r="I16" s="85">
        <f>'Net zero emission summary'!AJ15</f>
        <v>4.1564738854214557E-3</v>
      </c>
      <c r="J16" s="85">
        <f>'Net zero emission summary'!AK15</f>
        <v>4.142746062070715E-3</v>
      </c>
      <c r="K16" s="85">
        <f>'Net zero emission summary'!AL15</f>
        <v>4.130408792135833E-3</v>
      </c>
      <c r="L16" s="85">
        <f>'Net zero emission summary'!AM15</f>
        <v>3.9465365523139234E-3</v>
      </c>
      <c r="M16" s="85">
        <f>'Net zero emission summary'!AN15</f>
        <v>4.0449031054022467E-3</v>
      </c>
      <c r="N16" s="85">
        <f>'Net zero emission summary'!AO15</f>
        <v>8.6826637855320493E-3</v>
      </c>
      <c r="O16" s="85">
        <f>'Net zero emission summary'!AP15</f>
        <v>8.7938640755687025E-3</v>
      </c>
      <c r="P16" s="85">
        <f>'Net zero emission summary'!AQ15</f>
        <v>8.8834218995517203E-3</v>
      </c>
      <c r="Q16" s="85">
        <f>'Net zero emission summary'!AR15</f>
        <v>8.9554975933649264E-3</v>
      </c>
      <c r="R16" s="85">
        <f>'Net zero emission summary'!AS15</f>
        <v>9.018105952641001E-3</v>
      </c>
      <c r="S16" s="85">
        <f>'Net zero emission summary'!AT15</f>
        <v>9.0705357904088645E-3</v>
      </c>
      <c r="T16" s="85">
        <f>'Net zero emission summary'!AU15</f>
        <v>9.1124930520699761E-3</v>
      </c>
      <c r="U16" s="85">
        <f>'Net zero emission summary'!AV15</f>
        <v>9.143466497408213E-3</v>
      </c>
      <c r="V16" s="85">
        <f>'Net zero emission summary'!AW15</f>
        <v>9.1629085267338015E-3</v>
      </c>
      <c r="W16" s="85">
        <f>'Net zero emission summary'!AX15</f>
        <v>9.1706067297579116E-3</v>
      </c>
      <c r="X16" s="85">
        <f>'Net zero emission summary'!AY15</f>
        <v>9.1661590701848112E-3</v>
      </c>
      <c r="Y16" s="85">
        <f>'Net zero emission summary'!AZ15</f>
        <v>9.149435618350802E-3</v>
      </c>
      <c r="Z16" s="85">
        <f>'Net zero emission summary'!BA15</f>
        <v>9.120587540138371E-3</v>
      </c>
      <c r="AA16" s="85">
        <f>'Net zero emission summary'!BB15</f>
        <v>9.0795393134023624E-3</v>
      </c>
      <c r="AB16" s="85">
        <f>'Net zero emission summary'!BC15</f>
        <v>9.0262176145749634E-3</v>
      </c>
      <c r="AC16" s="85">
        <f>'Net zero emission summary'!BD15</f>
        <v>1.3289120185476511E-3</v>
      </c>
      <c r="AD16" s="85">
        <f>'Net zero emission summary'!BE15</f>
        <v>1.3289120185476511E-3</v>
      </c>
      <c r="AE16" s="85">
        <f>'Net zero emission summary'!BF15</f>
        <v>1.3289120185476511E-3</v>
      </c>
      <c r="AF16" s="85">
        <f>'Net zero emission summary'!BG15</f>
        <v>1.3289120185476511E-3</v>
      </c>
      <c r="AG16" s="85">
        <f>'Net zero emission summary'!BH15</f>
        <v>1.3289120185476511E-3</v>
      </c>
      <c r="AH16" s="85">
        <f>'Net zero emission summary'!BI15</f>
        <v>1.3289120185476511E-3</v>
      </c>
      <c r="AI16" s="85">
        <f>'Net zero emission summary'!BJ15</f>
        <v>1.3289120185476511E-3</v>
      </c>
      <c r="AJ16" s="85">
        <f>'Net zero emission summary'!BK15</f>
        <v>1.3289120185476511E-3</v>
      </c>
      <c r="AK16" s="85">
        <f>'Net zero emission summary'!BL15</f>
        <v>1.3289120185476511E-3</v>
      </c>
      <c r="AL16" s="85">
        <f>'Net zero emission summary'!BM15</f>
        <v>1.3289120185476511E-3</v>
      </c>
      <c r="AM16" s="85">
        <f>'Net zero emission summary'!BN15</f>
        <v>1.3289120185476511E-3</v>
      </c>
      <c r="AN16" s="85">
        <f>'Net zero emission summary'!BO15</f>
        <v>1.3289120185476511E-3</v>
      </c>
      <c r="AO16" s="85">
        <f>'Net zero emission summary'!BP15</f>
        <v>1.3289120185476511E-3</v>
      </c>
      <c r="AP16" s="85">
        <f>'Net zero emission summary'!BQ15</f>
        <v>1.3289120185476511E-3</v>
      </c>
    </row>
    <row r="17" spans="1:42" x14ac:dyDescent="0.25">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25">
      <c r="A18" t="str">
        <f>'Emissions summary'!C17</f>
        <v>3A2h Swine</v>
      </c>
      <c r="B18" t="str">
        <f t="shared" si="1"/>
        <v>A3A2h</v>
      </c>
      <c r="C18" t="str">
        <f>'Emissions summary'!D17</f>
        <v>CH4</v>
      </c>
      <c r="D18" s="85">
        <f>'Net zero emission summary'!AE17</f>
        <v>23.356999930110071</v>
      </c>
      <c r="E18" s="85">
        <f>'Net zero emission summary'!AF17</f>
        <v>23.230039099944456</v>
      </c>
      <c r="F18" s="85">
        <f>'Net zero emission summary'!AG17</f>
        <v>23.240459651013445</v>
      </c>
      <c r="G18" s="85">
        <f>'Net zero emission summary'!AH17</f>
        <v>23.027094422284396</v>
      </c>
      <c r="H18" s="85">
        <f>'Net zero emission summary'!AI17</f>
        <v>22.678619791645833</v>
      </c>
      <c r="I18" s="85">
        <f>'Net zero emission summary'!AJ17</f>
        <v>22.200606495542029</v>
      </c>
      <c r="J18" s="85">
        <f>'Net zero emission summary'!AK17</f>
        <v>21.853515832253049</v>
      </c>
      <c r="K18" s="85">
        <f>'Net zero emission summary'!AL17</f>
        <v>21.537138037854106</v>
      </c>
      <c r="L18" s="85">
        <f>'Net zero emission summary'!AM17</f>
        <v>19.377486397842453</v>
      </c>
      <c r="M18" s="85">
        <f>'Net zero emission summary'!AN17</f>
        <v>20.069421348068843</v>
      </c>
      <c r="N18" s="85">
        <f>'Net zero emission summary'!AO17</f>
        <v>64.152273501526778</v>
      </c>
      <c r="O18" s="85">
        <f>'Net zero emission summary'!AP17</f>
        <v>64.328130775922219</v>
      </c>
      <c r="P18" s="85">
        <f>'Net zero emission summary'!AQ17</f>
        <v>64.393080025591729</v>
      </c>
      <c r="Q18" s="85">
        <f>'Net zero emission summary'!AR17</f>
        <v>64.350051789269457</v>
      </c>
      <c r="R18" s="85">
        <f>'Net zero emission summary'!AS17</f>
        <v>64.205537448008002</v>
      </c>
      <c r="S18" s="85">
        <f>'Net zero emission summary'!AT17</f>
        <v>63.958209546280962</v>
      </c>
      <c r="T18" s="85">
        <f>'Net zero emission summary'!AU17</f>
        <v>63.607712656892637</v>
      </c>
      <c r="U18" s="85">
        <f>'Net zero emission summary'!AV17</f>
        <v>63.154079646048565</v>
      </c>
      <c r="V18" s="85">
        <f>'Net zero emission summary'!AW17</f>
        <v>62.597892339646137</v>
      </c>
      <c r="W18" s="85">
        <f>'Net zero emission summary'!AX17</f>
        <v>61.940582253914194</v>
      </c>
      <c r="X18" s="85">
        <f>'Net zero emission summary'!AY17</f>
        <v>61.183959803740251</v>
      </c>
      <c r="Y18" s="85">
        <f>'Net zero emission summary'!AZ17</f>
        <v>60.330583258561724</v>
      </c>
      <c r="Z18" s="85">
        <f>'Net zero emission summary'!BA17</f>
        <v>59.383730900480174</v>
      </c>
      <c r="AA18" s="85">
        <f>'Net zero emission summary'!BB17</f>
        <v>58.346953766989586</v>
      </c>
      <c r="AB18" s="85">
        <f>'Net zero emission summary'!BC17</f>
        <v>57.22423674714647</v>
      </c>
      <c r="AC18" s="85">
        <f>'Net zero emission summary'!BD17</f>
        <v>-5.3322851080076239</v>
      </c>
      <c r="AD18" s="85">
        <f>'Net zero emission summary'!BE17</f>
        <v>-5.2745582538153819</v>
      </c>
      <c r="AE18" s="85">
        <f>'Net zero emission summary'!BF17</f>
        <v>-5.2166268772309676</v>
      </c>
      <c r="AF18" s="85">
        <f>'Net zero emission summary'!BG17</f>
        <v>-5.1585510792263074</v>
      </c>
      <c r="AG18" s="85">
        <f>'Net zero emission summary'!BH17</f>
        <v>-5.1003972829717226</v>
      </c>
      <c r="AH18" s="85">
        <f>'Net zero emission summary'!BI17</f>
        <v>-5.0420113339899135</v>
      </c>
      <c r="AI18" s="85">
        <f>'Net zero emission summary'!BJ17</f>
        <v>-4.9833022227191188</v>
      </c>
      <c r="AJ18" s="85">
        <f>'Net zero emission summary'!BK17</f>
        <v>-4.9242756204784817</v>
      </c>
      <c r="AK18" s="85">
        <f>'Net zero emission summary'!BL17</f>
        <v>-4.8648337101867627</v>
      </c>
      <c r="AL18" s="85">
        <f>'Net zero emission summary'!BM17</f>
        <v>-4.8048750189477332</v>
      </c>
      <c r="AM18" s="85">
        <f>'Net zero emission summary'!BN17</f>
        <v>-4.7444165641033589</v>
      </c>
      <c r="AN18" s="85">
        <f>'Net zero emission summary'!BO17</f>
        <v>-4.6835086551016172</v>
      </c>
      <c r="AO18" s="85">
        <f>'Net zero emission summary'!BP17</f>
        <v>-4.6221943259649407</v>
      </c>
      <c r="AP18" s="85">
        <f>'Net zero emission summary'!BQ17</f>
        <v>-4.5603886900930117</v>
      </c>
    </row>
    <row r="19" spans="1:42" x14ac:dyDescent="0.25">
      <c r="A19" t="str">
        <f>'Emissions summary'!C18</f>
        <v>3A2i Poultry</v>
      </c>
      <c r="B19" t="str">
        <f t="shared" si="1"/>
        <v>A3A2i</v>
      </c>
      <c r="C19" t="str">
        <f>'Emissions summary'!D18</f>
        <v>CH4</v>
      </c>
      <c r="D19" s="85">
        <f>'Net zero emission summary'!AE18</f>
        <v>2.8811301877986604</v>
      </c>
      <c r="E19" s="85">
        <f>'Net zero emission summary'!AF18</f>
        <v>2.9232175341370552</v>
      </c>
      <c r="F19" s="85">
        <f>'Net zero emission summary'!AG18</f>
        <v>2.985672699092115</v>
      </c>
      <c r="G19" s="85">
        <f>'Net zero emission summary'!AH18</f>
        <v>3.0102189866459601</v>
      </c>
      <c r="H19" s="85">
        <f>'Net zero emission summary'!AI18</f>
        <v>3.010126579070374</v>
      </c>
      <c r="I19" s="85">
        <f>'Net zero emission summary'!AJ18</f>
        <v>2.9854362546719684</v>
      </c>
      <c r="J19" s="85">
        <f>'Net zero emission summary'!AK18</f>
        <v>2.9805084686213332</v>
      </c>
      <c r="K19" s="85">
        <f>'Net zero emission summary'!AL18</f>
        <v>2.978868166437934</v>
      </c>
      <c r="L19" s="85">
        <f>'Net zero emission summary'!AM18</f>
        <v>2.655105712475164</v>
      </c>
      <c r="M19" s="85">
        <f>'Net zero emission summary'!AN18</f>
        <v>2.8318241264842263</v>
      </c>
      <c r="N19" s="85">
        <f>'Net zero emission summary'!AO18</f>
        <v>10.944785643402808</v>
      </c>
      <c r="O19" s="85">
        <f>'Net zero emission summary'!AP18</f>
        <v>11.146811353508689</v>
      </c>
      <c r="P19" s="85">
        <f>'Net zero emission summary'!AQ18</f>
        <v>11.328510328860276</v>
      </c>
      <c r="Q19" s="85">
        <f>'Net zero emission summary'!AR18</f>
        <v>11.490263168535135</v>
      </c>
      <c r="R19" s="85">
        <f>'Net zero emission summary'!AS18</f>
        <v>11.633518001837963</v>
      </c>
      <c r="S19" s="85">
        <f>'Net zero emission summary'!AT18</f>
        <v>11.757283847803782</v>
      </c>
      <c r="T19" s="85">
        <f>'Net zero emission summary'!AU18</f>
        <v>11.860770740400003</v>
      </c>
      <c r="U19" s="85">
        <f>'Net zero emission summary'!AV18</f>
        <v>11.943216496201451</v>
      </c>
      <c r="V19" s="85">
        <f>'Net zero emission summary'!AW18</f>
        <v>12.00394281411825</v>
      </c>
      <c r="W19" s="85">
        <f>'Net zero emission summary'!AX18</f>
        <v>12.042461860126373</v>
      </c>
      <c r="X19" s="85">
        <f>'Net zero emission summary'!AY18</f>
        <v>12.058333705078491</v>
      </c>
      <c r="Y19" s="85">
        <f>'Net zero emission summary'!AZ18</f>
        <v>12.051296624962221</v>
      </c>
      <c r="Z19" s="85">
        <f>'Net zero emission summary'!BA18</f>
        <v>12.02127176417914</v>
      </c>
      <c r="AA19" s="85">
        <f>'Net zero emission summary'!BB18</f>
        <v>11.968223365165935</v>
      </c>
      <c r="AB19" s="85">
        <f>'Net zero emission summary'!BC18</f>
        <v>11.8922216206839</v>
      </c>
      <c r="AC19" s="85">
        <f>'Net zero emission summary'!BD18</f>
        <v>-1.95916133494038</v>
      </c>
      <c r="AD19" s="85">
        <f>'Net zero emission summary'!BE18</f>
        <v>-1.9606306615965552</v>
      </c>
      <c r="AE19" s="85">
        <f>'Net zero emission summary'!BF18</f>
        <v>-1.9618485351007344</v>
      </c>
      <c r="AF19" s="85">
        <f>'Net zero emission summary'!BG18</f>
        <v>-1.962836329147164</v>
      </c>
      <c r="AG19" s="85">
        <f>'Net zero emission summary'!BH18</f>
        <v>-1.9636184571999495</v>
      </c>
      <c r="AH19" s="85">
        <f>'Net zero emission summary'!BI18</f>
        <v>-1.9641373321808648</v>
      </c>
      <c r="AI19" s="85">
        <f>'Net zero emission summary'!BJ18</f>
        <v>-1.9643562479312633</v>
      </c>
      <c r="AJ19" s="85">
        <f>'Net zero emission summary'!BK18</f>
        <v>-1.9642736525453977</v>
      </c>
      <c r="AK19" s="85">
        <f>'Net zero emission summary'!BL18</f>
        <v>-1.9638473848598754</v>
      </c>
      <c r="AL19" s="85">
        <f>'Net zero emission summary'!BM18</f>
        <v>-1.9630315668667693</v>
      </c>
      <c r="AM19" s="85">
        <f>'Net zero emission summary'!BN18</f>
        <v>-1.961825200078708</v>
      </c>
      <c r="AN19" s="85">
        <f>'Net zero emission summary'!BO18</f>
        <v>-1.9602405735319326</v>
      </c>
      <c r="AO19" s="85">
        <f>'Net zero emission summary'!BP18</f>
        <v>-1.9582875025807476</v>
      </c>
      <c r="AP19" s="85">
        <f>'Net zero emission summary'!BQ18</f>
        <v>-1.9559231810575166</v>
      </c>
    </row>
    <row r="20" spans="1:42" x14ac:dyDescent="0.25">
      <c r="A20" t="str">
        <f>'Emissions summary'!C20</f>
        <v>3A2a Cattle</v>
      </c>
      <c r="B20" t="str">
        <f t="shared" si="1"/>
        <v>A3A2a</v>
      </c>
      <c r="C20" t="str">
        <f>'Emissions summary'!D20</f>
        <v>N2O</v>
      </c>
      <c r="D20" s="85">
        <f>'Net zero emission summary'!AE20</f>
        <v>2.6405154397771438</v>
      </c>
      <c r="E20" s="85">
        <f>'Net zero emission summary'!AF20</f>
        <v>2.6638547658757203</v>
      </c>
      <c r="F20" s="85">
        <f>'Net zero emission summary'!AG20</f>
        <v>2.7012838960025096</v>
      </c>
      <c r="G20" s="85">
        <f>'Net zero emission summary'!AH20</f>
        <v>2.7146557268578317</v>
      </c>
      <c r="H20" s="85">
        <f>'Net zero emission summary'!AI20</f>
        <v>2.7128512798971713</v>
      </c>
      <c r="I20" s="85">
        <f>'Net zero emission summary'!AJ20</f>
        <v>2.6960639868509837</v>
      </c>
      <c r="J20" s="85">
        <f>'Net zero emission summary'!AK20</f>
        <v>2.6925532758612407</v>
      </c>
      <c r="K20" s="85">
        <f>'Net zero emission summary'!AL20</f>
        <v>2.6916404315629787</v>
      </c>
      <c r="L20" s="85">
        <f>'Net zero emission summary'!AM20</f>
        <v>2.4756090524957428</v>
      </c>
      <c r="M20" s="85">
        <f>'Net zero emission summary'!AN20</f>
        <v>2.590961601468396</v>
      </c>
      <c r="N20" s="85">
        <f>'Net zero emission summary'!AO20</f>
        <v>7.7684783360480179</v>
      </c>
      <c r="O20" s="85">
        <f>'Net zero emission summary'!AP20</f>
        <v>7.8976300421464476</v>
      </c>
      <c r="P20" s="85">
        <f>'Net zero emission summary'!AQ20</f>
        <v>8.0155334084512599</v>
      </c>
      <c r="Q20" s="85">
        <f>'Net zero emission summary'!AR20</f>
        <v>8.1216862067138536</v>
      </c>
      <c r="R20" s="85">
        <f>'Net zero emission summary'!AS20</f>
        <v>8.2157403535408378</v>
      </c>
      <c r="S20" s="85">
        <f>'Net zero emission summary'!AT20</f>
        <v>8.2971368921321762</v>
      </c>
      <c r="T20" s="85">
        <f>'Net zero emission summary'!AU20</f>
        <v>8.3653873656825759</v>
      </c>
      <c r="U20" s="85">
        <f>'Net zero emission summary'!AV20</f>
        <v>8.4200588742591407</v>
      </c>
      <c r="V20" s="85">
        <f>'Net zero emission summary'!AW20</f>
        <v>8.4607829115432551</v>
      </c>
      <c r="W20" s="85">
        <f>'Net zero emission summary'!AX20</f>
        <v>8.4702861584495963</v>
      </c>
      <c r="X20" s="85">
        <f>'Net zero emission summary'!AY20</f>
        <v>8.4656519013512117</v>
      </c>
      <c r="Y20" s="85">
        <f>'Net zero emission summary'!AZ20</f>
        <v>8.4468172896646507</v>
      </c>
      <c r="Z20" s="85">
        <f>'Net zero emission summary'!BA20</f>
        <v>8.4137988818850467</v>
      </c>
      <c r="AA20" s="85">
        <f>'Net zero emission summary'!BB20</f>
        <v>8.3666780371230587</v>
      </c>
      <c r="AB20" s="85">
        <f>'Net zero emission summary'!BC20</f>
        <v>8.305606984908998</v>
      </c>
      <c r="AC20" s="85">
        <f>'Net zero emission summary'!BD20</f>
        <v>-0.40683671771953772</v>
      </c>
      <c r="AD20" s="85">
        <f>'Net zero emission summary'!BE20</f>
        <v>-0.40451934938767214</v>
      </c>
      <c r="AE20" s="85">
        <f>'Net zero emission summary'!BF20</f>
        <v>-0.40224795406604719</v>
      </c>
      <c r="AF20" s="85">
        <f>'Net zero emission summary'!BG20</f>
        <v>-0.4000227414651778</v>
      </c>
      <c r="AG20" s="85">
        <f>'Net zero emission summary'!BH20</f>
        <v>-0.3984351702223633</v>
      </c>
      <c r="AH20" s="85">
        <f>'Net zero emission summary'!BI20</f>
        <v>-0.39687212711599473</v>
      </c>
      <c r="AI20" s="85">
        <f>'Net zero emission summary'!BJ20</f>
        <v>-0.39532851587275514</v>
      </c>
      <c r="AJ20" s="85">
        <f>'Net zero emission summary'!BK20</f>
        <v>-0.39380290121344103</v>
      </c>
      <c r="AK20" s="85">
        <f>'Net zero emission summary'!BL20</f>
        <v>-0.39228979810156173</v>
      </c>
      <c r="AL20" s="85">
        <f>'Net zero emission summary'!BM20</f>
        <v>-0.3907834218450803</v>
      </c>
      <c r="AM20" s="85">
        <f>'Net zero emission summary'!BN20</f>
        <v>-0.38928260377891588</v>
      </c>
      <c r="AN20" s="85">
        <f>'Net zero emission summary'!BO20</f>
        <v>-0.38778756982927115</v>
      </c>
      <c r="AO20" s="85">
        <f>'Net zero emission summary'!BP20</f>
        <v>-0.38629833716645828</v>
      </c>
      <c r="AP20" s="85">
        <f>'Net zero emission summary'!BQ20</f>
        <v>-0.38480964190609956</v>
      </c>
    </row>
    <row r="21" spans="1:42" x14ac:dyDescent="0.25">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0.18246526057949247</v>
      </c>
      <c r="M21" s="85">
        <f>'Net zero emission summary'!AN21</f>
        <v>0.18258669896078542</v>
      </c>
      <c r="N21" s="85">
        <f>'Net zero emission summary'!AO21</f>
        <v>0.18496490673628097</v>
      </c>
      <c r="O21" s="85">
        <f>'Net zero emission summary'!AP21</f>
        <v>0.18502292125882311</v>
      </c>
      <c r="P21" s="85">
        <f>'Net zero emission summary'!AQ21</f>
        <v>0.18527107690219102</v>
      </c>
      <c r="Q21" s="85">
        <f>'Net zero emission summary'!AR21</f>
        <v>0.18562979190788892</v>
      </c>
      <c r="R21" s="85">
        <f>'Net zero emission summary'!AS21</f>
        <v>0.18596302585536856</v>
      </c>
      <c r="S21" s="85">
        <f>'Net zero emission summary'!AT21</f>
        <v>0.18627490462868646</v>
      </c>
      <c r="T21" s="85">
        <f>'Net zero emission summary'!AU21</f>
        <v>0.18656376514753978</v>
      </c>
      <c r="U21" s="85">
        <f>'Net zero emission summary'!AV21</f>
        <v>0.18683221006894055</v>
      </c>
      <c r="V21" s="85">
        <f>'Net zero emission summary'!AW21</f>
        <v>0.18708431142894055</v>
      </c>
      <c r="W21" s="85">
        <f>'Net zero emission summary'!AX21</f>
        <v>0.18731983168987187</v>
      </c>
      <c r="X21" s="85">
        <f>'Net zero emission summary'!AY21</f>
        <v>0.18754253788152983</v>
      </c>
      <c r="Y21" s="85">
        <f>'Net zero emission summary'!AZ21</f>
        <v>0.18775296909944628</v>
      </c>
      <c r="Z21" s="85">
        <f>'Net zero emission summary'!BA21</f>
        <v>0.18794824114119116</v>
      </c>
      <c r="AA21" s="85">
        <f>'Net zero emission summary'!BB21</f>
        <v>0.18813014031031414</v>
      </c>
      <c r="AB21" s="85">
        <f>'Net zero emission summary'!BC21</f>
        <v>0.18830156850985863</v>
      </c>
      <c r="AC21" s="85">
        <f>'Net zero emission summary'!BD21</f>
        <v>0.18416907176042047</v>
      </c>
      <c r="AD21" s="85">
        <f>'Net zero emission summary'!BE21</f>
        <v>0.18433843190673543</v>
      </c>
      <c r="AE21" s="85">
        <f>'Net zero emission summary'!BF21</f>
        <v>0.18449640133088974</v>
      </c>
      <c r="AF21" s="85">
        <f>'Net zero emission summary'!BG21</f>
        <v>0.18464394546082669</v>
      </c>
      <c r="AG21" s="85">
        <f>'Net zero emission summary'!BH21</f>
        <v>0.18478223788876549</v>
      </c>
      <c r="AH21" s="85">
        <f>'Net zero emission summary'!BI21</f>
        <v>0.18490764096169704</v>
      </c>
      <c r="AI21" s="85">
        <f>'Net zero emission summary'!BJ21</f>
        <v>0.18501772541534195</v>
      </c>
      <c r="AJ21" s="85">
        <f>'Net zero emission summary'!BK21</f>
        <v>0.18511213543708388</v>
      </c>
      <c r="AK21" s="85">
        <f>'Net zero emission summary'!BL21</f>
        <v>0.18518810656417856</v>
      </c>
      <c r="AL21" s="85">
        <f>'Net zero emission summary'!BM21</f>
        <v>0.1852426339012424</v>
      </c>
      <c r="AM21" s="85">
        <f>'Net zero emission summary'!BN21</f>
        <v>0.18527537858544374</v>
      </c>
      <c r="AN21" s="85">
        <f>'Net zero emission summary'!BO21</f>
        <v>0.18528680768786931</v>
      </c>
      <c r="AO21" s="85">
        <f>'Net zero emission summary'!BP21</f>
        <v>0.18527725551304458</v>
      </c>
      <c r="AP21" s="85">
        <f>'Net zero emission summary'!BQ21</f>
        <v>0.18524389377425382</v>
      </c>
    </row>
    <row r="22" spans="1:42" x14ac:dyDescent="0.25">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0.1313609060950319</v>
      </c>
      <c r="I22" s="85">
        <f>'Net zero emission summary'!AJ22</f>
        <v>0.13212269035728819</v>
      </c>
      <c r="J22" s="85">
        <f>'Net zero emission summary'!AK22</f>
        <v>0.13294253416938454</v>
      </c>
      <c r="K22" s="85">
        <f>'Net zero emission summary'!AL22</f>
        <v>0.13381719216548246</v>
      </c>
      <c r="L22" s="85">
        <f>'Net zero emission summary'!AM22</f>
        <v>0.13349087868179638</v>
      </c>
      <c r="M22" s="85">
        <f>'Net zero emission summary'!AN22</f>
        <v>0.13370934003805407</v>
      </c>
      <c r="N22" s="85">
        <f>'Net zero emission summary'!AO22</f>
        <v>0.1364203317300538</v>
      </c>
      <c r="O22" s="85">
        <f>'Net zero emission summary'!AP22</f>
        <v>0.13654281106062</v>
      </c>
      <c r="P22" s="85">
        <f>'Net zero emission summary'!AQ22</f>
        <v>0.13686707677157386</v>
      </c>
      <c r="Q22" s="85">
        <f>'Net zero emission summary'!AR22</f>
        <v>0.13730471529376684</v>
      </c>
      <c r="R22" s="85">
        <f>'Net zero emission summary'!AS22</f>
        <v>0.13770609086462501</v>
      </c>
      <c r="S22" s="85">
        <f>'Net zero emission summary'!AT22</f>
        <v>0.13807650896845575</v>
      </c>
      <c r="T22" s="85">
        <f>'Net zero emission summary'!AU22</f>
        <v>0.13841483343029692</v>
      </c>
      <c r="U22" s="85">
        <f>'Net zero emission summary'!AV22</f>
        <v>0.13872453843462576</v>
      </c>
      <c r="V22" s="85">
        <f>'Net zero emission summary'!AW22</f>
        <v>0.13901062085053589</v>
      </c>
      <c r="W22" s="85">
        <f>'Net zero emission summary'!AX22</f>
        <v>0.13927331117411221</v>
      </c>
      <c r="X22" s="85">
        <f>'Net zero emission summary'!AY22</f>
        <v>0.13951714526077752</v>
      </c>
      <c r="Y22" s="85">
        <f>'Net zero emission summary'!AZ22</f>
        <v>0.13974309727360437</v>
      </c>
      <c r="Z22" s="85">
        <f>'Net zero emission summary'!BA22</f>
        <v>0.13994840843909592</v>
      </c>
      <c r="AA22" s="85">
        <f>'Net zero emission summary'!BB22</f>
        <v>0.14013535250287582</v>
      </c>
      <c r="AB22" s="85">
        <f>'Net zero emission summary'!BC22</f>
        <v>0.14030736425817858</v>
      </c>
      <c r="AC22" s="85">
        <f>'Net zero emission summary'!BD22</f>
        <v>0.13585325037807083</v>
      </c>
      <c r="AD22" s="85">
        <f>'Net zero emission summary'!BE22</f>
        <v>0.13602493292802059</v>
      </c>
      <c r="AE22" s="85">
        <f>'Net zero emission summary'!BF22</f>
        <v>0.13618124755618707</v>
      </c>
      <c r="AF22" s="85">
        <f>'Net zero emission summary'!BG22</f>
        <v>0.13632345934938189</v>
      </c>
      <c r="AG22" s="85">
        <f>'Net zero emission summary'!BH22</f>
        <v>0.13645303336801443</v>
      </c>
      <c r="AH22" s="85">
        <f>'Net zero emission summary'!BI22</f>
        <v>0.13656629125975128</v>
      </c>
      <c r="AI22" s="85">
        <f>'Net zero emission summary'!BJ22</f>
        <v>0.1366608535520277</v>
      </c>
      <c r="AJ22" s="85">
        <f>'Net zero emission summary'!BK22</f>
        <v>0.13673654652849521</v>
      </c>
      <c r="AK22" s="85">
        <f>'Net zero emission summary'!BL22</f>
        <v>0.13679063726736423</v>
      </c>
      <c r="AL22" s="85">
        <f>'Net zero emission summary'!BM22</f>
        <v>0.13682014803897224</v>
      </c>
      <c r="AM22" s="85">
        <f>'Net zero emission summary'!BN22</f>
        <v>0.13682492656572515</v>
      </c>
      <c r="AN22" s="85">
        <f>'Net zero emission summary'!BO22</f>
        <v>0.1368056630037579</v>
      </c>
      <c r="AO22" s="85">
        <f>'Net zero emission summary'!BP22</f>
        <v>0.13676289607159617</v>
      </c>
      <c r="AP22" s="85">
        <f>'Net zero emission summary'!BQ22</f>
        <v>0.13669383191033707</v>
      </c>
    </row>
    <row r="23" spans="1:42" x14ac:dyDescent="0.25">
      <c r="A23" t="str">
        <f>'Emissions summary'!C25</f>
        <v>3A2h Swine</v>
      </c>
      <c r="B23" t="str">
        <f t="shared" si="1"/>
        <v>A3A2h</v>
      </c>
      <c r="C23" t="str">
        <f>'Emissions summary'!D25</f>
        <v>N2O</v>
      </c>
      <c r="D23" s="85">
        <f>'Net zero emission summary'!AE25</f>
        <v>0.13559803489000399</v>
      </c>
      <c r="E23" s="85">
        <f>'Net zero emission summary'!AF25</f>
        <v>0.13486096937945147</v>
      </c>
      <c r="F23" s="85">
        <f>'Net zero emission summary'!AG25</f>
        <v>0.13492146542995687</v>
      </c>
      <c r="G23" s="85">
        <f>'Net zero emission summary'!AH25</f>
        <v>0.13368278298717368</v>
      </c>
      <c r="H23" s="85">
        <f>'Net zero emission summary'!AI25</f>
        <v>0.13165972885928906</v>
      </c>
      <c r="I23" s="85">
        <f>'Net zero emission summary'!AJ25</f>
        <v>0.12888464371149955</v>
      </c>
      <c r="J23" s="85">
        <f>'Net zero emission summary'!AK25</f>
        <v>0.12686962414513903</v>
      </c>
      <c r="K23" s="85">
        <f>'Net zero emission summary'!AL25</f>
        <v>0.12503290678710083</v>
      </c>
      <c r="L23" s="85">
        <f>'Net zero emission summary'!AM25</f>
        <v>0.1124951442615702</v>
      </c>
      <c r="M23" s="85">
        <f>'Net zero emission summary'!AN25</f>
        <v>0.11651214215527056</v>
      </c>
      <c r="N23" s="85">
        <f>'Net zero emission summary'!AO25</f>
        <v>0.37243319975007211</v>
      </c>
      <c r="O23" s="85">
        <f>'Net zero emission summary'!AP25</f>
        <v>0.37345413141511841</v>
      </c>
      <c r="P23" s="85">
        <f>'Net zero emission summary'!AQ25</f>
        <v>0.37383119142492782</v>
      </c>
      <c r="Q23" s="85">
        <f>'Net zero emission summary'!AR25</f>
        <v>0.37358139289311554</v>
      </c>
      <c r="R23" s="85">
        <f>'Net zero emission summary'!AS25</f>
        <v>0.37274242124662355</v>
      </c>
      <c r="S23" s="85">
        <f>'Net zero emission summary'!AT25</f>
        <v>0.37130657000082973</v>
      </c>
      <c r="T23" s="85">
        <f>'Net zero emission summary'!AU25</f>
        <v>0.36927177573879572</v>
      </c>
      <c r="U23" s="85">
        <f>'Net zero emission summary'!AV25</f>
        <v>0.36663822926383105</v>
      </c>
      <c r="V23" s="85">
        <f>'Net zero emission summary'!AW25</f>
        <v>0.36340930834057023</v>
      </c>
      <c r="W23" s="85">
        <f>'Net zero emission summary'!AX25</f>
        <v>0.35959332357346274</v>
      </c>
      <c r="X23" s="85">
        <f>'Net zero emission summary'!AY25</f>
        <v>0.35520078524644128</v>
      </c>
      <c r="Y23" s="85">
        <f>'Net zero emission summary'!AZ25</f>
        <v>0.35024654528010657</v>
      </c>
      <c r="Z23" s="85">
        <f>'Net zero emission summary'!BA25</f>
        <v>0.34474963559688504</v>
      </c>
      <c r="AA23" s="85">
        <f>'Net zero emission summary'!BB25</f>
        <v>0.33873067158862713</v>
      </c>
      <c r="AB23" s="85">
        <f>'Net zero emission summary'!BC25</f>
        <v>0.3322127873533306</v>
      </c>
      <c r="AC23" s="85">
        <f>'Net zero emission summary'!BD25</f>
        <v>-3.0956346460701424E-2</v>
      </c>
      <c r="AD23" s="85">
        <f>'Net zero emission summary'!BE25</f>
        <v>-3.0621215749896437E-2</v>
      </c>
      <c r="AE23" s="85">
        <f>'Net zero emission summary'!BF25</f>
        <v>-3.0284897693347024E-2</v>
      </c>
      <c r="AF23" s="85">
        <f>'Net zero emission summary'!BG25</f>
        <v>-2.9947741204599983E-2</v>
      </c>
      <c r="AG23" s="85">
        <f>'Net zero emission summary'!BH25</f>
        <v>-2.961013190044659E-2</v>
      </c>
      <c r="AH23" s="85">
        <f>'Net zero emission summary'!BI25</f>
        <v>-2.9271174843854952E-2</v>
      </c>
      <c r="AI23" s="85">
        <f>'Net zero emission summary'!BJ25</f>
        <v>-2.8930341682820604E-2</v>
      </c>
      <c r="AJ23" s="85">
        <f>'Net zero emission summary'!BK25</f>
        <v>-2.8587665341937192E-2</v>
      </c>
      <c r="AK23" s="85">
        <f>'Net zero emission summary'!BL25</f>
        <v>-2.8242577948445598E-2</v>
      </c>
      <c r="AL23" s="85">
        <f>'Net zero emission summary'!BM25</f>
        <v>-2.7894490405913734E-2</v>
      </c>
      <c r="AM23" s="85">
        <f>'Net zero emission summary'!BN25</f>
        <v>-2.7543501507771254E-2</v>
      </c>
      <c r="AN23" s="85">
        <f>'Net zero emission summary'!BO25</f>
        <v>-2.7189903323303719E-2</v>
      </c>
      <c r="AO23" s="85">
        <f>'Net zero emission summary'!BP25</f>
        <v>-2.6833945684633938E-2</v>
      </c>
      <c r="AP23" s="85">
        <f>'Net zero emission summary'!BQ25</f>
        <v>-2.647513578634058E-2</v>
      </c>
    </row>
    <row r="24" spans="1:42" x14ac:dyDescent="0.25">
      <c r="A24" t="str">
        <f>'Emissions summary'!C26</f>
        <v>3A2i Poultry</v>
      </c>
      <c r="B24" t="str">
        <f t="shared" si="1"/>
        <v>A3A2i</v>
      </c>
      <c r="C24" t="str">
        <f>'Emissions summary'!D26</f>
        <v>N2O</v>
      </c>
      <c r="D24" s="85">
        <f>'Net zero emission summary'!AE26</f>
        <v>2.1141223071087358</v>
      </c>
      <c r="E24" s="85">
        <f>'Net zero emission summary'!AF26</f>
        <v>2.1444079633530233</v>
      </c>
      <c r="F24" s="85">
        <f>'Net zero emission summary'!AG26</f>
        <v>2.1900184905347522</v>
      </c>
      <c r="G24" s="85">
        <f>'Net zero emission summary'!AH26</f>
        <v>2.2070152134542447</v>
      </c>
      <c r="H24" s="85">
        <f>'Net zero emission summary'!AI26</f>
        <v>2.2054156910391569</v>
      </c>
      <c r="I24" s="85">
        <f>'Net zero emission summary'!AJ26</f>
        <v>2.1852604118945713</v>
      </c>
      <c r="J24" s="85">
        <f>'Net zero emission summary'!AK26</f>
        <v>2.1799994398925189</v>
      </c>
      <c r="K24" s="85">
        <f>'Net zero emission summary'!AL26</f>
        <v>2.1772115733745303</v>
      </c>
      <c r="L24" s="85">
        <f>'Net zero emission summary'!AM26</f>
        <v>1.9325078177119523</v>
      </c>
      <c r="M24" s="85">
        <f>'Net zero emission summary'!AN26</f>
        <v>2.0644754596590214</v>
      </c>
      <c r="N24" s="85">
        <f>'Net zero emission summary'!AO26</f>
        <v>8.1696175905510966</v>
      </c>
      <c r="O24" s="85">
        <f>'Net zero emission summary'!AP26</f>
        <v>8.3195083220662571</v>
      </c>
      <c r="P24" s="85">
        <f>'Net zero emission summary'!AQ26</f>
        <v>8.453979953183369</v>
      </c>
      <c r="Q24" s="85">
        <f>'Net zero emission summary'!AR26</f>
        <v>8.5733735585071198</v>
      </c>
      <c r="R24" s="85">
        <f>'Net zero emission summary'!AS26</f>
        <v>8.6788693065196121</v>
      </c>
      <c r="S24" s="85">
        <f>'Net zero emission summary'!AT26</f>
        <v>8.7697251658237398</v>
      </c>
      <c r="T24" s="85">
        <f>'Net zero emission summary'!AU26</f>
        <v>8.8453542583801834</v>
      </c>
      <c r="U24" s="85">
        <f>'Net zero emission summary'!AV26</f>
        <v>8.905188159601245</v>
      </c>
      <c r="V24" s="85">
        <f>'Net zero emission summary'!AW26</f>
        <v>8.9487207739814423</v>
      </c>
      <c r="W24" s="85">
        <f>'Net zero emission summary'!AX26</f>
        <v>8.9755920735442487</v>
      </c>
      <c r="X24" s="85">
        <f>'Net zero emission summary'!AY26</f>
        <v>8.9854755535088149</v>
      </c>
      <c r="Y24" s="85">
        <f>'Net zero emission summary'!AZ26</f>
        <v>8.9781807291390425</v>
      </c>
      <c r="Z24" s="85">
        <f>'Net zero emission summary'!BA26</f>
        <v>8.9536567030003305</v>
      </c>
      <c r="AA24" s="85">
        <f>'Net zero emission summary'!BB26</f>
        <v>8.9118818546039638</v>
      </c>
      <c r="AB24" s="85">
        <f>'Net zero emission summary'!BC26</f>
        <v>8.8529132925121736</v>
      </c>
      <c r="AC24" s="85">
        <f>'Net zero emission summary'!BD26</f>
        <v>-1.5481973811500027</v>
      </c>
      <c r="AD24" s="85">
        <f>'Net zero emission summary'!BE26</f>
        <v>-1.5496197174415067</v>
      </c>
      <c r="AE24" s="85">
        <f>'Net zero emission summary'!BF26</f>
        <v>-1.550841222412443</v>
      </c>
      <c r="AF24" s="85">
        <f>'Net zero emission summary'!BG26</f>
        <v>-1.5518787812476273</v>
      </c>
      <c r="AG24" s="85">
        <f>'Net zero emission summary'!BH26</f>
        <v>-1.552751685050598</v>
      </c>
      <c r="AH24" s="85">
        <f>'Net zero emission summary'!BI26</f>
        <v>-1.5534144819973856</v>
      </c>
      <c r="AI24" s="85">
        <f>'Net zero emission summary'!BJ26</f>
        <v>-1.5538381775180534</v>
      </c>
      <c r="AJ24" s="85">
        <f>'Net zero emission summary'!BK26</f>
        <v>-1.5540215228224949</v>
      </c>
      <c r="AK24" s="85">
        <f>'Net zero emission summary'!BL26</f>
        <v>-1.5539311832681637</v>
      </c>
      <c r="AL24" s="85">
        <f>'Net zero emission summary'!BM26</f>
        <v>-1.5535308636477336</v>
      </c>
      <c r="AM24" s="85">
        <f>'Net zero emission summary'!BN26</f>
        <v>-1.5528197103713144</v>
      </c>
      <c r="AN24" s="85">
        <f>'Net zero emission summary'!BO26</f>
        <v>-1.5518073696552814</v>
      </c>
      <c r="AO24" s="85">
        <f>'Net zero emission summary'!BP26</f>
        <v>-1.5505015364378192</v>
      </c>
      <c r="AP24" s="85">
        <f>'Net zero emission summary'!BQ26</f>
        <v>-1.5488683049184844</v>
      </c>
    </row>
    <row r="25" spans="1:42" x14ac:dyDescent="0.25">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25">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25">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25">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25">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25">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25">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25">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25">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25">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25">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25">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25">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893.8099998865514</v>
      </c>
      <c r="N37" s="85">
        <f>'Net zero emission summary'!AO41</f>
        <v>900.67357822106953</v>
      </c>
      <c r="O37" s="85">
        <f>'Net zero emission summary'!AP41</f>
        <v>1065.3940139484962</v>
      </c>
      <c r="P37" s="85">
        <f>'Net zero emission summary'!AQ41</f>
        <v>1069.5090816299301</v>
      </c>
      <c r="Q37" s="85">
        <f>'Net zero emission summary'!AR41</f>
        <v>1073.3182252319168</v>
      </c>
      <c r="R37" s="85">
        <f>'Net zero emission summary'!AS41</f>
        <v>1076.8218555552182</v>
      </c>
      <c r="S37" s="85">
        <f>'Net zero emission summary'!AT41</f>
        <v>1080.0226317758113</v>
      </c>
      <c r="T37" s="85">
        <f>'Net zero emission summary'!AU41</f>
        <v>1082.9177749187229</v>
      </c>
      <c r="U37" s="85">
        <f>'Net zero emission summary'!AV41</f>
        <v>1085.5049609833559</v>
      </c>
      <c r="V37" s="85">
        <f>'Net zero emission summary'!AW41</f>
        <v>1087.7819132444117</v>
      </c>
      <c r="W37" s="85">
        <f>'Net zero emission summary'!AX41</f>
        <v>1089.7465011362146</v>
      </c>
      <c r="X37" s="85">
        <f>'Net zero emission summary'!AY41</f>
        <v>1091.3969473327843</v>
      </c>
      <c r="Y37" s="85">
        <f>'Net zero emission summary'!AZ41</f>
        <v>1092.7315009729246</v>
      </c>
      <c r="Z37" s="85">
        <f>'Net zero emission summary'!BA41</f>
        <v>1093.7487030524378</v>
      </c>
      <c r="AA37" s="85">
        <f>'Net zero emission summary'!BB41</f>
        <v>1094.4473857214566</v>
      </c>
      <c r="AB37" s="85">
        <f>'Net zero emission summary'!BC41</f>
        <v>1094.8263628266327</v>
      </c>
      <c r="AC37" s="85">
        <f>'Net zero emission summary'!BD41</f>
        <v>1094.8845593444271</v>
      </c>
      <c r="AD37" s="85">
        <f>'Net zero emission summary'!BE41</f>
        <v>607.97020905828253</v>
      </c>
      <c r="AE37" s="85">
        <f>'Net zero emission summary'!BF41</f>
        <v>607.55745037474526</v>
      </c>
      <c r="AF37" s="85">
        <f>'Net zero emission summary'!BG41</f>
        <v>607.15409314091119</v>
      </c>
      <c r="AG37" s="85">
        <f>'Net zero emission summary'!BH41</f>
        <v>606.75958690378332</v>
      </c>
      <c r="AH37" s="85">
        <f>'Net zero emission summary'!BI41</f>
        <v>606.37328175345601</v>
      </c>
      <c r="AI37" s="85">
        <f>'Net zero emission summary'!BJ41</f>
        <v>605.99682053444815</v>
      </c>
      <c r="AJ37" s="85">
        <f>'Net zero emission summary'!BK41</f>
        <v>605.63131244884619</v>
      </c>
      <c r="AK37" s="85">
        <f>'Net zero emission summary'!BL41</f>
        <v>605.27689810634104</v>
      </c>
      <c r="AL37" s="85">
        <f>'Net zero emission summary'!BM41</f>
        <v>604.93489516166983</v>
      </c>
      <c r="AM37" s="85">
        <f>'Net zero emission summary'!BN41</f>
        <v>604.60677047885349</v>
      </c>
      <c r="AN37" s="85">
        <f>'Net zero emission summary'!BO41</f>
        <v>604.29271780451234</v>
      </c>
      <c r="AO37" s="85">
        <f>'Net zero emission summary'!BP41</f>
        <v>603.99253980993103</v>
      </c>
      <c r="AP37" s="85">
        <f>'Net zero emission summary'!BQ41</f>
        <v>603.70610230649959</v>
      </c>
    </row>
    <row r="38" spans="1:42" x14ac:dyDescent="0.25">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469.91049414760272</v>
      </c>
      <c r="N38" s="85">
        <f>'Net zero emission summary'!AO42</f>
        <v>469.73756057025111</v>
      </c>
      <c r="O38" s="85">
        <f>'Net zero emission summary'!AP42</f>
        <v>465.58729188751397</v>
      </c>
      <c r="P38" s="85">
        <f>'Net zero emission summary'!AQ42</f>
        <v>465.48360932711904</v>
      </c>
      <c r="Q38" s="85">
        <f>'Net zero emission summary'!AR42</f>
        <v>465.38763477891212</v>
      </c>
      <c r="R38" s="85">
        <f>'Net zero emission summary'!AS42</f>
        <v>465.29935789242586</v>
      </c>
      <c r="S38" s="85">
        <f>'Net zero emission summary'!AT42</f>
        <v>465.21871166750475</v>
      </c>
      <c r="T38" s="85">
        <f>'Net zero emission summary'!AU42</f>
        <v>465.1457661227397</v>
      </c>
      <c r="U38" s="85">
        <f>'Net zero emission summary'!AV42</f>
        <v>465.080579813263</v>
      </c>
      <c r="V38" s="85">
        <f>'Net zero emission summary'!AW42</f>
        <v>465.02321010306639</v>
      </c>
      <c r="W38" s="85">
        <f>'Net zero emission summary'!AX42</f>
        <v>464.97371067352793</v>
      </c>
      <c r="X38" s="85">
        <f>'Net zero emission summary'!AY42</f>
        <v>464.93212630585725</v>
      </c>
      <c r="Y38" s="85">
        <f>'Net zero emission summary'!AZ42</f>
        <v>464.89850111446157</v>
      </c>
      <c r="Z38" s="85">
        <f>'Net zero emission summary'!BA42</f>
        <v>464.87287186016789</v>
      </c>
      <c r="AA38" s="85">
        <f>'Net zero emission summary'!BB42</f>
        <v>464.8552679679272</v>
      </c>
      <c r="AB38" s="85">
        <f>'Net zero emission summary'!BC42</f>
        <v>464.84571932386154</v>
      </c>
      <c r="AC38" s="85">
        <f>'Net zero emission summary'!BD42</f>
        <v>464.84425301408538</v>
      </c>
      <c r="AD38" s="85">
        <f>'Net zero emission summary'!BE42</f>
        <v>477.11246594251554</v>
      </c>
      <c r="AE38" s="85">
        <f>'Net zero emission summary'!BF42</f>
        <v>477.12286574160703</v>
      </c>
      <c r="AF38" s="85">
        <f>'Net zero emission summary'!BG42</f>
        <v>477.13302866333646</v>
      </c>
      <c r="AG38" s="85">
        <f>'Net zero emission summary'!BH42</f>
        <v>477.14296857682592</v>
      </c>
      <c r="AH38" s="85">
        <f>'Net zero emission summary'!BI42</f>
        <v>477.15270185709755</v>
      </c>
      <c r="AI38" s="85">
        <f>'Net zero emission summary'!BJ42</f>
        <v>477.16218711131398</v>
      </c>
      <c r="AJ38" s="85">
        <f>'Net zero emission summary'!BK42</f>
        <v>477.17139639220409</v>
      </c>
      <c r="AK38" s="85">
        <f>'Net zero emission summary'!BL42</f>
        <v>477.18032615698962</v>
      </c>
      <c r="AL38" s="85">
        <f>'Net zero emission summary'!BM42</f>
        <v>477.18894320626106</v>
      </c>
      <c r="AM38" s="85">
        <f>'Net zero emission summary'!BN42</f>
        <v>477.1972105811567</v>
      </c>
      <c r="AN38" s="85">
        <f>'Net zero emission summary'!BO42</f>
        <v>477.20512340006883</v>
      </c>
      <c r="AO38" s="85">
        <f>'Net zero emission summary'!BP42</f>
        <v>477.2126866348591</v>
      </c>
      <c r="AP38" s="85">
        <f>'Net zero emission summary'!BQ42</f>
        <v>477.21990366652125</v>
      </c>
    </row>
    <row r="39" spans="1:42" x14ac:dyDescent="0.25">
      <c r="A39" t="str">
        <f>'Emissions summary'!B44</f>
        <v>3C4 Direct N2O from managed soils (N2O)</v>
      </c>
      <c r="B39" t="str">
        <f>"A"&amp;LEFT(A39,3)</f>
        <v>A3C4</v>
      </c>
      <c r="C39" t="str">
        <f>'Emissions summary'!D44</f>
        <v>N2O</v>
      </c>
      <c r="D39" s="85">
        <f>'Net zero emission summary'!AE43</f>
        <v>55.328082895998847</v>
      </c>
      <c r="E39" s="85">
        <f>'Net zero emission summary'!AF43</f>
        <v>55.141377146941785</v>
      </c>
      <c r="F39" s="85">
        <f>'Net zero emission summary'!AG43</f>
        <v>55.133536751110512</v>
      </c>
      <c r="G39" s="85">
        <f>'Net zero emission summary'!AH43</f>
        <v>54.827496094629744</v>
      </c>
      <c r="H39" s="85">
        <f>'Net zero emission summary'!AI43</f>
        <v>54.339148116939327</v>
      </c>
      <c r="I39" s="85">
        <f>'Net zero emission summary'!AJ43</f>
        <v>53.680284142654159</v>
      </c>
      <c r="J39" s="85">
        <f>'Net zero emission summary'!AK43</f>
        <v>53.185580517007516</v>
      </c>
      <c r="K39" s="85">
        <f>'Net zero emission summary'!AL43</f>
        <v>52.728403644181718</v>
      </c>
      <c r="L39" s="85">
        <f>'Net zero emission summary'!AM43</f>
        <v>49.814512572045778</v>
      </c>
      <c r="M39" s="85">
        <f>'Net zero emission summary'!AN43</f>
        <v>50.809494472634398</v>
      </c>
      <c r="N39" s="85">
        <f>'Net zero emission summary'!AO43</f>
        <v>107.45893275601063</v>
      </c>
      <c r="O39" s="85">
        <f>'Net zero emission summary'!AP43</f>
        <v>108.41636201125947</v>
      </c>
      <c r="P39" s="85">
        <f>'Net zero emission summary'!AQ43</f>
        <v>108.83127941200364</v>
      </c>
      <c r="Q39" s="85">
        <f>'Net zero emission summary'!AR43</f>
        <v>109.10969218738103</v>
      </c>
      <c r="R39" s="85">
        <f>'Net zero emission summary'!AS43</f>
        <v>109.2456922534932</v>
      </c>
      <c r="S39" s="85">
        <f>'Net zero emission summary'!AT43</f>
        <v>109.23747030331874</v>
      </c>
      <c r="T39" s="85">
        <f>'Net zero emission summary'!AU43</f>
        <v>109.08385667058613</v>
      </c>
      <c r="U39" s="85">
        <f>'Net zero emission summary'!AV43</f>
        <v>108.78459100322331</v>
      </c>
      <c r="V39" s="85">
        <f>'Net zero emission summary'!AW43</f>
        <v>108.3402558296587</v>
      </c>
      <c r="W39" s="85">
        <f>'Net zero emission summary'!AX43</f>
        <v>107.15119636707428</v>
      </c>
      <c r="X39" s="85">
        <f>'Net zero emission summary'!AY43</f>
        <v>105.82349977791752</v>
      </c>
      <c r="Y39" s="85">
        <f>'Net zero emission summary'!AZ43</f>
        <v>104.36310311786511</v>
      </c>
      <c r="Z39" s="85">
        <f>'Net zero emission summary'!BA43</f>
        <v>102.77656582142575</v>
      </c>
      <c r="AA39" s="85">
        <f>'Net zero emission summary'!BB43</f>
        <v>101.07123844190708</v>
      </c>
      <c r="AB39" s="85">
        <f>'Net zero emission summary'!BC43</f>
        <v>99.255107034930759</v>
      </c>
      <c r="AC39" s="85">
        <f>'Net zero emission summary'!BD43</f>
        <v>19.508296790605094</v>
      </c>
      <c r="AD39" s="85">
        <f>'Net zero emission summary'!BE43</f>
        <v>18.387192164904601</v>
      </c>
      <c r="AE39" s="85">
        <f>'Net zero emission summary'!BF43</f>
        <v>18.512072232535591</v>
      </c>
      <c r="AF39" s="85">
        <f>'Net zero emission summary'!BG43</f>
        <v>18.635163887409277</v>
      </c>
      <c r="AG39" s="85">
        <f>'Net zero emission summary'!BH43</f>
        <v>18.734087279244719</v>
      </c>
      <c r="AH39" s="85">
        <f>'Net zero emission summary'!BI43</f>
        <v>18.831431750009067</v>
      </c>
      <c r="AI39" s="85">
        <f>'Net zero emission summary'!BJ43</f>
        <v>18.927135670856636</v>
      </c>
      <c r="AJ39" s="85">
        <f>'Net zero emission summary'!BK43</f>
        <v>19.02120561701328</v>
      </c>
      <c r="AK39" s="85">
        <f>'Net zero emission summary'!BL43</f>
        <v>19.113555275620815</v>
      </c>
      <c r="AL39" s="85">
        <f>'Net zero emission summary'!BM43</f>
        <v>19.204086762581614</v>
      </c>
      <c r="AM39" s="85">
        <f>'Net zero emission summary'!BN43</f>
        <v>19.292796522357445</v>
      </c>
      <c r="AN39" s="85">
        <f>'Net zero emission summary'!BO43</f>
        <v>19.379706633271752</v>
      </c>
      <c r="AO39" s="85">
        <f>'Net zero emission summary'!BP43</f>
        <v>19.46483285124587</v>
      </c>
      <c r="AP39" s="85">
        <f>'Net zero emission summary'!BQ43</f>
        <v>19.548068830388235</v>
      </c>
    </row>
    <row r="40" spans="1:42" x14ac:dyDescent="0.25">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6.444570315986593</v>
      </c>
      <c r="J40" s="85">
        <f>'Net zero emission summary'!AK49</f>
        <v>6.3913491075327142</v>
      </c>
      <c r="K40" s="85">
        <f>'Net zero emission summary'!AL49</f>
        <v>6.3428476696520812</v>
      </c>
      <c r="L40" s="85">
        <f>'Net zero emission summary'!AM49</f>
        <v>5.9839757600689607</v>
      </c>
      <c r="M40" s="85">
        <f>'Net zero emission summary'!AN49</f>
        <v>6.113860122509144</v>
      </c>
      <c r="N40" s="85">
        <f>'Net zero emission summary'!AO49</f>
        <v>13.200670022674439</v>
      </c>
      <c r="O40" s="85">
        <f>'Net zero emission summary'!AP49</f>
        <v>13.288228481356258</v>
      </c>
      <c r="P40" s="85">
        <f>'Net zero emission summary'!AQ49</f>
        <v>13.350397789033785</v>
      </c>
      <c r="Q40" s="85">
        <f>'Net zero emission summary'!AR49</f>
        <v>13.396138525982296</v>
      </c>
      <c r="R40" s="85">
        <f>'Net zero emission summary'!AS49</f>
        <v>13.424168306332666</v>
      </c>
      <c r="S40" s="85">
        <f>'Net zero emission summary'!AT49</f>
        <v>13.434225404385481</v>
      </c>
      <c r="T40" s="85">
        <f>'Net zero emission summary'!AU49</f>
        <v>13.426106756557203</v>
      </c>
      <c r="U40" s="85">
        <f>'Net zero emission summary'!AV49</f>
        <v>13.399737088679441</v>
      </c>
      <c r="V40" s="85">
        <f>'Net zero emission summary'!AW49</f>
        <v>13.355150991575403</v>
      </c>
      <c r="W40" s="85">
        <f>'Net zero emission summary'!AX49</f>
        <v>13.224039340710185</v>
      </c>
      <c r="X40" s="85">
        <f>'Net zero emission summary'!AY49</f>
        <v>13.07539836454503</v>
      </c>
      <c r="Y40" s="85">
        <f>'Net zero emission summary'!AZ49</f>
        <v>12.909884852075175</v>
      </c>
      <c r="Z40" s="85">
        <f>'Net zero emission summary'!BA49</f>
        <v>12.728222335268503</v>
      </c>
      <c r="AA40" s="85">
        <f>'Net zero emission summary'!BB49</f>
        <v>12.531252055979406</v>
      </c>
      <c r="AB40" s="85">
        <f>'Net zero emission summary'!BC49</f>
        <v>12.319901503804626</v>
      </c>
      <c r="AC40" s="85">
        <f>'Net zero emission summary'!BD49</f>
        <v>2.1423303583536666</v>
      </c>
      <c r="AD40" s="85">
        <f>'Net zero emission summary'!BE49</f>
        <v>2.1273373550383754</v>
      </c>
      <c r="AE40" s="85">
        <f>'Net zero emission summary'!BF49</f>
        <v>2.1422593244639709</v>
      </c>
      <c r="AF40" s="85">
        <f>'Net zero emission summary'!BG49</f>
        <v>2.1569294820701579</v>
      </c>
      <c r="AG40" s="85">
        <f>'Net zero emission summary'!BH49</f>
        <v>2.1688069102048271</v>
      </c>
      <c r="AH40" s="85">
        <f>'Net zero emission summary'!BI49</f>
        <v>2.1804469370268342</v>
      </c>
      <c r="AI40" s="85">
        <f>'Net zero emission summary'!BJ49</f>
        <v>2.1918321490039752</v>
      </c>
      <c r="AJ40" s="85">
        <f>'Net zero emission summary'!BK49</f>
        <v>2.2029616360101971</v>
      </c>
      <c r="AK40" s="85">
        <f>'Net zero emission summary'!BL49</f>
        <v>2.2138141198918677</v>
      </c>
      <c r="AL40" s="85">
        <f>'Net zero emission summary'!BM49</f>
        <v>2.2243657329462208</v>
      </c>
      <c r="AM40" s="85">
        <f>'Net zero emission summary'!BN49</f>
        <v>2.2346143917311077</v>
      </c>
      <c r="AN40" s="85">
        <f>'Net zero emission summary'!BO49</f>
        <v>2.2445645709044273</v>
      </c>
      <c r="AO40" s="85">
        <f>'Net zero emission summary'!BP49</f>
        <v>2.2542195605518649</v>
      </c>
      <c r="AP40" s="85">
        <f>'Net zero emission summary'!BQ49</f>
        <v>2.2635555889230647</v>
      </c>
    </row>
    <row r="41" spans="1:42" x14ac:dyDescent="0.25">
      <c r="A41" t="str">
        <f>'Emissions summary'!B52</f>
        <v>3C6 Indirect N2O from manure management (N2O)</v>
      </c>
      <c r="B41" t="str">
        <f t="shared" si="2"/>
        <v>A3C6</v>
      </c>
      <c r="C41" t="str">
        <f>'Emissions summary'!D52</f>
        <v>N2O</v>
      </c>
      <c r="D41" s="85">
        <f>'Net zero emission summary'!AE52</f>
        <v>1.4966006533780927</v>
      </c>
      <c r="E41" s="85">
        <f>'Net zero emission summary'!AF52</f>
        <v>1.5114628716679741</v>
      </c>
      <c r="F41" s="85">
        <f>'Net zero emission summary'!AG52</f>
        <v>1.5337636748745853</v>
      </c>
      <c r="G41" s="85">
        <f>'Net zero emission summary'!AH52</f>
        <v>1.5436359301289118</v>
      </c>
      <c r="H41" s="85">
        <f>'Net zero emission summary'!AI52</f>
        <v>1.545583064792434</v>
      </c>
      <c r="I41" s="85">
        <f>'Net zero emission summary'!AJ52</f>
        <v>1.5396059638680235</v>
      </c>
      <c r="J41" s="85">
        <f>'Net zero emission summary'!AK52</f>
        <v>1.5406069398014899</v>
      </c>
      <c r="K41" s="85">
        <f>'Net zero emission summary'!AL52</f>
        <v>1.5429841908916513</v>
      </c>
      <c r="L41" s="85">
        <f>'Net zero emission summary'!AM52</f>
        <v>1.4319921415709751</v>
      </c>
      <c r="M41" s="85">
        <f>'Net zero emission summary'!AN52</f>
        <v>1.4925370582012265</v>
      </c>
      <c r="N41" s="85">
        <f>'Net zero emission summary'!AO52</f>
        <v>4.2515058977825646</v>
      </c>
      <c r="O41" s="85">
        <f>'Net zero emission summary'!AP52</f>
        <v>4.3202006022653308</v>
      </c>
      <c r="P41" s="85">
        <f>'Net zero emission summary'!AQ52</f>
        <v>4.3827847988282773</v>
      </c>
      <c r="Q41" s="85">
        <f>'Net zero emission summary'!AR52</f>
        <v>4.4390754951281943</v>
      </c>
      <c r="R41" s="85">
        <f>'Net zero emission summary'!AS52</f>
        <v>4.4890321581753891</v>
      </c>
      <c r="S41" s="85">
        <f>'Net zero emission summary'!AT52</f>
        <v>4.5323373168116676</v>
      </c>
      <c r="T41" s="85">
        <f>'Net zero emission summary'!AU52</f>
        <v>4.5687183282058763</v>
      </c>
      <c r="U41" s="85">
        <f>'Net zero emission summary'!AV52</f>
        <v>4.5979279762215679</v>
      </c>
      <c r="V41" s="85">
        <f>'Net zero emission summary'!AW52</f>
        <v>4.6197525087052087</v>
      </c>
      <c r="W41" s="85">
        <f>'Net zero emission summary'!AX52</f>
        <v>4.6344781058420335</v>
      </c>
      <c r="X41" s="85">
        <f>'Net zero emission summary'!AY52</f>
        <v>4.6415640259244704</v>
      </c>
      <c r="Y41" s="85">
        <f>'Net zero emission summary'!AZ52</f>
        <v>4.6409185451971116</v>
      </c>
      <c r="Z41" s="85">
        <f>'Net zero emission summary'!BA52</f>
        <v>4.6324977085651238</v>
      </c>
      <c r="AA41" s="85">
        <f>'Net zero emission summary'!BB52</f>
        <v>4.6162893628789945</v>
      </c>
      <c r="AB41" s="85">
        <f>'Net zero emission summary'!BC52</f>
        <v>4.592320708090635</v>
      </c>
      <c r="AC41" s="85">
        <f>'Net zero emission summary'!BD52</f>
        <v>-0.123654043253945</v>
      </c>
      <c r="AD41" s="85">
        <f>'Net zero emission summary'!BE52</f>
        <v>-0.12357925007466378</v>
      </c>
      <c r="AE41" s="85">
        <f>'Net zero emission summary'!BF52</f>
        <v>-0.12347747869914734</v>
      </c>
      <c r="AF41" s="85">
        <f>'Net zero emission summary'!BG52</f>
        <v>-0.12335152544156791</v>
      </c>
      <c r="AG41" s="85">
        <f>'Net zero emission summary'!BH52</f>
        <v>-0.12317852646579362</v>
      </c>
      <c r="AH41" s="85">
        <f>'Net zero emission summary'!BI52</f>
        <v>-0.12297673905270351</v>
      </c>
      <c r="AI41" s="85">
        <f>'Net zero emission summary'!BJ52</f>
        <v>-0.12274239539767096</v>
      </c>
      <c r="AJ41" s="85">
        <f>'Net zero emission summary'!BK52</f>
        <v>-0.12247571517381799</v>
      </c>
      <c r="AK41" s="85">
        <f>'Net zero emission summary'!BL52</f>
        <v>-0.12217236051452747</v>
      </c>
      <c r="AL41" s="85">
        <f>'Net zero emission summary'!BM52</f>
        <v>-0.12182762651575792</v>
      </c>
      <c r="AM41" s="85">
        <f>'Net zero emission summary'!BN52</f>
        <v>-0.12144185108669436</v>
      </c>
      <c r="AN41" s="85">
        <f>'Net zero emission summary'!BO52</f>
        <v>-0.12101683246473495</v>
      </c>
      <c r="AO41" s="85">
        <f>'Net zero emission summary'!BP52</f>
        <v>-0.12055406521232892</v>
      </c>
      <c r="AP41" s="85">
        <f>'Net zero emission summary'!BQ52</f>
        <v>-0.12004922188345074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5546875"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32" t="s">
        <v>11</v>
      </c>
      <c r="B3" s="133"/>
      <c r="C3" s="133"/>
      <c r="D3" s="134"/>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31" t="s">
        <v>36</v>
      </c>
      <c r="C40" s="3" t="s">
        <v>37</v>
      </c>
      <c r="D40" s="3"/>
      <c r="F40" t="s">
        <v>137</v>
      </c>
    </row>
    <row r="41" spans="1:6" x14ac:dyDescent="0.25">
      <c r="A41" s="6"/>
      <c r="B41" s="131"/>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5546875" defaultRowHeight="15" outlineLevelCol="1" x14ac:dyDescent="0.25"/>
  <cols>
    <col min="1" max="1" width="19.140625" customWidth="1"/>
    <col min="2" max="2" width="12.85546875" customWidth="1"/>
    <col min="3" max="3" width="28.42578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25">
      <c r="A5" t="s">
        <v>809</v>
      </c>
      <c r="B5" t="s">
        <v>747</v>
      </c>
      <c r="C5" t="s">
        <v>810</v>
      </c>
      <c r="D5" s="21">
        <f t="shared" ref="D5:Y5" si="0">E5/(1+E7)</f>
        <v>1952.4697756192336</v>
      </c>
      <c r="E5" s="21">
        <f t="shared" si="0"/>
        <v>2011.0438688878107</v>
      </c>
      <c r="F5" s="21">
        <f t="shared" si="0"/>
        <v>2071.3751849544451</v>
      </c>
      <c r="G5" s="21">
        <f t="shared" si="0"/>
        <v>2133.5164405030787</v>
      </c>
      <c r="H5" s="21">
        <f t="shared" si="0"/>
        <v>2197.5219337181711</v>
      </c>
      <c r="I5" s="21">
        <f t="shared" si="0"/>
        <v>2263.4475917297164</v>
      </c>
      <c r="J5" s="21">
        <f t="shared" si="0"/>
        <v>2358.5123905823643</v>
      </c>
      <c r="K5" s="21">
        <f t="shared" si="0"/>
        <v>2419.8337127375057</v>
      </c>
      <c r="L5" s="21">
        <f t="shared" si="0"/>
        <v>2436.772548726668</v>
      </c>
      <c r="M5" s="21">
        <f t="shared" si="0"/>
        <v>2502.5654075422876</v>
      </c>
      <c r="N5" s="21">
        <f t="shared" si="0"/>
        <v>2612.6782854741482</v>
      </c>
      <c r="O5" s="21">
        <f t="shared" si="0"/>
        <v>2688.4459557528985</v>
      </c>
      <c r="P5" s="21">
        <f t="shared" si="0"/>
        <v>2790.618201230106</v>
      </c>
      <c r="Q5" s="21">
        <f t="shared" si="0"/>
        <v>2873.819635057042</v>
      </c>
      <c r="R5" s="21">
        <f t="shared" si="0"/>
        <v>3003.074771883636</v>
      </c>
      <c r="S5" s="21">
        <f t="shared" si="0"/>
        <v>3162.6109992920528</v>
      </c>
      <c r="T5" s="21">
        <f t="shared" si="0"/>
        <v>3337.3823719569659</v>
      </c>
      <c r="U5" s="21">
        <f t="shared" si="0"/>
        <v>3523.7981683137564</v>
      </c>
      <c r="V5" s="21">
        <f t="shared" si="0"/>
        <v>3656.3601038698589</v>
      </c>
      <c r="W5" s="21">
        <f t="shared" si="0"/>
        <v>3607.2821552581963</v>
      </c>
      <c r="X5" s="21">
        <f t="shared" si="0"/>
        <v>3718.3758234481088</v>
      </c>
      <c r="Y5" s="21">
        <f t="shared" si="0"/>
        <v>3845.9713706112029</v>
      </c>
      <c r="Z5" s="21">
        <f t="shared" ref="Z5" si="1">AA5/(1+AA7)</f>
        <v>3939.7645136973924</v>
      </c>
      <c r="AA5" s="21">
        <f t="shared" ref="AA5" si="2">AB5/(1+AB7)</f>
        <v>4026.9654809852696</v>
      </c>
      <c r="AB5" s="21">
        <f t="shared" ref="AB5" si="3">AC5/(1+AC7)</f>
        <v>4132.2213349448339</v>
      </c>
      <c r="AC5" s="21">
        <f t="shared" ref="AC5" si="4">AD5/(1+AD7)</f>
        <v>4206.0105778727248</v>
      </c>
      <c r="AD5" s="21">
        <f t="shared" ref="AD5" si="5">AE5/(1+AE7)</f>
        <v>4258.9149301552561</v>
      </c>
      <c r="AE5" s="21">
        <f t="shared" ref="AE5" si="6">AF5/(1+AF7)</f>
        <v>4290.414957875817</v>
      </c>
      <c r="AF5" s="21">
        <f t="shared" ref="AF5" si="7">AG5/(1+AG7)</f>
        <v>4338.6311670216037</v>
      </c>
      <c r="AG5" s="22">
        <f>SUM(DriversCGE!B8:B26)</f>
        <v>4389.4635669086174</v>
      </c>
      <c r="AH5" s="22">
        <f>SUM(DriversCGE!C8:C26)</f>
        <v>4132.0823823261908</v>
      </c>
      <c r="AI5" s="22">
        <f>SUM(DriversCGE!D8:D26)</f>
        <v>4330.4020108455288</v>
      </c>
      <c r="AJ5" s="22">
        <f>SUM(DriversCGE!E8:E26)</f>
        <v>11823.920762837326</v>
      </c>
      <c r="AK5" s="22">
        <f>SUM(DriversCGE!F8:F26)</f>
        <v>12107.047128895532</v>
      </c>
      <c r="AL5" s="22">
        <f>SUM(DriversCGE!G8:G26)</f>
        <v>12375.140271059927</v>
      </c>
      <c r="AM5" s="22">
        <f>SUM(DriversCGE!H8:H26)</f>
        <v>12626.874186407589</v>
      </c>
      <c r="AN5" s="22">
        <f>SUM(DriversCGE!I8:I26)</f>
        <v>12860.979541947625</v>
      </c>
      <c r="AO5" s="22">
        <f>SUM(DriversCGE!J8:J26)</f>
        <v>13076.254179239309</v>
      </c>
      <c r="AP5" s="22">
        <f>SUM(DriversCGE!K8:K26)</f>
        <v>13271.573265416948</v>
      </c>
      <c r="AQ5" s="22">
        <f>SUM(DriversCGE!L8:L26)</f>
        <v>13445.898972422026</v>
      </c>
      <c r="AR5" s="22">
        <f>SUM(DriversCGE!M8:M26)</f>
        <v>13598.289569363402</v>
      </c>
      <c r="AS5" s="22">
        <f>SUM(DriversCGE!N8:N26)</f>
        <v>13727.907817779014</v>
      </c>
      <c r="AT5" s="22">
        <f>SUM(DriversCGE!O8:O26)</f>
        <v>13834.028566122193</v>
      </c>
      <c r="AU5" s="22">
        <f>SUM(DriversCGE!P8:P26)</f>
        <v>13916.045447972434</v>
      </c>
      <c r="AV5" s="22">
        <f>SUM(DriversCGE!Q8:Q26)</f>
        <v>13973.476598175521</v>
      </c>
      <c r="AW5" s="22">
        <f>SUM(DriversCGE!R8:R26)</f>
        <v>14005.969312221772</v>
      </c>
      <c r="AX5" s="22">
        <f>SUM(DriversCGE!S8:S26)</f>
        <v>14013.303586517768</v>
      </c>
      <c r="AY5" s="22">
        <f>SUM(DriversCGE!T8:T26)</f>
        <v>0</v>
      </c>
      <c r="AZ5" s="22">
        <f>SUM(DriversCGE!U8:U26)</f>
        <v>0</v>
      </c>
      <c r="BA5" s="22">
        <f>SUM(DriversCGE!V8:V26)</f>
        <v>0</v>
      </c>
      <c r="BB5" s="22">
        <f>SUM(DriversCGE!W8:W26)</f>
        <v>0</v>
      </c>
      <c r="BC5" s="22">
        <f>SUM(DriversCGE!X8:X26)</f>
        <v>0</v>
      </c>
      <c r="BD5" s="22">
        <f>SUM(DriversCGE!Y8:Y26)</f>
        <v>0</v>
      </c>
      <c r="BE5" s="22">
        <f>SUM(DriversCGE!Z8:Z26)</f>
        <v>0</v>
      </c>
      <c r="BF5" s="22">
        <f>SUM(DriversCGE!AA8:AA26)</f>
        <v>0</v>
      </c>
      <c r="BG5" s="22">
        <f>SUM(DriversCGE!AB8:AB26)</f>
        <v>0</v>
      </c>
      <c r="BH5" s="22">
        <f>SUM(DriversCGE!AC8:AC26)</f>
        <v>0</v>
      </c>
      <c r="BI5" s="22">
        <f>SUM(DriversCGE!AD8:AD26)</f>
        <v>0</v>
      </c>
      <c r="BJ5" s="22">
        <f>SUM(DriversCGE!AE8:AE26)</f>
        <v>0</v>
      </c>
      <c r="BK5" s="22">
        <f>SUM(DriversCGE!AF8:AF26)</f>
        <v>0</v>
      </c>
      <c r="BL5" s="22">
        <f>SUM(DriversCGE!AG8:AG26)</f>
        <v>0</v>
      </c>
    </row>
    <row r="6" spans="1:68" x14ac:dyDescent="0.25">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25">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25">
      <c r="Y16">
        <v>2830.9069841561718</v>
      </c>
      <c r="Z16">
        <v>2893.5650000000564</v>
      </c>
      <c r="AA16">
        <v>2969.1963051355538</v>
      </c>
      <c r="AB16">
        <v>3022.2173632302474</v>
      </c>
      <c r="AC16">
        <v>3060.2316404410249</v>
      </c>
      <c r="AD16">
        <v>3082.8658989519636</v>
      </c>
      <c r="AE16">
        <v>3117.5115237718705</v>
      </c>
      <c r="AF16">
        <v>3154.0370052724184</v>
      </c>
    </row>
    <row r="18" spans="26:32" x14ac:dyDescent="0.25">
      <c r="Z18">
        <v>52.325432882070082</v>
      </c>
      <c r="AA18">
        <v>53.104386458423342</v>
      </c>
      <c r="AB18">
        <v>53.912365691429272</v>
      </c>
      <c r="AC18">
        <v>54.750491457321111</v>
      </c>
      <c r="AD18">
        <v>55.619940469824826</v>
      </c>
      <c r="AE18">
        <v>56.521948041648095</v>
      </c>
      <c r="AF18">
        <v>57.436000617299655</v>
      </c>
    </row>
    <row r="19" spans="26:32" x14ac:dyDescent="0.25">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t="str">
        <f>'IPCC Categories'!A5</f>
        <v>3A Livestock</v>
      </c>
      <c r="C18" t="str">
        <f>'IPCC Categories'!$D$5</f>
        <v>3A1ai Dairy cattle</v>
      </c>
      <c r="D18" t="str">
        <f>'IPCC Categories'!$F$39</f>
        <v>TMR</v>
      </c>
      <c r="E18" t="s">
        <v>330</v>
      </c>
      <c r="F18" t="s">
        <v>327</v>
      </c>
      <c r="G18" t="s">
        <v>331</v>
      </c>
      <c r="H18" s="48">
        <v>0.35</v>
      </c>
    </row>
    <row r="19" spans="1:10" x14ac:dyDescent="0.25">
      <c r="A19" t="str">
        <f>A18</f>
        <v>3A Livestock</v>
      </c>
      <c r="C19" t="str">
        <f>C18</f>
        <v>3A1ai Dairy cattle</v>
      </c>
      <c r="E19" t="s">
        <v>841</v>
      </c>
      <c r="F19" t="s">
        <v>327</v>
      </c>
      <c r="H19" s="48">
        <v>0.28999999999999998</v>
      </c>
    </row>
    <row r="20" spans="1:10" x14ac:dyDescent="0.25">
      <c r="A20" t="str">
        <f>A19</f>
        <v>3A Livestock</v>
      </c>
      <c r="C20" t="str">
        <f>'IPCC Categories'!D13</f>
        <v>3A2aii Other cattle</v>
      </c>
      <c r="E20" t="s">
        <v>844</v>
      </c>
      <c r="F20" t="s">
        <v>327</v>
      </c>
      <c r="H20" s="48">
        <v>0.53</v>
      </c>
    </row>
    <row r="21" spans="1:10" x14ac:dyDescent="0.25">
      <c r="A21" t="str">
        <f>A20</f>
        <v>3A Livestock</v>
      </c>
      <c r="C21" t="str">
        <f>C20</f>
        <v>3A2aii Other cattle</v>
      </c>
      <c r="E21" t="s">
        <v>908</v>
      </c>
      <c r="F21" t="s">
        <v>909</v>
      </c>
      <c r="H21" s="48">
        <v>460</v>
      </c>
    </row>
    <row r="22" spans="1:10" x14ac:dyDescent="0.25">
      <c r="A22" t="str">
        <f>A18</f>
        <v>3A Livestock</v>
      </c>
      <c r="C22" t="str">
        <f>'IPCC Categories'!C7</f>
        <v>3A1c Sheep</v>
      </c>
      <c r="E22" t="s">
        <v>833</v>
      </c>
      <c r="F22" t="s">
        <v>327</v>
      </c>
      <c r="H22" s="48">
        <v>0.87</v>
      </c>
    </row>
    <row r="23" spans="1:10" x14ac:dyDescent="0.25">
      <c r="A23" t="str">
        <f t="shared" ref="A23:A27" si="0">A22</f>
        <v>3A Livestock</v>
      </c>
      <c r="C23" t="str">
        <f>'IPCC Categories'!C8</f>
        <v>3A1d Goats</v>
      </c>
      <c r="E23" t="s">
        <v>834</v>
      </c>
      <c r="F23" t="s">
        <v>327</v>
      </c>
      <c r="H23" s="48">
        <v>0.34</v>
      </c>
    </row>
    <row r="24" spans="1:10" x14ac:dyDescent="0.25">
      <c r="A24" t="str">
        <f t="shared" si="0"/>
        <v>3A Livestock</v>
      </c>
      <c r="C24" t="str">
        <f>'IPCC Categories'!C11</f>
        <v>3A1h Swine</v>
      </c>
      <c r="E24" t="s">
        <v>835</v>
      </c>
      <c r="F24" t="s">
        <v>327</v>
      </c>
      <c r="H24" s="48">
        <v>0.88</v>
      </c>
    </row>
    <row r="25" spans="1:10" x14ac:dyDescent="0.25">
      <c r="A25" t="str">
        <f t="shared" si="0"/>
        <v>3A Livestock</v>
      </c>
      <c r="C25" t="str">
        <f>'IPCC Categories'!C19</f>
        <v>3A2i Poultry</v>
      </c>
      <c r="E25" t="s">
        <v>837</v>
      </c>
      <c r="F25" t="s">
        <v>327</v>
      </c>
      <c r="H25" s="48">
        <v>0.96</v>
      </c>
    </row>
    <row r="26" spans="1:10" x14ac:dyDescent="0.25">
      <c r="A26" t="str">
        <f t="shared" si="0"/>
        <v>3A Livestock</v>
      </c>
      <c r="C26" t="str">
        <f>C25</f>
        <v>3A2i Poultry</v>
      </c>
      <c r="E26" t="s">
        <v>839</v>
      </c>
      <c r="F26" t="s">
        <v>327</v>
      </c>
      <c r="H26" s="48">
        <v>0.96</v>
      </c>
    </row>
    <row r="27" spans="1:10" x14ac:dyDescent="0.25">
      <c r="A27" t="str">
        <f t="shared" si="0"/>
        <v>3A Livestock</v>
      </c>
      <c r="C27" t="str">
        <f>C23</f>
        <v>3A1d Goats</v>
      </c>
      <c r="E27" t="s">
        <v>342</v>
      </c>
      <c r="F27" t="s">
        <v>327</v>
      </c>
      <c r="G27" t="s">
        <v>343</v>
      </c>
      <c r="H27" s="48">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48">
        <v>1.5</v>
      </c>
    </row>
    <row r="30" spans="1:10" x14ac:dyDescent="0.25">
      <c r="A30" t="str">
        <f>A29</f>
        <v>3C Aggregated and non-CO2 emissions on land</v>
      </c>
      <c r="B30" t="str">
        <f>B29</f>
        <v>3C4 Direct N2O from managed soils (N2O)</v>
      </c>
      <c r="C30" t="str">
        <f>C29</f>
        <v>3C4 Direct N2O from managed soils (N2O)</v>
      </c>
      <c r="E30" t="s">
        <v>853</v>
      </c>
      <c r="H30" s="48">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25">
      <c r="A35" t="str">
        <f>A68</f>
        <v>3C Aggregated and non-CO2 emissions on land</v>
      </c>
      <c r="B35" t="str">
        <f>B68</f>
        <v>3C4 Direct N2O from managed soils (N2O)</v>
      </c>
      <c r="C35" t="str">
        <f>C34</f>
        <v>3C4 Direct N2O from managed soils (N2O)</v>
      </c>
      <c r="E35" t="s">
        <v>864</v>
      </c>
      <c r="F35" t="s">
        <v>327</v>
      </c>
      <c r="H35" s="48">
        <v>0.6</v>
      </c>
    </row>
    <row r="36" spans="1:8" x14ac:dyDescent="0.25">
      <c r="A36" t="str">
        <f>A35</f>
        <v>3C Aggregated and non-CO2 emissions on land</v>
      </c>
      <c r="B36" t="str">
        <f>B35</f>
        <v>3C4 Direct N2O from managed soils (N2O)</v>
      </c>
      <c r="C36" t="str">
        <f>C35</f>
        <v>3C4 Direct N2O from managed soils (N2O)</v>
      </c>
      <c r="E36" t="s">
        <v>865</v>
      </c>
      <c r="F36" t="s">
        <v>327</v>
      </c>
      <c r="H36" s="48">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25">
      <c r="A42" t="str">
        <f>A41</f>
        <v>3C Aggregated and non-CO2 emissions on land</v>
      </c>
      <c r="B42" t="str">
        <f t="shared" ref="B42:C53" si="7">B41</f>
        <v>3C4 Direct N2O from managed soils (N2O)</v>
      </c>
      <c r="C42" t="str">
        <f t="shared" si="7"/>
        <v>Crop residues</v>
      </c>
      <c r="E42" t="s">
        <v>910</v>
      </c>
      <c r="F42" t="s">
        <v>377</v>
      </c>
      <c r="H42" s="48">
        <v>0.48</v>
      </c>
    </row>
    <row r="43" spans="1:8" x14ac:dyDescent="0.25">
      <c r="A43" t="str">
        <f t="shared" ref="A43:A53" si="8">A42</f>
        <v>3C Aggregated and non-CO2 emissions on land</v>
      </c>
      <c r="B43" t="str">
        <f t="shared" si="7"/>
        <v>3C4 Direct N2O from managed soils (N2O)</v>
      </c>
      <c r="C43" t="str">
        <f t="shared" si="7"/>
        <v>Crop residues</v>
      </c>
      <c r="E43" t="s">
        <v>911</v>
      </c>
      <c r="F43" t="s">
        <v>377</v>
      </c>
      <c r="H43" s="48">
        <v>0.12</v>
      </c>
    </row>
    <row r="44" spans="1:8" x14ac:dyDescent="0.25">
      <c r="A44" t="str">
        <f t="shared" si="8"/>
        <v>3C Aggregated and non-CO2 emissions on land</v>
      </c>
      <c r="B44" t="str">
        <f t="shared" si="7"/>
        <v>3C4 Direct N2O from managed soils (N2O)</v>
      </c>
      <c r="C44" t="str">
        <f t="shared" si="7"/>
        <v>Crop residues</v>
      </c>
      <c r="E44" t="s">
        <v>912</v>
      </c>
      <c r="F44" t="s">
        <v>377</v>
      </c>
      <c r="H44" s="48">
        <v>0.48</v>
      </c>
    </row>
    <row r="45" spans="1:8" x14ac:dyDescent="0.25">
      <c r="A45" t="str">
        <f t="shared" si="8"/>
        <v>3C Aggregated and non-CO2 emissions on land</v>
      </c>
      <c r="B45" t="str">
        <f t="shared" si="7"/>
        <v>3C4 Direct N2O from managed soils (N2O)</v>
      </c>
      <c r="C45" t="str">
        <f t="shared" si="7"/>
        <v>Crop residues</v>
      </c>
      <c r="E45" t="s">
        <v>913</v>
      </c>
      <c r="F45" t="s">
        <v>365</v>
      </c>
      <c r="H45" s="48">
        <v>4.2</v>
      </c>
    </row>
    <row r="46" spans="1:8" x14ac:dyDescent="0.25">
      <c r="A46" t="str">
        <f t="shared" si="8"/>
        <v>3C Aggregated and non-CO2 emissions on land</v>
      </c>
      <c r="B46" t="str">
        <f t="shared" si="7"/>
        <v>3C4 Direct N2O from managed soils (N2O)</v>
      </c>
      <c r="C46" t="str">
        <f t="shared" si="7"/>
        <v>Crop residues</v>
      </c>
      <c r="E46" t="s">
        <v>914</v>
      </c>
      <c r="F46" t="s">
        <v>365</v>
      </c>
      <c r="H46" s="48">
        <v>2.8</v>
      </c>
    </row>
    <row r="47" spans="1:8" x14ac:dyDescent="0.25">
      <c r="A47" t="str">
        <f t="shared" si="8"/>
        <v>3C Aggregated and non-CO2 emissions on land</v>
      </c>
      <c r="B47" t="str">
        <f t="shared" si="7"/>
        <v>3C4 Direct N2O from managed soils (N2O)</v>
      </c>
      <c r="C47" t="str">
        <f t="shared" si="7"/>
        <v>Crop residues</v>
      </c>
      <c r="E47" t="s">
        <v>915</v>
      </c>
      <c r="F47" t="s">
        <v>365</v>
      </c>
      <c r="H47" s="48">
        <v>3.7</v>
      </c>
    </row>
    <row r="48" spans="1:8" x14ac:dyDescent="0.25">
      <c r="A48" t="str">
        <f t="shared" si="8"/>
        <v>3C Aggregated and non-CO2 emissions on land</v>
      </c>
      <c r="B48" t="str">
        <f t="shared" si="7"/>
        <v>3C4 Direct N2O from managed soils (N2O)</v>
      </c>
      <c r="C48" t="str">
        <f t="shared" si="7"/>
        <v>Crop residues</v>
      </c>
      <c r="E48" t="s">
        <v>916</v>
      </c>
      <c r="H48" s="48">
        <v>1.5</v>
      </c>
    </row>
    <row r="49" spans="1:8" x14ac:dyDescent="0.25">
      <c r="A49" t="str">
        <f t="shared" si="8"/>
        <v>3C Aggregated and non-CO2 emissions on land</v>
      </c>
      <c r="B49" t="str">
        <f t="shared" si="7"/>
        <v>3C4 Direct N2O from managed soils (N2O)</v>
      </c>
      <c r="C49" t="str">
        <f t="shared" si="7"/>
        <v>Crop residues</v>
      </c>
      <c r="E49" t="s">
        <v>917</v>
      </c>
      <c r="H49" s="48">
        <v>1.4</v>
      </c>
    </row>
    <row r="50" spans="1:8" x14ac:dyDescent="0.25">
      <c r="A50" t="str">
        <f t="shared" si="8"/>
        <v>3C Aggregated and non-CO2 emissions on land</v>
      </c>
      <c r="B50" t="str">
        <f t="shared" si="7"/>
        <v>3C4 Direct N2O from managed soils (N2O)</v>
      </c>
      <c r="C50" t="str">
        <f t="shared" si="7"/>
        <v>Crop residues</v>
      </c>
      <c r="E50" t="s">
        <v>918</v>
      </c>
      <c r="H50" s="48">
        <v>1.3</v>
      </c>
    </row>
    <row r="51" spans="1:8" x14ac:dyDescent="0.25">
      <c r="A51" t="str">
        <f t="shared" si="8"/>
        <v>3C Aggregated and non-CO2 emissions on land</v>
      </c>
      <c r="B51" t="str">
        <f t="shared" si="7"/>
        <v>3C4 Direct N2O from managed soils (N2O)</v>
      </c>
      <c r="C51" t="str">
        <f t="shared" si="7"/>
        <v>Crop residues</v>
      </c>
      <c r="E51" t="s">
        <v>919</v>
      </c>
      <c r="H51" s="48">
        <v>0.45</v>
      </c>
    </row>
    <row r="52" spans="1:8" x14ac:dyDescent="0.25">
      <c r="A52" t="str">
        <f t="shared" si="8"/>
        <v>3C Aggregated and non-CO2 emissions on land</v>
      </c>
      <c r="B52" t="str">
        <f t="shared" si="7"/>
        <v>3C4 Direct N2O from managed soils (N2O)</v>
      </c>
      <c r="C52" t="str">
        <f t="shared" si="7"/>
        <v>Crop residues</v>
      </c>
      <c r="E52" t="s">
        <v>920</v>
      </c>
      <c r="H52" s="48">
        <v>0</v>
      </c>
    </row>
    <row r="53" spans="1:8" x14ac:dyDescent="0.25">
      <c r="A53" t="str">
        <f t="shared" si="8"/>
        <v>3C Aggregated and non-CO2 emissions on land</v>
      </c>
      <c r="B53" t="str">
        <f t="shared" si="7"/>
        <v>3C4 Direct N2O from managed soils (N2O)</v>
      </c>
      <c r="C53" t="str">
        <f t="shared" si="7"/>
        <v>Crop residues</v>
      </c>
      <c r="E53" t="s">
        <v>921</v>
      </c>
      <c r="H53" s="48">
        <v>0.6</v>
      </c>
    </row>
    <row r="54" spans="1:8" x14ac:dyDescent="0.25">
      <c r="A54" t="str">
        <f>A47</f>
        <v>3C Aggregated and non-CO2 emissions on land</v>
      </c>
      <c r="B54" t="str">
        <f>B47</f>
        <v>3C4 Direct N2O from managed soils (N2O)</v>
      </c>
      <c r="C54" t="str">
        <f>C47</f>
        <v>Crop residues</v>
      </c>
      <c r="E54" t="s">
        <v>922</v>
      </c>
      <c r="F54" t="s">
        <v>327</v>
      </c>
      <c r="H54" s="48">
        <v>0.87</v>
      </c>
    </row>
    <row r="55" spans="1:8" x14ac:dyDescent="0.25">
      <c r="A55" t="str">
        <f t="shared" ref="A55:C58" si="9">A54</f>
        <v>3C Aggregated and non-CO2 emissions on land</v>
      </c>
      <c r="B55" t="str">
        <f t="shared" si="9"/>
        <v>3C4 Direct N2O from managed soils (N2O)</v>
      </c>
      <c r="C55" t="str">
        <f t="shared" si="9"/>
        <v>Crop residues</v>
      </c>
      <c r="E55" t="s">
        <v>923</v>
      </c>
      <c r="F55" t="s">
        <v>327</v>
      </c>
      <c r="H55" s="48">
        <v>0.89</v>
      </c>
    </row>
    <row r="56" spans="1:8" x14ac:dyDescent="0.25">
      <c r="A56" t="str">
        <f t="shared" si="9"/>
        <v>3C Aggregated and non-CO2 emissions on land</v>
      </c>
      <c r="B56" t="str">
        <f t="shared" si="9"/>
        <v>3C4 Direct N2O from managed soils (N2O)</v>
      </c>
      <c r="C56" t="str">
        <f t="shared" si="9"/>
        <v>Crop residues</v>
      </c>
      <c r="E56" t="s">
        <v>924</v>
      </c>
      <c r="F56" t="s">
        <v>327</v>
      </c>
      <c r="H56" s="48">
        <v>0.89</v>
      </c>
    </row>
    <row r="57" spans="1:8" x14ac:dyDescent="0.25">
      <c r="A57" t="str">
        <f>A56</f>
        <v>3C Aggregated and non-CO2 emissions on land</v>
      </c>
      <c r="B57" t="str">
        <f>B56</f>
        <v>3C4 Direct N2O from managed soils (N2O)</v>
      </c>
      <c r="C57" t="str">
        <f>C56</f>
        <v>Crop residues</v>
      </c>
      <c r="E57" t="s">
        <v>925</v>
      </c>
      <c r="F57" t="s">
        <v>327</v>
      </c>
      <c r="H57" s="48">
        <v>0.5</v>
      </c>
    </row>
    <row r="58" spans="1:8" x14ac:dyDescent="0.25">
      <c r="A58" t="str">
        <f t="shared" si="9"/>
        <v>3C Aggregated and non-CO2 emissions on land</v>
      </c>
      <c r="B58" t="str">
        <f t="shared" si="9"/>
        <v>3C4 Direct N2O from managed soils (N2O)</v>
      </c>
      <c r="C58" t="str">
        <f t="shared" si="9"/>
        <v>Crop residues</v>
      </c>
      <c r="E58" t="s">
        <v>926</v>
      </c>
      <c r="F58" t="s">
        <v>284</v>
      </c>
      <c r="H58" s="48">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48">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48">
        <v>0.63</v>
      </c>
    </row>
    <row r="62" spans="1:8" x14ac:dyDescent="0.25">
      <c r="A62" t="str">
        <f>A41</f>
        <v>3C Aggregated and non-CO2 emissions on land</v>
      </c>
      <c r="B62" t="str">
        <f>B41</f>
        <v>3C4 Direct N2O from managed soils (N2O)</v>
      </c>
      <c r="C62" t="str">
        <f>C61</f>
        <v>3C2 Liming (CO2)</v>
      </c>
      <c r="E62" t="s">
        <v>882</v>
      </c>
      <c r="F62" t="s">
        <v>327</v>
      </c>
      <c r="H62" s="48">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25">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5546875"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0">
        <v>2012</v>
      </c>
      <c r="H5" s="80">
        <v>2020</v>
      </c>
      <c r="I5" s="80">
        <v>2030</v>
      </c>
      <c r="J5" s="80">
        <v>2040</v>
      </c>
      <c r="K5" s="80">
        <v>2050</v>
      </c>
    </row>
    <row r="6" spans="1:12" x14ac:dyDescent="0.25">
      <c r="A6" t="str">
        <f>'IPCC Categories'!A5</f>
        <v>3A Livestock</v>
      </c>
      <c r="C6" t="str">
        <f>'IPCC Categories'!D6</f>
        <v>3A1aii Other cattle</v>
      </c>
      <c r="E6" t="s">
        <v>848</v>
      </c>
      <c r="F6" t="s">
        <v>327</v>
      </c>
      <c r="G6" s="42">
        <v>0.7</v>
      </c>
      <c r="H6" s="42">
        <v>0.74</v>
      </c>
      <c r="I6" s="42">
        <v>0.76</v>
      </c>
      <c r="J6" s="42">
        <v>0.8</v>
      </c>
      <c r="K6" s="42">
        <v>0.83</v>
      </c>
    </row>
    <row r="7" spans="1:12" x14ac:dyDescent="0.25">
      <c r="A7" t="str">
        <f>A6</f>
        <v>3A Livestock</v>
      </c>
      <c r="C7" t="str">
        <f>C6</f>
        <v>3A1aii Other cattle</v>
      </c>
      <c r="E7" t="s">
        <v>927</v>
      </c>
      <c r="F7" t="s">
        <v>327</v>
      </c>
      <c r="G7" s="42">
        <v>0.57999999999999996</v>
      </c>
      <c r="H7" s="42">
        <v>0.57999999999999996</v>
      </c>
      <c r="I7" s="42">
        <v>0.57999999999999996</v>
      </c>
      <c r="J7" s="42">
        <v>0.57999999999999996</v>
      </c>
      <c r="K7" s="42">
        <v>0.57999999999999996</v>
      </c>
    </row>
    <row r="8" spans="1:12" x14ac:dyDescent="0.25">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53.055510064255728</v>
      </c>
      <c r="D4" s="22">
        <f>(Drivers!E5*1000000)/Drivers!E4</f>
        <v>53.316539004606724</v>
      </c>
      <c r="E4" s="22">
        <f>(Drivers!F5*1000000)/Drivers!F4</f>
        <v>53.561819221405095</v>
      </c>
      <c r="F4" s="22">
        <f>(Drivers!G5*1000000)/Drivers!G4</f>
        <v>53.830799268378051</v>
      </c>
      <c r="G4" s="22">
        <f>(Drivers!H5*1000000)/Drivers!H4</f>
        <v>54.174113436679775</v>
      </c>
      <c r="H4" s="22">
        <f>(Drivers!I5*1000000)/Drivers!I4</f>
        <v>54.625466046252036</v>
      </c>
      <c r="I4" s="22">
        <f>(Drivers!J5*1000000)/Drivers!J4</f>
        <v>55.834657711728646</v>
      </c>
      <c r="J4" s="22">
        <f>(Drivers!K5*1000000)/Drivers!K4</f>
        <v>56.291617519292565</v>
      </c>
      <c r="K4" s="22">
        <f>(Drivers!L5*1000000)/Drivers!L4</f>
        <v>55.78403106264804</v>
      </c>
      <c r="L4" s="22">
        <f>(Drivers!M5*1000000)/Drivers!M4</f>
        <v>56.442211182769086</v>
      </c>
      <c r="M4" s="22">
        <f>(Drivers!N5*1000000)/Drivers!N4</f>
        <v>58.101210883911371</v>
      </c>
      <c r="N4" s="22">
        <f>(Drivers!O5*1000000)/Drivers!O4</f>
        <v>58.994311981554404</v>
      </c>
      <c r="O4" s="22">
        <f>(Drivers!P5*1000000)/Drivers!P4</f>
        <v>60.467237153685474</v>
      </c>
      <c r="P4" s="22">
        <f>(Drivers!Q5*1000000)/Drivers!Q4</f>
        <v>61.512608972488358</v>
      </c>
      <c r="Q4" s="22">
        <f>(Drivers!R5*1000000)/Drivers!R4</f>
        <v>63.501216640406959</v>
      </c>
      <c r="R4" s="22">
        <f>(Drivers!S5*1000000)/Drivers!S4</f>
        <v>66.052032205946048</v>
      </c>
      <c r="S4" s="22">
        <f>(Drivers!T5*1000000)/Drivers!T4</f>
        <v>68.826966536313918</v>
      </c>
      <c r="T4" s="22">
        <f>(Drivers!U5*1000000)/Drivers!U4</f>
        <v>71.738914034854218</v>
      </c>
      <c r="U4" s="22">
        <f>(Drivers!V5*1000000)/Drivers!V4</f>
        <v>73.45116431369587</v>
      </c>
      <c r="V4" s="22">
        <f>(Drivers!W5*1000000)/Drivers!W4</f>
        <v>71.463862138314738</v>
      </c>
      <c r="W4" s="22">
        <f>(Drivers!X5*1000000)/Drivers!X4</f>
        <v>72.600473223053768</v>
      </c>
      <c r="X4" s="22">
        <f>(Drivers!Y5*1000000)/Drivers!Y4</f>
        <v>73.955054425464226</v>
      </c>
      <c r="Y4" s="22">
        <f>(Drivers!Z5*1000000)/Drivers!Z4</f>
        <v>75.293491074918535</v>
      </c>
      <c r="Z4" s="22">
        <f>(Drivers!AA5*1000000)/Drivers!AA4</f>
        <v>75.831127135572402</v>
      </c>
      <c r="AA4" s="22">
        <f>(Drivers!AB5*1000000)/Drivers!AB4</f>
        <v>76.647004484942386</v>
      </c>
      <c r="AB4" s="22">
        <f>(Drivers!AC5*1000000)/Drivers!AC4</f>
        <v>76.821421432378884</v>
      </c>
      <c r="AC4" s="22">
        <f>(Drivers!AD5*1000000)/Drivers!AD4</f>
        <v>76.571727588702132</v>
      </c>
      <c r="AD4" s="22">
        <f>(Drivers!AE5*1000000)/Drivers!AE4</f>
        <v>75.907061000700693</v>
      </c>
      <c r="AE4" s="22">
        <f>(Drivers!AF5*1000000)/Drivers!AF4</f>
        <v>75.538531938012639</v>
      </c>
      <c r="AF4" s="22">
        <f>(Drivers!AG5*1000000)/Drivers!AG4</f>
        <v>75.207332853564452</v>
      </c>
      <c r="AG4" s="22">
        <f>(Drivers!AH5*1000000)/Drivers!AH4</f>
        <v>70.271206967863336</v>
      </c>
      <c r="AH4" s="22">
        <f>(Drivers!AI5*1000000)/Drivers!AI4</f>
        <v>72.911897533534102</v>
      </c>
      <c r="AI4" s="22">
        <f>(Drivers!AJ5*1000000)/Drivers!AJ4</f>
        <v>197.41449002410388</v>
      </c>
      <c r="AJ4" s="22">
        <f>(Drivers!AK5*1000000)/Drivers!AK4</f>
        <v>200.3997075353445</v>
      </c>
      <c r="AK4" s="22">
        <f>(Drivers!AL5*1000000)/Drivers!AL4</f>
        <v>202.8039241460618</v>
      </c>
      <c r="AL4" s="22">
        <f>(Drivers!AM5*1000000)/Drivers!AM4</f>
        <v>204.7388257837741</v>
      </c>
      <c r="AM4" s="22">
        <f>(Drivers!AN5*1000000)/Drivers!AN4</f>
        <v>206.41957293289911</v>
      </c>
      <c r="AN4" s="22">
        <f>(Drivers!AO5*1000000)/Drivers!AO4</f>
        <v>207.82707348676047</v>
      </c>
      <c r="AO4" s="22">
        <f>(Drivers!AP5*1000000)/Drivers!AP4</f>
        <v>208.95343342874591</v>
      </c>
      <c r="AP4" s="22">
        <f>(Drivers!AQ5*1000000)/Drivers!AQ4</f>
        <v>209.78492830503342</v>
      </c>
      <c r="AQ4" s="22">
        <f>(Drivers!AR5*1000000)/Drivers!AR4</f>
        <v>210.30685757677963</v>
      </c>
      <c r="AR4" s="22">
        <f>(Drivers!AS5*1000000)/Drivers!AS4</f>
        <v>210.51351900243853</v>
      </c>
      <c r="AS4" s="22">
        <f>(Drivers!AT5*1000000)/Drivers!AT4</f>
        <v>210.39411975233514</v>
      </c>
      <c r="AT4" s="22">
        <f>(Drivers!AU5*1000000)/Drivers!AU4</f>
        <v>209.94517181122083</v>
      </c>
      <c r="AU4" s="22">
        <f>(Drivers!AV5*1000000)/Drivers!AV4</f>
        <v>209.17073328936982</v>
      </c>
      <c r="AV4" s="22">
        <f>(Drivers!AW5*1000000)/Drivers!AW4</f>
        <v>208.06877676374103</v>
      </c>
      <c r="AW4" s="22">
        <f>(Drivers!AX5*1000000)/Drivers!AX4</f>
        <v>206.63733383300601</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941691.58339834912</v>
      </c>
      <c r="AA5" s="27">
        <f>((Data!$AJ$5*'Intermediate calculations'!AA4)+Data!$AK$5)*Drivers!AB4</f>
        <v>967640.07013586559</v>
      </c>
      <c r="AB5" s="27">
        <f>((Data!$AJ$5*'Intermediate calculations'!AB4)+Data!$AK$5)*Drivers!AC4</f>
        <v>985205.95615671005</v>
      </c>
      <c r="AC5" s="27">
        <f>((Data!$AJ$5*'Intermediate calculations'!AC4)+Data!$AK$5)*Drivers!AD4</f>
        <v>997182.14033234725</v>
      </c>
      <c r="AD5" s="27">
        <f>((Data!$AJ$5*'Intermediate calculations'!AD4)+Data!$AK$5)*Drivers!AE4</f>
        <v>1003428.5497078976</v>
      </c>
      <c r="AE5" s="27">
        <f>((Data!$AJ$5*'Intermediate calculations'!AE4)+Data!$AK$5)*Drivers!AF4</f>
        <v>1014063.5244529058</v>
      </c>
      <c r="AF5" s="27">
        <f>((Data!$AJ$5*'Intermediate calculations'!AF4)+Data!$AK$5)*Drivers!AG4</f>
        <v>1025355.6611865474</v>
      </c>
      <c r="AG5" s="27">
        <f>((Data!$AJ$5*'Intermediate calculations'!AG4)+Data!$AK$5)*Drivers!AH4</f>
        <v>956351.78084582905</v>
      </c>
      <c r="AH5" s="27">
        <f>((Data!$AJ$5*'Intermediate calculations'!AH4)+Data!$AK$5)*Drivers!AI4</f>
        <v>1007387.8258021324</v>
      </c>
      <c r="AI5" s="27">
        <f>((Data!$AJ$5*'Intermediate calculations'!AI4)+Data!$AK$5)*Drivers!AJ4</f>
        <v>2985961.7659312617</v>
      </c>
      <c r="AJ5" s="27">
        <f>((Data!$AJ$5*'Intermediate calculations'!AJ4)+Data!$AK$5)*Drivers!AK4</f>
        <v>3059563.5098653822</v>
      </c>
      <c r="AK5" s="27">
        <f>((Data!$AJ$5*'Intermediate calculations'!AK4)+Data!$AK$5)*Drivers!AL4</f>
        <v>3128997.7311205785</v>
      </c>
      <c r="AL5" s="27">
        <f>((Data!$AJ$5*'Intermediate calculations'!AL4)+Data!$AK$5)*Drivers!AM4</f>
        <v>3194001.5122424313</v>
      </c>
      <c r="AM5" s="27">
        <f>((Data!$AJ$5*'Intermediate calculations'!AM4)+Data!$AK$5)*Drivers!AN4</f>
        <v>3254396.0660710209</v>
      </c>
      <c r="AN5" s="27">
        <f>((Data!$AJ$5*'Intermediate calculations'!AN4)+Data!$AK$5)*Drivers!AO4</f>
        <v>3309857.3003503131</v>
      </c>
      <c r="AO5" s="27">
        <f>((Data!$AJ$5*'Intermediate calculations'!AO4)+Data!$AK$5)*Drivers!AP4</f>
        <v>3360088.5263923523</v>
      </c>
      <c r="AP5" s="27">
        <f>((Data!$AJ$5*'Intermediate calculations'!AP4)+Data!$AK$5)*Drivers!AQ4</f>
        <v>3404811.1055382169</v>
      </c>
      <c r="AQ5" s="27">
        <f>((Data!$AJ$5*'Intermediate calculations'!AQ4)+Data!$AK$5)*Drivers!AR4</f>
        <v>3443770.091296671</v>
      </c>
      <c r="AR5" s="27">
        <f>((Data!$AJ$5*'Intermediate calculations'!AR4)+Data!$AK$5)*Drivers!AS4</f>
        <v>3476743.4036606485</v>
      </c>
      <c r="AS5" s="27">
        <f>((Data!$AJ$5*'Intermediate calculations'!AS4)+Data!$AK$5)*Drivers!AT4</f>
        <v>3503533.8301411686</v>
      </c>
      <c r="AT5" s="27">
        <f>((Data!$AJ$5*'Intermediate calculations'!AT4)+Data!$AK$5)*Drivers!AU4</f>
        <v>3523979.5236164173</v>
      </c>
      <c r="AU5" s="27">
        <f>((Data!$AJ$5*'Intermediate calculations'!AU4)+Data!$AK$5)*Drivers!AV4</f>
        <v>3537955.8346506641</v>
      </c>
      <c r="AV5" s="27">
        <f>((Data!$AJ$5*'Intermediate calculations'!AV4)+Data!$AK$5)*Drivers!AW4</f>
        <v>3545366.6475507529</v>
      </c>
      <c r="AW5" s="27">
        <f>((Data!$AJ$5*'Intermediate calculations'!AW4)+Data!$AK$5)*Drivers!AX4</f>
        <v>3546149.5912012719</v>
      </c>
      <c r="AX5" s="27">
        <f>((Data!$AJ$5*'Intermediate calculations'!AX4)+Data!$AK$5)*Drivers!AY4</f>
        <v>-157187.03278201248</v>
      </c>
      <c r="AY5" s="27">
        <f>((Data!$AJ$5*'Intermediate calculations'!AY4)+Data!$AK$5)*Drivers!AZ4</f>
        <v>-158292.15434093127</v>
      </c>
      <c r="AZ5" s="27">
        <f>((Data!$AJ$5*'Intermediate calculations'!AZ4)+Data!$AK$5)*Drivers!BA4</f>
        <v>-159369.84397577762</v>
      </c>
      <c r="BA5" s="27">
        <f>((Data!$AJ$5*'Intermediate calculations'!BA4)+Data!$AK$5)*Drivers!BB4</f>
        <v>-160421.72859455581</v>
      </c>
      <c r="BB5" s="27">
        <f>((Data!$AJ$5*'Intermediate calculations'!BB4)+Data!$AK$5)*Drivers!BC4</f>
        <v>-161449.68362869936</v>
      </c>
      <c r="BC5" s="27">
        <f>((Data!$AJ$5*'Intermediate calculations'!BC4)+Data!$AK$5)*Drivers!BD4</f>
        <v>-162449.48417991144</v>
      </c>
      <c r="BD5" s="27">
        <f>((Data!$AJ$5*'Intermediate calculations'!BD4)+Data!$AK$5)*Drivers!BE4</f>
        <v>-163418.34816647036</v>
      </c>
      <c r="BE5" s="27">
        <f>((Data!$AJ$5*'Intermediate calculations'!BE4)+Data!$AK$5)*Drivers!BF4</f>
        <v>-164356.07078666129</v>
      </c>
      <c r="BF5" s="27">
        <f>((Data!$AJ$5*'Intermediate calculations'!BF4)+Data!$AK$5)*Drivers!BG4</f>
        <v>-165259.33839476126</v>
      </c>
      <c r="BG5" s="27">
        <f>((Data!$AJ$5*'Intermediate calculations'!BG4)+Data!$AK$5)*Drivers!BH4</f>
        <v>-166124.46225876047</v>
      </c>
      <c r="BH5" s="27">
        <f>((Data!$AJ$5*'Intermediate calculations'!BH4)+Data!$AK$5)*Drivers!BI4</f>
        <v>-166951.12021865809</v>
      </c>
      <c r="BI5" s="27">
        <f>((Data!$AJ$5*'Intermediate calculations'!BI4)+Data!$AK$5)*Drivers!BJ4</f>
        <v>-167740.01182188452</v>
      </c>
      <c r="BJ5" s="27">
        <f>((Data!$AJ$5*'Intermediate calculations'!BJ4)+Data!$AK$5)*Drivers!BK4</f>
        <v>-168491.65942786974</v>
      </c>
      <c r="BK5" s="27">
        <f>((Data!$AJ$5*'Intermediate calculations'!BK4)+Data!$AK$5)*Drivers!BL4</f>
        <v>-169202.46635031851</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2.3134891901423464</v>
      </c>
      <c r="AP6" s="22"/>
      <c r="AQ6" s="22">
        <f>(AQ8-AD8)/AD8</f>
        <v>2.7477324966526573</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17.732839906466509</v>
      </c>
      <c r="AA7" s="45">
        <f>AA5*ttokg/Drivers!AB4</f>
        <v>17.948388235719666</v>
      </c>
      <c r="AB7" s="45">
        <f>AB5*ttokg/Drivers!AC4</f>
        <v>17.994467810845023</v>
      </c>
      <c r="AC7" s="45">
        <f>AC5*ttokg/Drivers!AD4</f>
        <v>17.928500676359818</v>
      </c>
      <c r="AD7" s="45">
        <f>AD5*ttokg/Drivers!AE4</f>
        <v>17.752901031799595</v>
      </c>
      <c r="AE7" s="45">
        <f>AE5*ttokg/Drivers!AF4</f>
        <v>17.655538574311372</v>
      </c>
      <c r="AF7" s="45">
        <f>AF5*ttokg/Drivers!AG4</f>
        <v>17.568038401205563</v>
      </c>
      <c r="AG7" s="45">
        <f>AG5*ttokg/Drivers!AH4</f>
        <v>16.26395306476655</v>
      </c>
      <c r="AH7" s="45">
        <f>AH5*ttokg/Drivers!AI4</f>
        <v>16.961602582729554</v>
      </c>
      <c r="AI7" s="45">
        <f>AI5*ttokg/Drivers!AJ4</f>
        <v>49.854200740714376</v>
      </c>
      <c r="AJ7" s="45">
        <f>AJ5*ttokg/Drivers!AK4</f>
        <v>50.642871547058071</v>
      </c>
      <c r="AK7" s="45">
        <f>AK5*ttokg/Drivers!AL4</f>
        <v>51.278046520358856</v>
      </c>
      <c r="AL7" s="45">
        <f>AL5*ttokg/Drivers!AM4</f>
        <v>51.789232197470909</v>
      </c>
      <c r="AM7" s="45">
        <f>AM5*ttokg/Drivers!AN4</f>
        <v>52.233272273066405</v>
      </c>
      <c r="AN7" s="45">
        <f>AN5*ttokg/Drivers!AO4</f>
        <v>52.605122763880949</v>
      </c>
      <c r="AO7" s="45">
        <f>AO5*ttokg/Drivers!AP4</f>
        <v>52.9026981332917</v>
      </c>
      <c r="AP7" s="45">
        <f>AP5*ttokg/Drivers!AQ4</f>
        <v>53.122372489375671</v>
      </c>
      <c r="AQ7" s="45">
        <f>AQ5*ttokg/Drivers!AR4</f>
        <v>53.260262066283374</v>
      </c>
      <c r="AR7" s="45">
        <f>AR5*ttokg/Drivers!AS4</f>
        <v>53.314860376992989</v>
      </c>
      <c r="AS7" s="45">
        <f>AS5*ttokg/Drivers!AT4</f>
        <v>53.283316041445829</v>
      </c>
      <c r="AT7" s="45">
        <f>AT5*ttokg/Drivers!AU4</f>
        <v>53.164707553658346</v>
      </c>
      <c r="AU7" s="45">
        <f>AU5*ttokg/Drivers!AV4</f>
        <v>52.960107034201393</v>
      </c>
      <c r="AV7" s="45">
        <f>AV5*ttokg/Drivers!AW4</f>
        <v>52.668978853976363</v>
      </c>
      <c r="AW7" s="45">
        <f>AW5*ttokg/Drivers!AX4</f>
        <v>52.290802976953394</v>
      </c>
      <c r="AX7" s="45">
        <f>AX5*ttokg/Drivers!AY4</f>
        <v>-2.3011428632205324</v>
      </c>
      <c r="AY7" s="45">
        <f>AY5*ttokg/Drivers!AZ4</f>
        <v>-2.3011428632205324</v>
      </c>
      <c r="AZ7" s="45">
        <f>AZ5*ttokg/Drivers!BA4</f>
        <v>-2.3011428632205324</v>
      </c>
      <c r="BA7" s="45">
        <f>BA5*ttokg/Drivers!BB4</f>
        <v>-2.3011428632205324</v>
      </c>
      <c r="BB7" s="45">
        <f>BB5*ttokg/Drivers!BC4</f>
        <v>-2.3011428632205324</v>
      </c>
      <c r="BC7" s="45">
        <f>BC5*ttokg/Drivers!BD4</f>
        <v>-2.3011428632205324</v>
      </c>
      <c r="BD7" s="45">
        <f>BD5*ttokg/Drivers!BE4</f>
        <v>-2.3011428632205324</v>
      </c>
      <c r="BE7" s="45">
        <f>BE5*ttokg/Drivers!BF4</f>
        <v>-2.3011428632205324</v>
      </c>
      <c r="BF7" s="45">
        <f>BF5*ttokg/Drivers!BG4</f>
        <v>-2.3011428632205324</v>
      </c>
      <c r="BG7" s="45">
        <f>BG5*ttokg/Drivers!BH4</f>
        <v>-2.3011428632205324</v>
      </c>
      <c r="BH7" s="45">
        <f>BH5*ttokg/Drivers!BI4</f>
        <v>-2.3011428632205324</v>
      </c>
      <c r="BI7" s="45">
        <f>BI5*ttokg/Drivers!BJ4</f>
        <v>-2.301142863220532</v>
      </c>
      <c r="BJ7" s="45">
        <f>BJ5*ttokg/Drivers!BK4</f>
        <v>-2.3011428632205324</v>
      </c>
      <c r="BK7" s="45">
        <f>BK5*ttokg/Drivers!BL4</f>
        <v>-2.3011428632205324</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944208.34947610251</v>
      </c>
      <c r="AA8" s="22">
        <f>((Data!$AJ$14*'Intermediate calculations'!AA5)+Data!$AK$14)</f>
        <v>973856.22853221837</v>
      </c>
      <c r="AB8" s="22">
        <f>((Data!$AJ$14*'Intermediate calculations'!AB5)+Data!$AK$14)</f>
        <v>993926.4264411605</v>
      </c>
      <c r="AC8" s="22">
        <f>((Data!$AJ$14*'Intermediate calculations'!AC5)+Data!$AK$14)</f>
        <v>1007610.0166861247</v>
      </c>
      <c r="AD8" s="22">
        <f>((Data!$AJ$14*'Intermediate calculations'!AD5)+Data!$AK$14)</f>
        <v>1014746.956561449</v>
      </c>
      <c r="AE8" s="22">
        <f>((Data!$AJ$14*'Intermediate calculations'!AE5)+Data!$AK$14)</f>
        <v>1026898.1254598256</v>
      </c>
      <c r="AF8" s="22">
        <f>((Data!$AJ$14*'Intermediate calculations'!AF5)+Data!$AK$14)</f>
        <v>1039800.1458184961</v>
      </c>
      <c r="AG8" s="22">
        <f>((Data!$AJ$14*'Intermediate calculations'!AG5)+Data!$AK$14)</f>
        <v>960958.60413481668</v>
      </c>
      <c r="AH8" s="22">
        <f>((Data!$AJ$14*'Intermediate calculations'!AH5)+Data!$AK$14)</f>
        <v>1019270.6939176598</v>
      </c>
      <c r="AI8" s="22">
        <f>((Data!$AJ$14*'Intermediate calculations'!AI5)+Data!$AK$14)</f>
        <v>3279923.5587230441</v>
      </c>
      <c r="AJ8" s="22">
        <f>((Data!$AJ$14*'Intermediate calculations'!AJ5)+Data!$AK$14)</f>
        <v>3364018.466628524</v>
      </c>
      <c r="AK8" s="22">
        <f>((Data!$AJ$14*'Intermediate calculations'!AK5)+Data!$AK$14)</f>
        <v>3443351.7015471272</v>
      </c>
      <c r="AL8" s="22">
        <f>((Data!$AJ$14*'Intermediate calculations'!AL5)+Data!$AK$14)</f>
        <v>3517622.8627283508</v>
      </c>
      <c r="AM8" s="22">
        <f>((Data!$AJ$14*'Intermediate calculations'!AM5)+Data!$AK$14)</f>
        <v>3586627.6739017623</v>
      </c>
      <c r="AN8" s="22">
        <f>((Data!$AJ$14*'Intermediate calculations'!AN5)+Data!$AK$14)</f>
        <v>3649995.8380204821</v>
      </c>
      <c r="AO8" s="22">
        <f>((Data!$AJ$14*'Intermediate calculations'!AO5)+Data!$AK$14)</f>
        <v>3707388.3684442942</v>
      </c>
      <c r="AP8" s="22">
        <f>((Data!$AJ$14*'Intermediate calculations'!AP5)+Data!$AK$14)</f>
        <v>3758486.9018966178</v>
      </c>
      <c r="AQ8" s="22">
        <f>((Data!$AJ$14*'Intermediate calculations'!AQ5)+Data!$AK$14)</f>
        <v>3803000.1449847249</v>
      </c>
      <c r="AR8" s="22">
        <f>((Data!$AJ$14*'Intermediate calculations'!AR5)+Data!$AK$14)</f>
        <v>3840674.3564690244</v>
      </c>
      <c r="AS8" s="22">
        <f>((Data!$AJ$14*'Intermediate calculations'!AS5)+Data!$AK$14)</f>
        <v>3871284.2079101047</v>
      </c>
      <c r="AT8" s="22">
        <f>((Data!$AJ$14*'Intermediate calculations'!AT5)+Data!$AK$14)</f>
        <v>3894644.7781624035</v>
      </c>
      <c r="AU8" s="22">
        <f>((Data!$AJ$14*'Intermediate calculations'!AU5)+Data!$AK$14)</f>
        <v>3910613.6469209394</v>
      </c>
      <c r="AV8" s="22">
        <f>((Data!$AJ$14*'Intermediate calculations'!AV5)+Data!$AK$14)</f>
        <v>3919080.9955872362</v>
      </c>
      <c r="AW8" s="22">
        <f>((Data!$AJ$14*'Intermediate calculations'!AW5)+Data!$AK$14)</f>
        <v>3919975.5609965082</v>
      </c>
      <c r="AX8" s="22">
        <f>((Data!$AJ$14*'Intermediate calculations'!AX5)+Data!$AK$14)</f>
        <v>-311333.85764474107</v>
      </c>
      <c r="AY8" s="22">
        <f>((Data!$AJ$14*'Intermediate calculations'!AY5)+Data!$AK$14)</f>
        <v>-312596.53283087281</v>
      </c>
      <c r="AZ8" s="22">
        <f>((Data!$AJ$14*'Intermediate calculations'!AZ5)+Data!$AK$14)</f>
        <v>-313827.86521172256</v>
      </c>
      <c r="BA8" s="22">
        <f>((Data!$AJ$14*'Intermediate calculations'!BA5)+Data!$AK$14)</f>
        <v>-315029.71363833756</v>
      </c>
      <c r="BB8" s="22">
        <f>((Data!$AJ$14*'Intermediate calculations'!BB5)+Data!$AK$14)</f>
        <v>-316204.22091638052</v>
      </c>
      <c r="BC8" s="22">
        <f>((Data!$AJ$14*'Intermediate calculations'!BC5)+Data!$AK$14)</f>
        <v>-317346.55981738918</v>
      </c>
      <c r="BD8" s="22">
        <f>((Data!$AJ$14*'Intermediate calculations'!BD5)+Data!$AK$14)</f>
        <v>-318453.55162719649</v>
      </c>
      <c r="BE8" s="22">
        <f>((Data!$AJ$14*'Intermediate calculations'!BE5)+Data!$AK$14)</f>
        <v>-319524.96234616573</v>
      </c>
      <c r="BF8" s="22">
        <f>((Data!$AJ$14*'Intermediate calculations'!BF5)+Data!$AK$14)</f>
        <v>-320557.00591275783</v>
      </c>
      <c r="BG8" s="22">
        <f>((Data!$AJ$14*'Intermediate calculations'!BG5)+Data!$AK$14)</f>
        <v>-321545.46770430135</v>
      </c>
      <c r="BH8" s="22">
        <f>((Data!$AJ$14*'Intermediate calculations'!BH5)+Data!$AK$14)</f>
        <v>-322489.97963147995</v>
      </c>
      <c r="BI8" s="22">
        <f>((Data!$AJ$14*'Intermediate calculations'!BI5)+Data!$AK$14)</f>
        <v>-323391.34097395185</v>
      </c>
      <c r="BJ8" s="22">
        <f>((Data!$AJ$14*'Intermediate calculations'!BJ5)+Data!$AK$14)</f>
        <v>-324250.14856225136</v>
      </c>
      <c r="BK8" s="22">
        <f>((Data!$AJ$14*'Intermediate calculations'!BK5)+Data!$AK$14)</f>
        <v>-325062.29294208309</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665666.8863806522</v>
      </c>
      <c r="AA9" s="22">
        <f t="shared" si="1"/>
        <v>691437.92225787498</v>
      </c>
      <c r="AB9" s="22">
        <f t="shared" si="1"/>
        <v>710657.39490542968</v>
      </c>
      <c r="AC9" s="22">
        <f t="shared" si="1"/>
        <v>725479.21201400983</v>
      </c>
      <c r="AD9" s="22">
        <f t="shared" si="1"/>
        <v>735691.54350705049</v>
      </c>
      <c r="AE9" s="22">
        <f t="shared" si="1"/>
        <v>749635.63158567273</v>
      </c>
      <c r="AF9" s="22">
        <f t="shared" si="1"/>
        <v>764253.10717659467</v>
      </c>
      <c r="AG9" s="22">
        <f t="shared" si="1"/>
        <v>711109.36705976434</v>
      </c>
      <c r="AH9" s="22">
        <f t="shared" si="1"/>
        <v>756298.85488690354</v>
      </c>
      <c r="AI9" s="22">
        <f t="shared" si="1"/>
        <v>2440263.1276899446</v>
      </c>
      <c r="AJ9" s="22">
        <f t="shared" si="1"/>
        <v>2509557.7761048791</v>
      </c>
      <c r="AK9" s="22">
        <f t="shared" si="1"/>
        <v>2575627.0727572511</v>
      </c>
      <c r="AL9" s="22">
        <f t="shared" si="1"/>
        <v>2638217.1470462633</v>
      </c>
      <c r="AM9" s="22">
        <f t="shared" si="1"/>
        <v>2697144.0107741253</v>
      </c>
      <c r="AN9" s="22">
        <f t="shared" si="1"/>
        <v>2752096.8618674437</v>
      </c>
      <c r="AO9" s="22">
        <f t="shared" si="1"/>
        <v>2802785.6065438865</v>
      </c>
      <c r="AP9" s="22">
        <f t="shared" si="1"/>
        <v>2848933.0716376365</v>
      </c>
      <c r="AQ9" s="22">
        <f t="shared" si="1"/>
        <v>2890280.1101883911</v>
      </c>
      <c r="AR9" s="22">
        <f t="shared" si="1"/>
        <v>2934275.2083423347</v>
      </c>
      <c r="AS9" s="22">
        <f t="shared" si="1"/>
        <v>2973146.2716749604</v>
      </c>
      <c r="AT9" s="22">
        <f t="shared" si="1"/>
        <v>3006665.7687413758</v>
      </c>
      <c r="AU9" s="22">
        <f t="shared" si="1"/>
        <v>3034636.1900106492</v>
      </c>
      <c r="AV9" s="22">
        <f t="shared" si="1"/>
        <v>3056883.1765580443</v>
      </c>
      <c r="AW9" s="22">
        <f t="shared" si="1"/>
        <v>3073260.8398212628</v>
      </c>
      <c r="AX9" s="22">
        <f t="shared" si="1"/>
        <v>-245331.07982405598</v>
      </c>
      <c r="AY9" s="22">
        <f t="shared" si="1"/>
        <v>-247576.45400205126</v>
      </c>
      <c r="AZ9" s="22">
        <f t="shared" si="1"/>
        <v>-249806.98070853116</v>
      </c>
      <c r="BA9" s="22">
        <f t="shared" si="1"/>
        <v>-252023.77091067005</v>
      </c>
      <c r="BB9" s="22">
        <f t="shared" si="1"/>
        <v>-253911.98939585357</v>
      </c>
      <c r="BC9" s="22">
        <f t="shared" si="1"/>
        <v>-255781.3272128157</v>
      </c>
      <c r="BD9" s="22">
        <f t="shared" si="1"/>
        <v>-257628.92326640198</v>
      </c>
      <c r="BE9" s="22">
        <f t="shared" si="1"/>
        <v>-259454.26942508659</v>
      </c>
      <c r="BF9" s="22">
        <f t="shared" si="1"/>
        <v>-261253.95981889765</v>
      </c>
      <c r="BG9" s="22">
        <f t="shared" si="1"/>
        <v>-263024.1925821185</v>
      </c>
      <c r="BH9" s="22">
        <f t="shared" si="1"/>
        <v>-264764.27327744506</v>
      </c>
      <c r="BI9" s="22">
        <f t="shared" si="1"/>
        <v>-266474.46496253635</v>
      </c>
      <c r="BJ9" s="22">
        <f t="shared" si="1"/>
        <v>-268154.87286098191</v>
      </c>
      <c r="BK9" s="22">
        <f t="shared" si="1"/>
        <v>-269801.70314192894</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282418.3062743434</v>
      </c>
      <c r="AB10" s="22">
        <f t="shared" si="2"/>
        <v>283269.03153573081</v>
      </c>
      <c r="AC10" s="22">
        <f t="shared" si="2"/>
        <v>282130.8046721149</v>
      </c>
      <c r="AD10" s="22">
        <f t="shared" si="2"/>
        <v>279055.41305439849</v>
      </c>
      <c r="AE10" s="22">
        <f t="shared" si="2"/>
        <v>277262.49387415289</v>
      </c>
      <c r="AF10" s="22">
        <f t="shared" si="2"/>
        <v>275547.03864190145</v>
      </c>
      <c r="AG10" s="22">
        <f t="shared" si="2"/>
        <v>249849.23707505234</v>
      </c>
      <c r="AH10" s="22">
        <f t="shared" si="2"/>
        <v>262971.83903075627</v>
      </c>
      <c r="AI10" s="22">
        <f t="shared" ref="AI10:BK10" si="3">AI8-AI9</f>
        <v>839660.43103309954</v>
      </c>
      <c r="AJ10" s="22">
        <f t="shared" si="3"/>
        <v>854460.69052364491</v>
      </c>
      <c r="AK10" s="22">
        <f t="shared" si="3"/>
        <v>867724.62878987612</v>
      </c>
      <c r="AL10" s="22">
        <f t="shared" si="3"/>
        <v>879405.71568208747</v>
      </c>
      <c r="AM10" s="22">
        <f t="shared" si="3"/>
        <v>889483.663127637</v>
      </c>
      <c r="AN10" s="22">
        <f t="shared" si="3"/>
        <v>897898.97615303844</v>
      </c>
      <c r="AO10" s="22">
        <f t="shared" si="3"/>
        <v>904602.76190040773</v>
      </c>
      <c r="AP10" s="22">
        <f t="shared" si="3"/>
        <v>909553.83025898132</v>
      </c>
      <c r="AQ10" s="22">
        <f t="shared" si="3"/>
        <v>912720.03479633387</v>
      </c>
      <c r="AR10" s="22">
        <f t="shared" si="3"/>
        <v>906399.14812668972</v>
      </c>
      <c r="AS10" s="22">
        <f t="shared" si="3"/>
        <v>898137.93623514427</v>
      </c>
      <c r="AT10" s="22">
        <f t="shared" si="3"/>
        <v>887979.00942102773</v>
      </c>
      <c r="AU10" s="22">
        <f t="shared" si="3"/>
        <v>875977.45691029029</v>
      </c>
      <c r="AV10" s="22">
        <f t="shared" si="3"/>
        <v>862197.81902919197</v>
      </c>
      <c r="AW10" s="22">
        <f t="shared" si="3"/>
        <v>846714.72117524548</v>
      </c>
      <c r="AX10" s="22">
        <f t="shared" si="3"/>
        <v>-66002.777820685093</v>
      </c>
      <c r="AY10" s="22">
        <f t="shared" si="3"/>
        <v>-65020.078828821541</v>
      </c>
      <c r="AZ10" s="22">
        <f t="shared" si="3"/>
        <v>-64020.884503191395</v>
      </c>
      <c r="BA10" s="22">
        <f t="shared" si="3"/>
        <v>-63005.942727667512</v>
      </c>
      <c r="BB10" s="22">
        <f t="shared" si="3"/>
        <v>-62292.231520526955</v>
      </c>
      <c r="BC10" s="22">
        <f t="shared" si="3"/>
        <v>-61565.232604573481</v>
      </c>
      <c r="BD10" s="22">
        <f t="shared" si="3"/>
        <v>-60824.628360794508</v>
      </c>
      <c r="BE10" s="22">
        <f t="shared" si="3"/>
        <v>-60070.692921079142</v>
      </c>
      <c r="BF10" s="22">
        <f t="shared" si="3"/>
        <v>-59303.046093860175</v>
      </c>
      <c r="BG10" s="22">
        <f t="shared" si="3"/>
        <v>-58521.275122182851</v>
      </c>
      <c r="BH10" s="22">
        <f t="shared" si="3"/>
        <v>-57725.70635403489</v>
      </c>
      <c r="BI10" s="22">
        <f t="shared" si="3"/>
        <v>-56916.876011415501</v>
      </c>
      <c r="BJ10" s="22">
        <f t="shared" si="3"/>
        <v>-56095.275701269449</v>
      </c>
      <c r="BK10" s="22">
        <f t="shared" si="3"/>
        <v>-55260.58980015415</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40.711692719818259</v>
      </c>
      <c r="Z11" s="22">
        <f>((Data!$AJ$15*LN('Intermediate calculations'!Z2))+Data!$AK$15)</f>
        <v>39.98751157220714</v>
      </c>
      <c r="AA11" s="22">
        <f>((Data!$AJ$15*LN('Intermediate calculations'!AA2))+Data!$AK$15)</f>
        <v>39.307247949386721</v>
      </c>
      <c r="AB11" s="22">
        <f>((Data!$AJ$15*LN('Intermediate calculations'!AB2))+Data!$AK$15)</f>
        <v>38.665878345611461</v>
      </c>
      <c r="AC11" s="22">
        <f>((Data!$AJ$15*LN('Intermediate calculations'!AC2))+Data!$AK$15)</f>
        <v>38.059194745530348</v>
      </c>
      <c r="AD11" s="22">
        <f>((Data!$AJ$15*LN('Intermediate calculations'!AD2))+Data!$AK$15)</f>
        <v>37.483637138389774</v>
      </c>
      <c r="AE11" s="22">
        <f>((Data!$AJ$15*LN('Intermediate calculations'!AE2))+Data!$AK$15)</f>
        <v>36.936166938305107</v>
      </c>
      <c r="AF11" s="22">
        <f>((Data!$AJ$15*LN('Intermediate calculations'!AF2))+Data!$AK$15)</f>
        <v>36.414169878013745</v>
      </c>
      <c r="AG11" s="22">
        <f>((Data!$AJ$15*LN('Intermediate calculations'!AG2))+Data!$AK$15)</f>
        <v>35.915380505953848</v>
      </c>
      <c r="AH11" s="22">
        <f>((Data!$AJ$15*LN('Intermediate calculations'!AH2))+Data!$AK$15)</f>
        <v>35.437822764182968</v>
      </c>
      <c r="AI11" s="22">
        <f>((Data!$AJ$15*LN('Intermediate calculations'!AI2))+Data!$AK$15)</f>
        <v>34.979762704572408</v>
      </c>
      <c r="AJ11" s="22">
        <f>((Data!$AJ$15*LN('Intermediate calculations'!AJ2))+Data!$AK$15)</f>
        <v>34.539670484285459</v>
      </c>
      <c r="AK11" s="22">
        <f>((Data!$AJ$15*LN('Intermediate calculations'!AK2))+Data!$AK$15)</f>
        <v>34.116189537587289</v>
      </c>
      <c r="AL11" s="22">
        <f>((Data!$AJ$15*LN('Intermediate calculations'!AL2))+Data!$AK$15)</f>
        <v>33.708111356876621</v>
      </c>
      <c r="AM11" s="22">
        <f>((Data!$AJ$15*LN('Intermediate calculations'!AM2))+Data!$AK$15)</f>
        <v>33.314354701096654</v>
      </c>
      <c r="AN11" s="22">
        <f>((Data!$AJ$15*LN('Intermediate calculations'!AN2))+Data!$AK$15)</f>
        <v>32.933948330365602</v>
      </c>
      <c r="AO11" s="22">
        <f>((Data!$AJ$15*LN('Intermediate calculations'!AO2))+Data!$AK$15)</f>
        <v>32.566016572659194</v>
      </c>
      <c r="AP11" s="22">
        <f>((Data!$AJ$15*LN('Intermediate calculations'!AP2))+Data!$AK$15)</f>
        <v>32.209767182754483</v>
      </c>
      <c r="AQ11" s="22">
        <f>((Data!$AJ$15*LN('Intermediate calculations'!AQ2))+Data!$AK$15)</f>
        <v>31.86448106998958</v>
      </c>
      <c r="AR11" s="22">
        <f>((Data!$AJ$15*LN('Intermediate calculations'!AR2))+Data!$AK$15)</f>
        <v>31.529503559934064</v>
      </c>
      <c r="AS11" s="22">
        <f>((Data!$AJ$15*LN('Intermediate calculations'!AS2))+Data!$AK$15)</f>
        <v>31.204236923059256</v>
      </c>
      <c r="AT11" s="22">
        <f>((Data!$AJ$15*LN('Intermediate calculations'!AT2))+Data!$AK$15)</f>
        <v>30.888133956158804</v>
      </c>
      <c r="AU11" s="22">
        <f>((Data!$AJ$15*LN('Intermediate calculations'!AU2))+Data!$AK$15)</f>
        <v>30.580692443381942</v>
      </c>
      <c r="AV11" s="22">
        <f>((Data!$AJ$15*LN('Intermediate calculations'!AV2))+Data!$AK$15)</f>
        <v>30.281450356077684</v>
      </c>
      <c r="AW11" s="22">
        <f>((Data!$AJ$15*LN('Intermediate calculations'!AW2))+Data!$AK$15)</f>
        <v>29.989981676261287</v>
      </c>
      <c r="AX11" s="22">
        <f>((Data!$AJ$15*LN('Intermediate calculations'!AX2))+Data!$AK$15)</f>
        <v>29.705892748937117</v>
      </c>
      <c r="AY11" s="22">
        <f>((Data!$AJ$15*LN('Intermediate calculations'!AY2))+Data!$AK$15)</f>
        <v>29.428819084898628</v>
      </c>
      <c r="AZ11" s="22">
        <f>((Data!$AJ$15*LN('Intermediate calculations'!AZ2))+Data!$AK$15)</f>
        <v>29.15842254885245</v>
      </c>
      <c r="BA11" s="22">
        <f>((Data!$AJ$15*LN('Intermediate calculations'!BA2))+Data!$AK$15)</f>
        <v>28.894388878448822</v>
      </c>
      <c r="BB11" s="22">
        <f>((Data!$AJ$15*LN('Intermediate calculations'!BB2))+Data!$AK$15)</f>
        <v>28.636425488561088</v>
      </c>
      <c r="BC11" s="22">
        <f>((Data!$AJ$15*LN('Intermediate calculations'!BC2))+Data!$AK$15)</f>
        <v>28.384259522341438</v>
      </c>
      <c r="BD11" s="22">
        <f>((Data!$AJ$15*LN('Intermediate calculations'!BD2))+Data!$AK$15)</f>
        <v>28.137636116501191</v>
      </c>
      <c r="BE11" s="22">
        <f>((Data!$AJ$15*LN('Intermediate calculations'!BE2))+Data!$AK$15)</f>
        <v>27.896316853165743</v>
      </c>
      <c r="BF11" s="22">
        <f>((Data!$AJ$15*LN('Intermediate calculations'!BF2))+Data!$AK$15)</f>
        <v>27.660078374730311</v>
      </c>
      <c r="BG11" s="22">
        <f>((Data!$AJ$15*LN('Intermediate calculations'!BG2))+Data!$AK$15)</f>
        <v>27.428711141546103</v>
      </c>
      <c r="BH11" s="22">
        <f>((Data!$AJ$15*LN('Intermediate calculations'!BH2))+Data!$AK$15)</f>
        <v>27.202018315119751</v>
      </c>
      <c r="BI11" s="22">
        <f>((Data!$AJ$15*LN('Intermediate calculations'!BI2))+Data!$AK$15)</f>
        <v>26.979814751909899</v>
      </c>
      <c r="BJ11" s="22">
        <f>((Data!$AJ$15*LN('Intermediate calculations'!BJ2))+Data!$AK$15)</f>
        <v>26.761926094832795</v>
      </c>
      <c r="BK11" s="22">
        <f>((Data!$AJ$15*LN('Intermediate calculations'!BK2))+Data!$AK$15)</f>
        <v>26.548187951307732</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1952293.7553922522</v>
      </c>
      <c r="Z12" s="22">
        <f>((Data!$AJ$6*'Intermediate calculations'!Z4)+Data!$AK$6)*Drivers!AA4</f>
        <v>1989214.0809840127</v>
      </c>
      <c r="AA12" s="22">
        <f>((Data!$AJ$6*'Intermediate calculations'!AA4)+Data!$AK$6)*Drivers!AB4</f>
        <v>2031584.5891224523</v>
      </c>
      <c r="AB12" s="22">
        <f>((Data!$AJ$6*'Intermediate calculations'!AB4)+Data!$AK$6)*Drivers!AC4</f>
        <v>2065795.7253002259</v>
      </c>
      <c r="AC12" s="22">
        <f>((Data!$AJ$6*'Intermediate calculations'!AC4)+Data!$AK$6)*Drivers!AD4</f>
        <v>2094779.0652397452</v>
      </c>
      <c r="AD12" s="22">
        <f>((Data!$AJ$6*'Intermediate calculations'!AD4)+Data!$AK$6)*Drivers!AE4</f>
        <v>2118412.1564230556</v>
      </c>
      <c r="AE12" s="22">
        <f>((Data!$AJ$6*'Intermediate calculations'!AE4)+Data!$AK$6)*Drivers!AF4</f>
        <v>2146845.3123571593</v>
      </c>
      <c r="AF12" s="22">
        <f>((Data!$AJ$6*'Intermediate calculations'!AF4)+Data!$AK$6)*Drivers!AG4</f>
        <v>2176243.6654550009</v>
      </c>
      <c r="AG12" s="22">
        <f>((Data!$AJ$6*'Intermediate calculations'!AG4)+Data!$AK$6)*Drivers!AH4</f>
        <v>2112664.6254841024</v>
      </c>
      <c r="AH12" s="22">
        <f>((Data!$AJ$6*'Intermediate calculations'!AH4)+Data!$AK$6)*Drivers!AI4</f>
        <v>2177035.1178663955</v>
      </c>
      <c r="AI12" s="22">
        <f>((Data!$AJ$6*'Intermediate calculations'!AI4)+Data!$AK$6)*Drivers!AJ4</f>
        <v>4247548.4144928819</v>
      </c>
      <c r="AJ12" s="22">
        <f>((Data!$AJ$6*'Intermediate calculations'!AJ4)+Data!$AK$6)*Drivers!AK4</f>
        <v>4334100.8083033757</v>
      </c>
      <c r="AK12" s="22">
        <f>((Data!$AJ$6*'Intermediate calculations'!AK4)+Data!$AK$6)*Drivers!AL4</f>
        <v>4417928.1916928254</v>
      </c>
      <c r="AL12" s="22">
        <f>((Data!$AJ$6*'Intermediate calculations'!AL4)+Data!$AK$6)*Drivers!AM4</f>
        <v>4498035.5282044597</v>
      </c>
      <c r="AM12" s="22">
        <f>((Data!$AJ$6*'Intermediate calculations'!AM4)+Data!$AK$6)*Drivers!AN4</f>
        <v>4572944.7781088324</v>
      </c>
      <c r="AN12" s="22">
        <f>((Data!$AJ$6*'Intermediate calculations'!AN4)+Data!$AK$6)*Drivers!AO4</f>
        <v>4642371.9120897977</v>
      </c>
      <c r="AO12" s="22">
        <f>((Data!$AJ$6*'Intermediate calculations'!AO4)+Data!$AK$6)*Drivers!AP4</f>
        <v>4706003.8959987601</v>
      </c>
      <c r="AP12" s="22">
        <f>((Data!$AJ$6*'Intermediate calculations'!AP4)+Data!$AK$6)*Drivers!AQ4</f>
        <v>4763587.2248669965</v>
      </c>
      <c r="AQ12" s="22">
        <f>((Data!$AJ$6*'Intermediate calculations'!AQ4)+Data!$AK$6)*Drivers!AR4</f>
        <v>4814907.0662420532</v>
      </c>
      <c r="AR12" s="22">
        <f>((Data!$AJ$6*'Intermediate calculations'!AR4)+Data!$AK$6)*Drivers!AS4</f>
        <v>4859739.4186851867</v>
      </c>
      <c r="AS12" s="22">
        <f>((Data!$AJ$6*'Intermediate calculations'!AS4)+Data!$AK$6)*Drivers!AT4</f>
        <v>4897925.3354718061</v>
      </c>
      <c r="AT12" s="22">
        <f>((Data!$AJ$6*'Intermediate calculations'!AT4)+Data!$AK$6)*Drivers!AU4</f>
        <v>4929309.8416947834</v>
      </c>
      <c r="AU12" s="22">
        <f>((Data!$AJ$6*'Intermediate calculations'!AU4)+Data!$AK$6)*Drivers!AV4</f>
        <v>4953741.184714024</v>
      </c>
      <c r="AV12" s="22">
        <f>((Data!$AJ$6*'Intermediate calculations'!AV4)+Data!$AK$6)*Drivers!AW4</f>
        <v>4971143.4538005879</v>
      </c>
      <c r="AW12" s="22">
        <f>((Data!$AJ$6*'Intermediate calculations'!AW4)+Data!$AK$6)*Drivers!AX4</f>
        <v>4981486.7300152462</v>
      </c>
      <c r="AX12" s="22">
        <f>((Data!$AJ$6*'Intermediate calculations'!AX4)+Data!$AK$6)*Drivers!AY4</f>
        <v>1133240.1372872726</v>
      </c>
      <c r="AY12" s="22">
        <f>((Data!$AJ$6*'Intermediate calculations'!AY4)+Data!$AK$6)*Drivers!AZ4</f>
        <v>1141207.5127442866</v>
      </c>
      <c r="AZ12" s="22">
        <f>((Data!$AJ$6*'Intermediate calculations'!AZ4)+Data!$AK$6)*Drivers!BA4</f>
        <v>1148977.1177055305</v>
      </c>
      <c r="BA12" s="22">
        <f>((Data!$AJ$6*'Intermediate calculations'!BA4)+Data!$AK$6)*Drivers!BB4</f>
        <v>1156560.6813665845</v>
      </c>
      <c r="BB12" s="22">
        <f>((Data!$AJ$6*'Intermediate calculations'!BB4)+Data!$AK$6)*Drivers!BC4</f>
        <v>1163971.7246530463</v>
      </c>
      <c r="BC12" s="22">
        <f>((Data!$AJ$6*'Intermediate calculations'!BC4)+Data!$AK$6)*Drivers!BD4</f>
        <v>1171179.7881546121</v>
      </c>
      <c r="BD12" s="22">
        <f>((Data!$AJ$6*'Intermediate calculations'!BD4)+Data!$AK$6)*Drivers!BE4</f>
        <v>1178164.8144491371</v>
      </c>
      <c r="BE12" s="22">
        <f>((Data!$AJ$6*'Intermediate calculations'!BE4)+Data!$AK$6)*Drivers!BF4</f>
        <v>1184925.327018366</v>
      </c>
      <c r="BF12" s="22">
        <f>((Data!$AJ$6*'Intermediate calculations'!BF4)+Data!$AK$6)*Drivers!BG4</f>
        <v>1191437.4361287267</v>
      </c>
      <c r="BG12" s="22">
        <f>((Data!$AJ$6*'Intermediate calculations'!BG4)+Data!$AK$6)*Drivers!BH4</f>
        <v>1197674.5478615284</v>
      </c>
      <c r="BH12" s="22">
        <f>((Data!$AJ$6*'Intermediate calculations'!BH4)+Data!$AK$6)*Drivers!BI4</f>
        <v>1203634.3396037847</v>
      </c>
      <c r="BI12" s="22">
        <f>((Data!$AJ$6*'Intermediate calculations'!BI4)+Data!$AK$6)*Drivers!BJ4</f>
        <v>1209321.854743694</v>
      </c>
      <c r="BJ12" s="22">
        <f>((Data!$AJ$6*'Intermediate calculations'!BJ4)+Data!$AK$6)*Drivers!BK4</f>
        <v>1214740.8592323123</v>
      </c>
      <c r="BK12" s="22">
        <f>((Data!$AJ$6*'Intermediate calculations'!BK4)+Data!$AK$6)*Drivers!BL4</f>
        <v>1219865.4227546589</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37.310608777805804</v>
      </c>
      <c r="Z13" s="45">
        <f>Z12*ttokg/Drivers!AA4</f>
        <v>37.458564417111091</v>
      </c>
      <c r="AA13" s="45">
        <f>AA12*ttokg/Drivers!AB4</f>
        <v>37.68309112514838</v>
      </c>
      <c r="AB13" s="45">
        <f>AB12*ttokg/Drivers!AC4</f>
        <v>37.731090083648787</v>
      </c>
      <c r="AC13" s="45">
        <f>AC12*ttokg/Drivers!AD4</f>
        <v>37.662375175971533</v>
      </c>
      <c r="AD13" s="45">
        <f>AD12*ttokg/Drivers!AE4</f>
        <v>37.47946116192081</v>
      </c>
      <c r="AE13" s="45">
        <f>AE12*ttokg/Drivers!AF4</f>
        <v>37.37804320084453</v>
      </c>
      <c r="AF13" s="45">
        <f>AF12*ttokg/Drivers!AG4</f>
        <v>37.286898324481022</v>
      </c>
      <c r="AG13" s="45">
        <f>AG12*ttokg/Drivers!AH4</f>
        <v>35.928493048945533</v>
      </c>
      <c r="AH13" s="45">
        <f>AH12*ttokg/Drivers!AI4</f>
        <v>36.655202229085184</v>
      </c>
      <c r="AI13" s="45">
        <f>AI12*ttokg/Drivers!AJ4</f>
        <v>70.91789778694239</v>
      </c>
      <c r="AJ13" s="45">
        <f>AJ12*ttokg/Drivers!AK4</f>
        <v>71.739419626090992</v>
      </c>
      <c r="AK13" s="45">
        <f>AK12*ttokg/Drivers!AL4</f>
        <v>72.401051967557208</v>
      </c>
      <c r="AL13" s="45">
        <f>AL12*ttokg/Drivers!AM4</f>
        <v>72.933530403717953</v>
      </c>
      <c r="AM13" s="45">
        <f>AM12*ttokg/Drivers!AN4</f>
        <v>73.396066377694311</v>
      </c>
      <c r="AN13" s="45">
        <f>AN12*ttokg/Drivers!AO4</f>
        <v>73.783405805812009</v>
      </c>
      <c r="AO13" s="45">
        <f>AO12*ttokg/Drivers!AP4</f>
        <v>74.093376281195759</v>
      </c>
      <c r="AP13" s="45">
        <f>AP12*ttokg/Drivers!AQ4</f>
        <v>74.32220088022018</v>
      </c>
      <c r="AQ13" s="45">
        <f>AQ12*ttokg/Drivers!AR4</f>
        <v>74.465834063938246</v>
      </c>
      <c r="AR13" s="45">
        <f>AR12*ttokg/Drivers!AS4</f>
        <v>74.52270659461621</v>
      </c>
      <c r="AS13" s="45">
        <f>AS12*ttokg/Drivers!AT4</f>
        <v>74.489848321753826</v>
      </c>
      <c r="AT13" s="45">
        <f>AT12*ttokg/Drivers!AU4</f>
        <v>74.366299355262285</v>
      </c>
      <c r="AU13" s="45">
        <f>AU12*ttokg/Drivers!AV4</f>
        <v>74.153176473467937</v>
      </c>
      <c r="AV13" s="45">
        <f>AV12*ttokg/Drivers!AW4</f>
        <v>73.849921736354943</v>
      </c>
      <c r="AW13" s="45">
        <f>AW12*ttokg/Drivers!AX4</f>
        <v>73.455993446484712</v>
      </c>
      <c r="AX13" s="45">
        <f>AX12*ttokg/Drivers!AY4</f>
        <v>16.590092758160893</v>
      </c>
      <c r="AY13" s="45">
        <f>AY12*ttokg/Drivers!AZ4</f>
        <v>16.590092758160889</v>
      </c>
      <c r="AZ13" s="45">
        <f>AZ12*ttokg/Drivers!BA4</f>
        <v>16.590092758160889</v>
      </c>
      <c r="BA13" s="45">
        <f>BA12*ttokg/Drivers!BB4</f>
        <v>16.590092758160889</v>
      </c>
      <c r="BB13" s="45">
        <f>BB12*ttokg/Drivers!BC4</f>
        <v>16.590092758160889</v>
      </c>
      <c r="BC13" s="45">
        <f>BC12*ttokg/Drivers!BD4</f>
        <v>16.590092758160889</v>
      </c>
      <c r="BD13" s="45">
        <f>BD12*ttokg/Drivers!BE4</f>
        <v>16.590092758160889</v>
      </c>
      <c r="BE13" s="45">
        <f>BE12*ttokg/Drivers!BF4</f>
        <v>16.590092758160889</v>
      </c>
      <c r="BF13" s="45">
        <f>BF12*ttokg/Drivers!BG4</f>
        <v>16.590092758160889</v>
      </c>
      <c r="BG13" s="45">
        <f>BG12*ttokg/Drivers!BH4</f>
        <v>16.590092758160889</v>
      </c>
      <c r="BH13" s="45">
        <f>BH12*ttokg/Drivers!BI4</f>
        <v>16.590092758160893</v>
      </c>
      <c r="BI13" s="45">
        <f>BI12*ttokg/Drivers!BJ4</f>
        <v>16.590092758160893</v>
      </c>
      <c r="BJ13" s="45">
        <f>BJ12*ttokg/Drivers!BK4</f>
        <v>16.590092758160889</v>
      </c>
      <c r="BK13" s="45">
        <f>BK12*ttokg/Drivers!BL4</f>
        <v>16.590092758160889</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1.7779325797120531E-2</v>
      </c>
      <c r="Z14" s="22">
        <f>((Data!$AJ$6*LN('Intermediate calculations'!Z4))+Data!$AK$6)</f>
        <v>1.7781283866762018E-2</v>
      </c>
      <c r="AA14" s="22">
        <f>((Data!$AJ$6*LN('Intermediate calculations'!AA4))+Data!$AK$6)</f>
        <v>1.7784228929748909E-2</v>
      </c>
      <c r="AB14" s="22">
        <f>((Data!$AJ$6*LN('Intermediate calculations'!AB4))+Data!$AK$6)</f>
        <v>1.7784854452280716E-2</v>
      </c>
      <c r="AC14" s="22">
        <f>((Data!$AJ$6*LN('Intermediate calculations'!AC4))+Data!$AK$6)</f>
        <v>1.7783958519590005E-2</v>
      </c>
      <c r="AD14" s="22">
        <f>((Data!$AJ$6*LN('Intermediate calculations'!AD4))+Data!$AK$6)</f>
        <v>1.778155929836972E-2</v>
      </c>
      <c r="AE14" s="22">
        <f>((Data!$AJ$6*LN('Intermediate calculations'!AE4))+Data!$AK$6)</f>
        <v>1.7780219963770535E-2</v>
      </c>
      <c r="AF14" s="22">
        <f>((Data!$AJ$6*LN('Intermediate calculations'!AF4))+Data!$AK$6)</f>
        <v>1.7779010709730363E-2</v>
      </c>
      <c r="AG14" s="22">
        <f>((Data!$AJ$6*LN('Intermediate calculations'!AG4))+Data!$AK$6)</f>
        <v>1.7760328546277983E-2</v>
      </c>
      <c r="AH14" s="22">
        <f>((Data!$AJ$6*LN('Intermediate calculations'!AH4))+Data!$AK$6)</f>
        <v>1.7770480464586985E-2</v>
      </c>
      <c r="AI14" s="22">
        <f>((Data!$AJ$6*LN('Intermediate calculations'!AI4))+Data!$AK$6)</f>
        <v>1.80445910994162E-2</v>
      </c>
      <c r="AJ14" s="22">
        <f>((Data!$AJ$6*LN('Intermediate calculations'!AJ4))+Data!$AK$6)</f>
        <v>1.8048721355525123E-2</v>
      </c>
      <c r="AK14" s="22">
        <f>((Data!$AJ$6*LN('Intermediate calculations'!AK4))+Data!$AK$6)</f>
        <v>1.8052003271316792E-2</v>
      </c>
      <c r="AL14" s="22">
        <f>((Data!$AJ$6*LN('Intermediate calculations'!AL4))+Data!$AK$6)</f>
        <v>1.8054616407912429E-2</v>
      </c>
      <c r="AM14" s="22">
        <f>((Data!$AJ$6*LN('Intermediate calculations'!AM4))+Data!$AK$6)</f>
        <v>1.8056866336659261E-2</v>
      </c>
      <c r="AN14" s="22">
        <f>((Data!$AJ$6*LN('Intermediate calculations'!AN4))+Data!$AK$6)</f>
        <v>1.8058736434689197E-2</v>
      </c>
      <c r="AO14" s="22">
        <f>((Data!$AJ$6*LN('Intermediate calculations'!AO4))+Data!$AK$6)</f>
        <v>1.8060223890195785E-2</v>
      </c>
      <c r="AP14" s="22">
        <f>((Data!$AJ$6*LN('Intermediate calculations'!AP4))+Data!$AK$6)</f>
        <v>1.8061316815615059E-2</v>
      </c>
      <c r="AQ14" s="22">
        <f>((Data!$AJ$6*LN('Intermediate calculations'!AQ4))+Data!$AK$6)</f>
        <v>1.8062000634068306E-2</v>
      </c>
      <c r="AR14" s="22">
        <f>((Data!$AJ$6*LN('Intermediate calculations'!AR4))+Data!$AK$6)</f>
        <v>1.8062270927706237E-2</v>
      </c>
      <c r="AS14" s="22">
        <f>((Data!$AJ$6*LN('Intermediate calculations'!AS4))+Data!$AK$6)</f>
        <v>1.8062114797141149E-2</v>
      </c>
      <c r="AT14" s="22">
        <f>((Data!$AJ$6*LN('Intermediate calculations'!AT4))+Data!$AK$6)</f>
        <v>1.8061526943395613E-2</v>
      </c>
      <c r="AU14" s="22">
        <f>((Data!$AJ$6*LN('Intermediate calculations'!AU4))+Data!$AK$6)</f>
        <v>1.8060509930575251E-2</v>
      </c>
      <c r="AV14" s="22">
        <f>((Data!$AJ$6*LN('Intermediate calculations'!AV4))+Data!$AK$6)</f>
        <v>1.8059056302935014E-2</v>
      </c>
      <c r="AW14" s="22">
        <f>((Data!$AJ$6*LN('Intermediate calculations'!AW4))+Data!$AK$6)</f>
        <v>1.8057156500427791E-2</v>
      </c>
      <c r="AX14" s="22" t="e">
        <f>((Data!$AJ$6*LN('Intermediate calculations'!AX4))+Data!$AK$6)</f>
        <v>#NUM!</v>
      </c>
      <c r="AY14" s="22" t="e">
        <f>((Data!$AJ$6*LN('Intermediate calculations'!AY4))+Data!$AK$6)</f>
        <v>#NUM!</v>
      </c>
      <c r="AZ14" s="22" t="e">
        <f>((Data!$AJ$6*LN('Intermediate calculations'!AZ4))+Data!$AK$6)</f>
        <v>#NUM!</v>
      </c>
      <c r="BA14" s="22" t="e">
        <f>((Data!$AJ$6*LN('Intermediate calculations'!BA4))+Data!$AK$6)</f>
        <v>#NUM!</v>
      </c>
      <c r="BB14" s="22" t="e">
        <f>((Data!$AJ$6*LN('Intermediate calculations'!BB4))+Data!$AK$6)</f>
        <v>#NUM!</v>
      </c>
      <c r="BC14" s="22" t="e">
        <f>((Data!$AJ$6*LN('Intermediate calculations'!BC4))+Data!$AK$6)</f>
        <v>#NUM!</v>
      </c>
      <c r="BD14" s="22" t="e">
        <f>((Data!$AJ$6*LN('Intermediate calculations'!BD4))+Data!$AK$6)</f>
        <v>#NUM!</v>
      </c>
      <c r="BE14" s="22" t="e">
        <f>((Data!$AJ$6*LN('Intermediate calculations'!BE4))+Data!$AK$6)</f>
        <v>#NUM!</v>
      </c>
      <c r="BF14" s="22" t="e">
        <f>((Data!$AJ$6*LN('Intermediate calculations'!BF4))+Data!$AK$6)</f>
        <v>#NUM!</v>
      </c>
      <c r="BG14" s="22" t="e">
        <f>((Data!$AJ$6*LN('Intermediate calculations'!BG4))+Data!$AK$6)</f>
        <v>#NUM!</v>
      </c>
      <c r="BH14" s="22" t="e">
        <f>((Data!$AJ$6*LN('Intermediate calculations'!BH4))+Data!$AK$6)</f>
        <v>#NUM!</v>
      </c>
      <c r="BI14" s="22" t="e">
        <f>((Data!$AJ$6*LN('Intermediate calculations'!BI4))+Data!$AK$6)</f>
        <v>#NUM!</v>
      </c>
      <c r="BJ14" s="22" t="e">
        <f>((Data!$AJ$6*LN('Intermediate calculations'!BJ4))+Data!$AK$6)</f>
        <v>#NUM!</v>
      </c>
      <c r="BK14" s="22" t="e">
        <f>((Data!$AJ$6*LN('Intermediate calculations'!BK4))+Data!$AK$6)</f>
        <v>#NUM!</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2896085.5151347183</v>
      </c>
      <c r="AA15" s="22">
        <f>((Data!$AJ$17*'Intermediate calculations'!AA12)+Data!$AK$17)</f>
        <v>2942445.3105118945</v>
      </c>
      <c r="AB15" s="22">
        <f>((Data!$AJ$17*'Intermediate calculations'!AB12)+Data!$AK$17)</f>
        <v>2979877.5090505611</v>
      </c>
      <c r="AC15" s="22">
        <f>((Data!$AJ$17*'Intermediate calculations'!AC12)+Data!$AK$17)</f>
        <v>3011589.701515968</v>
      </c>
      <c r="AD15" s="22">
        <f>((Data!$AJ$17*'Intermediate calculations'!AD12)+Data!$AK$17)</f>
        <v>3037447.9061853243</v>
      </c>
      <c r="AE15" s="22">
        <f>((Data!$AJ$17*'Intermediate calculations'!AE12)+Data!$AK$17)</f>
        <v>3068558.1134720882</v>
      </c>
      <c r="AF15" s="22">
        <f>((Data!$AJ$17*'Intermediate calculations'!AF12)+Data!$AK$17)</f>
        <v>3100724.3936023349</v>
      </c>
      <c r="AG15" s="22">
        <f>((Data!$AJ$17*'Intermediate calculations'!AG12)+Data!$AK$17)</f>
        <v>3031159.231114842</v>
      </c>
      <c r="AH15" s="22">
        <f>((Data!$AJ$17*'Intermediate calculations'!AH12)+Data!$AK$17)</f>
        <v>3101590.3631989965</v>
      </c>
      <c r="AI15" s="22">
        <f>((Data!$AJ$17*'Intermediate calculations'!AI12)+Data!$AK$17)</f>
        <v>5367047.5638466096</v>
      </c>
      <c r="AJ15" s="22">
        <f>((Data!$AJ$17*'Intermediate calculations'!AJ12)+Data!$AK$17)</f>
        <v>5461749.0777710788</v>
      </c>
      <c r="AK15" s="22">
        <f>((Data!$AJ$17*'Intermediate calculations'!AK12)+Data!$AK$17)</f>
        <v>5553469.0148613136</v>
      </c>
      <c r="AL15" s="22">
        <f>((Data!$AJ$17*'Intermediate calculations'!AL12)+Data!$AK$17)</f>
        <v>5641118.6535381917</v>
      </c>
      <c r="AM15" s="22">
        <f>((Data!$AJ$17*'Intermediate calculations'!AM12)+Data!$AK$17)</f>
        <v>5723080.7930074111</v>
      </c>
      <c r="AN15" s="22">
        <f>((Data!$AJ$17*'Intermediate calculations'!AN12)+Data!$AK$17)</f>
        <v>5799044.6618962362</v>
      </c>
      <c r="AO15" s="22">
        <f>((Data!$AJ$17*'Intermediate calculations'!AO12)+Data!$AK$17)</f>
        <v>5868667.7531233858</v>
      </c>
      <c r="AP15" s="22">
        <f>((Data!$AJ$17*'Intermediate calculations'!AP12)+Data!$AK$17)</f>
        <v>5931672.693605707</v>
      </c>
      <c r="AQ15" s="22">
        <f>((Data!$AJ$17*'Intermediate calculations'!AQ12)+Data!$AK$17)</f>
        <v>5987824.423888552</v>
      </c>
      <c r="AR15" s="22">
        <f>((Data!$AJ$17*'Intermediate calculations'!AR12)+Data!$AK$17)</f>
        <v>6036877.8522484433</v>
      </c>
      <c r="AS15" s="22">
        <f>((Data!$AJ$17*'Intermediate calculations'!AS12)+Data!$AK$17)</f>
        <v>6078659.0667369114</v>
      </c>
      <c r="AT15" s="22">
        <f>((Data!$AJ$17*'Intermediate calculations'!AT12)+Data!$AK$17)</f>
        <v>6112998.5011793077</v>
      </c>
      <c r="AU15" s="22">
        <f>((Data!$AJ$17*'Intermediate calculations'!AU12)+Data!$AK$17)</f>
        <v>6139730.1150523555</v>
      </c>
      <c r="AV15" s="22">
        <f>((Data!$AJ$17*'Intermediate calculations'!AV12)+Data!$AK$17)</f>
        <v>6158770.8504458433</v>
      </c>
      <c r="AW15" s="22">
        <f>((Data!$AJ$17*'Intermediate calculations'!AW12)+Data!$AK$17)</f>
        <v>6170087.9714790499</v>
      </c>
      <c r="AX15" s="22">
        <f>((Data!$AJ$17*'Intermediate calculations'!AX12)+Data!$AK$17)</f>
        <v>1959519.5256894764</v>
      </c>
      <c r="AY15" s="22">
        <f>((Data!$AJ$17*'Intermediate calculations'!AY12)+Data!$AK$17)</f>
        <v>1968237.0490827162</v>
      </c>
      <c r="AZ15" s="22">
        <f>((Data!$AJ$17*'Intermediate calculations'!AZ12)+Data!$AK$17)</f>
        <v>1976738.1814030525</v>
      </c>
      <c r="BA15" s="22">
        <f>((Data!$AJ$17*'Intermediate calculations'!BA12)+Data!$AK$17)</f>
        <v>1985035.7561785907</v>
      </c>
      <c r="BB15" s="22">
        <f>((Data!$AJ$17*'Intermediate calculations'!BB12)+Data!$AK$17)</f>
        <v>1993144.5673632284</v>
      </c>
      <c r="BC15" s="22">
        <f>((Data!$AJ$17*'Intermediate calculations'!BC12)+Data!$AK$17)</f>
        <v>2001031.2877184916</v>
      </c>
      <c r="BD15" s="22">
        <f>((Data!$AJ$17*'Intermediate calculations'!BD12)+Data!$AK$17)</f>
        <v>2008673.9713667578</v>
      </c>
      <c r="BE15" s="22">
        <f>((Data!$AJ$17*'Intermediate calculations'!BE12)+Data!$AK$17)</f>
        <v>2016071.0027719568</v>
      </c>
      <c r="BF15" s="22">
        <f>((Data!$AJ$17*'Intermediate calculations'!BF12)+Data!$AK$17)</f>
        <v>2023196.2429235205</v>
      </c>
      <c r="BG15" s="22">
        <f>((Data!$AJ$17*'Intermediate calculations'!BG12)+Data!$AK$17)</f>
        <v>2030020.5940201019</v>
      </c>
      <c r="BH15" s="22">
        <f>((Data!$AJ$17*'Intermediate calculations'!BH12)+Data!$AK$17)</f>
        <v>2036541.5147690065</v>
      </c>
      <c r="BI15" s="22">
        <f>((Data!$AJ$17*'Intermediate calculations'!BI12)+Data!$AK$17)</f>
        <v>2042764.5234057987</v>
      </c>
      <c r="BJ15" s="22">
        <f>((Data!$AJ$17*'Intermediate calculations'!BJ12)+Data!$AK$17)</f>
        <v>2048693.7404550612</v>
      </c>
      <c r="BK15" s="22">
        <f>((Data!$AJ$17*'Intermediate calculations'!BK12)+Data!$AK$17)</f>
        <v>2054300.7941990732</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163484.42116083094</v>
      </c>
      <c r="Z18" s="22">
        <f t="shared" si="4"/>
        <v>165085.80191754238</v>
      </c>
      <c r="AA18" s="22">
        <f t="shared" si="4"/>
        <v>166751.80150266935</v>
      </c>
      <c r="AB18" s="22">
        <f t="shared" si="4"/>
        <v>168468.13366972576</v>
      </c>
      <c r="AC18" s="22">
        <f t="shared" si="4"/>
        <v>170240.70959794082</v>
      </c>
      <c r="AD18" s="22">
        <f t="shared" si="4"/>
        <v>172071.84906435863</v>
      </c>
      <c r="AE18" s="22">
        <f t="shared" si="4"/>
        <v>173932.88623482941</v>
      </c>
      <c r="AF18" s="22">
        <f t="shared" si="4"/>
        <v>175824.63311708838</v>
      </c>
      <c r="AG18" s="22">
        <f t="shared" si="4"/>
        <v>176620.85105108059</v>
      </c>
      <c r="AH18" s="22">
        <f t="shared" si="4"/>
        <v>177878.64231482797</v>
      </c>
      <c r="AI18" s="22">
        <f t="shared" si="4"/>
        <v>181395.24587462499</v>
      </c>
      <c r="AJ18" s="22">
        <f t="shared" si="4"/>
        <v>182540.65816068763</v>
      </c>
      <c r="AK18" s="22">
        <f t="shared" si="4"/>
        <v>183852.84501564733</v>
      </c>
      <c r="AL18" s="22">
        <f t="shared" si="4"/>
        <v>185254.7004173914</v>
      </c>
      <c r="AM18" s="22">
        <f t="shared" si="4"/>
        <v>186608.47625420813</v>
      </c>
      <c r="AN18" s="22">
        <f t="shared" si="4"/>
        <v>187919.46470973082</v>
      </c>
      <c r="AO18" s="22">
        <f t="shared" si="4"/>
        <v>189186.86603374957</v>
      </c>
      <c r="AP18" s="22">
        <f t="shared" si="4"/>
        <v>190414.2390208806</v>
      </c>
      <c r="AQ18" s="22">
        <f t="shared" si="4"/>
        <v>191606.66214019965</v>
      </c>
      <c r="AR18" s="22">
        <f t="shared" si="4"/>
        <v>192764.634714129</v>
      </c>
      <c r="AS18" s="22">
        <f t="shared" si="4"/>
        <v>193892.85546432604</v>
      </c>
      <c r="AT18" s="22">
        <f t="shared" si="4"/>
        <v>194992.56895460986</v>
      </c>
      <c r="AU18" s="22">
        <f t="shared" si="4"/>
        <v>196061.28492497114</v>
      </c>
      <c r="AV18" s="22">
        <f t="shared" si="4"/>
        <v>197101.45897338053</v>
      </c>
      <c r="AW18" s="22">
        <f t="shared" si="4"/>
        <v>198116.74354957693</v>
      </c>
      <c r="AX18" s="22">
        <f t="shared" si="4"/>
        <v>194427.59579952547</v>
      </c>
      <c r="AY18" s="22">
        <f t="shared" si="4"/>
        <v>195396.93091514939</v>
      </c>
      <c r="AZ18" s="22">
        <f t="shared" si="4"/>
        <v>196342.20467111748</v>
      </c>
      <c r="BA18" s="22">
        <f t="shared" si="4"/>
        <v>197264.84407701585</v>
      </c>
      <c r="BB18" s="22">
        <f t="shared" si="4"/>
        <v>198166.49412975088</v>
      </c>
      <c r="BC18" s="22">
        <f t="shared" si="4"/>
        <v>199043.44904488089</v>
      </c>
      <c r="BD18" s="22">
        <f t="shared" si="4"/>
        <v>199893.26857546155</v>
      </c>
      <c r="BE18" s="22">
        <f t="shared" si="4"/>
        <v>200715.77308379387</v>
      </c>
      <c r="BF18" s="22">
        <f t="shared" si="4"/>
        <v>201508.05607227664</v>
      </c>
      <c r="BG18" s="22">
        <f t="shared" si="4"/>
        <v>202266.8820439273</v>
      </c>
      <c r="BH18" s="22">
        <f t="shared" si="4"/>
        <v>202991.96842259026</v>
      </c>
      <c r="BI18" s="22">
        <f t="shared" si="4"/>
        <v>203683.9288022035</v>
      </c>
      <c r="BJ18" s="22">
        <f t="shared" si="4"/>
        <v>204343.22135981946</v>
      </c>
      <c r="BK18" s="22">
        <f t="shared" si="4"/>
        <v>204966.69133450015</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168493.35641070592</v>
      </c>
      <c r="Z19" s="22">
        <f>(((Data!$AJ$7*'Intermediate calculations'!Z4)+Data!$AK$7)*Drivers!AA4)</f>
        <v>171016.70205543254</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v>
      </c>
      <c r="AF19" s="22">
        <f>(((Data!$AJ$7*'Intermediate calculations'!AF4)+Data!$AK$7)*Drivers!AG4)</f>
        <v>187938.21358431838</v>
      </c>
      <c r="AG19" s="22">
        <f>(((Data!$AJ$7*'Intermediate calculations'!AG4)+Data!$AK$7)*Drivers!AH4)</f>
        <v>189192.83903649283</v>
      </c>
      <c r="AH19" s="22">
        <f>(((Data!$AJ$7*'Intermediate calculations'!AH4)+Data!$AK$7)*Drivers!AI4)</f>
        <v>191174.77999216525</v>
      </c>
      <c r="AI19" s="22">
        <f>(((Data!$AJ$7*'Intermediate calculations'!AI4)+Data!$AK$7)*Drivers!AJ4)</f>
        <v>196716.00199052782</v>
      </c>
      <c r="AJ19" s="22">
        <f>(((Data!$AJ$7*'Intermediate calculations'!AJ4)+Data!$AK$7)*Drivers!AK4)</f>
        <v>198520.86388320342</v>
      </c>
      <c r="AK19" s="22">
        <f>(((Data!$AJ$7*'Intermediate calculations'!AK4)+Data!$AK$7)*Drivers!AL4)</f>
        <v>200588.51766988292</v>
      </c>
      <c r="AL19" s="22">
        <f>(((Data!$AJ$7*'Intermediate calculations'!AL4)+Data!$AK$7)*Drivers!AM4)</f>
        <v>202797.46498469368</v>
      </c>
      <c r="AM19" s="22">
        <f>(((Data!$AJ$7*'Intermediate calculations'!AM4)+Data!$AK$7)*Drivers!AN4)</f>
        <v>204930.65182826653</v>
      </c>
      <c r="AN19" s="22">
        <f>(((Data!$AJ$7*'Intermediate calculations'!AN4)+Data!$AK$7)*Drivers!AO4)</f>
        <v>206996.41725954565</v>
      </c>
      <c r="AO19" s="22">
        <f>(((Data!$AJ$7*'Intermediate calculations'!AO4)+Data!$AK$7)*Drivers!AP4)</f>
        <v>208993.5010871613</v>
      </c>
      <c r="AP19" s="22">
        <f>(((Data!$AJ$7*'Intermediate calculations'!AP4)+Data!$AK$7)*Drivers!AQ4)</f>
        <v>210927.51101487665</v>
      </c>
      <c r="AQ19" s="22">
        <f>(((Data!$AJ$7*'Intermediate calculations'!AQ4)+Data!$AK$7)*Drivers!AR4)</f>
        <v>212806.44934493629</v>
      </c>
      <c r="AR19" s="22">
        <f>(((Data!$AJ$7*'Intermediate calculations'!AR4)+Data!$AK$7)*Drivers!AS4)</f>
        <v>214631.10287526721</v>
      </c>
      <c r="AS19" s="22">
        <f>(((Data!$AJ$7*'Intermediate calculations'!AS4)+Data!$AK$7)*Drivers!AT4)</f>
        <v>216408.87552825338</v>
      </c>
      <c r="AT19" s="22">
        <f>(((Data!$AJ$7*'Intermediate calculations'!AT4)+Data!$AK$7)*Drivers!AU4)</f>
        <v>218141.72840195303</v>
      </c>
      <c r="AU19" s="22">
        <f>(((Data!$AJ$7*'Intermediate calculations'!AU4)+Data!$AK$7)*Drivers!AV4)</f>
        <v>219825.73751593719</v>
      </c>
      <c r="AV19" s="22">
        <f>(((Data!$AJ$7*'Intermediate calculations'!AV4)+Data!$AK$7)*Drivers!AW4)</f>
        <v>221464.77223257857</v>
      </c>
      <c r="AW19" s="22">
        <f>(((Data!$AJ$7*'Intermediate calculations'!AW4)+Data!$AK$7)*Drivers!AX4)</f>
        <v>223064.58783094029</v>
      </c>
      <c r="AX19" s="22">
        <f>(((Data!$AJ$7*'Intermediate calculations'!AX4)+Data!$AK$7)*Drivers!AY4)</f>
        <v>217251.48256610494</v>
      </c>
      <c r="AY19" s="22">
        <f>(((Data!$AJ$7*'Intermediate calculations'!AY4)+Data!$AK$7)*Drivers!AZ4)</f>
        <v>218778.89416515097</v>
      </c>
      <c r="AZ19" s="22">
        <f>(((Data!$AJ$7*'Intermediate calculations'!AZ4)+Data!$AK$7)*Drivers!BA4)</f>
        <v>220268.39152872283</v>
      </c>
      <c r="BA19" s="22">
        <f>(((Data!$AJ$7*'Intermediate calculations'!BA4)+Data!$AK$7)*Drivers!BB4)</f>
        <v>221722.22324036891</v>
      </c>
      <c r="BB19" s="22">
        <f>(((Data!$AJ$7*'Intermediate calculations'!BB4)+Data!$AK$7)*Drivers!BC4)</f>
        <v>223142.98137306227</v>
      </c>
      <c r="BC19" s="22">
        <f>(((Data!$AJ$7*'Intermediate calculations'!BC4)+Data!$AK$7)*Drivers!BD4)</f>
        <v>224524.82660658387</v>
      </c>
      <c r="BD19" s="22">
        <f>(((Data!$AJ$7*'Intermediate calculations'!BD4)+Data!$AK$7)*Drivers!BE4)</f>
        <v>225863.91376765227</v>
      </c>
      <c r="BE19" s="22">
        <f>(((Data!$AJ$7*'Intermediate calculations'!BE4)+Data!$AK$7)*Drivers!BF4)</f>
        <v>227159.95979553793</v>
      </c>
      <c r="BF19" s="22">
        <f>(((Data!$AJ$7*'Intermediate calculations'!BF4)+Data!$AK$7)*Drivers!BG4)</f>
        <v>228408.38483124552</v>
      </c>
      <c r="BG19" s="22">
        <f>(((Data!$AJ$7*'Intermediate calculations'!BG4)+Data!$AK$7)*Drivers!BH4)</f>
        <v>229604.09060118516</v>
      </c>
      <c r="BH19" s="22">
        <f>(((Data!$AJ$7*'Intermediate calculations'!BH4)+Data!$AK$7)*Drivers!BI4)</f>
        <v>230746.63184128789</v>
      </c>
      <c r="BI19" s="22">
        <f>(((Data!$AJ$7*'Intermediate calculations'!BI4)+Data!$AK$7)*Drivers!BJ4)</f>
        <v>231836.97541067493</v>
      </c>
      <c r="BJ19" s="22">
        <f>(((Data!$AJ$7*'Intermediate calculations'!BJ4)+Data!$AK$7)*Drivers!BK4)</f>
        <v>232875.84327322955</v>
      </c>
      <c r="BK19" s="22">
        <f>(((Data!$AJ$7*'Intermediate calculations'!BK4)+Data!$AK$7)*Drivers!BL4)</f>
        <v>233858.26437366731</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3.2201043953224923E-3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3.217459846791974E-3</v>
      </c>
      <c r="AH20" s="22">
        <f>AH19/Drivers!AI4</f>
        <v>3.2188503364986771E-3</v>
      </c>
      <c r="AI20" s="22">
        <f>AI19/Drivers!AJ4</f>
        <v>3.2844087838103642E-3</v>
      </c>
      <c r="AJ20" s="22">
        <f>AJ19/Drivers!AK4</f>
        <v>3.2859806886278435E-3</v>
      </c>
      <c r="AK20" s="22">
        <f>AK19/Drivers!AL4</f>
        <v>3.2872466599208634E-3</v>
      </c>
      <c r="AL20" s="22">
        <f>AL19/Drivers!AM4</f>
        <v>3.2882655073563404E-3</v>
      </c>
      <c r="AM20" s="22">
        <f>AM19/Drivers!AN4</f>
        <v>3.2891505264649066E-3</v>
      </c>
      <c r="AN20" s="22">
        <f>AN19/Drivers!AO4</f>
        <v>3.2898916640513266E-3</v>
      </c>
      <c r="AO20" s="22">
        <f>AO19/Drivers!AP4</f>
        <v>3.2904847634192473E-3</v>
      </c>
      <c r="AP20" s="22">
        <f>AP19/Drivers!AQ4</f>
        <v>3.290922597780336E-3</v>
      </c>
      <c r="AQ20" s="22">
        <f>AQ19/Drivers!AR4</f>
        <v>3.2911974263760925E-3</v>
      </c>
      <c r="AR20" s="22">
        <f>AR19/Drivers!AS4</f>
        <v>3.2913062466176182E-3</v>
      </c>
      <c r="AS20" s="22">
        <f>AS19/Drivers!AT4</f>
        <v>3.2912433754011209E-3</v>
      </c>
      <c r="AT20" s="22">
        <f>AT19/Drivers!AU4</f>
        <v>3.2910069760671437E-3</v>
      </c>
      <c r="AU20" s="22">
        <f>AU19/Drivers!AV4</f>
        <v>3.2905991854660383E-3</v>
      </c>
      <c r="AV20" s="22">
        <f>AV19/Drivers!AW4</f>
        <v>3.2900189360320301E-3</v>
      </c>
      <c r="AW20" s="22">
        <f>AW19/Drivers!AX4</f>
        <v>3.2892651912779891E-3</v>
      </c>
      <c r="AX20" s="22">
        <f>AX19/Drivers!AY4</f>
        <v>3.1804576356140798E-3</v>
      </c>
      <c r="AY20" s="22">
        <f>AY19/Drivers!AZ4</f>
        <v>3.1804576356140798E-3</v>
      </c>
      <c r="AZ20" s="22">
        <f>AZ19/Drivers!BA4</f>
        <v>3.1804576356140798E-3</v>
      </c>
      <c r="BA20" s="22">
        <f>BA19/Drivers!BB4</f>
        <v>3.1804576356140798E-3</v>
      </c>
      <c r="BB20" s="22">
        <f>BB19/Drivers!BC4</f>
        <v>3.1804576356140798E-3</v>
      </c>
      <c r="BC20" s="22">
        <f>BC19/Drivers!BD4</f>
        <v>3.1804576356140798E-3</v>
      </c>
      <c r="BD20" s="22">
        <f>BD19/Drivers!BE4</f>
        <v>3.1804576356140798E-3</v>
      </c>
      <c r="BE20" s="22">
        <f>BE19/Drivers!BF4</f>
        <v>3.1804576356140798E-3</v>
      </c>
      <c r="BF20" s="22">
        <f>BF19/Drivers!BG4</f>
        <v>3.1804576356140798E-3</v>
      </c>
      <c r="BG20" s="22">
        <f>BG19/Drivers!BH4</f>
        <v>3.1804576356140798E-3</v>
      </c>
      <c r="BH20" s="22">
        <f>BH19/Drivers!BI4</f>
        <v>3.1804576356140798E-3</v>
      </c>
      <c r="BI20" s="22">
        <f>BI19/Drivers!BJ4</f>
        <v>3.1804576356140798E-3</v>
      </c>
      <c r="BJ20" s="22">
        <f>BJ19/Drivers!BK4</f>
        <v>3.1804576356140798E-3</v>
      </c>
      <c r="BK20" s="22">
        <f>BK19/Drivers!BL4</f>
        <v>3.1804576356140798E-3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3.2201043953224922</v>
      </c>
      <c r="Z21" s="22">
        <f t="shared" ref="Z21:BK21" si="7">Z20*1000</f>
        <v>3.2203874945307112</v>
      </c>
      <c r="AA21" s="22">
        <f t="shared" si="7"/>
        <v>3.220817105281391</v>
      </c>
      <c r="AB21" s="22">
        <f t="shared" si="7"/>
        <v>3.2209089467766567</v>
      </c>
      <c r="AC21" s="22">
        <f t="shared" si="7"/>
        <v>3.2207774672599072</v>
      </c>
      <c r="AD21" s="22">
        <f t="shared" si="7"/>
        <v>3.2204274784876441</v>
      </c>
      <c r="AE21" s="22">
        <f t="shared" si="7"/>
        <v>3.2202334247522497</v>
      </c>
      <c r="AF21" s="22">
        <f t="shared" si="7"/>
        <v>3.2200590275988001</v>
      </c>
      <c r="AG21" s="22">
        <f t="shared" si="7"/>
        <v>3.2174598467919742</v>
      </c>
      <c r="AH21" s="22">
        <f t="shared" si="7"/>
        <v>3.2188503364986771</v>
      </c>
      <c r="AI21" s="22">
        <f t="shared" si="7"/>
        <v>3.2844087838103642</v>
      </c>
      <c r="AJ21" s="22">
        <f t="shared" si="7"/>
        <v>3.2859806886278435</v>
      </c>
      <c r="AK21" s="22">
        <f t="shared" si="7"/>
        <v>3.2872466599208634</v>
      </c>
      <c r="AL21" s="22">
        <f t="shared" si="7"/>
        <v>3.2882655073563405</v>
      </c>
      <c r="AM21" s="22">
        <f t="shared" si="7"/>
        <v>3.2891505264649066</v>
      </c>
      <c r="AN21" s="22">
        <f t="shared" si="7"/>
        <v>3.2898916640513267</v>
      </c>
      <c r="AO21" s="22">
        <f t="shared" si="7"/>
        <v>3.2904847634192471</v>
      </c>
      <c r="AP21" s="22">
        <f t="shared" si="7"/>
        <v>3.290922597780336</v>
      </c>
      <c r="AQ21" s="22">
        <f t="shared" si="7"/>
        <v>3.2911974263760926</v>
      </c>
      <c r="AR21" s="22">
        <f t="shared" si="7"/>
        <v>3.2913062466176184</v>
      </c>
      <c r="AS21" s="22">
        <f t="shared" si="7"/>
        <v>3.291243375401121</v>
      </c>
      <c r="AT21" s="22">
        <f t="shared" si="7"/>
        <v>3.2910069760671439</v>
      </c>
      <c r="AU21" s="22">
        <f t="shared" si="7"/>
        <v>3.2905991854660384</v>
      </c>
      <c r="AV21" s="22">
        <f t="shared" si="7"/>
        <v>3.29001893603203</v>
      </c>
      <c r="AW21" s="22">
        <f t="shared" si="7"/>
        <v>3.2892651912779889</v>
      </c>
      <c r="AX21" s="22">
        <f t="shared" si="7"/>
        <v>3.1804576356140797</v>
      </c>
      <c r="AY21" s="22">
        <f t="shared" si="7"/>
        <v>3.1804576356140797</v>
      </c>
      <c r="AZ21" s="22">
        <f t="shared" si="7"/>
        <v>3.1804576356140797</v>
      </c>
      <c r="BA21" s="22">
        <f t="shared" si="7"/>
        <v>3.1804576356140797</v>
      </c>
      <c r="BB21" s="22">
        <f t="shared" si="7"/>
        <v>3.1804576356140797</v>
      </c>
      <c r="BC21" s="22">
        <f t="shared" si="7"/>
        <v>3.1804576356140797</v>
      </c>
      <c r="BD21" s="22">
        <f t="shared" si="7"/>
        <v>3.1804576356140797</v>
      </c>
      <c r="BE21" s="22">
        <f t="shared" si="7"/>
        <v>3.1804576356140797</v>
      </c>
      <c r="BF21" s="22">
        <f t="shared" si="7"/>
        <v>3.1804576356140797</v>
      </c>
      <c r="BG21" s="22">
        <f t="shared" si="7"/>
        <v>3.1804576356140797</v>
      </c>
      <c r="BH21" s="22">
        <f t="shared" si="7"/>
        <v>3.1804576356140797</v>
      </c>
      <c r="BI21" s="22">
        <f t="shared" si="7"/>
        <v>3.1804576356140797</v>
      </c>
      <c r="BJ21" s="22">
        <f t="shared" si="7"/>
        <v>3.1804576356140797</v>
      </c>
      <c r="BK21" s="22">
        <f t="shared" si="7"/>
        <v>3.1804576356140797</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10754.895090045064</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11434.433042269102</v>
      </c>
      <c r="AD22" s="22">
        <f>((Data!$AJ$8*'Intermediate calculations'!AD4)+Data!$AK$8)*Drivers!AE4</f>
        <v>11618.606464530285</v>
      </c>
      <c r="AE22" s="22">
        <f>((Data!$AJ$8*'Intermediate calculations'!AE4)+Data!$AK$8)*Drivers!AF4</f>
        <v>11805.786955654421</v>
      </c>
      <c r="AF22" s="22">
        <f>((Data!$AJ$8*'Intermediate calculations'!AF4)+Data!$AK$8)*Drivers!AG4</f>
        <v>11996.056186233092</v>
      </c>
      <c r="AG22" s="22">
        <f>((Data!$AJ$8*'Intermediate calculations'!AG4)+Data!$AK$8)*Drivers!AH4</f>
        <v>12076.1386619038</v>
      </c>
      <c r="AH22" s="22">
        <f>((Data!$AJ$8*'Intermediate calculations'!AH4)+Data!$AK$8)*Drivers!AI4</f>
        <v>12202.645531414804</v>
      </c>
      <c r="AI22" s="22">
        <f>((Data!$AJ$8*'Intermediate calculations'!AI4)+Data!$AK$8)*Drivers!AJ4</f>
        <v>12556.340552586889</v>
      </c>
      <c r="AJ22" s="22">
        <f>((Data!$AJ$8*'Intermediate calculations'!AJ4)+Data!$AK$8)*Drivers!AK4</f>
        <v>12671.544503183204</v>
      </c>
      <c r="AK22" s="22">
        <f>((Data!$AJ$8*'Intermediate calculations'!AK4)+Data!$AK$8)*Drivers!AL4</f>
        <v>12803.52240446062</v>
      </c>
      <c r="AL22" s="22">
        <f>((Data!$AJ$8*'Intermediate calculations'!AL4)+Data!$AK$8)*Drivers!AM4</f>
        <v>12944.519041576199</v>
      </c>
      <c r="AM22" s="22">
        <f>((Data!$AJ$8*'Intermediate calculations'!AM4)+Data!$AK$8)*Drivers!AN4</f>
        <v>13080.679903931914</v>
      </c>
      <c r="AN22" s="22">
        <f>((Data!$AJ$8*'Intermediate calculations'!AN4)+Data!$AK$8)*Drivers!AO4</f>
        <v>13212.537271885898</v>
      </c>
      <c r="AO22" s="22">
        <f>((Data!$AJ$8*'Intermediate calculations'!AO4)+Data!$AK$8)*Drivers!AP4</f>
        <v>13340.010707691155</v>
      </c>
      <c r="AP22" s="22">
        <f>((Data!$AJ$8*'Intermediate calculations'!AP4)+Data!$AK$8)*Drivers!AQ4</f>
        <v>13463.458149885753</v>
      </c>
      <c r="AQ22" s="22">
        <f>((Data!$AJ$8*'Intermediate calculations'!AQ4)+Data!$AK$8)*Drivers!AR4</f>
        <v>13583.390383719347</v>
      </c>
      <c r="AR22" s="22">
        <f>((Data!$AJ$8*'Intermediate calculations'!AR4)+Data!$AK$8)*Drivers!AS4</f>
        <v>13699.857630336213</v>
      </c>
      <c r="AS22" s="22">
        <f>((Data!$AJ$8*'Intermediate calculations'!AS4)+Data!$AK$8)*Drivers!AT4</f>
        <v>13813.332480526818</v>
      </c>
      <c r="AT22" s="22">
        <f>((Data!$AJ$8*'Intermediate calculations'!AT4)+Data!$AK$8)*Drivers!AU4</f>
        <v>13923.940110762967</v>
      </c>
      <c r="AU22" s="22">
        <f>((Data!$AJ$8*'Intermediate calculations'!AU4)+Data!$AK$8)*Drivers!AV4</f>
        <v>14031.430054208766</v>
      </c>
      <c r="AV22" s="22">
        <f>((Data!$AJ$8*'Intermediate calculations'!AV4)+Data!$AK$8)*Drivers!AW4</f>
        <v>14136.049291441192</v>
      </c>
      <c r="AW22" s="22">
        <f>((Data!$AJ$8*'Intermediate calculations'!AW4)+Data!$AK$8)*Drivers!AX4</f>
        <v>14238.165180698325</v>
      </c>
      <c r="AX22" s="22">
        <f>((Data!$AJ$8*'Intermediate calculations'!AX4)+Data!$AK$8)*Drivers!AY4</f>
        <v>13867.115908474783</v>
      </c>
      <c r="AY22" s="22">
        <f>((Data!$AJ$8*'Intermediate calculations'!AY4)+Data!$AK$8)*Drivers!AZ4</f>
        <v>13964.610265860701</v>
      </c>
      <c r="AZ22" s="22">
        <f>((Data!$AJ$8*'Intermediate calculations'!AZ4)+Data!$AK$8)*Drivers!BA4</f>
        <v>14059.684565663161</v>
      </c>
      <c r="BA22" s="22">
        <f>((Data!$AJ$8*'Intermediate calculations'!BA4)+Data!$AK$8)*Drivers!BB4</f>
        <v>14152.482334491635</v>
      </c>
      <c r="BB22" s="22">
        <f>((Data!$AJ$8*'Intermediate calculations'!BB4)+Data!$AK$8)*Drivers!BC4</f>
        <v>14243.169023812487</v>
      </c>
      <c r="BC22" s="22">
        <f>((Data!$AJ$8*'Intermediate calculations'!BC4)+Data!$AK$8)*Drivers!BD4</f>
        <v>14331.371911058546</v>
      </c>
      <c r="BD22" s="22">
        <f>((Data!$AJ$8*'Intermediate calculations'!BD4)+Data!$AK$8)*Drivers!BE4</f>
        <v>14416.845559637381</v>
      </c>
      <c r="BE22" s="22">
        <f>((Data!$AJ$8*'Intermediate calculations'!BE4)+Data!$AK$8)*Drivers!BF4</f>
        <v>14499.571901842848</v>
      </c>
      <c r="BF22" s="22">
        <f>((Data!$AJ$8*'Intermediate calculations'!BF4)+Data!$AK$8)*Drivers!BG4</f>
        <v>14579.258606249716</v>
      </c>
      <c r="BG22" s="22">
        <f>((Data!$AJ$8*'Intermediate calculations'!BG4)+Data!$AK$8)*Drivers!BH4</f>
        <v>14655.580251139481</v>
      </c>
      <c r="BH22" s="22">
        <f>((Data!$AJ$8*'Intermediate calculations'!BH4)+Data!$AK$8)*Drivers!BI4</f>
        <v>14728.508415401357</v>
      </c>
      <c r="BI22" s="22">
        <f>((Data!$AJ$8*'Intermediate calculations'!BI4)+Data!$AK$8)*Drivers!BJ4</f>
        <v>14798.104813447339</v>
      </c>
      <c r="BJ22" s="22">
        <f>((Data!$AJ$8*'Intermediate calculations'!BJ4)+Data!$AK$8)*Drivers!BK4</f>
        <v>14864.415528078483</v>
      </c>
      <c r="BK22" s="22">
        <f>((Data!$AJ$8*'Intermediate calculations'!BK4)+Data!$AK$8)*Drivers!BL4</f>
        <v>14927.123257893658</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2.0536977745480689E-4</v>
      </c>
      <c r="AH23" s="22">
        <f>AH22/Drivers!AI4</f>
        <v>2.0545853211693685E-4</v>
      </c>
      <c r="AI23" s="22">
        <f>AI22/Drivers!AJ4</f>
        <v>2.0964311386023613E-4</v>
      </c>
      <c r="AJ23" s="22">
        <f>AJ22/Drivers!AK4</f>
        <v>2.09743448210288E-4</v>
      </c>
      <c r="AK23" s="22">
        <f>AK22/Drivers!AL4</f>
        <v>2.0982425488856588E-4</v>
      </c>
      <c r="AL23" s="22">
        <f>AL22/Drivers!AM4</f>
        <v>2.0988928770359629E-4</v>
      </c>
      <c r="AM23" s="22">
        <f>AM22/Drivers!AN4</f>
        <v>2.0994577828499416E-4</v>
      </c>
      <c r="AN23" s="22">
        <f>AN22/Drivers!AO4</f>
        <v>2.0999308493944649E-4</v>
      </c>
      <c r="AO23" s="22">
        <f>AO22/Drivers!AP4</f>
        <v>2.1003094234590952E-4</v>
      </c>
      <c r="AP23" s="22">
        <f>AP22/Drivers!AQ4</f>
        <v>2.1005888922002159E-4</v>
      </c>
      <c r="AQ23" s="22">
        <f>AQ22/Drivers!AR4</f>
        <v>2.1007643147081455E-4</v>
      </c>
      <c r="AR23" s="22">
        <f>AR22/Drivers!AS4</f>
        <v>2.1008337744367786E-4</v>
      </c>
      <c r="AS23" s="22">
        <f>AS22/Drivers!AT4</f>
        <v>2.1007936438730571E-4</v>
      </c>
      <c r="AT23" s="22">
        <f>AT22/Drivers!AU4</f>
        <v>2.1006427506811568E-4</v>
      </c>
      <c r="AU23" s="22">
        <f>AU22/Drivers!AV4</f>
        <v>2.1003824588081108E-4</v>
      </c>
      <c r="AV23" s="22">
        <f>AV22/Drivers!AW4</f>
        <v>2.1000120868289564E-4</v>
      </c>
      <c r="AW23" s="22">
        <f>AW22/Drivers!AX4</f>
        <v>2.0995309731561645E-4</v>
      </c>
      <c r="AX23" s="22">
        <f>AX22/Drivers!AY4</f>
        <v>2.0300793418813278E-4</v>
      </c>
      <c r="AY23" s="22">
        <f>AY22/Drivers!AZ4</f>
        <v>2.0300793418813278E-4</v>
      </c>
      <c r="AZ23" s="22">
        <f>AZ22/Drivers!BA4</f>
        <v>2.0300793418813278E-4</v>
      </c>
      <c r="BA23" s="22">
        <f>BA22/Drivers!BB4</f>
        <v>2.0300793418813278E-4</v>
      </c>
      <c r="BB23" s="22">
        <f>BB22/Drivers!BC4</f>
        <v>2.0300793418813278E-4</v>
      </c>
      <c r="BC23" s="22">
        <f>BC22/Drivers!BD4</f>
        <v>2.0300793418813278E-4</v>
      </c>
      <c r="BD23" s="22">
        <f>BD22/Drivers!BE4</f>
        <v>2.0300793418813278E-4</v>
      </c>
      <c r="BE23" s="22">
        <f>BE22/Drivers!BF4</f>
        <v>2.0300793418813278E-4</v>
      </c>
      <c r="BF23" s="22">
        <f>BF22/Drivers!BG4</f>
        <v>2.0300793418813278E-4</v>
      </c>
      <c r="BG23" s="22">
        <f>BG22/Drivers!BH4</f>
        <v>2.0300793418813278E-4</v>
      </c>
      <c r="BH23" s="22">
        <f>BH22/Drivers!BI4</f>
        <v>2.0300793418813278E-4</v>
      </c>
      <c r="BI23" s="22">
        <f>BI22/Drivers!BJ4</f>
        <v>2.0300793418813278E-4</v>
      </c>
      <c r="BJ23" s="22">
        <f>BJ22/Drivers!BK4</f>
        <v>2.0300793418813278E-4</v>
      </c>
      <c r="BK23" s="22">
        <f>BK22/Drivers!BL4</f>
        <v>2.0300793418813278E-4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0.20553857842484002</v>
      </c>
      <c r="Z24" s="22">
        <f t="shared" ref="Z24" si="10">Z23*1000</f>
        <v>0.20555664858706674</v>
      </c>
      <c r="AA24" s="22">
        <f t="shared" ref="AA24" si="11">AA23*1000</f>
        <v>0.2055840705498761</v>
      </c>
      <c r="AB24" s="22">
        <f t="shared" ref="AB24" si="12">AB23*1000</f>
        <v>0.20558993277297813</v>
      </c>
      <c r="AC24" s="22">
        <f t="shared" ref="AC24" si="13">AC23*1000</f>
        <v>0.20558154046339838</v>
      </c>
      <c r="AD24" s="22">
        <f t="shared" ref="AD24" si="14">AD23*1000</f>
        <v>0.20555920075453052</v>
      </c>
      <c r="AE24" s="22">
        <f t="shared" ref="AE24" si="15">AE23*1000</f>
        <v>0.20554681434588837</v>
      </c>
      <c r="AF24" s="22">
        <f t="shared" ref="AF24" si="16">AF23*1000</f>
        <v>0.20553568261268942</v>
      </c>
      <c r="AG24" s="22">
        <f t="shared" ref="AG24" si="17">AG23*1000</f>
        <v>0.20536977745480689</v>
      </c>
      <c r="AH24" s="22">
        <f t="shared" ref="AH24" si="18">AH23*1000</f>
        <v>0.20545853211693685</v>
      </c>
      <c r="AI24" s="22">
        <f t="shared" ref="AI24" si="19">AI23*1000</f>
        <v>0.20964311386023612</v>
      </c>
      <c r="AJ24" s="22">
        <f t="shared" ref="AJ24" si="20">AJ23*1000</f>
        <v>0.20974344821028801</v>
      </c>
      <c r="AK24" s="22">
        <f t="shared" ref="AK24" si="21">AK23*1000</f>
        <v>0.20982425488856588</v>
      </c>
      <c r="AL24" s="22">
        <f t="shared" ref="AL24" si="22">AL23*1000</f>
        <v>0.2098892877035963</v>
      </c>
      <c r="AM24" s="22">
        <f t="shared" ref="AM24" si="23">AM23*1000</f>
        <v>0.20994577828499417</v>
      </c>
      <c r="AN24" s="22">
        <f t="shared" ref="AN24" si="24">AN23*1000</f>
        <v>0.20999308493944649</v>
      </c>
      <c r="AO24" s="22">
        <f t="shared" ref="AO24" si="25">AO23*1000</f>
        <v>0.21003094234590952</v>
      </c>
      <c r="AP24" s="22">
        <f t="shared" ref="AP24" si="26">AP23*1000</f>
        <v>0.21005888922002158</v>
      </c>
      <c r="AQ24" s="22">
        <f t="shared" ref="AQ24" si="27">AQ23*1000</f>
        <v>0.21007643147081453</v>
      </c>
      <c r="AR24" s="22">
        <f t="shared" ref="AR24" si="28">AR23*1000</f>
        <v>0.21008337744367786</v>
      </c>
      <c r="AS24" s="22">
        <f t="shared" ref="AS24" si="29">AS23*1000</f>
        <v>0.21007936438730571</v>
      </c>
      <c r="AT24" s="22">
        <f t="shared" ref="AT24" si="30">AT23*1000</f>
        <v>0.21006427506811567</v>
      </c>
      <c r="AU24" s="22">
        <f t="shared" ref="AU24" si="31">AU23*1000</f>
        <v>0.21003824588081108</v>
      </c>
      <c r="AV24" s="22">
        <f t="shared" ref="AV24" si="32">AV23*1000</f>
        <v>0.21000120868289565</v>
      </c>
      <c r="AW24" s="22">
        <f t="shared" ref="AW24" si="33">AW23*1000</f>
        <v>0.20995309731561645</v>
      </c>
      <c r="AX24" s="22">
        <f t="shared" ref="AX24" si="34">AX23*1000</f>
        <v>0.20300793418813279</v>
      </c>
      <c r="AY24" s="22">
        <f t="shared" ref="AY24" si="35">AY23*1000</f>
        <v>0.20300793418813279</v>
      </c>
      <c r="AZ24" s="22">
        <f t="shared" ref="AZ24" si="36">AZ23*1000</f>
        <v>0.20300793418813279</v>
      </c>
      <c r="BA24" s="22">
        <f t="shared" ref="BA24" si="37">BA23*1000</f>
        <v>0.20300793418813279</v>
      </c>
      <c r="BB24" s="22">
        <f t="shared" ref="BB24" si="38">BB23*1000</f>
        <v>0.20300793418813279</v>
      </c>
      <c r="BC24" s="22">
        <f t="shared" ref="BC24" si="39">BC23*1000</f>
        <v>0.20300793418813279</v>
      </c>
      <c r="BD24" s="22">
        <f t="shared" ref="BD24" si="40">BD23*1000</f>
        <v>0.20300793418813279</v>
      </c>
      <c r="BE24" s="22">
        <f t="shared" ref="BE24" si="41">BE23*1000</f>
        <v>0.20300793418813279</v>
      </c>
      <c r="BF24" s="22">
        <f t="shared" ref="BF24" si="42">BF23*1000</f>
        <v>0.20300793418813279</v>
      </c>
      <c r="BG24" s="22">
        <f t="shared" ref="BG24" si="43">BG23*1000</f>
        <v>0.20300793418813279</v>
      </c>
      <c r="BH24" s="22">
        <f t="shared" ref="BH24" si="44">BH23*1000</f>
        <v>0.20300793418813279</v>
      </c>
      <c r="BI24" s="22">
        <f t="shared" ref="BI24" si="45">BI23*1000</f>
        <v>0.20300793418813279</v>
      </c>
      <c r="BJ24" s="22">
        <f t="shared" ref="BJ24" si="46">BJ23*1000</f>
        <v>0.20300793418813279</v>
      </c>
      <c r="BK24" s="22">
        <f t="shared" ref="BK24" si="47">BK23*1000</f>
        <v>0.20300793418813279</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3.4256429737473324</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3.4228296242467806</v>
      </c>
      <c r="AH26" s="45">
        <f>(AH19+AH22)*ttokg/Drivers!AI4</f>
        <v>3.424308868615614</v>
      </c>
      <c r="AI26" s="45">
        <f>(AI19+AI22)*ttokg/Drivers!AJ4</f>
        <v>3.4940518976706003</v>
      </c>
      <c r="AJ26" s="45">
        <f>(AJ19+AJ22)*ttokg/Drivers!AK4</f>
        <v>3.4957241368381315</v>
      </c>
      <c r="AK26" s="45">
        <f>(AK19+AK22)*ttokg/Drivers!AL4</f>
        <v>3.497070914809429</v>
      </c>
      <c r="AL26" s="45">
        <f>(AL19+AL22)*ttokg/Drivers!AM4</f>
        <v>3.498154795059937</v>
      </c>
      <c r="AM26" s="45">
        <f>(AM19+AM22)*ttokg/Drivers!AN4</f>
        <v>3.4990963047499006</v>
      </c>
      <c r="AN26" s="45">
        <f>(AN19+AN22)*ttokg/Drivers!AO4</f>
        <v>3.4998847489907732</v>
      </c>
      <c r="AO26" s="45">
        <f>(AO19+AO22)*ttokg/Drivers!AP4</f>
        <v>3.500515705765157</v>
      </c>
      <c r="AP26" s="45">
        <f>(AP19+AP22)*ttokg/Drivers!AQ4</f>
        <v>3.5009814870003577</v>
      </c>
      <c r="AQ26" s="45">
        <f>(AQ19+AQ22)*ttokg/Drivers!AR4</f>
        <v>3.5012738578469071</v>
      </c>
      <c r="AR26" s="45">
        <f>(AR19+AR22)*ttokg/Drivers!AS4</f>
        <v>3.5013896240612961</v>
      </c>
      <c r="AS26" s="45">
        <f>(AS19+AS22)*ttokg/Drivers!AT4</f>
        <v>3.501322739788427</v>
      </c>
      <c r="AT26" s="45">
        <f>(AT19+AT22)*ttokg/Drivers!AU4</f>
        <v>3.5010712511352597</v>
      </c>
      <c r="AU26" s="45">
        <f>(AU19+AU22)*ttokg/Drivers!AV4</f>
        <v>3.5006374313468491</v>
      </c>
      <c r="AV26" s="45">
        <f>(AV19+AV22)*ttokg/Drivers!AW4</f>
        <v>3.5000201447149255</v>
      </c>
      <c r="AW26" s="45">
        <f>(AW19+AW22)*ttokg/Drivers!AX4</f>
        <v>3.4992182885936054</v>
      </c>
      <c r="AX26" s="45">
        <f>(AX19+AX22)*ttokg/Drivers!AY4</f>
        <v>3.3834655698022127</v>
      </c>
      <c r="AY26" s="45">
        <f>(AY19+AY22)*ttokg/Drivers!AZ4</f>
        <v>3.3834655698022131</v>
      </c>
      <c r="AZ26" s="45">
        <f>(AZ19+AZ22)*ttokg/Drivers!BA4</f>
        <v>3.3834655698022127</v>
      </c>
      <c r="BA26" s="45">
        <f>(BA19+BA22)*ttokg/Drivers!BB4</f>
        <v>3.3834655698022127</v>
      </c>
      <c r="BB26" s="45">
        <f>(BB19+BB22)*ttokg/Drivers!BC4</f>
        <v>3.3834655698022127</v>
      </c>
      <c r="BC26" s="45">
        <f>(BC19+BC22)*ttokg/Drivers!BD4</f>
        <v>3.3834655698022127</v>
      </c>
      <c r="BD26" s="45">
        <f>(BD19+BD22)*ttokg/Drivers!BE4</f>
        <v>3.3834655698022122</v>
      </c>
      <c r="BE26" s="45">
        <f>(BE19+BE22)*ttokg/Drivers!BF4</f>
        <v>3.3834655698022122</v>
      </c>
      <c r="BF26" s="45">
        <f>(BF19+BF22)*ttokg/Drivers!BG4</f>
        <v>3.3834655698022131</v>
      </c>
      <c r="BG26" s="45">
        <f>(BG19+BG22)*ttokg/Drivers!BH4</f>
        <v>3.3834655698022122</v>
      </c>
      <c r="BH26" s="45">
        <f>(BH19+BH22)*ttokg/Drivers!BI4</f>
        <v>3.3834655698022127</v>
      </c>
      <c r="BI26" s="45">
        <f>(BI19+BI22)*ttokg/Drivers!BJ4</f>
        <v>3.3834655698022122</v>
      </c>
      <c r="BJ26" s="45">
        <f>(BJ19+BJ22)*ttokg/Drivers!BK4</f>
        <v>3.3834655698022127</v>
      </c>
      <c r="BK26" s="45">
        <f>(BK19+BK22)*ttokg/Drivers!BL4</f>
        <v>3.3834655698022131</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164544.7123891768</v>
      </c>
      <c r="AH27" s="22">
        <f>((Data!$AJ$23*'Intermediate calculations'!AH19)+Data!$AK$23)</f>
        <v>165675.99678341317</v>
      </c>
      <c r="AI27" s="22">
        <f>((Data!$AJ$23*'Intermediate calculations'!AI19)+Data!$AK$23)</f>
        <v>168838.9053220381</v>
      </c>
      <c r="AJ27" s="22">
        <f>((Data!$AJ$23*'Intermediate calculations'!AJ19)+Data!$AK$23)</f>
        <v>169869.11365750444</v>
      </c>
      <c r="AK27" s="22">
        <f>((Data!$AJ$23*'Intermediate calculations'!AK19)+Data!$AK$23)</f>
        <v>171049.32261118671</v>
      </c>
      <c r="AL27" s="22">
        <f>((Data!$AJ$23*'Intermediate calculations'!AL19)+Data!$AK$23)</f>
        <v>172310.18137581521</v>
      </c>
      <c r="AM27" s="22">
        <f>((Data!$AJ$23*'Intermediate calculations'!AM19)+Data!$AK$23)</f>
        <v>173527.79635027621</v>
      </c>
      <c r="AN27" s="22">
        <f>((Data!$AJ$23*'Intermediate calculations'!AN19)+Data!$AK$23)</f>
        <v>174706.92743784492</v>
      </c>
      <c r="AO27" s="22">
        <f>((Data!$AJ$23*'Intermediate calculations'!AO19)+Data!$AK$23)</f>
        <v>175846.8553260584</v>
      </c>
      <c r="AP27" s="22">
        <f>((Data!$AJ$23*'Intermediate calculations'!AP19)+Data!$AK$23)</f>
        <v>176950.78087099484</v>
      </c>
      <c r="AQ27" s="22">
        <f>((Data!$AJ$23*'Intermediate calculations'!AQ19)+Data!$AK$23)</f>
        <v>178023.2717564803</v>
      </c>
      <c r="AR27" s="22">
        <f>((Data!$AJ$23*'Intermediate calculations'!AR19)+Data!$AK$23)</f>
        <v>179064.77708379278</v>
      </c>
      <c r="AS27" s="22">
        <f>((Data!$AJ$23*'Intermediate calculations'!AS19)+Data!$AK$23)</f>
        <v>180079.52298379922</v>
      </c>
      <c r="AT27" s="22">
        <f>((Data!$AJ$23*'Intermediate calculations'!AT19)+Data!$AK$23)</f>
        <v>181068.62884384691</v>
      </c>
      <c r="AU27" s="22">
        <f>((Data!$AJ$23*'Intermediate calculations'!AU19)+Data!$AK$23)</f>
        <v>182029.85487076238</v>
      </c>
      <c r="AV27" s="22">
        <f>((Data!$AJ$23*'Intermediate calculations'!AV19)+Data!$AK$23)</f>
        <v>182965.40968193935</v>
      </c>
      <c r="AW27" s="22">
        <f>((Data!$AJ$23*'Intermediate calculations'!AW19)+Data!$AK$23)</f>
        <v>183878.5783688786</v>
      </c>
      <c r="AX27" s="22">
        <f>((Data!$AJ$23*'Intermediate calculations'!AX19)+Data!$AK$23)</f>
        <v>180560.47989105069</v>
      </c>
      <c r="AY27" s="22">
        <f>((Data!$AJ$23*'Intermediate calculations'!AY19)+Data!$AK$23)</f>
        <v>181432.32064928868</v>
      </c>
      <c r="AZ27" s="22">
        <f>((Data!$AJ$23*'Intermediate calculations'!AZ19)+Data!$AK$23)</f>
        <v>182282.52010545431</v>
      </c>
      <c r="BA27" s="22">
        <f>((Data!$AJ$23*'Intermediate calculations'!BA19)+Data!$AK$23)</f>
        <v>183112.36174252423</v>
      </c>
      <c r="BB27" s="22">
        <f>((Data!$AJ$23*'Intermediate calculations'!BB19)+Data!$AK$23)</f>
        <v>183923.32510593839</v>
      </c>
      <c r="BC27" s="22">
        <f>((Data!$AJ$23*'Intermediate calculations'!BC19)+Data!$AK$23)</f>
        <v>184712.07713382234</v>
      </c>
      <c r="BD27" s="22">
        <f>((Data!$AJ$23*'Intermediate calculations'!BD19)+Data!$AK$23)</f>
        <v>185476.42301582417</v>
      </c>
      <c r="BE27" s="22">
        <f>((Data!$AJ$23*'Intermediate calculations'!BE19)+Data!$AK$23)</f>
        <v>186216.20118195104</v>
      </c>
      <c r="BF27" s="22">
        <f>((Data!$AJ$23*'Intermediate calculations'!BF19)+Data!$AK$23)</f>
        <v>186928.79746602691</v>
      </c>
      <c r="BG27" s="22">
        <f>((Data!$AJ$23*'Intermediate calculations'!BG19)+Data!$AK$23)</f>
        <v>187611.30179278782</v>
      </c>
      <c r="BH27" s="22">
        <f>((Data!$AJ$23*'Intermediate calculations'!BH19)+Data!$AK$23)</f>
        <v>188263.4600071889</v>
      </c>
      <c r="BI27" s="22">
        <f>((Data!$AJ$23*'Intermediate calculations'!BI19)+Data!$AK$23)</f>
        <v>188885.82398875616</v>
      </c>
      <c r="BJ27" s="22">
        <f>((Data!$AJ$23*'Intermediate calculations'!BJ19)+Data!$AK$23)</f>
        <v>189478.80583174099</v>
      </c>
      <c r="BK27" s="22">
        <f>((Data!$AJ$23*'Intermediate calculations'!BK19)+Data!$AK$23)</f>
        <v>190039.56807660649</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232803.07737192552</v>
      </c>
      <c r="Z29" s="22">
        <f>((Data!$AJ$9*'Intermediate calculations'!Z4)+Data!$AK$9)*Drivers!AA4</f>
        <v>238588.45125065104</v>
      </c>
      <c r="AA29" s="22">
        <f>((Data!$AJ$9*'Intermediate calculations'!AA4)+Data!$AK$9)*Drivers!AB4</f>
        <v>245792.32692559363</v>
      </c>
      <c r="AB29" s="22">
        <f>((Data!$AJ$9*'Intermediate calculations'!AB4)+Data!$AK$9)*Drivers!AC4</f>
        <v>250389.30527292378</v>
      </c>
      <c r="AC29" s="22">
        <f>((Data!$AJ$9*'Intermediate calculations'!AC4)+Data!$AK$9)*Drivers!AD4</f>
        <v>253237.16816783999</v>
      </c>
      <c r="AD29" s="22">
        <f>((Data!$AJ$9*'Intermediate calculations'!AD4)+Data!$AK$9)*Drivers!AE4</f>
        <v>254291.65168168265</v>
      </c>
      <c r="AE29" s="22">
        <f>((Data!$AJ$9*'Intermediate calculations'!AE4)+Data!$AK$9)*Drivers!AF4</f>
        <v>256684.19880969997</v>
      </c>
      <c r="AF29" s="22">
        <f>((Data!$AJ$9*'Intermediate calculations'!AF4)+Data!$AK$9)*Drivers!AG4</f>
        <v>259264.64593191381</v>
      </c>
      <c r="AG29" s="22">
        <f>((Data!$AJ$9*'Intermediate calculations'!AG4)+Data!$AK$9)*Drivers!AH4</f>
        <v>237623.69736441551</v>
      </c>
      <c r="AH29" s="22">
        <f>((Data!$AJ$9*'Intermediate calculations'!AH4)+Data!$AK$9)*Drivers!AI4</f>
        <v>252751.94213847615</v>
      </c>
      <c r="AI29" s="22">
        <f>((Data!$AJ$9*'Intermediate calculations'!AI4)+Data!$AK$9)*Drivers!AJ4</f>
        <v>860749.45941986737</v>
      </c>
      <c r="AJ29" s="22">
        <f>((Data!$AJ$9*'Intermediate calculations'!AJ4)+Data!$AK$9)*Drivers!AK4</f>
        <v>882884.40488726774</v>
      </c>
      <c r="AK29" s="22">
        <f>((Data!$AJ$9*'Intermediate calculations'!AK4)+Data!$AK$9)*Drivers!AL4</f>
        <v>903655.92850739614</v>
      </c>
      <c r="AL29" s="22">
        <f>((Data!$AJ$9*'Intermediate calculations'!AL4)+Data!$AK$9)*Drivers!AM4</f>
        <v>923019.66104993643</v>
      </c>
      <c r="AM29" s="22">
        <f>((Data!$AJ$9*'Intermediate calculations'!AM4)+Data!$AK$9)*Drivers!AN4</f>
        <v>940985.97722001362</v>
      </c>
      <c r="AN29" s="22">
        <f>((Data!$AJ$9*'Intermediate calculations'!AN4)+Data!$AK$9)*Drivers!AO4</f>
        <v>957452.49756759801</v>
      </c>
      <c r="AO29" s="22">
        <f>((Data!$AJ$9*'Intermediate calculations'!AO4)+Data!$AK$9)*Drivers!AP4</f>
        <v>972328.18187099125</v>
      </c>
      <c r="AP29" s="22">
        <f>((Data!$AJ$9*'Intermediate calculations'!AP4)+Data!$AK$9)*Drivers!AQ4</f>
        <v>985525.4803457947</v>
      </c>
      <c r="AQ29" s="22">
        <f>((Data!$AJ$9*'Intermediate calculations'!AQ4)+Data!$AK$9)*Drivers!AR4</f>
        <v>996963.4213729999</v>
      </c>
      <c r="AR29" s="22">
        <f>((Data!$AJ$9*'Intermediate calculations'!AR4)+Data!$AK$9)*Drivers!AS4</f>
        <v>1006573.3369216352</v>
      </c>
      <c r="AS29" s="22">
        <f>((Data!$AJ$9*'Intermediate calculations'!AS4)+Data!$AK$9)*Drivers!AT4</f>
        <v>1014292.2257427881</v>
      </c>
      <c r="AT29" s="22">
        <f>((Data!$AJ$9*'Intermediate calculations'!AT4)+Data!$AK$9)*Drivers!AU4</f>
        <v>1020069.625514389</v>
      </c>
      <c r="AU29" s="22">
        <f>((Data!$AJ$9*'Intermediate calculations'!AU4)+Data!$AK$9)*Drivers!AV4</f>
        <v>1023868.31083134</v>
      </c>
      <c r="AV29" s="22">
        <f>((Data!$AJ$9*'Intermediate calculations'!AV4)+Data!$AK$9)*Drivers!AW4</f>
        <v>1025657.4980067261</v>
      </c>
      <c r="AW29" s="22">
        <f>((Data!$AJ$9*'Intermediate calculations'!AW4)+Data!$AK$9)*Drivers!AX4</f>
        <v>1025416.2324458954</v>
      </c>
      <c r="AX29" s="22">
        <f>((Data!$AJ$9*'Intermediate calculations'!AX4)+Data!$AK$9)*Drivers!AY4</f>
        <v>-113959.83132958665</v>
      </c>
      <c r="AY29" s="22">
        <f>((Data!$AJ$9*'Intermediate calculations'!AY4)+Data!$AK$9)*Drivers!AZ4</f>
        <v>-114761.03906424585</v>
      </c>
      <c r="AZ29" s="22">
        <f>((Data!$AJ$9*'Intermediate calculations'!AZ4)+Data!$AK$9)*Drivers!BA4</f>
        <v>-115542.35878788393</v>
      </c>
      <c r="BA29" s="22">
        <f>((Data!$AJ$9*'Intermediate calculations'!BA4)+Data!$AK$9)*Drivers!BB4</f>
        <v>-116304.97000086095</v>
      </c>
      <c r="BB29" s="22">
        <f>((Data!$AJ$9*'Intermediate calculations'!BB4)+Data!$AK$9)*Drivers!BC4</f>
        <v>-117050.23238180975</v>
      </c>
      <c r="BC29" s="22">
        <f>((Data!$AJ$9*'Intermediate calculations'!BC4)+Data!$AK$9)*Drivers!BD4</f>
        <v>-117775.08290009241</v>
      </c>
      <c r="BD29" s="22">
        <f>((Data!$AJ$9*'Intermediate calculations'!BD4)+Data!$AK$9)*Drivers!BE4</f>
        <v>-118477.50456004374</v>
      </c>
      <c r="BE29" s="22">
        <f>((Data!$AJ$9*'Intermediate calculations'!BE4)+Data!$AK$9)*Drivers!BF4</f>
        <v>-119157.3488814204</v>
      </c>
      <c r="BF29" s="22">
        <f>((Data!$AJ$9*'Intermediate calculations'!BF4)+Data!$AK$9)*Drivers!BG4</f>
        <v>-119812.21348725149</v>
      </c>
      <c r="BG29" s="22">
        <f>((Data!$AJ$9*'Intermediate calculations'!BG4)+Data!$AK$9)*Drivers!BH4</f>
        <v>-120439.42406483949</v>
      </c>
      <c r="BH29" s="22">
        <f>((Data!$AJ$9*'Intermediate calculations'!BH4)+Data!$AK$9)*Drivers!BI4</f>
        <v>-121038.74704975668</v>
      </c>
      <c r="BI29" s="22">
        <f>((Data!$AJ$9*'Intermediate calculations'!BI4)+Data!$AK$9)*Drivers!BJ4</f>
        <v>-121610.68961047471</v>
      </c>
      <c r="BJ29" s="22">
        <f>((Data!$AJ$9*'Intermediate calculations'!BJ4)+Data!$AK$9)*Drivers!BK4</f>
        <v>-122155.63045502997</v>
      </c>
      <c r="BK29" s="22">
        <f>((Data!$AJ$9*'Intermediate calculations'!BK4)+Data!$AK$9)*Drivers!BL4</f>
        <v>-122670.96200341856</v>
      </c>
    </row>
    <row r="30" spans="1:63"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4.4989895163257341</v>
      </c>
      <c r="AE30" s="45">
        <f>AE29*ttokg/Drivers!AF4</f>
        <v>4.4690472186600507</v>
      </c>
      <c r="AF30" s="45">
        <f>AF29*ttokg/Drivers!AG4</f>
        <v>4.4421379119670714</v>
      </c>
      <c r="AG30" s="45">
        <f>AG29*ttokg/Drivers!AH4</f>
        <v>4.0410869079922414</v>
      </c>
      <c r="AH30" s="45">
        <f>AH29*ttokg/Drivers!AI4</f>
        <v>4.2556380817410648</v>
      </c>
      <c r="AI30" s="45">
        <f>AI29*ttokg/Drivers!AJ4</f>
        <v>14.371241061084406</v>
      </c>
      <c r="AJ30" s="45">
        <f>AJ29*ttokg/Drivers!AK4</f>
        <v>14.613784405336297</v>
      </c>
      <c r="AK30" s="45">
        <f>AK29*ttokg/Drivers!AL4</f>
        <v>14.809122512148818</v>
      </c>
      <c r="AL30" s="45">
        <f>AL29*ttokg/Drivers!AM4</f>
        <v>14.966329654423077</v>
      </c>
      <c r="AM30" s="45">
        <f>AM29*ttokg/Drivers!AN4</f>
        <v>15.102887219443256</v>
      </c>
      <c r="AN30" s="45">
        <f>AN29*ttokg/Drivers!AO4</f>
        <v>15.217244009219707</v>
      </c>
      <c r="AO30" s="45">
        <f>AO29*ttokg/Drivers!AP4</f>
        <v>15.308758649654393</v>
      </c>
      <c r="AP30" s="45">
        <f>AP29*ttokg/Drivers!AQ4</f>
        <v>15.376316054521443</v>
      </c>
      <c r="AQ30" s="45">
        <f>AQ29*ttokg/Drivers!AR4</f>
        <v>15.418721832511027</v>
      </c>
      <c r="AR30" s="45">
        <f>AR29*ttokg/Drivers!AS4</f>
        <v>15.435512687153421</v>
      </c>
      <c r="AS30" s="45">
        <f>AS29*ttokg/Drivers!AT4</f>
        <v>15.425811721206315</v>
      </c>
      <c r="AT30" s="45">
        <f>AT29*ttokg/Drivers!AU4</f>
        <v>15.389335539948886</v>
      </c>
      <c r="AU30" s="45">
        <f>AU29*ttokg/Drivers!AV4</f>
        <v>15.326413857257439</v>
      </c>
      <c r="AV30" s="45">
        <f>AV29*ttokg/Drivers!AW4</f>
        <v>15.236881948798571</v>
      </c>
      <c r="AW30" s="45">
        <f>AW29*ttokg/Drivers!AX4</f>
        <v>15.120579885642735</v>
      </c>
      <c r="AX30" s="45">
        <f>AX29*ttokg/Drivers!AY4</f>
        <v>-1.6683173409193768</v>
      </c>
      <c r="AY30" s="45">
        <f>AY29*ttokg/Drivers!AZ4</f>
        <v>-1.6683173409193768</v>
      </c>
      <c r="AZ30" s="45">
        <f>AZ29*ttokg/Drivers!BA4</f>
        <v>-1.6683173409193768</v>
      </c>
      <c r="BA30" s="45">
        <f>BA29*ttokg/Drivers!BB4</f>
        <v>-1.6683173409193766</v>
      </c>
      <c r="BB30" s="45">
        <f>BB29*ttokg/Drivers!BC4</f>
        <v>-1.6683173409193768</v>
      </c>
      <c r="BC30" s="45">
        <f>BC29*ttokg/Drivers!BD4</f>
        <v>-1.6683173409193768</v>
      </c>
      <c r="BD30" s="45">
        <f>BD29*ttokg/Drivers!BE4</f>
        <v>-1.6683173409193768</v>
      </c>
      <c r="BE30" s="45">
        <f>BE29*ttokg/Drivers!BF4</f>
        <v>-1.6683173409193768</v>
      </c>
      <c r="BF30" s="45">
        <f>BF29*ttokg/Drivers!BG4</f>
        <v>-1.6683173409193768</v>
      </c>
      <c r="BG30" s="45">
        <f>BG29*ttokg/Drivers!BH4</f>
        <v>-1.6683173409193768</v>
      </c>
      <c r="BH30" s="45">
        <f>BH29*ttokg/Drivers!BI4</f>
        <v>-1.6683173409193766</v>
      </c>
      <c r="BI30" s="45">
        <f>BI29*ttokg/Drivers!BJ4</f>
        <v>-1.668317340919377</v>
      </c>
      <c r="BJ30" s="45">
        <f>BJ29*ttokg/Drivers!BK4</f>
        <v>-1.6683173409193768</v>
      </c>
      <c r="BK30" s="45">
        <f>BK29*ttokg/Drivers!BL4</f>
        <v>-1.6683173409193768</v>
      </c>
    </row>
    <row r="31" spans="1:63"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2.66508288843823</v>
      </c>
      <c r="AP31" s="45"/>
      <c r="AQ31" s="45">
        <f>(AQ32-AE32)/AE32</f>
        <v>2.7234545101050385</v>
      </c>
      <c r="AR31" s="45"/>
      <c r="AS31" s="45"/>
      <c r="AT31" s="45"/>
      <c r="AU31" s="45"/>
      <c r="AV31" s="45"/>
      <c r="AW31" s="45"/>
      <c r="AX31" s="45"/>
      <c r="AY31" s="45"/>
      <c r="AZ31" s="45"/>
      <c r="BA31" s="45"/>
      <c r="BB31" s="45"/>
      <c r="BC31" s="45"/>
      <c r="BD31" s="45"/>
      <c r="BE31" s="45"/>
      <c r="BF31" s="45"/>
      <c r="BG31" s="45"/>
      <c r="BH31" s="45"/>
      <c r="BI31" s="45"/>
      <c r="BJ31" s="45"/>
      <c r="BK31" s="45"/>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210251.25025039676</v>
      </c>
      <c r="Z32" s="22">
        <f>((Data!$AJ$26*'Intermediate calculations'!Z29)+Data!$AK$26)</f>
        <v>215157.29984140495</v>
      </c>
      <c r="AA32" s="22">
        <f>((Data!$AJ$26*'Intermediate calculations'!AA29)+Data!$AK$26)</f>
        <v>221266.25183821382</v>
      </c>
      <c r="AB32" s="22">
        <f>((Data!$AJ$26*'Intermediate calculations'!AB29)+Data!$AK$26)</f>
        <v>225164.53122577883</v>
      </c>
      <c r="AC32" s="22">
        <f>((Data!$AJ$26*'Intermediate calculations'!AC29)+Data!$AK$26)</f>
        <v>227579.54482450738</v>
      </c>
      <c r="AD32" s="22">
        <f>((Data!$AJ$26*'Intermediate calculations'!AD29)+Data!$AK$26)</f>
        <v>228473.75642089816</v>
      </c>
      <c r="AE32" s="22">
        <f>((Data!$AJ$26*'Intermediate calculations'!AE29)+Data!$AK$26)</f>
        <v>230502.6581141908</v>
      </c>
      <c r="AF32" s="22">
        <f>((Data!$AJ$26*'Intermediate calculations'!AF29)+Data!$AK$26)</f>
        <v>232690.90070904008</v>
      </c>
      <c r="AG32" s="22">
        <f>((Data!$AJ$26*'Intermediate calculations'!AG29)+Data!$AK$26)</f>
        <v>214339.17978413528</v>
      </c>
      <c r="AH32" s="22">
        <f>((Data!$AJ$26*'Intermediate calculations'!AH29)+Data!$AK$26)</f>
        <v>227168.06874486091</v>
      </c>
      <c r="AI32" s="22">
        <f>((Data!$AJ$26*'Intermediate calculations'!AI29)+Data!$AK$26)</f>
        <v>742755.48513660545</v>
      </c>
      <c r="AJ32" s="22">
        <f>((Data!$AJ$26*'Intermediate calculations'!AJ29)+Data!$AK$26)</f>
        <v>761526.11991902883</v>
      </c>
      <c r="AK32" s="22">
        <f>((Data!$AJ$26*'Intermediate calculations'!AK29)+Data!$AK$26)</f>
        <v>779140.56059258431</v>
      </c>
      <c r="AL32" s="22">
        <f>((Data!$AJ$26*'Intermediate calculations'!AL29)+Data!$AK$26)</f>
        <v>795561.18164700957</v>
      </c>
      <c r="AM32" s="22">
        <f>((Data!$AJ$26*'Intermediate calculations'!AM29)+Data!$AK$26)</f>
        <v>810796.78092647193</v>
      </c>
      <c r="AN32" s="22">
        <f>((Data!$AJ$26*'Intermediate calculations'!AN29)+Data!$AK$26)</f>
        <v>824760.53972755244</v>
      </c>
      <c r="AO32" s="22">
        <f>((Data!$AJ$26*'Intermediate calculations'!AO29)+Data!$AK$26)</f>
        <v>837375.25511543802</v>
      </c>
      <c r="AP32" s="22">
        <f>((Data!$AJ$26*'Intermediate calculations'!AP29)+Data!$AK$26)</f>
        <v>848566.68407784519</v>
      </c>
      <c r="AQ32" s="22">
        <f>((Data!$AJ$26*'Intermediate calculations'!AQ29)+Data!$AK$26)</f>
        <v>858266.16194648342</v>
      </c>
      <c r="AR32" s="22">
        <f>((Data!$AJ$26*'Intermediate calculations'!AR29)+Data!$AK$26)</f>
        <v>866415.4576074566</v>
      </c>
      <c r="AS32" s="22">
        <f>((Data!$AJ$26*'Intermediate calculations'!AS29)+Data!$AK$26)</f>
        <v>872961.14542951959</v>
      </c>
      <c r="AT32" s="22">
        <f>((Data!$AJ$26*'Intermediate calculations'!AT29)+Data!$AK$26)</f>
        <v>877860.43290526664</v>
      </c>
      <c r="AU32" s="22">
        <f>((Data!$AJ$26*'Intermediate calculations'!AU29)+Data!$AK$26)</f>
        <v>881081.7525530993</v>
      </c>
      <c r="AV32" s="22">
        <f>((Data!$AJ$26*'Intermediate calculations'!AV29)+Data!$AK$26)</f>
        <v>882598.99952694122</v>
      </c>
      <c r="AW32" s="22">
        <f>((Data!$AJ$26*'Intermediate calculations'!AW29)+Data!$AK$26)</f>
        <v>882394.40414022119</v>
      </c>
      <c r="AX32" s="22">
        <f>((Data!$AJ$26*'Intermediate calculations'!AX29)+Data!$AK$26)</f>
        <v>-83806.84557428355</v>
      </c>
      <c r="AY32" s="22">
        <f>((Data!$AJ$26*'Intermediate calculations'!AY29)+Data!$AK$26)</f>
        <v>-84486.277009716257</v>
      </c>
      <c r="AZ32" s="22">
        <f>((Data!$AJ$26*'Intermediate calculations'!AZ29)+Data!$AK$26)</f>
        <v>-85148.843231183302</v>
      </c>
      <c r="BA32" s="22">
        <f>((Data!$AJ$26*'Intermediate calculations'!BA29)+Data!$AK$26)</f>
        <v>-85795.544465702027</v>
      </c>
      <c r="BB32" s="22">
        <f>((Data!$AJ$26*'Intermediate calculations'!BB29)+Data!$AK$26)</f>
        <v>-86427.533733101474</v>
      </c>
      <c r="BC32" s="22">
        <f>((Data!$AJ$26*'Intermediate calculations'!BC29)+Data!$AK$26)</f>
        <v>-87042.213555582741</v>
      </c>
      <c r="BD32" s="22">
        <f>((Data!$AJ$26*'Intermediate calculations'!BD29)+Data!$AK$26)</f>
        <v>-87637.873502503702</v>
      </c>
      <c r="BE32" s="22">
        <f>((Data!$AJ$26*'Intermediate calculations'!BE29)+Data!$AK$26)</f>
        <v>-88214.387661269517</v>
      </c>
      <c r="BF32" s="22">
        <f>((Data!$AJ$26*'Intermediate calculations'!BF29)+Data!$AK$26)</f>
        <v>-88769.718794390879</v>
      </c>
      <c r="BG32" s="22">
        <f>((Data!$AJ$26*'Intermediate calculations'!BG29)+Data!$AK$26)</f>
        <v>-89301.599060412598</v>
      </c>
      <c r="BH32" s="22">
        <f>((Data!$AJ$26*'Intermediate calculations'!BH29)+Data!$AK$26)</f>
        <v>-89809.830394578777</v>
      </c>
      <c r="BI32" s="22">
        <f>((Data!$AJ$26*'Intermediate calculations'!BI29)+Data!$AK$26)</f>
        <v>-90294.842880359385</v>
      </c>
      <c r="BJ32" s="22">
        <f>((Data!$AJ$26*'Intermediate calculations'!BJ29)+Data!$AK$26)</f>
        <v>-90756.957665608657</v>
      </c>
      <c r="BK32" s="22">
        <f>((Data!$AJ$26*'Intermediate calculations'!BK29)+Data!$AK$26)</f>
        <v>-91193.963498801662</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419285.99149200961</v>
      </c>
      <c r="Z34" s="22">
        <f>((Data!$AJ$10*'Intermediate calculations'!Z4)+Data!$AK$10)*Drivers!AA4</f>
        <v>427660.19548096805</v>
      </c>
      <c r="AA34" s="22">
        <f>((Data!$AJ$10*'Intermediate calculations'!AA4)+Data!$AK$10)*Drivers!AB4</f>
        <v>437452.24598008749</v>
      </c>
      <c r="AB34" s="22">
        <f>((Data!$AJ$10*'Intermediate calculations'!AB4)+Data!$AK$10)*Drivers!AC4</f>
        <v>444966.14209508419</v>
      </c>
      <c r="AC34" s="22">
        <f>((Data!$AJ$10*'Intermediate calculations'!AC4)+Data!$AK$10)*Drivers!AD4</f>
        <v>450995.02687358489</v>
      </c>
      <c r="AD34" s="22">
        <f>((Data!$AJ$10*'Intermediate calculations'!AD4)+Data!$AK$10)*Drivers!AE4</f>
        <v>455503.05642644485</v>
      </c>
      <c r="AE34" s="22">
        <f>((Data!$AJ$10*'Intermediate calculations'!AE4)+Data!$AK$10)*Drivers!AF4</f>
        <v>461288.37157907075</v>
      </c>
      <c r="AF34" s="22">
        <f>((Data!$AJ$10*'Intermediate calculations'!AF4)+Data!$AK$10)*Drivers!AG4</f>
        <v>467304.40661090257</v>
      </c>
      <c r="AG34" s="22">
        <f>((Data!$AJ$10*'Intermediate calculations'!AG4)+Data!$AK$10)*Drivers!AH4</f>
        <v>449125.4593620426</v>
      </c>
      <c r="AH34" s="22">
        <f>((Data!$AJ$10*'Intermediate calculations'!AH4)+Data!$AK$10)*Drivers!AI4</f>
        <v>465348.21319446614</v>
      </c>
      <c r="AI34" s="22">
        <f>((Data!$AJ$10*'Intermediate calculations'!AI4)+Data!$AK$10)*Drivers!AJ4</f>
        <v>1026225.4488902837</v>
      </c>
      <c r="AJ34" s="22">
        <f>((Data!$AJ$10*'Intermediate calculations'!AJ4)+Data!$AK$10)*Drivers!AK4</f>
        <v>1048615.6875394708</v>
      </c>
      <c r="AK34" s="22">
        <f>((Data!$AJ$10*'Intermediate calculations'!AK4)+Data!$AK$10)*Drivers!AL4</f>
        <v>1070086.5038354257</v>
      </c>
      <c r="AL34" s="22">
        <f>((Data!$AJ$10*'Intermediate calculations'!AL4)+Data!$AK$10)*Drivers!AM4</f>
        <v>1090448.1029297151</v>
      </c>
      <c r="AM34" s="22">
        <f>((Data!$AJ$10*'Intermediate calculations'!AM4)+Data!$AK$10)*Drivers!AN4</f>
        <v>1109443.1086184997</v>
      </c>
      <c r="AN34" s="22">
        <f>((Data!$AJ$10*'Intermediate calculations'!AN4)+Data!$AK$10)*Drivers!AO4</f>
        <v>1126988.4744355283</v>
      </c>
      <c r="AO34" s="22">
        <f>((Data!$AJ$10*'Intermediate calculations'!AO4)+Data!$AK$10)*Drivers!AP4</f>
        <v>1142999.686669522</v>
      </c>
      <c r="AP34" s="22">
        <f>((Data!$AJ$10*'Intermediate calculations'!AP4)+Data!$AK$10)*Drivers!AQ4</f>
        <v>1157403.8553259911</v>
      </c>
      <c r="AQ34" s="22">
        <f>((Data!$AJ$10*'Intermediate calculations'!AQ4)+Data!$AK$10)*Drivers!AR4</f>
        <v>1170137.0288090501</v>
      </c>
      <c r="AR34" s="22">
        <f>((Data!$AJ$10*'Intermediate calculations'!AR4)+Data!$AK$10)*Drivers!AS4</f>
        <v>1181137.5975006176</v>
      </c>
      <c r="AS34" s="22">
        <f>((Data!$AJ$10*'Intermediate calculations'!AS4)+Data!$AK$10)*Drivers!AT4</f>
        <v>1190357.2505125757</v>
      </c>
      <c r="AT34" s="22">
        <f>((Data!$AJ$10*'Intermediate calculations'!AT4)+Data!$AK$10)*Drivers!AU4</f>
        <v>1197752.4126034239</v>
      </c>
      <c r="AU34" s="22">
        <f>((Data!$AJ$10*'Intermediate calculations'!AU4)+Data!$AK$10)*Drivers!AV4</f>
        <v>1203284.336577822</v>
      </c>
      <c r="AV34" s="22">
        <f>((Data!$AJ$10*'Intermediate calculations'!AV4)+Data!$AK$10)*Drivers!AW4</f>
        <v>1206929.7261245002</v>
      </c>
      <c r="AW34" s="22">
        <f>((Data!$AJ$10*'Intermediate calculations'!AW4)+Data!$AK$10)*Drivers!AX4</f>
        <v>1208676.5605481188</v>
      </c>
      <c r="AX34" s="22">
        <f>((Data!$AJ$10*'Intermediate calculations'!AX4)+Data!$AK$10)*Drivers!AY4</f>
        <v>163222.34115814968</v>
      </c>
      <c r="AY34" s="22">
        <f>((Data!$AJ$10*'Intermediate calculations'!AY4)+Data!$AK$10)*Drivers!AZ4</f>
        <v>164369.89464852712</v>
      </c>
      <c r="AZ34" s="22">
        <f>((Data!$AJ$10*'Intermediate calculations'!AZ4)+Data!$AK$10)*Drivers!BA4</f>
        <v>165488.96294651728</v>
      </c>
      <c r="BA34" s="22">
        <f>((Data!$AJ$10*'Intermediate calculations'!BA4)+Data!$AK$10)*Drivers!BB4</f>
        <v>166581.23542641915</v>
      </c>
      <c r="BB34" s="22">
        <f>((Data!$AJ$10*'Intermediate calculations'!BB4)+Data!$AK$10)*Drivers!BC4</f>
        <v>167648.65952819542</v>
      </c>
      <c r="BC34" s="22">
        <f>((Data!$AJ$10*'Intermediate calculations'!BC4)+Data!$AK$10)*Drivers!BD4</f>
        <v>168686.84813556197</v>
      </c>
      <c r="BD34" s="22">
        <f>((Data!$AJ$10*'Intermediate calculations'!BD4)+Data!$AK$10)*Drivers!BE4</f>
        <v>169692.91234678274</v>
      </c>
      <c r="BE34" s="22">
        <f>((Data!$AJ$10*'Intermediate calculations'!BE4)+Data!$AK$10)*Drivers!BF4</f>
        <v>170666.63949663474</v>
      </c>
      <c r="BF34" s="22">
        <f>((Data!$AJ$10*'Intermediate calculations'!BF4)+Data!$AK$10)*Drivers!BG4</f>
        <v>171604.58870960103</v>
      </c>
      <c r="BG34" s="22">
        <f>((Data!$AJ$10*'Intermediate calculations'!BG4)+Data!$AK$10)*Drivers!BH4</f>
        <v>172502.92962217215</v>
      </c>
      <c r="BH34" s="22">
        <f>((Data!$AJ$10*'Intermediate calculations'!BH4)+Data!$AK$10)*Drivers!BI4</f>
        <v>173361.32770478388</v>
      </c>
      <c r="BI34" s="22">
        <f>((Data!$AJ$10*'Intermediate calculations'!BI4)+Data!$AK$10)*Drivers!BJ4</f>
        <v>174180.50936448984</v>
      </c>
      <c r="BJ34" s="22">
        <f>((Data!$AJ$10*'Intermediate calculations'!BJ4)+Data!$AK$10)*Drivers!BK4</f>
        <v>174961.01701708336</v>
      </c>
      <c r="BK34" s="22">
        <f>((Data!$AJ$10*'Intermediate calculations'!BK4)+Data!$AK$10)*Drivers!BL4</f>
        <v>175699.11587893034</v>
      </c>
    </row>
    <row r="35" spans="1:63"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8.114135604508105</v>
      </c>
      <c r="AB35" s="45">
        <f>AB34*ttokg/Drivers!AC4</f>
        <v>8.1271625194806241</v>
      </c>
      <c r="AC35" s="45">
        <f>AC34*ttokg/Drivers!AD4</f>
        <v>8.1085132969220037</v>
      </c>
      <c r="AD35" s="45">
        <f>AD34*ttokg/Drivers!AE4</f>
        <v>8.0588704425192184</v>
      </c>
      <c r="AE35" s="45">
        <f>AE34*ttokg/Drivers!AF4</f>
        <v>8.0313456128790985</v>
      </c>
      <c r="AF35" s="45">
        <f>AF34*ttokg/Drivers!AG4</f>
        <v>8.0066088979239591</v>
      </c>
      <c r="AG35" s="45">
        <f>AG34*ttokg/Drivers!AH4</f>
        <v>7.6379377730604405</v>
      </c>
      <c r="AH35" s="45">
        <f>AH34*ttokg/Drivers!AI4</f>
        <v>7.8351666087516989</v>
      </c>
      <c r="AI35" s="45">
        <f>AI34*ttokg/Drivers!AJ4</f>
        <v>17.134060495329091</v>
      </c>
      <c r="AJ35" s="45">
        <f>AJ34*ttokg/Drivers!AK4</f>
        <v>17.357021482004786</v>
      </c>
      <c r="AK35" s="45">
        <f>AK34*ttokg/Drivers!AL4</f>
        <v>17.536588466885849</v>
      </c>
      <c r="AL35" s="45">
        <f>AL34*ttokg/Drivers!AM4</f>
        <v>17.681103088229289</v>
      </c>
      <c r="AM35" s="45">
        <f>AM34*ttokg/Drivers!AN4</f>
        <v>17.806635328781347</v>
      </c>
      <c r="AN35" s="45">
        <f>AN34*ttokg/Drivers!AO4</f>
        <v>17.911759230491644</v>
      </c>
      <c r="AO35" s="45">
        <f>AO34*ttokg/Drivers!AP4</f>
        <v>17.995885202241247</v>
      </c>
      <c r="AP35" s="45">
        <f>AP34*ttokg/Drivers!AQ4</f>
        <v>18.057988187144279</v>
      </c>
      <c r="AQ35" s="45">
        <f>AQ34*ttokg/Drivers!AR4</f>
        <v>18.096970226129809</v>
      </c>
      <c r="AR35" s="45">
        <f>AR34*ttokg/Drivers!AS4</f>
        <v>18.11240542815418</v>
      </c>
      <c r="AS35" s="45">
        <f>AS34*ttokg/Drivers!AT4</f>
        <v>18.103487694517973</v>
      </c>
      <c r="AT35" s="45">
        <f>AT34*ttokg/Drivers!AU4</f>
        <v>18.069956511098354</v>
      </c>
      <c r="AU35" s="45">
        <f>AU34*ttokg/Drivers!AV4</f>
        <v>18.012114971478081</v>
      </c>
      <c r="AV35" s="45">
        <f>AV34*ttokg/Drivers!AW4</f>
        <v>17.929811650764339</v>
      </c>
      <c r="AW35" s="45">
        <f>AW34*ttokg/Drivers!AX4</f>
        <v>17.82289953229898</v>
      </c>
      <c r="AX35" s="45">
        <f>AX34*ttokg/Drivers!AY4</f>
        <v>2.3894968867763007</v>
      </c>
      <c r="AY35" s="45">
        <f>AY34*ttokg/Drivers!AZ4</f>
        <v>2.3894968867763007</v>
      </c>
      <c r="AZ35" s="45">
        <f>AZ34*ttokg/Drivers!BA4</f>
        <v>2.3894968867763007</v>
      </c>
      <c r="BA35" s="45">
        <f>BA34*ttokg/Drivers!BB4</f>
        <v>2.3894968867763002</v>
      </c>
      <c r="BB35" s="45">
        <f>BB34*ttokg/Drivers!BC4</f>
        <v>2.3894968867763002</v>
      </c>
      <c r="BC35" s="45">
        <f>BC34*ttokg/Drivers!BD4</f>
        <v>2.3894968867763002</v>
      </c>
      <c r="BD35" s="45">
        <f>BD34*ttokg/Drivers!BE4</f>
        <v>2.3894968867763007</v>
      </c>
      <c r="BE35" s="45">
        <f>BE34*ttokg/Drivers!BF4</f>
        <v>2.3894968867763007</v>
      </c>
      <c r="BF35" s="45">
        <f>BF34*ttokg/Drivers!BG4</f>
        <v>2.3894968867763002</v>
      </c>
      <c r="BG35" s="45">
        <f>BG34*ttokg/Drivers!BH4</f>
        <v>2.3894968867763007</v>
      </c>
      <c r="BH35" s="45">
        <f>BH34*ttokg/Drivers!BI4</f>
        <v>2.3894968867763007</v>
      </c>
      <c r="BI35" s="45">
        <f>BI34*ttokg/Drivers!BJ4</f>
        <v>2.3894968867763007</v>
      </c>
      <c r="BJ35" s="45">
        <f>BJ34*ttokg/Drivers!BK4</f>
        <v>2.3894968867763002</v>
      </c>
      <c r="BK35" s="45">
        <f>BK34*ttokg/Drivers!BL4</f>
        <v>2.3894968867763002</v>
      </c>
    </row>
    <row r="36" spans="1:63"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1.5311830728385711</v>
      </c>
      <c r="AP36" s="45"/>
      <c r="AQ36" s="45">
        <f>(AQ37-AE37)/AE37</f>
        <v>1.5586547873396095</v>
      </c>
      <c r="AR36" s="45"/>
      <c r="AS36" s="45"/>
      <c r="AT36" s="45"/>
      <c r="AU36" s="45"/>
      <c r="AV36" s="45"/>
      <c r="AW36" s="45"/>
      <c r="AX36" s="45"/>
      <c r="AY36" s="45"/>
      <c r="AZ36" s="45"/>
      <c r="BA36" s="45"/>
      <c r="BB36" s="45"/>
      <c r="BC36" s="45"/>
      <c r="BD36" s="45"/>
      <c r="BE36" s="45"/>
      <c r="BF36" s="45"/>
      <c r="BG36" s="45"/>
      <c r="BH36" s="45"/>
      <c r="BI36" s="45"/>
      <c r="BJ36" s="45"/>
      <c r="BK36" s="45"/>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448982.05019678239</v>
      </c>
      <c r="Z37" s="22">
        <f>((Data!$AJ$29*'Intermediate calculations'!Z34)+Data!$AK$29)</f>
        <v>458090.69820274448</v>
      </c>
      <c r="AA37" s="22">
        <f>((Data!$AJ$29*'Intermediate calculations'!AA34)+Data!$AK$29)</f>
        <v>468741.54231529374</v>
      </c>
      <c r="AB37" s="22">
        <f>((Data!$AJ$29*'Intermediate calculations'!AB34)+Data!$AK$29)</f>
        <v>476914.43074207578</v>
      </c>
      <c r="AC37" s="22">
        <f>((Data!$AJ$29*'Intermediate calculations'!AC34)+Data!$AK$29)</f>
        <v>483472.06766951061</v>
      </c>
      <c r="AD37" s="22">
        <f>((Data!$AJ$29*'Intermediate calculations'!AD34)+Data!$AK$29)</f>
        <v>488375.46558668779</v>
      </c>
      <c r="AE37" s="22">
        <f>((Data!$AJ$29*'Intermediate calculations'!AE34)+Data!$AK$29)</f>
        <v>494668.17106631421</v>
      </c>
      <c r="AF37" s="22">
        <f>((Data!$AJ$29*'Intermediate calculations'!AF34)+Data!$AK$29)</f>
        <v>501211.83128389966</v>
      </c>
      <c r="AG37" s="22">
        <f>((Data!$AJ$29*'Intermediate calculations'!AG34)+Data!$AK$29)</f>
        <v>481438.53320958168</v>
      </c>
      <c r="AH37" s="22">
        <f>((Data!$AJ$29*'Intermediate calculations'!AH34)+Data!$AK$29)</f>
        <v>499084.07355487929</v>
      </c>
      <c r="AI37" s="22">
        <f>((Data!$AJ$29*'Intermediate calculations'!AI34)+Data!$AK$29)</f>
        <v>1109152.0061304807</v>
      </c>
      <c r="AJ37" s="22">
        <f>((Data!$AJ$29*'Intermediate calculations'!AJ34)+Data!$AK$29)</f>
        <v>1133505.9391005682</v>
      </c>
      <c r="AK37" s="22">
        <f>((Data!$AJ$29*'Intermediate calculations'!AK34)+Data!$AK$29)</f>
        <v>1156859.8134865267</v>
      </c>
      <c r="AL37" s="22">
        <f>((Data!$AJ$29*'Intermediate calculations'!AL34)+Data!$AK$29)</f>
        <v>1179007.1888350302</v>
      </c>
      <c r="AM37" s="22">
        <f>((Data!$AJ$29*'Intermediate calculations'!AM34)+Data!$AK$29)</f>
        <v>1199668.1162400129</v>
      </c>
      <c r="AN37" s="22">
        <f>((Data!$AJ$29*'Intermediate calculations'!AN34)+Data!$AK$29)</f>
        <v>1218752.2657990481</v>
      </c>
      <c r="AO37" s="22">
        <f>((Data!$AJ$29*'Intermediate calculations'!AO34)+Data!$AK$29)</f>
        <v>1236167.7116826803</v>
      </c>
      <c r="AP37" s="22">
        <f>((Data!$AJ$29*'Intermediate calculations'!AP34)+Data!$AK$29)</f>
        <v>1251835.1712147482</v>
      </c>
      <c r="AQ37" s="22">
        <f>((Data!$AJ$29*'Intermediate calculations'!AQ34)+Data!$AK$29)</f>
        <v>1265685.0840433538</v>
      </c>
      <c r="AR37" s="22">
        <f>((Data!$AJ$29*'Intermediate calculations'!AR34)+Data!$AK$29)</f>
        <v>1277650.4371932186</v>
      </c>
      <c r="AS37" s="22">
        <f>((Data!$AJ$29*'Intermediate calculations'!AS34)+Data!$AK$29)</f>
        <v>1287678.6827594554</v>
      </c>
      <c r="AT37" s="22">
        <f>((Data!$AJ$29*'Intermediate calculations'!AT34)+Data!$AK$29)</f>
        <v>1295722.4238148902</v>
      </c>
      <c r="AU37" s="22">
        <f>((Data!$AJ$29*'Intermediate calculations'!AU34)+Data!$AK$29)</f>
        <v>1301739.5149133364</v>
      </c>
      <c r="AV37" s="22">
        <f>((Data!$AJ$29*'Intermediate calculations'!AV34)+Data!$AK$29)</f>
        <v>1305704.616583786</v>
      </c>
      <c r="AW37" s="22">
        <f>((Data!$AJ$29*'Intermediate calculations'!AW34)+Data!$AK$29)</f>
        <v>1307604.653878127</v>
      </c>
      <c r="AX37" s="22">
        <f>((Data!$AJ$29*'Intermediate calculations'!AX34)+Data!$AK$29)</f>
        <v>170460.81270505273</v>
      </c>
      <c r="AY37" s="22">
        <f>((Data!$AJ$29*'Intermediate calculations'!AY34)+Data!$AK$29)</f>
        <v>171709.01024426281</v>
      </c>
      <c r="AZ37" s="22">
        <f>((Data!$AJ$29*'Intermediate calculations'!AZ34)+Data!$AK$29)</f>
        <v>172926.22435016034</v>
      </c>
      <c r="BA37" s="22">
        <f>((Data!$AJ$29*'Intermediate calculations'!BA34)+Data!$AK$29)</f>
        <v>174114.29256048141</v>
      </c>
      <c r="BB37" s="22">
        <f>((Data!$AJ$29*'Intermediate calculations'!BB34)+Data!$AK$29)</f>
        <v>175275.33311179589</v>
      </c>
      <c r="BC37" s="22">
        <f>((Data!$AJ$29*'Intermediate calculations'!BC34)+Data!$AK$29)</f>
        <v>176404.57412392917</v>
      </c>
      <c r="BD37" s="22">
        <f>((Data!$AJ$29*'Intermediate calculations'!BD34)+Data!$AK$29)</f>
        <v>177498.87332938064</v>
      </c>
      <c r="BE37" s="22">
        <f>((Data!$AJ$29*'Intermediate calculations'!BE34)+Data!$AK$29)</f>
        <v>178557.99941151871</v>
      </c>
      <c r="BF37" s="22">
        <f>((Data!$AJ$29*'Intermediate calculations'!BF34)+Data!$AK$29)</f>
        <v>179578.20971922603</v>
      </c>
      <c r="BG37" s="22">
        <f>((Data!$AJ$29*'Intermediate calculations'!BG34)+Data!$AK$29)</f>
        <v>180555.33795407129</v>
      </c>
      <c r="BH37" s="22">
        <f>((Data!$AJ$29*'Intermediate calculations'!BH34)+Data!$AK$29)</f>
        <v>181489.02024719579</v>
      </c>
      <c r="BI37" s="22">
        <f>((Data!$AJ$29*'Intermediate calculations'!BI34)+Data!$AK$29)</f>
        <v>182380.04671383544</v>
      </c>
      <c r="BJ37" s="22">
        <f>((Data!$AJ$29*'Intermediate calculations'!BJ34)+Data!$AK$29)</f>
        <v>183229.00734135395</v>
      </c>
      <c r="BK37" s="22">
        <f>((Data!$AJ$29*'Intermediate calculations'!BK34)+Data!$AK$29)</f>
        <v>184031.83979385093</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1780536.5679391946</v>
      </c>
      <c r="Z39" s="22">
        <f>((Data!$AJ$11*'Intermediate calculations'!Z4)+Data!$AK$11)*Drivers!AA4</f>
        <v>1834642.5186756095</v>
      </c>
      <c r="AA39" s="22">
        <f>((Data!$AJ$11*'Intermediate calculations'!AA4)+Data!$AK$11)*Drivers!AB4</f>
        <v>1905076.8868757146</v>
      </c>
      <c r="AB39" s="22">
        <f>((Data!$AJ$11*'Intermediate calculations'!AB4)+Data!$AK$11)*Drivers!AC4</f>
        <v>1943924.618219733</v>
      </c>
      <c r="AC39" s="22">
        <f>((Data!$AJ$11*'Intermediate calculations'!AC4)+Data!$AK$11)*Drivers!AD4</f>
        <v>1961369.2810630382</v>
      </c>
      <c r="AD39" s="22">
        <f>((Data!$AJ$11*'Intermediate calculations'!AD4)+Data!$AK$11)*Drivers!AE4</f>
        <v>1956860.8704089581</v>
      </c>
      <c r="AE39" s="22">
        <f>((Data!$AJ$11*'Intermediate calculations'!AE4)+Data!$AK$11)*Drivers!AF4</f>
        <v>1968044.8895064986</v>
      </c>
      <c r="AF39" s="22">
        <f>((Data!$AJ$11*'Intermediate calculations'!AF4)+Data!$AK$11)*Drivers!AG4</f>
        <v>1981185.0437649265</v>
      </c>
      <c r="AG39" s="22">
        <f>((Data!$AJ$11*'Intermediate calculations'!AG4)+Data!$AK$11)*Drivers!AH4</f>
        <v>1715438.6006468041</v>
      </c>
      <c r="AH39" s="22">
        <f>((Data!$AJ$11*'Intermediate calculations'!AH4)+Data!$AK$11)*Drivers!AI4</f>
        <v>1884271.6551485946</v>
      </c>
      <c r="AI39" s="22">
        <f>((Data!$AJ$11*'Intermediate calculations'!AI4)+Data!$AK$11)*Drivers!AJ4</f>
        <v>9108690.6869586874</v>
      </c>
      <c r="AJ39" s="22">
        <f>((Data!$AJ$11*'Intermediate calculations'!AJ4)+Data!$AK$11)*Drivers!AK4</f>
        <v>9362207.0614751391</v>
      </c>
      <c r="AK39" s="22">
        <f>((Data!$AJ$11*'Intermediate calculations'!AK4)+Data!$AK$11)*Drivers!AL4</f>
        <v>9597892.2396159749</v>
      </c>
      <c r="AL39" s="22">
        <f>((Data!$AJ$11*'Intermediate calculations'!AL4)+Data!$AK$11)*Drivers!AM4</f>
        <v>9815936.4587235823</v>
      </c>
      <c r="AM39" s="22">
        <f>((Data!$AJ$11*'Intermediate calculations'!AM4)+Data!$AK$11)*Drivers!AN4</f>
        <v>10017749.536204563</v>
      </c>
      <c r="AN39" s="22">
        <f>((Data!$AJ$11*'Intermediate calculations'!AN4)+Data!$AK$11)*Drivers!AO4</f>
        <v>10202060.032323306</v>
      </c>
      <c r="AO39" s="22">
        <f>((Data!$AJ$11*'Intermediate calculations'!AO4)+Data!$AK$11)*Drivers!AP4</f>
        <v>10367788.728691561</v>
      </c>
      <c r="AP39" s="22">
        <f>((Data!$AJ$11*'Intermediate calculations'!AP4)+Data!$AK$11)*Drivers!AQ4</f>
        <v>10513857.379599456</v>
      </c>
      <c r="AQ39" s="22">
        <f>((Data!$AJ$11*'Intermediate calculations'!AQ4)+Data!$AK$11)*Drivers!AR4</f>
        <v>10639252.071085528</v>
      </c>
      <c r="AR39" s="22">
        <f>((Data!$AJ$11*'Intermediate calculations'!AR4)+Data!$AK$11)*Drivers!AS4</f>
        <v>10743148.498435624</v>
      </c>
      <c r="AS39" s="22">
        <f>((Data!$AJ$11*'Intermediate calculations'!AS4)+Data!$AK$11)*Drivers!AT4</f>
        <v>10824750.792891109</v>
      </c>
      <c r="AT39" s="22">
        <f>((Data!$AJ$11*'Intermediate calculations'!AT4)+Data!$AK$11)*Drivers!AU4</f>
        <v>10883445.001406316</v>
      </c>
      <c r="AU39" s="22">
        <f>((Data!$AJ$11*'Intermediate calculations'!AU4)+Data!$AK$11)*Drivers!AV4</f>
        <v>10918810.038304729</v>
      </c>
      <c r="AV39" s="22">
        <f>((Data!$AJ$11*'Intermediate calculations'!AV4)+Data!$AK$11)*Drivers!AW4</f>
        <v>10930455.534995308</v>
      </c>
      <c r="AW39" s="22">
        <f>((Data!$AJ$11*'Intermediate calculations'!AW4)+Data!$AK$11)*Drivers!AX4</f>
        <v>10918097.272510035</v>
      </c>
      <c r="AX39" s="22">
        <f>((Data!$AJ$11*'Intermediate calculations'!AX4)+Data!$AK$11)*Drivers!AY4</f>
        <v>-2647412.0085166506</v>
      </c>
      <c r="AY39" s="22">
        <f>((Data!$AJ$11*'Intermediate calculations'!AY4)+Data!$AK$11)*Drivers!AZ4</f>
        <v>-2666024.9439106896</v>
      </c>
      <c r="AZ39" s="22">
        <f>((Data!$AJ$11*'Intermediate calculations'!AZ4)+Data!$AK$11)*Drivers!BA4</f>
        <v>-2684175.8589718752</v>
      </c>
      <c r="BA39" s="22">
        <f>((Data!$AJ$11*'Intermediate calculations'!BA4)+Data!$AK$11)*Drivers!BB4</f>
        <v>-2701892.1547886506</v>
      </c>
      <c r="BB39" s="22">
        <f>((Data!$AJ$11*'Intermediate calculations'!BB4)+Data!$AK$11)*Drivers!BC4</f>
        <v>-2719205.4181885705</v>
      </c>
      <c r="BC39" s="22">
        <f>((Data!$AJ$11*'Intermediate calculations'!BC4)+Data!$AK$11)*Drivers!BD4</f>
        <v>-2736044.4916067389</v>
      </c>
      <c r="BD39" s="22">
        <f>((Data!$AJ$11*'Intermediate calculations'!BD4)+Data!$AK$11)*Drivers!BE4</f>
        <v>-2752362.5180192138</v>
      </c>
      <c r="BE39" s="22">
        <f>((Data!$AJ$11*'Intermediate calculations'!BE4)+Data!$AK$11)*Drivers!BF4</f>
        <v>-2768156.0480669118</v>
      </c>
      <c r="BF39" s="22">
        <f>((Data!$AJ$11*'Intermediate calculations'!BF4)+Data!$AK$11)*Drivers!BG4</f>
        <v>-2783369.2718950137</v>
      </c>
      <c r="BG39" s="22">
        <f>((Data!$AJ$11*'Intermediate calculations'!BG4)+Data!$AK$11)*Drivers!BH4</f>
        <v>-2797940.0622831886</v>
      </c>
      <c r="BH39" s="22">
        <f>((Data!$AJ$11*'Intermediate calculations'!BH4)+Data!$AK$11)*Drivers!BI4</f>
        <v>-2811862.9932733285</v>
      </c>
      <c r="BI39" s="22">
        <f>((Data!$AJ$11*'Intermediate calculations'!BI4)+Data!$AK$11)*Drivers!BJ4</f>
        <v>-2825149.8469458958</v>
      </c>
      <c r="BJ39" s="22">
        <f>((Data!$AJ$11*'Intermediate calculations'!BJ4)+Data!$AK$11)*Drivers!BK4</f>
        <v>-2837809.421104393</v>
      </c>
      <c r="BK39" s="22">
        <f>((Data!$AJ$11*'Intermediate calculations'!BK4)+Data!$AK$11)*Drivers!BL4</f>
        <v>-2849781.138802235</v>
      </c>
    </row>
    <row r="40" spans="1:63"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34.028128767747212</v>
      </c>
      <c r="Z40" s="45">
        <f>Z39*ttokg/Drivers!AA4</f>
        <v>34.54785265454472</v>
      </c>
      <c r="AA40" s="45">
        <f>AA39*ttokg/Drivers!AB4</f>
        <v>35.336547792755724</v>
      </c>
      <c r="AB40" s="45">
        <f>AB39*ttokg/Drivers!AC4</f>
        <v>35.505153770812335</v>
      </c>
      <c r="AC40" s="45">
        <f>AC39*ttokg/Drivers!AD4</f>
        <v>35.263778862315192</v>
      </c>
      <c r="AD40" s="45">
        <f>AD39*ttokg/Drivers!AE4</f>
        <v>34.621256665942376</v>
      </c>
      <c r="AE40" s="45">
        <f>AE39*ttokg/Drivers!AF4</f>
        <v>34.265005716880047</v>
      </c>
      <c r="AF40" s="45">
        <f>AF39*ttokg/Drivers!AG4</f>
        <v>33.944841040307118</v>
      </c>
      <c r="AG40" s="45">
        <f>AG39*ttokg/Drivers!AH4</f>
        <v>29.173169795044373</v>
      </c>
      <c r="AH40" s="45">
        <f>AH39*ttokg/Drivers!AI4</f>
        <v>31.725881685223008</v>
      </c>
      <c r="AI40" s="45">
        <f>AI39*ttokg/Drivers!AJ4</f>
        <v>152.0804784488214</v>
      </c>
      <c r="AJ40" s="45">
        <f>AJ39*ttokg/Drivers!AK4</f>
        <v>154.96623883846317</v>
      </c>
      <c r="AK40" s="45">
        <f>AK39*ttokg/Drivers!AL4</f>
        <v>157.29035526790332</v>
      </c>
      <c r="AL40" s="45">
        <f>AL39*ttokg/Drivers!AM4</f>
        <v>159.16079267587722</v>
      </c>
      <c r="AM40" s="45">
        <f>AM39*ttokg/Drivers!AN4</f>
        <v>160.78554314370243</v>
      </c>
      <c r="AN40" s="45">
        <f>AN39*ttokg/Drivers!AO4</f>
        <v>162.14615064765749</v>
      </c>
      <c r="AO40" s="45">
        <f>AO39*ttokg/Drivers!AP4</f>
        <v>163.23498417245813</v>
      </c>
      <c r="AP40" s="45">
        <f>AP39*ttokg/Drivers!AQ4</f>
        <v>164.03877651561083</v>
      </c>
      <c r="AQ40" s="45">
        <f>AQ39*ttokg/Drivers!AR4</f>
        <v>164.5433169093773</v>
      </c>
      <c r="AR40" s="45">
        <f>AR39*ttokg/Drivers!AS4</f>
        <v>164.74309309117567</v>
      </c>
      <c r="AS40" s="45">
        <f>AS39*ttokg/Drivers!AT4</f>
        <v>164.62767181108342</v>
      </c>
      <c r="AT40" s="45">
        <f>AT39*ttokg/Drivers!AU4</f>
        <v>164.19368126245485</v>
      </c>
      <c r="AU40" s="45">
        <f>AU39*ttokg/Drivers!AV4</f>
        <v>163.44504435336691</v>
      </c>
      <c r="AV40" s="45">
        <f>AV39*ttokg/Drivers!AW4</f>
        <v>162.37980120750137</v>
      </c>
      <c r="AW40" s="45">
        <f>AW39*ttokg/Drivers!AX4</f>
        <v>160.99604900385333</v>
      </c>
      <c r="AX40" s="45">
        <f>AX39*ttokg/Drivers!AY4</f>
        <v>-38.756843624950506</v>
      </c>
      <c r="AY40" s="45">
        <f>AY39*ttokg/Drivers!AZ4</f>
        <v>-38.756843624950498</v>
      </c>
      <c r="AZ40" s="45">
        <f>AZ39*ttokg/Drivers!BA4</f>
        <v>-38.756843624950498</v>
      </c>
      <c r="BA40" s="45">
        <f>BA39*ttokg/Drivers!BB4</f>
        <v>-38.756843624950498</v>
      </c>
      <c r="BB40" s="45">
        <f>BB39*ttokg/Drivers!BC4</f>
        <v>-38.756843624950498</v>
      </c>
      <c r="BC40" s="45">
        <f>BC39*ttokg/Drivers!BD4</f>
        <v>-38.756843624950498</v>
      </c>
      <c r="BD40" s="45">
        <f>BD39*ttokg/Drivers!BE4</f>
        <v>-38.756843624950498</v>
      </c>
      <c r="BE40" s="45">
        <f>BE39*ttokg/Drivers!BF4</f>
        <v>-38.756843624950498</v>
      </c>
      <c r="BF40" s="45">
        <f>BF39*ttokg/Drivers!BG4</f>
        <v>-38.756843624950498</v>
      </c>
      <c r="BG40" s="45">
        <f>BG39*ttokg/Drivers!BH4</f>
        <v>-38.756843624950498</v>
      </c>
      <c r="BH40" s="45">
        <f>BH39*ttokg/Drivers!BI4</f>
        <v>-38.756843624950498</v>
      </c>
      <c r="BI40" s="45">
        <f>BI39*ttokg/Drivers!BJ4</f>
        <v>-38.756843624950498</v>
      </c>
      <c r="BJ40" s="45">
        <f>BJ39*ttokg/Drivers!BK4</f>
        <v>-38.756843624950498</v>
      </c>
      <c r="BK40" s="45">
        <f>BK39*ttokg/Drivers!BL4</f>
        <v>-38.756843624950506</v>
      </c>
    </row>
    <row r="41" spans="1:63"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3.8152783549944971</v>
      </c>
      <c r="AP41" s="45"/>
      <c r="AQ41" s="45">
        <f>(AQ42-AE42)/AE42</f>
        <v>3.9134897418650958</v>
      </c>
      <c r="AR41" s="45"/>
      <c r="AS41" s="45"/>
      <c r="AT41" s="45"/>
      <c r="AU41" s="45"/>
      <c r="AV41" s="45"/>
      <c r="AW41" s="45"/>
      <c r="AX41" s="45"/>
      <c r="AY41" s="45"/>
      <c r="AZ41" s="45"/>
      <c r="BA41" s="45"/>
      <c r="BB41" s="45"/>
      <c r="BC41" s="45"/>
      <c r="BD41" s="45"/>
      <c r="BE41" s="45"/>
      <c r="BF41" s="45"/>
      <c r="BG41" s="45"/>
      <c r="BH41" s="45"/>
      <c r="BI41" s="45"/>
      <c r="BJ41" s="45"/>
      <c r="BK41" s="45"/>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1461929.6645871291</v>
      </c>
      <c r="Z42" s="22">
        <f>((Data!$AJ$33*'Intermediate calculations'!Z39)+Data!$AK$33)</f>
        <v>1500929.0445244417</v>
      </c>
      <c r="AA42" s="22">
        <f>((Data!$AJ$33*'Intermediate calculations'!AA39)+Data!$AK$33)</f>
        <v>1551697.8906253518</v>
      </c>
      <c r="AB42" s="22">
        <f>((Data!$AJ$33*'Intermediate calculations'!AB39)+Data!$AK$33)</f>
        <v>1579699.1994235052</v>
      </c>
      <c r="AC42" s="22">
        <f>((Data!$AJ$33*'Intermediate calculations'!AC39)+Data!$AK$33)</f>
        <v>1592273.251350228</v>
      </c>
      <c r="AD42" s="22">
        <f>((Data!$AJ$33*'Intermediate calculations'!AD39)+Data!$AK$33)</f>
        <v>1589023.60472876</v>
      </c>
      <c r="AE42" s="22">
        <f>((Data!$AJ$33*'Intermediate calculations'!AE39)+Data!$AK$33)</f>
        <v>1597085.0065537831</v>
      </c>
      <c r="AF42" s="22">
        <f>((Data!$AJ$33*'Intermediate calculations'!AF39)+Data!$AK$33)</f>
        <v>1606556.3837569274</v>
      </c>
      <c r="AG42" s="22">
        <f>((Data!$AJ$33*'Intermediate calculations'!AG39)+Data!$AK$33)</f>
        <v>1415007.2775848059</v>
      </c>
      <c r="AH42" s="22">
        <f>((Data!$AJ$33*'Intermediate calculations'!AH39)+Data!$AK$33)</f>
        <v>1536701.5524080901</v>
      </c>
      <c r="AI42" s="22">
        <f>((Data!$AJ$33*'Intermediate calculations'!AI39)+Data!$AK$33)</f>
        <v>6744037.5073844781</v>
      </c>
      <c r="AJ42" s="22">
        <f>((Data!$AJ$33*'Intermediate calculations'!AJ39)+Data!$AK$33)</f>
        <v>6926771.222909837</v>
      </c>
      <c r="AK42" s="22">
        <f>((Data!$AJ$33*'Intermediate calculations'!AK39)+Data!$AK$33)</f>
        <v>7096652.2744911285</v>
      </c>
      <c r="AL42" s="22">
        <f>((Data!$AJ$33*'Intermediate calculations'!AL39)+Data!$AK$33)</f>
        <v>7253817.7845389731</v>
      </c>
      <c r="AM42" s="22">
        <f>((Data!$AJ$33*'Intermediate calculations'!AM39)+Data!$AK$33)</f>
        <v>7399283.9445061423</v>
      </c>
      <c r="AN42" s="22">
        <f>((Data!$AJ$33*'Intermediate calculations'!AN39)+Data!$AK$33)</f>
        <v>7532134.3050808385</v>
      </c>
      <c r="AO42" s="22">
        <f>((Data!$AJ$33*'Intermediate calculations'!AO39)+Data!$AK$33)</f>
        <v>7651590.9694257295</v>
      </c>
      <c r="AP42" s="22">
        <f>((Data!$AJ$33*'Intermediate calculations'!AP39)+Data!$AK$33)</f>
        <v>7756876.7418066533</v>
      </c>
      <c r="AQ42" s="22">
        <f>((Data!$AJ$33*'Intermediate calculations'!AQ39)+Data!$AK$33)</f>
        <v>7847260.7965885624</v>
      </c>
      <c r="AR42" s="22">
        <f>((Data!$AJ$33*'Intermediate calculations'!AR39)+Data!$AK$33)</f>
        <v>7922148.9778182991</v>
      </c>
      <c r="AS42" s="22">
        <f>((Data!$AJ$33*'Intermediate calculations'!AS39)+Data!$AK$33)</f>
        <v>7980967.6260799225</v>
      </c>
      <c r="AT42" s="22">
        <f>((Data!$AJ$33*'Intermediate calculations'!AT39)+Data!$AK$33)</f>
        <v>8023274.2061667563</v>
      </c>
      <c r="AU42" s="22">
        <f>((Data!$AJ$33*'Intermediate calculations'!AU39)+Data!$AK$33)</f>
        <v>8048765.200996832</v>
      </c>
      <c r="AV42" s="22">
        <f>((Data!$AJ$33*'Intermediate calculations'!AV39)+Data!$AK$33)</f>
        <v>8057159.2342558941</v>
      </c>
      <c r="AW42" s="22">
        <f>((Data!$AJ$33*'Intermediate calculations'!AW39)+Data!$AK$33)</f>
        <v>8048251.4419064689</v>
      </c>
      <c r="AX42" s="22">
        <f>((Data!$AJ$33*'Intermediate calculations'!AX39)+Data!$AK$33)</f>
        <v>-1729720.1729206841</v>
      </c>
      <c r="AY42" s="22">
        <f>((Data!$AJ$33*'Intermediate calculations'!AY39)+Data!$AK$33)</f>
        <v>-1743136.311613396</v>
      </c>
      <c r="AZ42" s="22">
        <f>((Data!$AJ$33*'Intermediate calculations'!AZ39)+Data!$AK$33)</f>
        <v>-1756219.4276671105</v>
      </c>
      <c r="BA42" s="22">
        <f>((Data!$AJ$33*'Intermediate calculations'!BA39)+Data!$AK$33)</f>
        <v>-1768989.271690482</v>
      </c>
      <c r="BB42" s="22">
        <f>((Data!$AJ$33*'Intermediate calculations'!BB39)+Data!$AK$33)</f>
        <v>-1781468.6113582687</v>
      </c>
      <c r="BC42" s="22">
        <f>((Data!$AJ$33*'Intermediate calculations'!BC39)+Data!$AK$33)</f>
        <v>-1793606.1565467217</v>
      </c>
      <c r="BD42" s="22">
        <f>((Data!$AJ$33*'Intermediate calculations'!BD39)+Data!$AK$33)</f>
        <v>-1805368.1328769685</v>
      </c>
      <c r="BE42" s="22">
        <f>((Data!$AJ$33*'Intermediate calculations'!BE39)+Data!$AK$33)</f>
        <v>-1816752.0540630533</v>
      </c>
      <c r="BF42" s="22">
        <f>((Data!$AJ$33*'Intermediate calculations'!BF39)+Data!$AK$33)</f>
        <v>-1827717.6925569393</v>
      </c>
      <c r="BG42" s="22">
        <f>((Data!$AJ$33*'Intermediate calculations'!BG39)+Data!$AK$33)</f>
        <v>-1838220.267275637</v>
      </c>
      <c r="BH42" s="22">
        <f>((Data!$AJ$33*'Intermediate calculations'!BH39)+Data!$AK$33)</f>
        <v>-1848255.8672075316</v>
      </c>
      <c r="BI42" s="22">
        <f>((Data!$AJ$33*'Intermediate calculations'!BI39)+Data!$AK$33)</f>
        <v>-1857832.9848349865</v>
      </c>
      <c r="BJ42" s="22">
        <f>((Data!$AJ$33*'Intermediate calculations'!BJ39)+Data!$AK$33)</f>
        <v>-1866957.9615839771</v>
      </c>
      <c r="BK42" s="22">
        <f>((Data!$AJ$33*'Intermediate calculations'!BK39)+Data!$AK$33)</f>
        <v>-1875587.1338034046</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170863.40739787833</v>
      </c>
      <c r="AA47" s="22">
        <f>((Data!$AJ$12*((Drivers!AB5*1000000)/Drivers!AB4))+Data!$AK$12)*Drivers!AB4</f>
        <v>169755.4693978721</v>
      </c>
      <c r="AB47" s="22">
        <f>((Data!$AJ$12*((Drivers!AC5*1000000)/Drivers!AC4))+Data!$AK$12)*Drivers!AC4</f>
        <v>171589.57169404562</v>
      </c>
      <c r="AC47" s="22">
        <f>((Data!$AJ$12*((Drivers!AD5*1000000)/Drivers!AD4))+Data!$AK$12)*Drivers!AD4</f>
        <v>175485.07841312457</v>
      </c>
      <c r="AD47" s="22">
        <f>((Data!$AJ$12*((Drivers!AE5*1000000)/Drivers!AE4))+Data!$AK$12)*Drivers!AE4</f>
        <v>181497.64372653185</v>
      </c>
      <c r="AE47" s="22">
        <f>((Data!$AJ$12*((Drivers!AF5*1000000)/Drivers!AF4))+Data!$AK$12)*Drivers!AF4</f>
        <v>186216.93108293595</v>
      </c>
      <c r="AF47" s="22">
        <f>((Data!$AJ$12*((Drivers!AG5*1000000)/Drivers!AG4))+Data!$AK$12)*Drivers!AG4</f>
        <v>190857.7404512353</v>
      </c>
      <c r="AG47" s="22">
        <f>((Data!$AJ$12*((Drivers!AH5*1000000)/Drivers!AH4))+Data!$AK$12)*Drivers!AH4</f>
        <v>216752.83094692047</v>
      </c>
      <c r="AH47" s="22">
        <f>((Data!$AJ$12*((Drivers!AI5*1000000)/Drivers!AI4))+Data!$AK$12)*Drivers!AI4</f>
        <v>205708.9648713411</v>
      </c>
      <c r="AI47" s="22">
        <f>((Data!$AJ$12*((Drivers!AJ5*1000000)/Drivers!AJ4))+Data!$AK$12)*Drivers!AJ4</f>
        <v>-421106.56588655035</v>
      </c>
      <c r="AJ47" s="22">
        <f>((Data!$AJ$12*((Drivers!AK5*1000000)/Drivers!AK4))+Data!$AK$12)*Drivers!AK4</f>
        <v>-439968.81992349261</v>
      </c>
      <c r="AK47" s="22">
        <f>((Data!$AJ$12*((Drivers!AL5*1000000)/Drivers!AL4))+Data!$AK$12)*Drivers!AL4</f>
        <v>-456745.99717164511</v>
      </c>
      <c r="AL47" s="22">
        <f>((Data!$AJ$12*((Drivers!AM5*1000000)/Drivers!AM4))+Data!$AK$12)*Drivers!AM4</f>
        <v>-471691.31101628137</v>
      </c>
      <c r="AM47" s="22">
        <f>((Data!$AJ$12*((Drivers!AN5*1000000)/Drivers!AN4))+Data!$AK$12)*Drivers!AN4</f>
        <v>-485351.55189031863</v>
      </c>
      <c r="AN47" s="22">
        <f>((Data!$AJ$12*((Drivers!AO5*1000000)/Drivers!AO4))+Data!$AK$12)*Drivers!AO4</f>
        <v>-497598.28064669756</v>
      </c>
      <c r="AO47" s="22">
        <f>((Data!$AJ$12*((Drivers!AP5*1000000)/Drivers!AP4))+Data!$AK$12)*Drivers!AP4</f>
        <v>-508338.70201383217</v>
      </c>
      <c r="AP47" s="22">
        <f>((Data!$AJ$12*((Drivers!AQ5*1000000)/Drivers!AQ4))+Data!$AK$12)*Drivers!AQ4</f>
        <v>-517466.74232024868</v>
      </c>
      <c r="AQ47" s="22">
        <f>((Data!$AJ$12*((Drivers!AR5*1000000)/Drivers!AR4))+Data!$AK$12)*Drivers!AR4</f>
        <v>-524877.34590436646</v>
      </c>
      <c r="AR47" s="22">
        <f>((Data!$AJ$12*((Drivers!AS5*1000000)/Drivers!AS4))+Data!$AK$12)*Drivers!AS4</f>
        <v>-530496.2319127064</v>
      </c>
      <c r="AS47" s="22">
        <f>((Data!$AJ$12*((Drivers!AT5*1000000)/Drivers!AT4))+Data!$AK$12)*Drivers!AT4</f>
        <v>-534238.75286534184</v>
      </c>
      <c r="AT47" s="22">
        <f>((Data!$AJ$12*((Drivers!AU5*1000000)/Drivers!AU4))+Data!$AK$12)*Drivers!AU4</f>
        <v>-536046.90763009863</v>
      </c>
      <c r="AU47" s="22">
        <f>((Data!$AJ$12*((Drivers!AV5*1000000)/Drivers!AV4))+Data!$AK$12)*Drivers!AV4</f>
        <v>-535891.16855458613</v>
      </c>
      <c r="AV47" s="22">
        <f>((Data!$AJ$12*((Drivers!AW5*1000000)/Drivers!AW4))+Data!$AK$12)*Drivers!AW4</f>
        <v>-533729.55387878057</v>
      </c>
      <c r="AW47" s="22">
        <f>((Data!$AJ$12*((Drivers!AX5*1000000)/Drivers!AX4))+Data!$AK$12)*Drivers!AX4</f>
        <v>-529525.78037461569</v>
      </c>
      <c r="AX47" s="22">
        <f>((Data!$AJ$12*((Drivers!AY5*1000000)/Drivers!AY4))+Data!$AK$12)*Drivers!AY4</f>
        <v>656399.84338366624</v>
      </c>
      <c r="AY47" s="22">
        <f>((Data!$AJ$12*((Drivers!AZ5*1000000)/Drivers!AZ4))+Data!$AK$12)*Drivers!AZ4</f>
        <v>661014.73817082215</v>
      </c>
      <c r="AZ47" s="22">
        <f>((Data!$AJ$12*((Drivers!BA5*1000000)/Drivers!BA4))+Data!$AK$12)*Drivers!BA4</f>
        <v>665515.07954764774</v>
      </c>
      <c r="BA47" s="22">
        <f>((Data!$AJ$12*((Drivers!BB5*1000000)/Drivers!BB4))+Data!$AK$12)*Drivers!BB4</f>
        <v>669907.66134529014</v>
      </c>
      <c r="BB47" s="22">
        <f>((Data!$AJ$12*((Drivers!BC5*1000000)/Drivers!BC4))+Data!$AK$12)*Drivers!BC4</f>
        <v>674200.31520785799</v>
      </c>
      <c r="BC47" s="22">
        <f>((Data!$AJ$12*((Drivers!BD5*1000000)/Drivers!BD4))+Data!$AK$12)*Drivers!BD4</f>
        <v>678375.39831500349</v>
      </c>
      <c r="BD47" s="22">
        <f>((Data!$AJ$12*((Drivers!BE5*1000000)/Drivers!BE4))+Data!$AK$12)*Drivers!BE4</f>
        <v>682421.29292718379</v>
      </c>
      <c r="BE47" s="22">
        <f>((Data!$AJ$12*((Drivers!BF5*1000000)/Drivers!BF4))+Data!$AK$12)*Drivers!BF4</f>
        <v>686337.14380964346</v>
      </c>
      <c r="BF47" s="22">
        <f>((Data!$AJ$12*((Drivers!BG5*1000000)/Drivers!BG4))+Data!$AK$12)*Drivers!BG4</f>
        <v>690109.11345622747</v>
      </c>
      <c r="BG47" s="22">
        <f>((Data!$AJ$12*((Drivers!BH5*1000000)/Drivers!BH4))+Data!$AK$12)*Drivers!BH4</f>
        <v>693721.79803195875</v>
      </c>
      <c r="BH47" s="22">
        <f>((Data!$AJ$12*((Drivers!BI5*1000000)/Drivers!BI4))+Data!$AK$12)*Drivers!BI4</f>
        <v>697173.85222373914</v>
      </c>
      <c r="BI47" s="22">
        <f>((Data!$AJ$12*((Drivers!BJ5*1000000)/Drivers!BJ4))+Data!$AK$12)*Drivers!BJ4</f>
        <v>700468.19728286786</v>
      </c>
      <c r="BJ47" s="22">
        <f>((Data!$AJ$12*((Drivers!BK5*1000000)/Drivers!BK4))+Data!$AK$12)*Drivers!BK4</f>
        <v>703607.01453844015</v>
      </c>
      <c r="BK47" s="22">
        <f>((Data!$AJ$12*((Drivers!BL5*1000000)/Drivers!BL4))+Data!$AK$12)*Drivers!BL4</f>
        <v>706575.28453065036</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178443.63035186304</v>
      </c>
      <c r="Z49" s="22">
        <f>((Data!$AJ$44*'Intermediate calculations'!Z47)+Data!$AK$44)</f>
        <v>178577.37849101148</v>
      </c>
      <c r="AA49" s="22">
        <f>((Data!$AJ$44*'Intermediate calculations'!AA47)+Data!$AK$44)</f>
        <v>177479.77276790631</v>
      </c>
      <c r="AB49" s="22">
        <f>((Data!$AJ$44*'Intermediate calculations'!AB47)+Data!$AK$44)</f>
        <v>179296.77081024175</v>
      </c>
      <c r="AC49" s="22">
        <f>((Data!$AJ$44*'Intermediate calculations'!AC47)+Data!$AK$44)</f>
        <v>183155.94927440822</v>
      </c>
      <c r="AD49" s="22">
        <f>((Data!$AJ$44*'Intermediate calculations'!AD47)+Data!$AK$44)</f>
        <v>189112.44331875216</v>
      </c>
      <c r="AE49" s="22">
        <f>((Data!$AJ$44*'Intermediate calculations'!AE47)+Data!$AK$44)</f>
        <v>193787.72010440068</v>
      </c>
      <c r="AF49" s="22">
        <f>((Data!$AJ$44*'Intermediate calculations'!AF47)+Data!$AK$44)</f>
        <v>198385.25076266567</v>
      </c>
      <c r="AG49" s="22">
        <f>((Data!$AJ$44*'Intermediate calculations'!AG47)+Data!$AK$44)</f>
        <v>224038.85189217876</v>
      </c>
      <c r="AH49" s="22">
        <f>((Data!$AJ$44*'Intermediate calculations'!AH47)+Data!$AK$44)</f>
        <v>213097.97739406175</v>
      </c>
      <c r="AI49" s="22">
        <f>((Data!$AJ$44*'Intermediate calculations'!AI47)+Data!$AK$44)</f>
        <v>-407872.07136967435</v>
      </c>
      <c r="AJ49" s="22">
        <f>((Data!$AJ$44*'Intermediate calculations'!AJ47)+Data!$AK$44)</f>
        <v>-426558.42203324486</v>
      </c>
      <c r="AK49" s="22">
        <f>((Data!$AJ$44*'Intermediate calculations'!AK47)+Data!$AK$44)</f>
        <v>-443179.14067004441</v>
      </c>
      <c r="AL49" s="22">
        <f>((Data!$AJ$44*'Intermediate calculations'!AL47)+Data!$AK$44)</f>
        <v>-457985.079277966</v>
      </c>
      <c r="AM49" s="22">
        <f>((Data!$AJ$44*'Intermediate calculations'!AM47)+Data!$AK$44)</f>
        <v>-471517.9290965065</v>
      </c>
      <c r="AN49" s="22">
        <f>((Data!$AJ$44*'Intermediate calculations'!AN47)+Data!$AK$44)</f>
        <v>-483650.44876118319</v>
      </c>
      <c r="AO49" s="22">
        <f>((Data!$AJ$44*'Intermediate calculations'!AO47)+Data!$AK$44)</f>
        <v>-494290.70837955683</v>
      </c>
      <c r="AP49" s="22">
        <f>((Data!$AJ$44*'Intermediate calculations'!AP47)+Data!$AK$44)</f>
        <v>-503333.6234894286</v>
      </c>
      <c r="AQ49" s="22">
        <f>((Data!$AJ$44*'Intermediate calculations'!AQ47)+Data!$AK$44)</f>
        <v>-510675.11814485659</v>
      </c>
      <c r="AR49" s="22">
        <f>((Data!$AJ$44*'Intermediate calculations'!AR47)+Data!$AK$44)</f>
        <v>-516241.60421194229</v>
      </c>
      <c r="AS49" s="22">
        <f>((Data!$AJ$44*'Intermediate calculations'!AS47)+Data!$AK$44)</f>
        <v>-519949.22360619588</v>
      </c>
      <c r="AT49" s="22">
        <f>((Data!$AJ$44*'Intermediate calculations'!AT47)+Data!$AK$44)</f>
        <v>-521740.51609552815</v>
      </c>
      <c r="AU49" s="22">
        <f>((Data!$AJ$44*'Intermediate calculations'!AU47)+Data!$AK$44)</f>
        <v>-521586.2293930297</v>
      </c>
      <c r="AV49" s="22">
        <f>((Data!$AJ$44*'Intermediate calculations'!AV47)+Data!$AK$44)</f>
        <v>-519444.77324719937</v>
      </c>
      <c r="AW49" s="22">
        <f>((Data!$AJ$44*'Intermediate calculations'!AW47)+Data!$AK$44)</f>
        <v>-515280.20279579936</v>
      </c>
      <c r="AX49" s="22">
        <f>((Data!$AJ$44*'Intermediate calculations'!AX47)+Data!$AK$44)</f>
        <v>659585.85632198211</v>
      </c>
      <c r="AY49" s="22">
        <f>((Data!$AJ$44*'Intermediate calculations'!AY47)+Data!$AK$44)</f>
        <v>664157.7140702334</v>
      </c>
      <c r="AZ49" s="22">
        <f>((Data!$AJ$44*'Intermediate calculations'!AZ47)+Data!$AK$44)</f>
        <v>668616.08669677295</v>
      </c>
      <c r="BA49" s="22">
        <f>((Data!$AJ$44*'Intermediate calculations'!BA47)+Data!$AK$44)</f>
        <v>672967.70467564254</v>
      </c>
      <c r="BB49" s="22">
        <f>((Data!$AJ$44*'Intermediate calculations'!BB47)+Data!$AK$44)</f>
        <v>677220.32661553228</v>
      </c>
      <c r="BC49" s="22">
        <f>((Data!$AJ$44*'Intermediate calculations'!BC47)+Data!$AK$44)</f>
        <v>681356.47422741738</v>
      </c>
      <c r="BD49" s="22">
        <f>((Data!$AJ$44*'Intermediate calculations'!BD47)+Data!$AK$44)</f>
        <v>685364.63811509393</v>
      </c>
      <c r="BE49" s="22">
        <f>((Data!$AJ$44*'Intermediate calculations'!BE47)+Data!$AK$44)</f>
        <v>689243.97101945314</v>
      </c>
      <c r="BF49" s="22">
        <f>((Data!$AJ$44*'Intermediate calculations'!BF47)+Data!$AK$44)</f>
        <v>692980.76447851525</v>
      </c>
      <c r="BG49" s="22">
        <f>((Data!$AJ$44*'Intermediate calculations'!BG47)+Data!$AK$44)</f>
        <v>696559.75830856175</v>
      </c>
      <c r="BH49" s="22">
        <f>((Data!$AJ$44*'Intermediate calculations'!BH47)+Data!$AK$44)</f>
        <v>699979.61974245613</v>
      </c>
      <c r="BI49" s="22">
        <f>((Data!$AJ$44*'Intermediate calculations'!BI47)+Data!$AK$44)</f>
        <v>703243.24278883822</v>
      </c>
      <c r="BJ49" s="22">
        <f>((Data!$AJ$44*'Intermediate calculations'!BJ47)+Data!$AK$44)</f>
        <v>706352.78843442316</v>
      </c>
      <c r="BK49" s="22">
        <f>((Data!$AJ$44*'Intermediate calculations'!BK47)+Data!$AK$44)</f>
        <v>709293.37728610344</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2733703.1155667915</v>
      </c>
      <c r="AE50" s="22">
        <f>AE15*Constants!$H$29*Constants!$H$35</f>
        <v>2761702.3021248789</v>
      </c>
      <c r="AF50" s="22">
        <f>AF15*Constants!$H$29*Constants!$H$35</f>
        <v>2790651.9542421014</v>
      </c>
      <c r="AG50" s="22">
        <f>AG15*Constants!$H$29*Constants!$H$35</f>
        <v>2728043.3080033576</v>
      </c>
      <c r="AH50" s="22">
        <f>AH15*Constants!$H$29*Constants!$H$35</f>
        <v>2791431.3268790971</v>
      </c>
      <c r="AI50" s="22">
        <f>AI15*Constants!$H$29*Constants!$H$35</f>
        <v>4830342.8074619481</v>
      </c>
      <c r="AJ50" s="22">
        <f>AJ15*Constants!$H$29*Constants!$H$35</f>
        <v>4915574.1699939705</v>
      </c>
      <c r="AK50" s="22">
        <f>AK15*Constants!$H$29*Constants!$H$35</f>
        <v>4998122.1133751823</v>
      </c>
      <c r="AL50" s="22">
        <f>AL15*Constants!$H$29*Constants!$H$35</f>
        <v>5077006.7881843727</v>
      </c>
      <c r="AM50" s="22">
        <f>AM15*Constants!$H$29*Constants!$H$35</f>
        <v>5150772.7137066694</v>
      </c>
      <c r="AN50" s="22">
        <f>AN15*Constants!$H$29*Constants!$H$35</f>
        <v>5219140.1957066124</v>
      </c>
      <c r="AO50" s="22">
        <f>AO15*Constants!$H$29*Constants!$H$35</f>
        <v>5281800.9778110469</v>
      </c>
      <c r="AP50" s="22">
        <f>AP15*Constants!$H$29*Constants!$H$35</f>
        <v>5338505.4242451368</v>
      </c>
      <c r="AQ50" s="22">
        <f>AQ15*Constants!$H$29*Constants!$H$35</f>
        <v>5389041.9814996962</v>
      </c>
      <c r="AR50" s="22">
        <f>AR15*Constants!$H$29*Constants!$H$35</f>
        <v>5433190.0670235986</v>
      </c>
      <c r="AS50" s="22">
        <f>AS15*Constants!$H$29*Constants!$H$35</f>
        <v>5470793.1600632202</v>
      </c>
      <c r="AT50" s="22">
        <f>AT15*Constants!$H$29*Constants!$H$35</f>
        <v>5501698.6510613766</v>
      </c>
      <c r="AU50" s="22">
        <f>AU15*Constants!$H$29*Constants!$H$35</f>
        <v>5525757.1035471195</v>
      </c>
      <c r="AV50" s="22">
        <f>AV15*Constants!$H$29*Constants!$H$35</f>
        <v>5542893.7654012581</v>
      </c>
      <c r="AW50" s="22">
        <f>AW15*Constants!$H$29*Constants!$H$35</f>
        <v>5553079.1743311444</v>
      </c>
      <c r="AX50" s="22">
        <f>AX15*Constants!$H$29*Constants!$H$35</f>
        <v>1763567.5731205288</v>
      </c>
      <c r="AY50" s="22">
        <f>AY15*Constants!$H$29*Constants!$H$35</f>
        <v>1771413.3441744447</v>
      </c>
      <c r="AZ50" s="22">
        <f>AZ15*Constants!$H$29*Constants!$H$35</f>
        <v>1779064.3632627474</v>
      </c>
      <c r="BA50" s="22">
        <f>BA15*Constants!$H$29*Constants!$H$35</f>
        <v>1786532.1805607316</v>
      </c>
      <c r="BB50" s="22">
        <f>BB15*Constants!$H$29*Constants!$H$35</f>
        <v>1793830.1106269055</v>
      </c>
      <c r="BC50" s="22">
        <f>BC15*Constants!$H$29*Constants!$H$35</f>
        <v>1800928.1589466424</v>
      </c>
      <c r="BD50" s="22">
        <f>BD15*Constants!$H$29*Constants!$H$35</f>
        <v>1807806.5742300821</v>
      </c>
      <c r="BE50" s="22">
        <f>BE15*Constants!$H$29*Constants!$H$35</f>
        <v>1814463.9024947612</v>
      </c>
      <c r="BF50" s="22">
        <f>BF15*Constants!$H$29*Constants!$H$35</f>
        <v>1820876.6186311685</v>
      </c>
      <c r="BG50" s="22">
        <f>BG15*Constants!$H$29*Constants!$H$35</f>
        <v>1827018.5346180915</v>
      </c>
      <c r="BH50" s="22">
        <f>BH15*Constants!$H$29*Constants!$H$35</f>
        <v>1832887.3632921057</v>
      </c>
      <c r="BI50" s="22">
        <f>BI15*Constants!$H$29*Constants!$H$35</f>
        <v>1838488.0710652189</v>
      </c>
      <c r="BJ50" s="22">
        <f>BJ15*Constants!$H$29*Constants!$H$35</f>
        <v>1843824.3664095551</v>
      </c>
      <c r="BK50" s="22">
        <f>BK15*Constants!$H$29*Constants!$H$35</f>
        <v>1848870.7147791658</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3635202.1454829946</v>
      </c>
      <c r="AA51" s="22">
        <f>AA8*Constants!$H$30*Constants!$H$36</f>
        <v>3749346.479849041</v>
      </c>
      <c r="AB51" s="22">
        <f>AB8*Constants!$H$30*Constants!$H$36</f>
        <v>3826616.7417984675</v>
      </c>
      <c r="AC51" s="22">
        <f>AC8*Constants!$H$30*Constants!$H$36</f>
        <v>3879298.5642415797</v>
      </c>
      <c r="AD51" s="22">
        <f>AD8*Constants!$H$30*Constants!$H$36</f>
        <v>3906775.782761578</v>
      </c>
      <c r="AE51" s="22">
        <f>AE8*Constants!$H$30*Constants!$H$36</f>
        <v>3953557.7830203283</v>
      </c>
      <c r="AF51" s="22">
        <f>AF8*Constants!$H$30*Constants!$H$36</f>
        <v>4003230.5614012098</v>
      </c>
      <c r="AG51" s="22">
        <f>AG8*Constants!$H$30*Constants!$H$36</f>
        <v>3699690.625919044</v>
      </c>
      <c r="AH51" s="22">
        <f>AH8*Constants!$H$30*Constants!$H$36</f>
        <v>3924192.1715829903</v>
      </c>
      <c r="AI51" s="22">
        <f>AI8*Constants!$H$30*Constants!$H$36</f>
        <v>12627705.701083718</v>
      </c>
      <c r="AJ51" s="22">
        <f>AJ8*Constants!$H$30*Constants!$H$36</f>
        <v>12951471.096519815</v>
      </c>
      <c r="AK51" s="22">
        <f>AK8*Constants!$H$30*Constants!$H$36</f>
        <v>13256904.050956437</v>
      </c>
      <c r="AL51" s="22">
        <f>AL8*Constants!$H$30*Constants!$H$36</f>
        <v>13542848.021504149</v>
      </c>
      <c r="AM51" s="22">
        <f>AM8*Constants!$H$30*Constants!$H$36</f>
        <v>13808516.544521784</v>
      </c>
      <c r="AN51" s="22">
        <f>AN8*Constants!$H$30*Constants!$H$36</f>
        <v>14052483.976378854</v>
      </c>
      <c r="AO51" s="22">
        <f>AO8*Constants!$H$30*Constants!$H$36</f>
        <v>14273445.218510533</v>
      </c>
      <c r="AP51" s="22">
        <f>AP8*Constants!$H$30*Constants!$H$36</f>
        <v>14470174.572301976</v>
      </c>
      <c r="AQ51" s="22">
        <f>AQ8*Constants!$H$30*Constants!$H$36</f>
        <v>14641550.55819119</v>
      </c>
      <c r="AR51" s="22">
        <f>AR8*Constants!$H$30*Constants!$H$36</f>
        <v>14786596.272405742</v>
      </c>
      <c r="AS51" s="22">
        <f>AS8*Constants!$H$30*Constants!$H$36</f>
        <v>14904444.200453904</v>
      </c>
      <c r="AT51" s="22">
        <f>AT8*Constants!$H$30*Constants!$H$36</f>
        <v>14994382.395925252</v>
      </c>
      <c r="AU51" s="22">
        <f>AU8*Constants!$H$30*Constants!$H$36</f>
        <v>15055862.540645616</v>
      </c>
      <c r="AV51" s="22">
        <f>AV8*Constants!$H$30*Constants!$H$36</f>
        <v>15088461.83301086</v>
      </c>
      <c r="AW51" s="22">
        <f>AW8*Constants!$H$30*Constants!$H$36</f>
        <v>15091905.909836555</v>
      </c>
      <c r="AX51" s="22">
        <f>AX8*Constants!$H$30*Constants!$H$36</f>
        <v>-1198635.351932253</v>
      </c>
      <c r="AY51" s="22">
        <f>AY8*Constants!$H$30*Constants!$H$36</f>
        <v>-1203496.6513988604</v>
      </c>
      <c r="AZ51" s="22">
        <f>AZ8*Constants!$H$30*Constants!$H$36</f>
        <v>-1208237.2810651318</v>
      </c>
      <c r="BA51" s="22">
        <f>BA8*Constants!$H$30*Constants!$H$36</f>
        <v>-1212864.3975075996</v>
      </c>
      <c r="BB51" s="22">
        <f>BB8*Constants!$H$30*Constants!$H$36</f>
        <v>-1217386.2505280648</v>
      </c>
      <c r="BC51" s="22">
        <f>BC8*Constants!$H$30*Constants!$H$36</f>
        <v>-1221784.2552969481</v>
      </c>
      <c r="BD51" s="22">
        <f>BD8*Constants!$H$30*Constants!$H$36</f>
        <v>-1226046.1737647064</v>
      </c>
      <c r="BE51" s="22">
        <f>BE8*Constants!$H$30*Constants!$H$36</f>
        <v>-1230171.1050327381</v>
      </c>
      <c r="BF51" s="22">
        <f>BF8*Constants!$H$30*Constants!$H$36</f>
        <v>-1234144.4727641174</v>
      </c>
      <c r="BG51" s="22">
        <f>BG8*Constants!$H$30*Constants!$H$36</f>
        <v>-1237950.0506615601</v>
      </c>
      <c r="BH51" s="22">
        <f>BH8*Constants!$H$30*Constants!$H$36</f>
        <v>-1241586.4215811978</v>
      </c>
      <c r="BI51" s="22">
        <f>BI8*Constants!$H$30*Constants!$H$36</f>
        <v>-1245056.6627497145</v>
      </c>
      <c r="BJ51" s="22">
        <f>BJ8*Constants!$H$30*Constants!$H$36</f>
        <v>-1248363.0719646676</v>
      </c>
      <c r="BK51" s="22">
        <f>BK8*Constants!$H$30*Constants!$H$36</f>
        <v>-1251489.8278270198</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679990.27654666023</v>
      </c>
      <c r="AH52" s="22">
        <f>AH18*Constants!$H$31*Constants!$H$37</f>
        <v>684832.77291208773</v>
      </c>
      <c r="AI52" s="22">
        <f>AI18*Constants!$H$31*Constants!$H$37</f>
        <v>698371.69661730621</v>
      </c>
      <c r="AJ52" s="22">
        <f>AJ18*Constants!$H$31*Constants!$H$37</f>
        <v>702781.53391864733</v>
      </c>
      <c r="AK52" s="22">
        <f>AK18*Constants!$H$31*Constants!$H$37</f>
        <v>707833.45331024216</v>
      </c>
      <c r="AL52" s="22">
        <f>AL18*Constants!$H$31*Constants!$H$37</f>
        <v>713230.59660695691</v>
      </c>
      <c r="AM52" s="22">
        <f>AM18*Constants!$H$31*Constants!$H$37</f>
        <v>718442.63357870129</v>
      </c>
      <c r="AN52" s="22">
        <f>AN18*Constants!$H$31*Constants!$H$37</f>
        <v>723489.93913246365</v>
      </c>
      <c r="AO52" s="22">
        <f>AO18*Constants!$H$31*Constants!$H$37</f>
        <v>728369.43422993575</v>
      </c>
      <c r="AP52" s="22">
        <f>AP18*Constants!$H$31*Constants!$H$37</f>
        <v>733094.82023039029</v>
      </c>
      <c r="AQ52" s="22">
        <f>AQ18*Constants!$H$31*Constants!$H$37</f>
        <v>737685.64923976862</v>
      </c>
      <c r="AR52" s="22">
        <f>AR18*Constants!$H$31*Constants!$H$37</f>
        <v>742143.84364939656</v>
      </c>
      <c r="AS52" s="22">
        <f>AS18*Constants!$H$31*Constants!$H$37</f>
        <v>746487.49353765522</v>
      </c>
      <c r="AT52" s="22">
        <f>AT18*Constants!$H$31*Constants!$H$37</f>
        <v>750721.39047524787</v>
      </c>
      <c r="AU52" s="22">
        <f>AU18*Constants!$H$31*Constants!$H$37</f>
        <v>754835.94696113886</v>
      </c>
      <c r="AV52" s="22">
        <f>AV18*Constants!$H$31*Constants!$H$37</f>
        <v>758840.617047515</v>
      </c>
      <c r="AW52" s="22">
        <f>AW18*Constants!$H$31*Constants!$H$37</f>
        <v>762749.46266587113</v>
      </c>
      <c r="AX52" s="22">
        <f>AX18*Constants!$H$31*Constants!$H$37</f>
        <v>748546.24382817303</v>
      </c>
      <c r="AY52" s="22">
        <f>AY18*Constants!$H$31*Constants!$H$37</f>
        <v>752278.1840233251</v>
      </c>
      <c r="AZ52" s="22">
        <f>AZ18*Constants!$H$31*Constants!$H$37</f>
        <v>755917.48798380222</v>
      </c>
      <c r="BA52" s="22">
        <f>BA18*Constants!$H$31*Constants!$H$37</f>
        <v>759469.64969651098</v>
      </c>
      <c r="BB52" s="22">
        <f>BB18*Constants!$H$31*Constants!$H$37</f>
        <v>762941.00239954086</v>
      </c>
      <c r="BC52" s="22">
        <f>BC18*Constants!$H$31*Constants!$H$37</f>
        <v>766317.2788227913</v>
      </c>
      <c r="BD52" s="22">
        <f>BD18*Constants!$H$31*Constants!$H$37</f>
        <v>769589.08401552693</v>
      </c>
      <c r="BE52" s="22">
        <f>BE18*Constants!$H$31*Constants!$H$37</f>
        <v>772755.72637260647</v>
      </c>
      <c r="BF52" s="22">
        <f>BF18*Constants!$H$31*Constants!$H$37</f>
        <v>775806.01587826503</v>
      </c>
      <c r="BG52" s="22">
        <f>BG18*Constants!$H$31*Constants!$H$37</f>
        <v>778727.49586912012</v>
      </c>
      <c r="BH52" s="22">
        <f>BH18*Constants!$H$31*Constants!$H$37</f>
        <v>781519.07842697238</v>
      </c>
      <c r="BI52" s="22">
        <f>BI18*Constants!$H$31*Constants!$H$37</f>
        <v>784183.12588848348</v>
      </c>
      <c r="BJ52" s="22">
        <f>BJ18*Constants!$H$31*Constants!$H$37</f>
        <v>786721.40223530494</v>
      </c>
      <c r="BK52" s="22">
        <f>BK18*Constants!$H$31*Constants!$H$37</f>
        <v>789121.76163782552</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107578.64992070248</v>
      </c>
      <c r="AA53" s="22">
        <f>AA32*Constants!$H$32*Constants!$H$38</f>
        <v>110633.12591910691</v>
      </c>
      <c r="AB53" s="22">
        <f>AB32*Constants!$H$32*Constants!$H$38</f>
        <v>112582.26561288942</v>
      </c>
      <c r="AC53" s="22">
        <f>AC32*Constants!$H$32*Constants!$H$38</f>
        <v>113789.77241225369</v>
      </c>
      <c r="AD53" s="22">
        <f>AD32*Constants!$H$32*Constants!$H$38</f>
        <v>114236.87821044908</v>
      </c>
      <c r="AE53" s="22">
        <f>AE32*Constants!$H$32*Constants!$H$38</f>
        <v>115251.3290570954</v>
      </c>
      <c r="AF53" s="22">
        <f>AF32*Constants!$H$32*Constants!$H$38</f>
        <v>116345.45035452004</v>
      </c>
      <c r="AG53" s="22">
        <f>AG32*Constants!$H$32*Constants!$H$38</f>
        <v>107169.58989206764</v>
      </c>
      <c r="AH53" s="22">
        <f>AH32*Constants!$H$32*Constants!$H$38</f>
        <v>113584.03437243045</v>
      </c>
      <c r="AI53" s="22">
        <f>AI32*Constants!$H$32*Constants!$H$38</f>
        <v>371377.74256830272</v>
      </c>
      <c r="AJ53" s="22">
        <f>AJ32*Constants!$H$32*Constants!$H$38</f>
        <v>380763.05995951442</v>
      </c>
      <c r="AK53" s="22">
        <f>AK32*Constants!$H$32*Constants!$H$38</f>
        <v>389570.28029629216</v>
      </c>
      <c r="AL53" s="22">
        <f>AL32*Constants!$H$32*Constants!$H$38</f>
        <v>397780.59082350478</v>
      </c>
      <c r="AM53" s="22">
        <f>AM32*Constants!$H$32*Constants!$H$38</f>
        <v>405398.39046323596</v>
      </c>
      <c r="AN53" s="22">
        <f>AN32*Constants!$H$32*Constants!$H$38</f>
        <v>412380.26986377622</v>
      </c>
      <c r="AO53" s="22">
        <f>AO32*Constants!$H$32*Constants!$H$38</f>
        <v>418687.62755771901</v>
      </c>
      <c r="AP53" s="22">
        <f>AP32*Constants!$H$32*Constants!$H$38</f>
        <v>424283.34203892259</v>
      </c>
      <c r="AQ53" s="22">
        <f>AQ32*Constants!$H$32*Constants!$H$38</f>
        <v>429133.08097324171</v>
      </c>
      <c r="AR53" s="22">
        <f>AR32*Constants!$H$32*Constants!$H$38</f>
        <v>433207.7288037283</v>
      </c>
      <c r="AS53" s="22">
        <f>AS32*Constants!$H$32*Constants!$H$38</f>
        <v>436480.57271475979</v>
      </c>
      <c r="AT53" s="22">
        <f>AT32*Constants!$H$32*Constants!$H$38</f>
        <v>438930.21645263332</v>
      </c>
      <c r="AU53" s="22">
        <f>AU32*Constants!$H$32*Constants!$H$38</f>
        <v>440540.87627654965</v>
      </c>
      <c r="AV53" s="22">
        <f>AV32*Constants!$H$32*Constants!$H$38</f>
        <v>441299.49976347061</v>
      </c>
      <c r="AW53" s="22">
        <f>AW32*Constants!$H$32*Constants!$H$38</f>
        <v>441197.20207011059</v>
      </c>
      <c r="AX53" s="22">
        <f>AX32*Constants!$H$32*Constants!$H$38</f>
        <v>-41903.422787141775</v>
      </c>
      <c r="AY53" s="22">
        <f>AY32*Constants!$H$32*Constants!$H$38</f>
        <v>-42243.138504858129</v>
      </c>
      <c r="AZ53" s="22">
        <f>AZ32*Constants!$H$32*Constants!$H$38</f>
        <v>-42574.421615591651</v>
      </c>
      <c r="BA53" s="22">
        <f>BA32*Constants!$H$32*Constants!$H$38</f>
        <v>-42897.772232851014</v>
      </c>
      <c r="BB53" s="22">
        <f>BB32*Constants!$H$32*Constants!$H$38</f>
        <v>-43213.766866550737</v>
      </c>
      <c r="BC53" s="22">
        <f>BC32*Constants!$H$32*Constants!$H$38</f>
        <v>-43521.10677779137</v>
      </c>
      <c r="BD53" s="22">
        <f>BD32*Constants!$H$32*Constants!$H$38</f>
        <v>-43818.936751251851</v>
      </c>
      <c r="BE53" s="22">
        <f>BE32*Constants!$H$32*Constants!$H$38</f>
        <v>-44107.193830634758</v>
      </c>
      <c r="BF53" s="22">
        <f>BF32*Constants!$H$32*Constants!$H$38</f>
        <v>-44384.85939719544</v>
      </c>
      <c r="BG53" s="22">
        <f>BG32*Constants!$H$32*Constants!$H$38</f>
        <v>-44650.799530206299</v>
      </c>
      <c r="BH53" s="22">
        <f>BH32*Constants!$H$32*Constants!$H$38</f>
        <v>-44904.915197289389</v>
      </c>
      <c r="BI53" s="22">
        <f>BI32*Constants!$H$32*Constants!$H$38</f>
        <v>-45147.421440179693</v>
      </c>
      <c r="BJ53" s="22">
        <f>BJ32*Constants!$H$32*Constants!$H$38</f>
        <v>-45378.478832804329</v>
      </c>
      <c r="BK53" s="22">
        <f>BK32*Constants!$H$32*Constants!$H$38</f>
        <v>-45596.981749400831</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538778.4602361389</v>
      </c>
      <c r="Z54" s="22">
        <f>Z37*Constants!$H$33*Constants!$H$39</f>
        <v>549708.83784329332</v>
      </c>
      <c r="AA54" s="22">
        <f>AA37*Constants!$H$33*Constants!$H$39</f>
        <v>562489.85077835247</v>
      </c>
      <c r="AB54" s="22">
        <f>AB37*Constants!$H$33*Constants!$H$39</f>
        <v>572297.31689049094</v>
      </c>
      <c r="AC54" s="22">
        <f>AC37*Constants!$H$33*Constants!$H$39</f>
        <v>580166.48120341275</v>
      </c>
      <c r="AD54" s="22">
        <f>AD37*Constants!$H$33*Constants!$H$39</f>
        <v>586050.55870402534</v>
      </c>
      <c r="AE54" s="22">
        <f>AE37*Constants!$H$33*Constants!$H$39</f>
        <v>593601.80527957703</v>
      </c>
      <c r="AF54" s="22">
        <f>AF37*Constants!$H$33*Constants!$H$39</f>
        <v>601454.1975406796</v>
      </c>
      <c r="AG54" s="22">
        <f>AG37*Constants!$H$33*Constants!$H$39</f>
        <v>577726.23985149805</v>
      </c>
      <c r="AH54" s="22">
        <f>AH37*Constants!$H$33*Constants!$H$39</f>
        <v>598900.88826585514</v>
      </c>
      <c r="AI54" s="22">
        <f>AI37*Constants!$H$33*Constants!$H$39</f>
        <v>1330982.4073565768</v>
      </c>
      <c r="AJ54" s="22">
        <f>AJ37*Constants!$H$33*Constants!$H$39</f>
        <v>1360207.1269206817</v>
      </c>
      <c r="AK54" s="22">
        <f>AK37*Constants!$H$33*Constants!$H$39</f>
        <v>1388231.776183832</v>
      </c>
      <c r="AL54" s="22">
        <f>AL37*Constants!$H$33*Constants!$H$39</f>
        <v>1414808.6266020362</v>
      </c>
      <c r="AM54" s="22">
        <f>AM37*Constants!$H$33*Constants!$H$39</f>
        <v>1439601.7394880154</v>
      </c>
      <c r="AN54" s="22">
        <f>AN37*Constants!$H$33*Constants!$H$39</f>
        <v>1462502.7189588577</v>
      </c>
      <c r="AO54" s="22">
        <f>AO37*Constants!$H$33*Constants!$H$39</f>
        <v>1483401.2540192164</v>
      </c>
      <c r="AP54" s="22">
        <f>AP37*Constants!$H$33*Constants!$H$39</f>
        <v>1502202.2054576979</v>
      </c>
      <c r="AQ54" s="22">
        <f>AQ37*Constants!$H$33*Constants!$H$39</f>
        <v>1518822.1008520245</v>
      </c>
      <c r="AR54" s="22">
        <f>AR37*Constants!$H$33*Constants!$H$39</f>
        <v>1533180.5246318623</v>
      </c>
      <c r="AS54" s="22">
        <f>AS37*Constants!$H$33*Constants!$H$39</f>
        <v>1545214.4193113465</v>
      </c>
      <c r="AT54" s="22">
        <f>AT37*Constants!$H$33*Constants!$H$39</f>
        <v>1554866.9085778682</v>
      </c>
      <c r="AU54" s="22">
        <f>AU37*Constants!$H$33*Constants!$H$39</f>
        <v>1562087.4178960037</v>
      </c>
      <c r="AV54" s="22">
        <f>AV37*Constants!$H$33*Constants!$H$39</f>
        <v>1566845.5399005432</v>
      </c>
      <c r="AW54" s="22">
        <f>AW37*Constants!$H$33*Constants!$H$39</f>
        <v>1569125.5846537524</v>
      </c>
      <c r="AX54" s="22">
        <f>AX37*Constants!$H$33*Constants!$H$39</f>
        <v>204552.97524606326</v>
      </c>
      <c r="AY54" s="22">
        <f>AY37*Constants!$H$33*Constants!$H$39</f>
        <v>206050.81229311536</v>
      </c>
      <c r="AZ54" s="22">
        <f>AZ37*Constants!$H$33*Constants!$H$39</f>
        <v>207511.4692201924</v>
      </c>
      <c r="BA54" s="22">
        <f>BA37*Constants!$H$33*Constants!$H$39</f>
        <v>208937.15107257769</v>
      </c>
      <c r="BB54" s="22">
        <f>BB37*Constants!$H$33*Constants!$H$39</f>
        <v>210330.39973415507</v>
      </c>
      <c r="BC54" s="22">
        <f>BC37*Constants!$H$33*Constants!$H$39</f>
        <v>211685.48894871501</v>
      </c>
      <c r="BD54" s="22">
        <f>BD37*Constants!$H$33*Constants!$H$39</f>
        <v>212998.64799525676</v>
      </c>
      <c r="BE54" s="22">
        <f>BE37*Constants!$H$33*Constants!$H$39</f>
        <v>214269.59929382245</v>
      </c>
      <c r="BF54" s="22">
        <f>BF37*Constants!$H$33*Constants!$H$39</f>
        <v>215493.85166307123</v>
      </c>
      <c r="BG54" s="22">
        <f>BG37*Constants!$H$33*Constants!$H$39</f>
        <v>216666.40554488555</v>
      </c>
      <c r="BH54" s="22">
        <f>BH37*Constants!$H$33*Constants!$H$39</f>
        <v>217786.82429663494</v>
      </c>
      <c r="BI54" s="22">
        <f>BI37*Constants!$H$33*Constants!$H$39</f>
        <v>218856.05605660254</v>
      </c>
      <c r="BJ54" s="22">
        <f>BJ37*Constants!$H$33*Constants!$H$39</f>
        <v>219874.80880962472</v>
      </c>
      <c r="BK54" s="22">
        <f>BK37*Constants!$H$33*Constants!$H$39</f>
        <v>220838.20775262112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1520406.8511706144</v>
      </c>
      <c r="Z55" s="22">
        <f>Z42*Constants!$H$34*Constants!$H$40</f>
        <v>1560966.2063054193</v>
      </c>
      <c r="AA55" s="22">
        <f>AA42*Constants!$H$34*Constants!$H$40</f>
        <v>1613765.8062503659</v>
      </c>
      <c r="AB55" s="22">
        <f>AB42*Constants!$H$34*Constants!$H$40</f>
        <v>1642887.1674004456</v>
      </c>
      <c r="AC55" s="22">
        <f>AC42*Constants!$H$34*Constants!$H$40</f>
        <v>1655964.1814042372</v>
      </c>
      <c r="AD55" s="22">
        <f>AD42*Constants!$H$34*Constants!$H$40</f>
        <v>1652584.5489179103</v>
      </c>
      <c r="AE55" s="22">
        <f>AE42*Constants!$H$34*Constants!$H$40</f>
        <v>1660968.4068159347</v>
      </c>
      <c r="AF55" s="22">
        <f>AF42*Constants!$H$34*Constants!$H$40</f>
        <v>1670818.6391072047</v>
      </c>
      <c r="AG55" s="22">
        <f>AG42*Constants!$H$34*Constants!$H$40</f>
        <v>1471607.5686881982</v>
      </c>
      <c r="AH55" s="22">
        <f>AH42*Constants!$H$34*Constants!$H$40</f>
        <v>1598169.6145044139</v>
      </c>
      <c r="AI55" s="22">
        <f>AI42*Constants!$H$34*Constants!$H$40</f>
        <v>7013799.0076798582</v>
      </c>
      <c r="AJ55" s="22">
        <f>AJ42*Constants!$H$34*Constants!$H$40</f>
        <v>7203842.0718262317</v>
      </c>
      <c r="AK55" s="22">
        <f>AK42*Constants!$H$34*Constants!$H$40</f>
        <v>7380518.3654707745</v>
      </c>
      <c r="AL55" s="22">
        <f>AL42*Constants!$H$34*Constants!$H$40</f>
        <v>7543970.4959205324</v>
      </c>
      <c r="AM55" s="22">
        <f>AM42*Constants!$H$34*Constants!$H$40</f>
        <v>7695255.3022863884</v>
      </c>
      <c r="AN55" s="22">
        <f>AN42*Constants!$H$34*Constants!$H$40</f>
        <v>7833419.6772840731</v>
      </c>
      <c r="AO55" s="22">
        <f>AO42*Constants!$H$34*Constants!$H$40</f>
        <v>7957654.6082027592</v>
      </c>
      <c r="AP55" s="22">
        <f>AP42*Constants!$H$34*Constants!$H$40</f>
        <v>8067151.8114789203</v>
      </c>
      <c r="AQ55" s="22">
        <f>AQ42*Constants!$H$34*Constants!$H$40</f>
        <v>8161151.2284521051</v>
      </c>
      <c r="AR55" s="22">
        <f>AR42*Constants!$H$34*Constants!$H$40</f>
        <v>8239034.9369310318</v>
      </c>
      <c r="AS55" s="22">
        <f>AS42*Constants!$H$34*Constants!$H$40</f>
        <v>8300206.3311231202</v>
      </c>
      <c r="AT55" s="22">
        <f>AT42*Constants!$H$34*Constants!$H$40</f>
        <v>8344205.1744134268</v>
      </c>
      <c r="AU55" s="22">
        <f>AU42*Constants!$H$34*Constants!$H$40</f>
        <v>8370715.8090367056</v>
      </c>
      <c r="AV55" s="22">
        <f>AV42*Constants!$H$34*Constants!$H$40</f>
        <v>8379445.6036261311</v>
      </c>
      <c r="AW55" s="22">
        <f>AW42*Constants!$H$34*Constants!$H$40</f>
        <v>8370181.4995827284</v>
      </c>
      <c r="AX55" s="22">
        <f>AX42*Constants!$H$34*Constants!$H$40</f>
        <v>-1798908.9798375117</v>
      </c>
      <c r="AY55" s="22">
        <f>AY42*Constants!$H$34*Constants!$H$40</f>
        <v>-1812861.7640779321</v>
      </c>
      <c r="AZ55" s="22">
        <f>AZ42*Constants!$H$34*Constants!$H$40</f>
        <v>-1826468.2047737951</v>
      </c>
      <c r="BA55" s="22">
        <f>BA42*Constants!$H$34*Constants!$H$40</f>
        <v>-1839748.8425581015</v>
      </c>
      <c r="BB55" s="22">
        <f>BB42*Constants!$H$34*Constants!$H$40</f>
        <v>-1852727.3558125996</v>
      </c>
      <c r="BC55" s="22">
        <f>BC42*Constants!$H$34*Constants!$H$40</f>
        <v>-1865350.4028085908</v>
      </c>
      <c r="BD55" s="22">
        <f>BD42*Constants!$H$34*Constants!$H$40</f>
        <v>-1877582.8581920473</v>
      </c>
      <c r="BE55" s="22">
        <f>BE42*Constants!$H$34*Constants!$H$40</f>
        <v>-1889422.1362255758</v>
      </c>
      <c r="BF55" s="22">
        <f>BF42*Constants!$H$34*Constants!$H$40</f>
        <v>-1900826.400259217</v>
      </c>
      <c r="BG55" s="22">
        <f>BG42*Constants!$H$34*Constants!$H$40</f>
        <v>-1911749.0779666626</v>
      </c>
      <c r="BH55" s="22">
        <f>BH42*Constants!$H$34*Constants!$H$40</f>
        <v>-1922186.1018958329</v>
      </c>
      <c r="BI55" s="22">
        <f>BI42*Constants!$H$34*Constants!$H$40</f>
        <v>-1932146.3042283861</v>
      </c>
      <c r="BJ55" s="22">
        <f>BJ42*Constants!$H$34*Constants!$H$40</f>
        <v>-1941636.2800473364</v>
      </c>
      <c r="BK55" s="22">
        <f>BK42*Constants!$H$34*Constants!$H$40</f>
        <v>-1950610.6191555411</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8905592.5862857662</v>
      </c>
      <c r="Z56" s="22">
        <f t="shared" si="48"/>
        <v>9095513.1405561939</v>
      </c>
      <c r="AA56" s="22">
        <f t="shared" si="48"/>
        <v>9326430.4780428484</v>
      </c>
      <c r="AB56" s="22">
        <f t="shared" si="48"/>
        <v>9484875.5644762423</v>
      </c>
      <c r="AC56" s="22">
        <f t="shared" si="48"/>
        <v>9595076.462577926</v>
      </c>
      <c r="AD56" s="22">
        <f t="shared" si="48"/>
        <v>9655827.5030585341</v>
      </c>
      <c r="AE56" s="22">
        <f t="shared" si="48"/>
        <v>9754723.2383019067</v>
      </c>
      <c r="AF56" s="22">
        <f t="shared" si="48"/>
        <v>9859425.640146507</v>
      </c>
      <c r="AG56" s="22">
        <f t="shared" si="48"/>
        <v>9264227.6089008264</v>
      </c>
      <c r="AH56" s="22">
        <f t="shared" si="48"/>
        <v>9711110.8085168749</v>
      </c>
      <c r="AI56" s="22">
        <f t="shared" si="48"/>
        <v>26872579.362767708</v>
      </c>
      <c r="AJ56" s="22">
        <f t="shared" si="48"/>
        <v>27514639.059138864</v>
      </c>
      <c r="AK56" s="22">
        <f t="shared" si="48"/>
        <v>28121180.039592762</v>
      </c>
      <c r="AL56" s="22">
        <f t="shared" si="48"/>
        <v>28689645.119641554</v>
      </c>
      <c r="AM56" s="22">
        <f t="shared" si="48"/>
        <v>29217987.324044801</v>
      </c>
      <c r="AN56" s="22">
        <f t="shared" si="48"/>
        <v>29703416.777324639</v>
      </c>
      <c r="AO56" s="22">
        <f t="shared" si="48"/>
        <v>30143359.120331209</v>
      </c>
      <c r="AP56" s="22">
        <f t="shared" si="48"/>
        <v>30535412.175753046</v>
      </c>
      <c r="AQ56" s="22">
        <f t="shared" si="48"/>
        <v>30877384.599208023</v>
      </c>
      <c r="AR56" s="22">
        <f t="shared" si="48"/>
        <v>31167353.373445358</v>
      </c>
      <c r="AS56" s="22">
        <f t="shared" si="48"/>
        <v>31403626.177204005</v>
      </c>
      <c r="AT56" s="22">
        <f t="shared" si="48"/>
        <v>31584804.736905802</v>
      </c>
      <c r="AU56" s="22">
        <f t="shared" si="48"/>
        <v>31709799.694363132</v>
      </c>
      <c r="AV56" s="22">
        <f t="shared" si="48"/>
        <v>31777786.858749777</v>
      </c>
      <c r="AW56" s="22">
        <f t="shared" si="48"/>
        <v>31788238.833140165</v>
      </c>
      <c r="AX56" s="22">
        <f t="shared" si="48"/>
        <v>-322780.96236214135</v>
      </c>
      <c r="AY56" s="22">
        <f t="shared" si="48"/>
        <v>-328859.21349076554</v>
      </c>
      <c r="AZ56" s="22">
        <f t="shared" si="48"/>
        <v>-334786.58698777668</v>
      </c>
      <c r="BA56" s="22">
        <f t="shared" si="48"/>
        <v>-340572.03096873197</v>
      </c>
      <c r="BB56" s="22">
        <f t="shared" si="48"/>
        <v>-346225.86044661375</v>
      </c>
      <c r="BC56" s="22">
        <f t="shared" si="48"/>
        <v>-351724.83816518169</v>
      </c>
      <c r="BD56" s="22">
        <f t="shared" si="48"/>
        <v>-357053.66246713977</v>
      </c>
      <c r="BE56" s="22">
        <f t="shared" si="48"/>
        <v>-362211.20692775864</v>
      </c>
      <c r="BF56" s="22">
        <f t="shared" si="48"/>
        <v>-367179.24624802521</v>
      </c>
      <c r="BG56" s="22">
        <f t="shared" si="48"/>
        <v>-371937.49212633166</v>
      </c>
      <c r="BH56" s="22">
        <f t="shared" si="48"/>
        <v>-376484.1726586069</v>
      </c>
      <c r="BI56" s="22">
        <f t="shared" si="48"/>
        <v>-380823.13540797518</v>
      </c>
      <c r="BJ56" s="22">
        <f t="shared" si="48"/>
        <v>-384957.2533903236</v>
      </c>
      <c r="BK56" s="22">
        <f t="shared" si="48"/>
        <v>-388866.74456234928</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7334924.1998130716</v>
      </c>
      <c r="AH58" s="22">
        <f>((Data!$AJ$37*'Intermediate calculations'!AH56)+Data!$AK$37)</f>
        <v>7609136.894113915</v>
      </c>
      <c r="AI58" s="22">
        <f>((Data!$AJ$37*'Intermediate calculations'!AI56)+Data!$AK$37)</f>
        <v>18139612.272162411</v>
      </c>
      <c r="AJ58" s="22">
        <f>((Data!$AJ$37*'Intermediate calculations'!AJ56)+Data!$AK$37)</f>
        <v>18533587.519822616</v>
      </c>
      <c r="AK58" s="22">
        <f>((Data!$AJ$37*'Intermediate calculations'!AK56)+Data!$AK$37)</f>
        <v>18905768.073034368</v>
      </c>
      <c r="AL58" s="22">
        <f>((Data!$AJ$37*'Intermediate calculations'!AL56)+Data!$AK$37)</f>
        <v>19254584.813851774</v>
      </c>
      <c r="AM58" s="22">
        <f>((Data!$AJ$37*'Intermediate calculations'!AM56)+Data!$AK$37)</f>
        <v>19578781.694617793</v>
      </c>
      <c r="AN58" s="22">
        <f>((Data!$AJ$37*'Intermediate calculations'!AN56)+Data!$AK$37)</f>
        <v>19876646.815506689</v>
      </c>
      <c r="AO58" s="22">
        <f>((Data!$AJ$37*'Intermediate calculations'!AO56)+Data!$AK$37)</f>
        <v>20146600.520001523</v>
      </c>
      <c r="AP58" s="22">
        <f>((Data!$AJ$37*'Intermediate calculations'!AP56)+Data!$AK$37)</f>
        <v>20387168.804350693</v>
      </c>
      <c r="AQ58" s="22">
        <f>((Data!$AJ$37*'Intermediate calculations'!AQ56)+Data!$AK$37)</f>
        <v>20597007.034323864</v>
      </c>
      <c r="AR58" s="22">
        <f>((Data!$AJ$37*'Intermediate calculations'!AR56)+Data!$AK$37)</f>
        <v>20774935.224318583</v>
      </c>
      <c r="AS58" s="22">
        <f>((Data!$AJ$37*'Intermediate calculations'!AS56)+Data!$AK$37)</f>
        <v>20919914.946457028</v>
      </c>
      <c r="AT58" s="22">
        <f>((Data!$AJ$37*'Intermediate calculations'!AT56)+Data!$AK$37)</f>
        <v>21031088.203916833</v>
      </c>
      <c r="AU58" s="22">
        <f>((Data!$AJ$37*'Intermediate calculations'!AU56)+Data!$AK$37)</f>
        <v>21107786.553928293</v>
      </c>
      <c r="AV58" s="22">
        <f>((Data!$AJ$37*'Intermediate calculations'!AV56)+Data!$AK$37)</f>
        <v>21149504.263478246</v>
      </c>
      <c r="AW58" s="22">
        <f>((Data!$AJ$37*'Intermediate calculations'!AW56)+Data!$AK$37)</f>
        <v>21155917.715719938</v>
      </c>
      <c r="AX58" s="22">
        <f>((Data!$AJ$37*'Intermediate calculations'!AX56)+Data!$AK$37)</f>
        <v>1452224.9780254234</v>
      </c>
      <c r="AY58" s="22">
        <f>((Data!$AJ$37*'Intermediate calculations'!AY56)+Data!$AK$37)</f>
        <v>1448495.2929084864</v>
      </c>
      <c r="AZ58" s="22">
        <f>((Data!$AJ$37*'Intermediate calculations'!AZ56)+Data!$AK$37)</f>
        <v>1444858.1880494554</v>
      </c>
      <c r="BA58" s="22">
        <f>((Data!$AJ$37*'Intermediate calculations'!BA56)+Data!$AK$37)</f>
        <v>1441308.1727812435</v>
      </c>
      <c r="BB58" s="22">
        <f>((Data!$AJ$37*'Intermediate calculations'!BB56)+Data!$AK$37)</f>
        <v>1437838.9176927113</v>
      </c>
      <c r="BC58" s="22">
        <f>((Data!$AJ$37*'Intermediate calculations'!BC56)+Data!$AK$37)</f>
        <v>1434464.6814327573</v>
      </c>
      <c r="BD58" s="22">
        <f>((Data!$AJ$37*'Intermediate calculations'!BD56)+Data!$AK$37)</f>
        <v>1431194.8532750837</v>
      </c>
      <c r="BE58" s="22">
        <f>((Data!$AJ$37*'Intermediate calculations'!BE56)+Data!$AK$37)</f>
        <v>1428030.1244069191</v>
      </c>
      <c r="BF58" s="22">
        <f>((Data!$AJ$37*'Intermediate calculations'!BF56)+Data!$AK$37)</f>
        <v>1424981.6780823017</v>
      </c>
      <c r="BG58" s="22">
        <f>((Data!$AJ$37*'Intermediate calculations'!BG56)+Data!$AK$37)</f>
        <v>1422061.9634374967</v>
      </c>
      <c r="BH58" s="22">
        <f>((Data!$AJ$37*'Intermediate calculations'!BH56)+Data!$AK$37)</f>
        <v>1419272.0677333137</v>
      </c>
      <c r="BI58" s="22">
        <f>((Data!$AJ$37*'Intermediate calculations'!BI56)+Data!$AK$37)</f>
        <v>1416609.6300605671</v>
      </c>
      <c r="BJ58" s="22">
        <f>((Data!$AJ$37*'Intermediate calculations'!BJ56)+Data!$AK$37)</f>
        <v>1414072.8875035157</v>
      </c>
      <c r="BK58" s="22">
        <f>((Data!$AJ$37*'Intermediate calculations'!BK56)+Data!$AK$37)</f>
        <v>1411673.9785524798</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16020454.192771515</v>
      </c>
      <c r="Z59" s="22">
        <f t="shared" si="49"/>
        <v>16326912.19336874</v>
      </c>
      <c r="AA59" s="22">
        <f t="shared" si="49"/>
        <v>16699523.077015547</v>
      </c>
      <c r="AB59" s="22">
        <f t="shared" si="49"/>
        <v>16955191.899062544</v>
      </c>
      <c r="AC59" s="22">
        <f t="shared" si="49"/>
        <v>17133013.34143351</v>
      </c>
      <c r="AD59" s="22">
        <f t="shared" si="49"/>
        <v>17231041.922233555</v>
      </c>
      <c r="AE59" s="22">
        <f t="shared" si="49"/>
        <v>17390621.223203383</v>
      </c>
      <c r="AF59" s="22">
        <f t="shared" si="49"/>
        <v>17559570.228487641</v>
      </c>
      <c r="AG59" s="22">
        <f t="shared" si="49"/>
        <v>16599151.808713898</v>
      </c>
      <c r="AH59" s="22">
        <f t="shared" si="49"/>
        <v>17320247.702630788</v>
      </c>
      <c r="AI59" s="22">
        <f t="shared" si="49"/>
        <v>45012191.634930119</v>
      </c>
      <c r="AJ59" s="22">
        <f t="shared" si="49"/>
        <v>46048226.578961477</v>
      </c>
      <c r="AK59" s="22">
        <f t="shared" si="49"/>
        <v>47026948.112627134</v>
      </c>
      <c r="AL59" s="22">
        <f t="shared" si="49"/>
        <v>47944229.933493331</v>
      </c>
      <c r="AM59" s="22">
        <f t="shared" si="49"/>
        <v>48796769.018662594</v>
      </c>
      <c r="AN59" s="22">
        <f t="shared" si="49"/>
        <v>49580063.592831329</v>
      </c>
      <c r="AO59" s="22">
        <f t="shared" si="49"/>
        <v>50289959.640332729</v>
      </c>
      <c r="AP59" s="22">
        <f t="shared" si="49"/>
        <v>50922580.980103739</v>
      </c>
      <c r="AQ59" s="22">
        <f t="shared" si="49"/>
        <v>51474391.633531883</v>
      </c>
      <c r="AR59" s="22">
        <f t="shared" si="49"/>
        <v>51942288.597763941</v>
      </c>
      <c r="AS59" s="22">
        <f t="shared" si="49"/>
        <v>52323541.123661034</v>
      </c>
      <c r="AT59" s="22">
        <f t="shared" si="49"/>
        <v>52615892.940822631</v>
      </c>
      <c r="AU59" s="22">
        <f t="shared" si="49"/>
        <v>52817586.248291425</v>
      </c>
      <c r="AV59" s="22">
        <f t="shared" si="49"/>
        <v>52927291.122228026</v>
      </c>
      <c r="AW59" s="22">
        <f t="shared" si="49"/>
        <v>52944156.548860103</v>
      </c>
      <c r="AX59" s="22">
        <f t="shared" si="49"/>
        <v>1129444.015663282</v>
      </c>
      <c r="AY59" s="22">
        <f t="shared" si="49"/>
        <v>1119636.0794177209</v>
      </c>
      <c r="AZ59" s="22">
        <f t="shared" si="49"/>
        <v>1110071.6010616787</v>
      </c>
      <c r="BA59" s="22">
        <f t="shared" si="49"/>
        <v>1100736.1418125115</v>
      </c>
      <c r="BB59" s="22">
        <f t="shared" si="49"/>
        <v>1091613.0572460976</v>
      </c>
      <c r="BC59" s="22">
        <f t="shared" si="49"/>
        <v>1082739.8432675756</v>
      </c>
      <c r="BD59" s="22">
        <f t="shared" si="49"/>
        <v>1074141.1908079439</v>
      </c>
      <c r="BE59" s="22">
        <f t="shared" si="49"/>
        <v>1065818.9174791605</v>
      </c>
      <c r="BF59" s="22">
        <f t="shared" si="49"/>
        <v>1057802.4318342765</v>
      </c>
      <c r="BG59" s="22">
        <f t="shared" si="49"/>
        <v>1050124.471311165</v>
      </c>
      <c r="BH59" s="22">
        <f t="shared" si="49"/>
        <v>1042787.8950747068</v>
      </c>
      <c r="BI59" s="22">
        <f t="shared" si="49"/>
        <v>1035786.4946525919</v>
      </c>
      <c r="BJ59" s="22">
        <f t="shared" si="49"/>
        <v>1029115.6341131921</v>
      </c>
      <c r="BK59" s="22">
        <f t="shared" si="49"/>
        <v>1022807.2339901305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19917222.89800182</v>
      </c>
      <c r="AG60" s="22">
        <f>((Data!$AJ$41*'Intermediate calculations'!AG59)+Data!$AK$41)</f>
        <v>19009034.549901087</v>
      </c>
      <c r="AH60" s="22">
        <f>((Data!$AJ$41*'Intermediate calculations'!AH59)+Data!$AK$41)</f>
        <v>19690915.35855205</v>
      </c>
      <c r="AI60" s="22">
        <f>((Data!$AJ$41*'Intermediate calculations'!AI59)+Data!$AK$41)</f>
        <v>45876898.777630724</v>
      </c>
      <c r="AJ60" s="22">
        <f>((Data!$AJ$41*'Intermediate calculations'!AJ59)+Data!$AK$41)</f>
        <v>46856591.425150052</v>
      </c>
      <c r="AK60" s="22">
        <f>((Data!$AJ$41*'Intermediate calculations'!AK59)+Data!$AK$41)</f>
        <v>47782087.515822522</v>
      </c>
      <c r="AL60" s="22">
        <f>((Data!$AJ$41*'Intermediate calculations'!AL59)+Data!$AK$41)</f>
        <v>48649485.146358967</v>
      </c>
      <c r="AM60" s="22">
        <f>((Data!$AJ$41*'Intermediate calculations'!AM59)+Data!$AK$41)</f>
        <v>49455660.920906879</v>
      </c>
      <c r="AN60" s="22">
        <f>((Data!$AJ$41*'Intermediate calculations'!AN59)+Data!$AK$41)</f>
        <v>50196357.882506341</v>
      </c>
      <c r="AO60" s="22">
        <f>((Data!$AJ$41*'Intermediate calculations'!AO59)+Data!$AK$41)</f>
        <v>50867647.921753421</v>
      </c>
      <c r="AP60" s="22">
        <f>((Data!$AJ$41*'Intermediate calculations'!AP59)+Data!$AK$41)</f>
        <v>51465865.654473767</v>
      </c>
      <c r="AQ60" s="22">
        <f>((Data!$AJ$41*'Intermediate calculations'!AQ59)+Data!$AK$41)</f>
        <v>51987667.397842407</v>
      </c>
      <c r="AR60" s="22">
        <f>((Data!$AJ$41*'Intermediate calculations'!AR59)+Data!$AK$41)</f>
        <v>52430118.898436666</v>
      </c>
      <c r="AS60" s="22">
        <f>((Data!$AJ$41*'Intermediate calculations'!AS59)+Data!$AK$41)</f>
        <v>52790637.912415259</v>
      </c>
      <c r="AT60" s="22">
        <f>((Data!$AJ$41*'Intermediate calculations'!AT59)+Data!$AK$41)</f>
        <v>53067090.871277489</v>
      </c>
      <c r="AU60" s="22">
        <f>((Data!$AJ$41*'Intermediate calculations'!AU59)+Data!$AK$41)</f>
        <v>53257815.567890666</v>
      </c>
      <c r="AV60" s="22">
        <f>((Data!$AJ$41*'Intermediate calculations'!AV59)+Data!$AK$41)</f>
        <v>53361554.403160565</v>
      </c>
      <c r="AW60" s="22">
        <f>((Data!$AJ$41*'Intermediate calculations'!AW59)+Data!$AK$41)</f>
        <v>53377502.643674947</v>
      </c>
      <c r="AX60" s="22">
        <f>((Data!$AJ$41*'Intermediate calculations'!AX59)+Data!$AK$41)</f>
        <v>4380610.0248056427</v>
      </c>
      <c r="AY60" s="22">
        <f>((Data!$AJ$41*'Intermediate calculations'!AY59)+Data!$AK$41)</f>
        <v>4371335.4698473653</v>
      </c>
      <c r="AZ60" s="22">
        <f>((Data!$AJ$41*'Intermediate calculations'!AZ59)+Data!$AK$41)</f>
        <v>4362291.1329002818</v>
      </c>
      <c r="BA60" s="22">
        <f>((Data!$AJ$41*'Intermediate calculations'!BA59)+Data!$AK$41)</f>
        <v>4353463.3604006041</v>
      </c>
      <c r="BB60" s="22">
        <f>((Data!$AJ$41*'Intermediate calculations'!BB59)+Data!$AK$41)</f>
        <v>4344836.4130916316</v>
      </c>
      <c r="BC60" s="22">
        <f>((Data!$AJ$41*'Intermediate calculations'!BC59)+Data!$AK$41)</f>
        <v>4336445.7477528751</v>
      </c>
      <c r="BD60" s="22">
        <f>((Data!$AJ$41*'Intermediate calculations'!BD59)+Data!$AK$41)</f>
        <v>4328314.7125577731</v>
      </c>
      <c r="BE60" s="22">
        <f>((Data!$AJ$41*'Intermediate calculations'!BE59)+Data!$AK$41)</f>
        <v>4320445.0262717772</v>
      </c>
      <c r="BF60" s="22">
        <f>((Data!$AJ$41*'Intermediate calculations'!BF59)+Data!$AK$41)</f>
        <v>4312864.4981337236</v>
      </c>
      <c r="BG60" s="22">
        <f>((Data!$AJ$41*'Intermediate calculations'!BG59)+Data!$AK$41)</f>
        <v>4305604.0852337815</v>
      </c>
      <c r="BH60" s="22">
        <f>((Data!$AJ$41*'Intermediate calculations'!BH59)+Data!$AK$41)</f>
        <v>4298666.4912479501</v>
      </c>
      <c r="BI60" s="22">
        <f>((Data!$AJ$41*'Intermediate calculations'!BI59)+Data!$AK$41)</f>
        <v>4292045.8453369206</v>
      </c>
      <c r="BJ60" s="22">
        <f>((Data!$AJ$41*'Intermediate calculations'!BJ59)+Data!$AK$41)</f>
        <v>4285737.7636831813</v>
      </c>
      <c r="BK60" s="22">
        <f>((Data!$AJ$41*'Intermediate calculations'!BK59)+Data!$AK$41)</f>
        <v>4279772.4308980489</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3536340.4824694507</v>
      </c>
      <c r="AH61" s="22">
        <f>((Data!$AJ$42*LN('Intermediate calculations'!AH60))+Data!$AK$42)</f>
        <v>3563496.0859221276</v>
      </c>
      <c r="AI61" s="22">
        <f>((Data!$AJ$42*LN('Intermediate calculations'!AI60))+Data!$AK$42)</f>
        <v>4215209.0285238456</v>
      </c>
      <c r="AJ61" s="22">
        <f>((Data!$AJ$42*LN('Intermediate calculations'!AJ60))+Data!$AK$42)</f>
        <v>4231490.20733344</v>
      </c>
      <c r="AK61" s="22">
        <f>((Data!$AJ$42*LN('Intermediate calculations'!AK60))+Data!$AK$42)</f>
        <v>4246561.0039512403</v>
      </c>
      <c r="AL61" s="22">
        <f>((Data!$AJ$42*LN('Intermediate calculations'!AL60))+Data!$AK$42)</f>
        <v>4260423.0437018257</v>
      </c>
      <c r="AM61" s="22">
        <f>((Data!$AJ$42*LN('Intermediate calculations'!AM60))+Data!$AK$42)</f>
        <v>4273086.8475590721</v>
      </c>
      <c r="AN61" s="22">
        <f>((Data!$AJ$42*LN('Intermediate calculations'!AN60))+Data!$AK$42)</f>
        <v>4284541.4205668941</v>
      </c>
      <c r="AO61" s="22">
        <f>((Data!$AJ$42*LN('Intermediate calculations'!AO60))+Data!$AK$42)</f>
        <v>4294777.5678657647</v>
      </c>
      <c r="AP61" s="22">
        <f>((Data!$AJ$42*LN('Intermediate calculations'!AP60))+Data!$AK$42)</f>
        <v>4303786.2816398833</v>
      </c>
      <c r="AQ61" s="22">
        <f>((Data!$AJ$42*LN('Intermediate calculations'!AQ60))+Data!$AK$42)</f>
        <v>4311559.1323509235</v>
      </c>
      <c r="AR61" s="22">
        <f>((Data!$AJ$42*LN('Intermediate calculations'!AR60))+Data!$AK$42)</f>
        <v>4318089.0880459901</v>
      </c>
      <c r="AS61" s="22">
        <f>((Data!$AJ$42*LN('Intermediate calculations'!AS60))+Data!$AK$42)</f>
        <v>4323369.2214795537</v>
      </c>
      <c r="AT61" s="22">
        <f>((Data!$AJ$42*LN('Intermediate calculations'!AT60))+Data!$AK$42)</f>
        <v>4327393.7601321675</v>
      </c>
      <c r="AU61" s="22">
        <f>((Data!$AJ$42*LN('Intermediate calculations'!AU60))+Data!$AK$42)</f>
        <v>4330158.0834303666</v>
      </c>
      <c r="AV61" s="22">
        <f>((Data!$AJ$42*LN('Intermediate calculations'!AV60))+Data!$AK$42)</f>
        <v>4331657.4983833581</v>
      </c>
      <c r="AW61" s="22">
        <f>((Data!$AJ$42*LN('Intermediate calculations'!AW60))+Data!$AK$42)</f>
        <v>4331887.7516830992</v>
      </c>
      <c r="AX61" s="22">
        <f>((Data!$AJ$42*LN('Intermediate calculations'!AX60))+Data!$AK$42)</f>
        <v>2405421.3565535322</v>
      </c>
      <c r="AY61" s="22">
        <f>((Data!$AJ$42*LN('Intermediate calculations'!AY60))+Data!$AK$42)</f>
        <v>2403788.2854956239</v>
      </c>
      <c r="AZ61" s="22">
        <f>((Data!$AJ$42*LN('Intermediate calculations'!AZ60))+Data!$AK$42)</f>
        <v>2402192.4110759087</v>
      </c>
      <c r="BA61" s="22">
        <f>((Data!$AJ$42*LN('Intermediate calculations'!BA60))+Data!$AK$42)</f>
        <v>2400631.5554386713</v>
      </c>
      <c r="BB61" s="22">
        <f>((Data!$AJ$42*LN('Intermediate calculations'!BB60))+Data!$AK$42)</f>
        <v>2399103.147229027</v>
      </c>
      <c r="BC61" s="22">
        <f>((Data!$AJ$42*LN('Intermediate calculations'!BC60))+Data!$AK$42)</f>
        <v>2397613.6863267925</v>
      </c>
      <c r="BD61" s="22">
        <f>((Data!$AJ$42*LN('Intermediate calculations'!BD60))+Data!$AK$42)</f>
        <v>2396167.5612667147</v>
      </c>
      <c r="BE61" s="22">
        <f>((Data!$AJ$42*LN('Intermediate calculations'!BE60))+Data!$AK$42)</f>
        <v>2394765.3283680808</v>
      </c>
      <c r="BF61" s="22">
        <f>((Data!$AJ$42*LN('Intermediate calculations'!BF60))+Data!$AK$42)</f>
        <v>2393412.2009041701</v>
      </c>
      <c r="BG61" s="22">
        <f>((Data!$AJ$42*LN('Intermediate calculations'!BG60))+Data!$AK$42)</f>
        <v>2392113.9824916571</v>
      </c>
      <c r="BH61" s="22">
        <f>((Data!$AJ$42*LN('Intermediate calculations'!BH60))+Data!$AK$42)</f>
        <v>2390871.439684974</v>
      </c>
      <c r="BI61" s="22">
        <f>((Data!$AJ$42*LN('Intermediate calculations'!BI60))+Data!$AK$42)</f>
        <v>2389683.7917572055</v>
      </c>
      <c r="BJ61" s="22">
        <f>((Data!$AJ$42*LN('Intermediate calculations'!BJ60))+Data!$AK$42)</f>
        <v>2388550.507793935</v>
      </c>
      <c r="BK61" s="22">
        <f>((Data!$AJ$42*LN('Intermediate calculations'!BK60))+Data!$AK$42)</f>
        <v>2387477.2650644034</v>
      </c>
    </row>
    <row r="62" spans="1:63" s="44" customFormat="1" x14ac:dyDescent="0.25">
      <c r="A62" s="36"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5546875" defaultRowHeight="15" outlineLevelCol="1" x14ac:dyDescent="0.25"/>
  <cols>
    <col min="1" max="1" width="29.42578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t="str">
        <f>'Intermediate calculations'!A4</f>
        <v>Wealth (GDP)</v>
      </c>
      <c r="B4" t="str">
        <f>'Intermediate calculations'!B4</f>
        <v>GDP/capita</v>
      </c>
      <c r="C4">
        <f>'Intermediate calculations'!C4</f>
        <v>53.055510064255728</v>
      </c>
      <c r="D4">
        <f>'Intermediate calculations'!D4</f>
        <v>53.316539004606724</v>
      </c>
      <c r="E4">
        <f>'Intermediate calculations'!E4</f>
        <v>53.561819221405095</v>
      </c>
      <c r="F4">
        <f>'Intermediate calculations'!F4</f>
        <v>53.830799268378051</v>
      </c>
      <c r="G4">
        <f>'Intermediate calculations'!G4</f>
        <v>54.174113436679775</v>
      </c>
      <c r="H4">
        <f>'Intermediate calculations'!H4</f>
        <v>54.625466046252036</v>
      </c>
      <c r="I4">
        <f>'Intermediate calculations'!I4</f>
        <v>55.834657711728646</v>
      </c>
      <c r="J4">
        <f>'Intermediate calculations'!J4</f>
        <v>56.291617519292565</v>
      </c>
      <c r="K4">
        <f>'Intermediate calculations'!K4</f>
        <v>55.78403106264804</v>
      </c>
      <c r="L4">
        <f>'Intermediate calculations'!L4</f>
        <v>56.442211182769086</v>
      </c>
      <c r="M4">
        <f>'Intermediate calculations'!M4</f>
        <v>58.101210883911371</v>
      </c>
      <c r="N4">
        <f>'Intermediate calculations'!N4</f>
        <v>58.994311981554404</v>
      </c>
      <c r="O4">
        <f>'Intermediate calculations'!O4</f>
        <v>60.467237153685474</v>
      </c>
      <c r="P4">
        <f>'Intermediate calculations'!P4</f>
        <v>61.512608972488358</v>
      </c>
      <c r="Q4">
        <f>'Intermediate calculations'!Q4</f>
        <v>63.501216640406959</v>
      </c>
      <c r="R4">
        <f>'Intermediate calculations'!R4</f>
        <v>66.052032205946048</v>
      </c>
      <c r="S4">
        <f>'Intermediate calculations'!S4</f>
        <v>68.826966536313918</v>
      </c>
      <c r="T4">
        <f>'Intermediate calculations'!T4</f>
        <v>71.738914034854218</v>
      </c>
      <c r="U4">
        <f>'Intermediate calculations'!U4</f>
        <v>73.45116431369587</v>
      </c>
      <c r="V4">
        <f>'Intermediate calculations'!V4</f>
        <v>71.463862138314738</v>
      </c>
      <c r="W4">
        <f>'Intermediate calculations'!W4</f>
        <v>72.600473223053768</v>
      </c>
      <c r="X4">
        <f>'Intermediate calculations'!X4</f>
        <v>73.955054425464226</v>
      </c>
      <c r="Y4">
        <f>'Intermediate calculations'!Y4</f>
        <v>75.293491074918535</v>
      </c>
      <c r="Z4">
        <f>'Intermediate calculations'!Z4</f>
        <v>75.831127135572402</v>
      </c>
      <c r="AA4">
        <f>'Intermediate calculations'!AA4</f>
        <v>76.647004484942386</v>
      </c>
      <c r="AB4">
        <f>'Intermediate calculations'!AB4</f>
        <v>76.821421432378884</v>
      </c>
      <c r="AC4">
        <f>'Intermediate calculations'!AC4</f>
        <v>76.571727588702132</v>
      </c>
      <c r="AD4">
        <f>'Intermediate calculations'!AD4</f>
        <v>75.907061000700693</v>
      </c>
      <c r="AE4">
        <f>'Intermediate calculations'!AG4</f>
        <v>70.271206967863336</v>
      </c>
      <c r="AF4">
        <f>'Intermediate calculations'!AQ4</f>
        <v>210.30685757677963</v>
      </c>
      <c r="AG4">
        <f>'Intermediate calculations'!BA4</f>
        <v>0</v>
      </c>
      <c r="AH4">
        <f>'Intermediate calculations'!BK4</f>
        <v>0</v>
      </c>
    </row>
    <row r="5" spans="1:37" x14ac:dyDescent="0.25">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2.6419207423713863E-4</v>
      </c>
      <c r="AK5">
        <f>INTERCEPT(M5:AD5,$M$4:$AD$4)</f>
        <v>-2.3011428632205323E-3</v>
      </c>
    </row>
    <row r="6" spans="1:37" x14ac:dyDescent="0.25">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2.7519664347914986E-4</v>
      </c>
      <c r="AK6">
        <f>INTERCEPT(M6:AD6,$M$4:$AD$4)</f>
        <v>1.6590092758160889E-2</v>
      </c>
    </row>
    <row r="7" spans="1:37" x14ac:dyDescent="0.25">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5.2656290925550695E-7</v>
      </c>
      <c r="AK7">
        <f>INTERCEPT(M7:AD7,$M$4:$AD$4)</f>
        <v>3.1804576356140798E-3</v>
      </c>
    </row>
    <row r="8" spans="1:37" x14ac:dyDescent="0.25">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3.3610398463117966E-8</v>
      </c>
      <c r="AK8">
        <f>INTERCEPT(M8:AD8,$M$4:$AD$4)</f>
        <v>2.0300793418813278E-4</v>
      </c>
    </row>
    <row r="9" spans="1:37" x14ac:dyDescent="0.25">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8.1248131279752496E-5</v>
      </c>
      <c r="AK9">
        <f>INTERCEPT(R9:AD9,$R$4:$AD$4)</f>
        <v>-1.6683173409193768E-3</v>
      </c>
    </row>
    <row r="10" spans="1:37" x14ac:dyDescent="0.25">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7.4688355483695825E-5</v>
      </c>
      <c r="AK10">
        <f>INTERCEPT(M10:AD10,$M$4:$AD$4)</f>
        <v>2.3894968867763005E-3</v>
      </c>
    </row>
    <row r="11" spans="1:37" x14ac:dyDescent="0.25">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9.6668345900278682E-4</v>
      </c>
      <c r="AK11">
        <f>INTERCEPT(M11:AD11,$M$4:$AD$4)</f>
        <v>-3.87568436249505E-2</v>
      </c>
    </row>
    <row r="12" spans="1:37" x14ac:dyDescent="0.25">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-8.4290959239332382E-5</v>
      </c>
      <c r="AK12">
        <f>INTERCEPT(R12:AB12,$R$4:$AB$4)</f>
        <v>9.6093792744095085E-3</v>
      </c>
    </row>
    <row r="13" spans="1:37" x14ac:dyDescent="0.25">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25">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25">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41.560458796157903</v>
      </c>
      <c r="AA15">
        <f>SUM(AA54:AA55)/'Intermediate calculations'!AA10</f>
        <v>41.398998366070714</v>
      </c>
      <c r="AB15">
        <f>SUM(AB54:AB55)/'Intermediate calculations'!AB10</f>
        <v>40.503756933107489</v>
      </c>
      <c r="AC15">
        <f>SUM(AC54:AC55)/'Intermediate calculations'!AC10</f>
        <v>39.312134004260407</v>
      </c>
      <c r="AD15">
        <f>SUM(AD54:AD55)/'Intermediate calculations'!AD10</f>
        <v>37.700128748081909</v>
      </c>
      <c r="AJ15">
        <f>SLOPE(K15:AD15,LN(K2:AD2))</f>
        <v>-11.220913259965307</v>
      </c>
      <c r="AK15">
        <f>INTERCEPT(K15:AD15,LN(K2:AD2))</f>
        <v>71.098489130017768</v>
      </c>
    </row>
    <row r="16" spans="1:37" x14ac:dyDescent="0.25">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25">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25">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25">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25">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25">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25">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25">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25">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25">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25">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25">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25">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25">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25">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25">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25">
      <c r="A32" t="s">
        <v>934</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25">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25">
      <c r="A34" t="s">
        <v>935</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25">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928</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2779.8741887200749</v>
      </c>
      <c r="AK61">
        <f>INTERCEPT(M61:AD61,M4:AD4)</f>
        <v>99172.5386975859</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5546875" defaultRowHeight="15" x14ac:dyDescent="0.25"/>
  <cols>
    <col min="2" max="2" width="26.42578125" customWidth="1"/>
    <col min="3" max="3" width="11" customWidth="1"/>
  </cols>
  <sheetData>
    <row r="1" spans="1:53" x14ac:dyDescent="0.25">
      <c r="A1" s="28" t="s">
        <v>665</v>
      </c>
    </row>
    <row r="3" spans="1:53" x14ac:dyDescent="0.25">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25">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25">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25">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1461.9296645871291</v>
      </c>
      <c r="P6" s="32">
        <f>'Intermediate calculations'!Z42/1000</f>
        <v>1500.9290445244417</v>
      </c>
      <c r="Q6" s="32">
        <f>'Intermediate calculations'!AA42/1000</f>
        <v>1551.6978906253519</v>
      </c>
      <c r="R6" s="32">
        <f>'Intermediate calculations'!AB42/1000</f>
        <v>1579.6991994235052</v>
      </c>
      <c r="S6" s="32">
        <f>'Intermediate calculations'!AC42/1000</f>
        <v>1592.2732513502281</v>
      </c>
      <c r="T6" s="32">
        <f>'Intermediate calculations'!AD42/1000</f>
        <v>1589.0236047287599</v>
      </c>
      <c r="U6" s="32">
        <f>'Intermediate calculations'!AE42/1000</f>
        <v>1597.0850065537832</v>
      </c>
      <c r="V6" s="32">
        <f>'Intermediate calculations'!AF42/1000</f>
        <v>1606.5563837569275</v>
      </c>
      <c r="W6" s="32">
        <f>'Intermediate calculations'!AG42/1000</f>
        <v>1415.0072775848059</v>
      </c>
      <c r="X6" s="32">
        <f>'Intermediate calculations'!AH42/1000</f>
        <v>1536.70155240809</v>
      </c>
      <c r="Y6" s="32">
        <f>'Intermediate calculations'!AI42/1000</f>
        <v>6744.037507384478</v>
      </c>
      <c r="Z6" s="32">
        <f>'Intermediate calculations'!AJ42/1000</f>
        <v>6926.771222909837</v>
      </c>
      <c r="AA6" s="32">
        <f>'Intermediate calculations'!AK42/1000</f>
        <v>7096.6522744911281</v>
      </c>
      <c r="AB6" s="32">
        <f>'Intermediate calculations'!AL42/1000</f>
        <v>7253.8177845389728</v>
      </c>
      <c r="AC6" s="32">
        <f>'Intermediate calculations'!AM42/1000</f>
        <v>7399.2839445061427</v>
      </c>
      <c r="AD6" s="32">
        <f>'Intermediate calculations'!AN42/1000</f>
        <v>7532.1343050808382</v>
      </c>
      <c r="AE6" s="32">
        <f>'Intermediate calculations'!AO42/1000</f>
        <v>7651.5909694257298</v>
      </c>
      <c r="AF6" s="32">
        <f>'Intermediate calculations'!AP42/1000</f>
        <v>7756.8767418066536</v>
      </c>
      <c r="AG6" s="32">
        <f>'Intermediate calculations'!AQ42/1000</f>
        <v>7847.2607965885627</v>
      </c>
      <c r="AH6" s="32">
        <f>'Intermediate calculations'!AR42/1000</f>
        <v>7922.1489778182995</v>
      </c>
      <c r="AI6" s="32">
        <f>'Intermediate calculations'!AS42/1000</f>
        <v>7980.9676260799224</v>
      </c>
      <c r="AJ6" s="32">
        <f>'Intermediate calculations'!AT42/1000</f>
        <v>8023.2742061667559</v>
      </c>
      <c r="AK6" s="32">
        <f>'Intermediate calculations'!AU42/1000</f>
        <v>8048.7652009968324</v>
      </c>
      <c r="AL6" s="32">
        <f>'Intermediate calculations'!AV42/1000</f>
        <v>8057.1592342558943</v>
      </c>
      <c r="AM6" s="32">
        <f>'Intermediate calculations'!AW42/1000</f>
        <v>8048.2514419064692</v>
      </c>
      <c r="AN6" s="32">
        <f>'Intermediate calculations'!AX42/1000</f>
        <v>-1729.720172920684</v>
      </c>
      <c r="AO6" s="32">
        <f>'Intermediate calculations'!AY42/1000</f>
        <v>-1743.1363116133959</v>
      </c>
      <c r="AP6" s="32">
        <f>'Intermediate calculations'!AZ42/1000</f>
        <v>-1756.2194276671105</v>
      </c>
      <c r="AQ6" s="32">
        <f>'Intermediate calculations'!BA42/1000</f>
        <v>-1768.9892716904819</v>
      </c>
      <c r="AR6" s="32">
        <f>'Intermediate calculations'!BB42/1000</f>
        <v>-1781.4686113582686</v>
      </c>
      <c r="AS6" s="32">
        <f>'Intermediate calculations'!BC42/1000</f>
        <v>-1793.6061565467216</v>
      </c>
      <c r="AT6" s="32">
        <f>'Intermediate calculations'!BD42/1000</f>
        <v>-1805.3681328769685</v>
      </c>
      <c r="AU6" s="32">
        <f>'Intermediate calculations'!BE42/1000</f>
        <v>-1816.7520540630533</v>
      </c>
      <c r="AV6" s="32">
        <f>'Intermediate calculations'!BF42/1000</f>
        <v>-1827.7176925569393</v>
      </c>
      <c r="AW6" s="32">
        <f>'Intermediate calculations'!BG42/1000</f>
        <v>-1838.2202672756371</v>
      </c>
      <c r="AX6" s="32">
        <f>'Intermediate calculations'!BH42/1000</f>
        <v>-1848.2558672075315</v>
      </c>
      <c r="AY6" s="32">
        <f>'Intermediate calculations'!BI42/1000</f>
        <v>-1857.8329848349865</v>
      </c>
      <c r="AZ6" s="32">
        <f>'Intermediate calculations'!BJ42/1000</f>
        <v>-1866.9579615839771</v>
      </c>
      <c r="BA6" s="32">
        <f>'Intermediate calculations'!BK42/1000</f>
        <v>-1875.5871338034046</v>
      </c>
    </row>
    <row r="7" spans="1:53" x14ac:dyDescent="0.25">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1780.5365679391946</v>
      </c>
      <c r="P7" s="32">
        <f>'Intermediate calculations'!Z39/1000</f>
        <v>1834.6425186756094</v>
      </c>
      <c r="Q7" s="32">
        <f>'Intermediate calculations'!AA39/1000</f>
        <v>1905.0768868757145</v>
      </c>
      <c r="R7" s="32">
        <f>'Intermediate calculations'!AB39/1000</f>
        <v>1943.924618219733</v>
      </c>
      <c r="S7" s="32">
        <f>'Intermediate calculations'!AC39/1000</f>
        <v>1961.3692810630382</v>
      </c>
      <c r="T7" s="32">
        <f>'Intermediate calculations'!AD39/1000</f>
        <v>1956.8608704089581</v>
      </c>
      <c r="U7" s="32">
        <f>'Intermediate calculations'!AE39/1000</f>
        <v>1968.0448895064985</v>
      </c>
      <c r="V7" s="32">
        <f>'Intermediate calculations'!AF39/1000</f>
        <v>1981.1850437649266</v>
      </c>
      <c r="W7" s="32">
        <f>'Intermediate calculations'!AG39/1000</f>
        <v>1715.4386006468042</v>
      </c>
      <c r="X7" s="32">
        <f>'Intermediate calculations'!AH39/1000</f>
        <v>1884.2716551485946</v>
      </c>
      <c r="Y7" s="32">
        <f>'Intermediate calculations'!AI39/1000</f>
        <v>9108.6906869586874</v>
      </c>
      <c r="Z7" s="32">
        <f>'Intermediate calculations'!AJ39/1000</f>
        <v>9362.2070614751392</v>
      </c>
      <c r="AA7" s="32">
        <f>'Intermediate calculations'!AK39/1000</f>
        <v>9597.8922396159742</v>
      </c>
      <c r="AB7" s="32">
        <f>'Intermediate calculations'!AL39/1000</f>
        <v>9815.9364587235832</v>
      </c>
      <c r="AC7" s="32">
        <f>'Intermediate calculations'!AM39/1000</f>
        <v>10017.749536204563</v>
      </c>
      <c r="AD7" s="32">
        <f>'Intermediate calculations'!AN39/1000</f>
        <v>10202.060032323307</v>
      </c>
      <c r="AE7" s="32">
        <f>'Intermediate calculations'!AO39/1000</f>
        <v>10367.788728691561</v>
      </c>
      <c r="AF7" s="32">
        <f>'Intermediate calculations'!AP39/1000</f>
        <v>10513.857379599456</v>
      </c>
      <c r="AG7" s="32">
        <f>'Intermediate calculations'!AQ39/1000</f>
        <v>10639.252071085528</v>
      </c>
      <c r="AH7" s="32">
        <f>'Intermediate calculations'!AR39/1000</f>
        <v>10743.148498435625</v>
      </c>
      <c r="AI7" s="32">
        <f>'Intermediate calculations'!AS39/1000</f>
        <v>10824.750792891109</v>
      </c>
      <c r="AJ7" s="32">
        <f>'Intermediate calculations'!AT39/1000</f>
        <v>10883.445001406315</v>
      </c>
      <c r="AK7" s="32">
        <f>'Intermediate calculations'!AU39/1000</f>
        <v>10918.810038304729</v>
      </c>
      <c r="AL7" s="32">
        <f>'Intermediate calculations'!AV39/1000</f>
        <v>10930.455534995308</v>
      </c>
      <c r="AM7" s="32">
        <f>'Intermediate calculations'!AW39/1000</f>
        <v>10918.097272510035</v>
      </c>
      <c r="AN7" s="32">
        <f>'Intermediate calculations'!AX39/1000</f>
        <v>-2647.4120085166505</v>
      </c>
      <c r="AO7" s="32">
        <f>'Intermediate calculations'!AY39/1000</f>
        <v>-2666.0249439106897</v>
      </c>
      <c r="AP7" s="32">
        <f>'Intermediate calculations'!AZ39/1000</f>
        <v>-2684.1758589718752</v>
      </c>
      <c r="AQ7" s="32">
        <f>'Intermediate calculations'!BA39/1000</f>
        <v>-2701.8921547886507</v>
      </c>
      <c r="AR7" s="32">
        <f>'Intermediate calculations'!BB39/1000</f>
        <v>-2719.2054181885705</v>
      </c>
      <c r="AS7" s="32">
        <f>'Intermediate calculations'!BC39/1000</f>
        <v>-2736.044491606739</v>
      </c>
      <c r="AT7" s="32">
        <f>'Intermediate calculations'!BD39/1000</f>
        <v>-2752.3625180192139</v>
      </c>
      <c r="AU7" s="32">
        <f>'Intermediate calculations'!BE39/1000</f>
        <v>-2768.1560480669118</v>
      </c>
      <c r="AV7" s="32">
        <f>'Intermediate calculations'!BF39/1000</f>
        <v>-2783.3692718950138</v>
      </c>
      <c r="AW7" s="32">
        <f>'Intermediate calculations'!BG39/1000</f>
        <v>-2797.9400622831886</v>
      </c>
      <c r="AX7" s="32">
        <f>'Intermediate calculations'!BH39/1000</f>
        <v>-2811.8629932733284</v>
      </c>
      <c r="AY7" s="32">
        <f>'Intermediate calculations'!BI39/1000</f>
        <v>-2825.1498469458957</v>
      </c>
      <c r="AZ7" s="32">
        <f>'Intermediate calculations'!BJ39/1000</f>
        <v>-2837.8094211043931</v>
      </c>
      <c r="BA7" s="32">
        <f>'Intermediate calculations'!BK39/1000</f>
        <v>-2849.7811388022351</v>
      </c>
    </row>
    <row r="8" spans="1:53" x14ac:dyDescent="0.25">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25">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25">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25">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25">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448.98205019678238</v>
      </c>
      <c r="P12" s="32">
        <f>'Intermediate calculations'!Z37/1000</f>
        <v>458.09069820274448</v>
      </c>
      <c r="Q12" s="32">
        <f>'Intermediate calculations'!AA37/1000</f>
        <v>468.74154231529377</v>
      </c>
      <c r="R12" s="32">
        <f>'Intermediate calculations'!AB37/1000</f>
        <v>476.91443074207581</v>
      </c>
      <c r="S12" s="32">
        <f>'Intermediate calculations'!AC37/1000</f>
        <v>483.47206766951064</v>
      </c>
      <c r="T12" s="32">
        <f>'Intermediate calculations'!AD37/1000</f>
        <v>488.37546558668777</v>
      </c>
      <c r="U12" s="32">
        <f>'Intermediate calculations'!AE37/1000</f>
        <v>494.66817106631419</v>
      </c>
      <c r="V12" s="32">
        <f>'Intermediate calculations'!AF37/1000</f>
        <v>501.21183128389964</v>
      </c>
      <c r="W12" s="32">
        <f>'Intermediate calculations'!AG37/1000</f>
        <v>481.43853320958169</v>
      </c>
      <c r="X12" s="32">
        <f>'Intermediate calculations'!AH37/1000</f>
        <v>499.0840735548793</v>
      </c>
      <c r="Y12" s="32">
        <f>'Intermediate calculations'!AI37/1000</f>
        <v>1109.1520061304807</v>
      </c>
      <c r="Z12" s="32">
        <f>'Intermediate calculations'!AJ37/1000</f>
        <v>1133.5059391005682</v>
      </c>
      <c r="AA12" s="32">
        <f>'Intermediate calculations'!AK37/1000</f>
        <v>1156.8598134865267</v>
      </c>
      <c r="AB12" s="32">
        <f>'Intermediate calculations'!AL37/1000</f>
        <v>1179.0071888350301</v>
      </c>
      <c r="AC12" s="32">
        <f>'Intermediate calculations'!AM37/1000</f>
        <v>1199.668116240013</v>
      </c>
      <c r="AD12" s="32">
        <f>'Intermediate calculations'!AN37/1000</f>
        <v>1218.752265799048</v>
      </c>
      <c r="AE12" s="32">
        <f>'Intermediate calculations'!AO37/1000</f>
        <v>1236.1677116826802</v>
      </c>
      <c r="AF12" s="32">
        <f>'Intermediate calculations'!AP37/1000</f>
        <v>1251.8351712147482</v>
      </c>
      <c r="AG12" s="32">
        <f>'Intermediate calculations'!AQ37/1000</f>
        <v>1265.6850840433538</v>
      </c>
      <c r="AH12" s="32">
        <f>'Intermediate calculations'!AR37/1000</f>
        <v>1277.6504371932185</v>
      </c>
      <c r="AI12" s="32">
        <f>'Intermediate calculations'!AS37/1000</f>
        <v>1287.6786827594553</v>
      </c>
      <c r="AJ12" s="32">
        <f>'Intermediate calculations'!AT37/1000</f>
        <v>1295.7224238148901</v>
      </c>
      <c r="AK12" s="32">
        <f>'Intermediate calculations'!AU37/1000</f>
        <v>1301.7395149133363</v>
      </c>
      <c r="AL12" s="32">
        <f>'Intermediate calculations'!AV37/1000</f>
        <v>1305.704616583786</v>
      </c>
      <c r="AM12" s="32">
        <f>'Intermediate calculations'!AW37/1000</f>
        <v>1307.604653878127</v>
      </c>
      <c r="AN12" s="32">
        <f>'Intermediate calculations'!AX37/1000</f>
        <v>170.46081270505272</v>
      </c>
      <c r="AO12" s="32">
        <f>'Intermediate calculations'!AY37/1000</f>
        <v>171.7090102442628</v>
      </c>
      <c r="AP12" s="32">
        <f>'Intermediate calculations'!AZ37/1000</f>
        <v>172.92622435016034</v>
      </c>
      <c r="AQ12" s="32">
        <f>'Intermediate calculations'!BA37/1000</f>
        <v>174.1142925604814</v>
      </c>
      <c r="AR12" s="32">
        <f>'Intermediate calculations'!BB37/1000</f>
        <v>175.27533311179587</v>
      </c>
      <c r="AS12" s="32">
        <f>'Intermediate calculations'!BC37/1000</f>
        <v>176.40457412392917</v>
      </c>
      <c r="AT12" s="32">
        <f>'Intermediate calculations'!BD37/1000</f>
        <v>177.49887332938064</v>
      </c>
      <c r="AU12" s="32">
        <f>'Intermediate calculations'!BE37/1000</f>
        <v>178.55799941151872</v>
      </c>
      <c r="AV12" s="32">
        <f>'Intermediate calculations'!BF37/1000</f>
        <v>179.57820971922604</v>
      </c>
      <c r="AW12" s="32">
        <f>'Intermediate calculations'!BG37/1000</f>
        <v>180.55533795407129</v>
      </c>
      <c r="AX12" s="32">
        <f>'Intermediate calculations'!BH37/1000</f>
        <v>181.48902024719578</v>
      </c>
      <c r="AY12" s="32">
        <f>'Intermediate calculations'!BI37/1000</f>
        <v>182.38004671383544</v>
      </c>
      <c r="AZ12" s="32">
        <f>'Intermediate calculations'!BJ37/1000</f>
        <v>183.22900734135396</v>
      </c>
      <c r="BA12" s="32">
        <f>'Intermediate calculations'!BK37/1000</f>
        <v>184.03183979385093</v>
      </c>
    </row>
    <row r="13" spans="1:53" x14ac:dyDescent="0.25">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419.2859914920096</v>
      </c>
      <c r="P13" s="32">
        <f>'Intermediate calculations'!Z34/1000</f>
        <v>427.66019548096807</v>
      </c>
      <c r="Q13" s="32">
        <f>'Intermediate calculations'!AA34/1000</f>
        <v>437.45224598008747</v>
      </c>
      <c r="R13" s="32">
        <f>'Intermediate calculations'!AB34/1000</f>
        <v>444.96614209508419</v>
      </c>
      <c r="S13" s="32">
        <f>'Intermediate calculations'!AC34/1000</f>
        <v>450.99502687358489</v>
      </c>
      <c r="T13" s="32">
        <f>'Intermediate calculations'!AD34/1000</f>
        <v>455.50305642644486</v>
      </c>
      <c r="U13" s="32">
        <f>'Intermediate calculations'!AE34/1000</f>
        <v>461.28837157907077</v>
      </c>
      <c r="V13" s="32">
        <f>'Intermediate calculations'!AF34/1000</f>
        <v>467.30440661090256</v>
      </c>
      <c r="W13" s="32">
        <f>'Intermediate calculations'!AG34/1000</f>
        <v>449.12545936204259</v>
      </c>
      <c r="X13" s="32">
        <f>'Intermediate calculations'!AH34/1000</f>
        <v>465.34821319446615</v>
      </c>
      <c r="Y13" s="32">
        <f>'Intermediate calculations'!AI34/1000</f>
        <v>1026.2254488902838</v>
      </c>
      <c r="Z13" s="32">
        <f>'Intermediate calculations'!AJ34/1000</f>
        <v>1048.6156875394709</v>
      </c>
      <c r="AA13" s="32">
        <f>'Intermediate calculations'!AK34/1000</f>
        <v>1070.0865038354257</v>
      </c>
      <c r="AB13" s="32">
        <f>'Intermediate calculations'!AL34/1000</f>
        <v>1090.4481029297151</v>
      </c>
      <c r="AC13" s="32">
        <f>'Intermediate calculations'!AM34/1000</f>
        <v>1109.4431086184998</v>
      </c>
      <c r="AD13" s="32">
        <f>'Intermediate calculations'!AN34/1000</f>
        <v>1126.9884744355284</v>
      </c>
      <c r="AE13" s="32">
        <f>'Intermediate calculations'!AO34/1000</f>
        <v>1142.9996866695219</v>
      </c>
      <c r="AF13" s="32">
        <f>'Intermediate calculations'!AP34/1000</f>
        <v>1157.4038553259911</v>
      </c>
      <c r="AG13" s="32">
        <f>'Intermediate calculations'!AQ34/1000</f>
        <v>1170.1370288090502</v>
      </c>
      <c r="AH13" s="32">
        <f>'Intermediate calculations'!AR34/1000</f>
        <v>1181.1375975006176</v>
      </c>
      <c r="AI13" s="32">
        <f>'Intermediate calculations'!AS34/1000</f>
        <v>1190.3572505125758</v>
      </c>
      <c r="AJ13" s="32">
        <f>'Intermediate calculations'!AT34/1000</f>
        <v>1197.7524126034239</v>
      </c>
      <c r="AK13" s="32">
        <f>'Intermediate calculations'!AU34/1000</f>
        <v>1203.2843365778219</v>
      </c>
      <c r="AL13" s="32">
        <f>'Intermediate calculations'!AV34/1000</f>
        <v>1206.9297261245001</v>
      </c>
      <c r="AM13" s="32">
        <f>'Intermediate calculations'!AW34/1000</f>
        <v>1208.6765605481187</v>
      </c>
      <c r="AN13" s="32">
        <f>'Intermediate calculations'!AX34/1000</f>
        <v>163.22234115814967</v>
      </c>
      <c r="AO13" s="32">
        <f>'Intermediate calculations'!AY34/1000</f>
        <v>164.36989464852712</v>
      </c>
      <c r="AP13" s="32">
        <f>'Intermediate calculations'!AZ34/1000</f>
        <v>165.48896294651729</v>
      </c>
      <c r="AQ13" s="32">
        <f>'Intermediate calculations'!BA34/1000</f>
        <v>166.58123542641914</v>
      </c>
      <c r="AR13" s="32">
        <f>'Intermediate calculations'!BB34/1000</f>
        <v>167.64865952819542</v>
      </c>
      <c r="AS13" s="32">
        <f>'Intermediate calculations'!BC34/1000</f>
        <v>168.68684813556197</v>
      </c>
      <c r="AT13" s="32">
        <f>'Intermediate calculations'!BD34/1000</f>
        <v>169.69291234678275</v>
      </c>
      <c r="AU13" s="32">
        <f>'Intermediate calculations'!BE34/1000</f>
        <v>170.66663949663473</v>
      </c>
      <c r="AV13" s="32">
        <f>'Intermediate calculations'!BF34/1000</f>
        <v>171.60458870960102</v>
      </c>
      <c r="AW13" s="32">
        <f>'Intermediate calculations'!BG34/1000</f>
        <v>172.50292962217213</v>
      </c>
      <c r="AX13" s="32">
        <f>'Intermediate calculations'!BH34/1000</f>
        <v>173.36132770478389</v>
      </c>
      <c r="AY13" s="32">
        <f>'Intermediate calculations'!BI34/1000</f>
        <v>174.18050936448984</v>
      </c>
      <c r="AZ13" s="32">
        <f>'Intermediate calculations'!BJ34/1000</f>
        <v>174.96101701708335</v>
      </c>
      <c r="BA13" s="32">
        <f>'Intermediate calculations'!BK34/1000</f>
        <v>175.69911587893034</v>
      </c>
    </row>
    <row r="14" spans="1:53" x14ac:dyDescent="0.25">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25">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25">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25">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25">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944.20834947610251</v>
      </c>
      <c r="Q18" s="32">
        <f>'Intermediate calculations'!AA8/1000</f>
        <v>973.85622853221832</v>
      </c>
      <c r="R18" s="32">
        <f>'Intermediate calculations'!AB8/1000</f>
        <v>993.92642644116052</v>
      </c>
      <c r="S18" s="32">
        <f>'Intermediate calculations'!AC8/1000</f>
        <v>1007.6100166861247</v>
      </c>
      <c r="T18" s="32">
        <f>'Intermediate calculations'!AD8/1000</f>
        <v>1014.746956561449</v>
      </c>
      <c r="U18" s="32">
        <f>'Intermediate calculations'!AE8/1000</f>
        <v>1026.8981254598257</v>
      </c>
      <c r="V18" s="32">
        <f>'Intermediate calculations'!AF8/1000</f>
        <v>1039.800145818496</v>
      </c>
      <c r="W18" s="32">
        <f>'Intermediate calculations'!AG8/1000</f>
        <v>960.95860413481671</v>
      </c>
      <c r="X18" s="32">
        <f>'Intermediate calculations'!AH8/1000</f>
        <v>1019.2706939176599</v>
      </c>
      <c r="Y18" s="32">
        <f>'Intermediate calculations'!AI8/1000</f>
        <v>3279.9235587230442</v>
      </c>
      <c r="Z18" s="32">
        <f>'Intermediate calculations'!AJ8/1000</f>
        <v>3364.018466628524</v>
      </c>
      <c r="AA18" s="32">
        <f>'Intermediate calculations'!AK8/1000</f>
        <v>3443.351701547127</v>
      </c>
      <c r="AB18" s="32">
        <f>'Intermediate calculations'!AL8/1000</f>
        <v>3517.6228627283508</v>
      </c>
      <c r="AC18" s="32">
        <f>'Intermediate calculations'!AM8/1000</f>
        <v>3586.6276739017621</v>
      </c>
      <c r="AD18" s="32">
        <f>'Intermediate calculations'!AN8/1000</f>
        <v>3649.9958380204821</v>
      </c>
      <c r="AE18" s="32">
        <f>'Intermediate calculations'!AO8/1000</f>
        <v>3707.3883684442944</v>
      </c>
      <c r="AF18" s="32">
        <f>'Intermediate calculations'!AP8/1000</f>
        <v>3758.4869018966178</v>
      </c>
      <c r="AG18" s="32">
        <f>'Intermediate calculations'!AQ8/1000</f>
        <v>3803.000144984725</v>
      </c>
      <c r="AH18" s="32">
        <f>'Intermediate calculations'!AR8/1000</f>
        <v>3840.6743564690246</v>
      </c>
      <c r="AI18" s="32">
        <f>'Intermediate calculations'!AS8/1000</f>
        <v>3871.2842079101047</v>
      </c>
      <c r="AJ18" s="32">
        <f>'Intermediate calculations'!AT8/1000</f>
        <v>3894.6447781624033</v>
      </c>
      <c r="AK18" s="32">
        <f>'Intermediate calculations'!AU8/1000</f>
        <v>3910.6136469209396</v>
      </c>
      <c r="AL18" s="32">
        <f>'Intermediate calculations'!AV8/1000</f>
        <v>3919.0809955872364</v>
      </c>
      <c r="AM18" s="32">
        <f>'Intermediate calculations'!AW8/1000</f>
        <v>3919.9755609965082</v>
      </c>
      <c r="AN18" s="32">
        <f>'Intermediate calculations'!AX8/1000</f>
        <v>-311.3338576447411</v>
      </c>
      <c r="AO18" s="32">
        <f>'Intermediate calculations'!AY8/1000</f>
        <v>-312.59653283087283</v>
      </c>
      <c r="AP18" s="32">
        <f>'Intermediate calculations'!AZ8/1000</f>
        <v>-313.82786521172255</v>
      </c>
      <c r="AQ18" s="32">
        <f>'Intermediate calculations'!BA8/1000</f>
        <v>-315.02971363833757</v>
      </c>
      <c r="AR18" s="32">
        <f>'Intermediate calculations'!BB8/1000</f>
        <v>-316.20422091638051</v>
      </c>
      <c r="AS18" s="32">
        <f>'Intermediate calculations'!BC8/1000</f>
        <v>-317.34655981738916</v>
      </c>
      <c r="AT18" s="32">
        <f>'Intermediate calculations'!BD8/1000</f>
        <v>-318.45355162719648</v>
      </c>
      <c r="AU18" s="32">
        <f>'Intermediate calculations'!BE8/1000</f>
        <v>-319.52496234616575</v>
      </c>
      <c r="AV18" s="32">
        <f>'Intermediate calculations'!BF8/1000</f>
        <v>-320.5570059127578</v>
      </c>
      <c r="AW18" s="32">
        <f>'Intermediate calculations'!BG8/1000</f>
        <v>-321.54546770430136</v>
      </c>
      <c r="AX18" s="32">
        <f>'Intermediate calculations'!BH8/1000</f>
        <v>-322.48997963147997</v>
      </c>
      <c r="AY18" s="32">
        <f>'Intermediate calculations'!BI8/1000</f>
        <v>-323.39134097395186</v>
      </c>
      <c r="AZ18" s="32">
        <f>'Intermediate calculations'!BJ8/1000</f>
        <v>-324.25014856225135</v>
      </c>
      <c r="BA18" s="32">
        <f>'Intermediate calculations'!BK8/1000</f>
        <v>-325.0622929420831</v>
      </c>
    </row>
    <row r="19" spans="1:53" x14ac:dyDescent="0.25">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941.69158339834917</v>
      </c>
      <c r="Q19" s="32">
        <f>'Intermediate calculations'!AA5/1000</f>
        <v>967.64007013586559</v>
      </c>
      <c r="R19" s="32">
        <f>'Intermediate calculations'!AB5/1000</f>
        <v>985.20595615671004</v>
      </c>
      <c r="S19" s="32">
        <f>'Intermediate calculations'!AC5/1000</f>
        <v>997.18214033234722</v>
      </c>
      <c r="T19" s="32">
        <f>'Intermediate calculations'!AD5/1000</f>
        <v>1003.4285497078976</v>
      </c>
      <c r="U19" s="32">
        <f>'Intermediate calculations'!AE5/1000</f>
        <v>1014.0635244529058</v>
      </c>
      <c r="V19" s="32">
        <f>'Intermediate calculations'!AF5/1000</f>
        <v>1025.3556611865474</v>
      </c>
      <c r="W19" s="32">
        <f>'Intermediate calculations'!AG5/1000</f>
        <v>956.35178084582901</v>
      </c>
      <c r="X19" s="32">
        <f>'Intermediate calculations'!AH5/1000</f>
        <v>1007.3878258021324</v>
      </c>
      <c r="Y19" s="32">
        <f>'Intermediate calculations'!AI5/1000</f>
        <v>2985.9617659312617</v>
      </c>
      <c r="Z19" s="32">
        <f>'Intermediate calculations'!AJ5/1000</f>
        <v>3059.563509865382</v>
      </c>
      <c r="AA19" s="32">
        <f>'Intermediate calculations'!AK5/1000</f>
        <v>3128.9977311205785</v>
      </c>
      <c r="AB19" s="32">
        <f>'Intermediate calculations'!AL5/1000</f>
        <v>3194.0015122424311</v>
      </c>
      <c r="AC19" s="32">
        <f>'Intermediate calculations'!AM5/1000</f>
        <v>3254.3960660710209</v>
      </c>
      <c r="AD19" s="32">
        <f>'Intermediate calculations'!AN5/1000</f>
        <v>3309.8573003503129</v>
      </c>
      <c r="AE19" s="32">
        <f>'Intermediate calculations'!AO5/1000</f>
        <v>3360.0885263923524</v>
      </c>
      <c r="AF19" s="32">
        <f>'Intermediate calculations'!AP5/1000</f>
        <v>3404.8111055382169</v>
      </c>
      <c r="AG19" s="32">
        <f>'Intermediate calculations'!AQ5/1000</f>
        <v>3443.7700912966711</v>
      </c>
      <c r="AH19" s="32">
        <f>'Intermediate calculations'!AR5/1000</f>
        <v>3476.7434036606487</v>
      </c>
      <c r="AI19" s="32">
        <f>'Intermediate calculations'!AS5/1000</f>
        <v>3503.5338301411684</v>
      </c>
      <c r="AJ19" s="32">
        <f>'Intermediate calculations'!AT5/1000</f>
        <v>3523.9795236164173</v>
      </c>
      <c r="AK19" s="32">
        <f>'Intermediate calculations'!AU5/1000</f>
        <v>3537.9558346506642</v>
      </c>
      <c r="AL19" s="32">
        <f>'Intermediate calculations'!AV5/1000</f>
        <v>3545.366647550753</v>
      </c>
      <c r="AM19" s="32">
        <f>'Intermediate calculations'!AW5/1000</f>
        <v>3546.149591201272</v>
      </c>
      <c r="AN19" s="32">
        <f>'Intermediate calculations'!AX5/1000</f>
        <v>-157.18703278201249</v>
      </c>
      <c r="AO19" s="32">
        <f>'Intermediate calculations'!AY5/1000</f>
        <v>-158.29215434093126</v>
      </c>
      <c r="AP19" s="32">
        <f>'Intermediate calculations'!AZ5/1000</f>
        <v>-159.36984397577763</v>
      </c>
      <c r="AQ19" s="32">
        <f>'Intermediate calculations'!BA5/1000</f>
        <v>-160.42172859455582</v>
      </c>
      <c r="AR19" s="32">
        <f>'Intermediate calculations'!BB5/1000</f>
        <v>-161.44968362869938</v>
      </c>
      <c r="AS19" s="32">
        <f>'Intermediate calculations'!BC5/1000</f>
        <v>-162.44948417991142</v>
      </c>
      <c r="AT19" s="32">
        <f>'Intermediate calculations'!BD5/1000</f>
        <v>-163.41834816647037</v>
      </c>
      <c r="AU19" s="32">
        <f>'Intermediate calculations'!BE5/1000</f>
        <v>-164.35607078666129</v>
      </c>
      <c r="AV19" s="32">
        <f>'Intermediate calculations'!BF5/1000</f>
        <v>-165.25933839476127</v>
      </c>
      <c r="AW19" s="32">
        <f>'Intermediate calculations'!BG5/1000</f>
        <v>-166.12446225876047</v>
      </c>
      <c r="AX19" s="32">
        <f>'Intermediate calculations'!BH5/1000</f>
        <v>-166.9511202186581</v>
      </c>
      <c r="AY19" s="32">
        <f>'Intermediate calculations'!BI5/1000</f>
        <v>-167.74001182188451</v>
      </c>
      <c r="AZ19" s="32">
        <f>'Intermediate calculations'!BJ5/1000</f>
        <v>-168.49165942786973</v>
      </c>
      <c r="BA19" s="32">
        <f>'Intermediate calculations'!BK5/1000</f>
        <v>-169.2024663503185</v>
      </c>
    </row>
    <row r="20" spans="1:53" x14ac:dyDescent="0.25">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25">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25">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25">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25">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210.25125025039677</v>
      </c>
      <c r="P24" s="32">
        <f>'Intermediate calculations'!Z32/1000</f>
        <v>215.15729984140495</v>
      </c>
      <c r="Q24" s="32">
        <f>'Intermediate calculations'!AA32/1000</f>
        <v>221.26625183821383</v>
      </c>
      <c r="R24" s="32">
        <f>'Intermediate calculations'!AB32/1000</f>
        <v>225.16453122577883</v>
      </c>
      <c r="S24" s="32">
        <f>'Intermediate calculations'!AC32/1000</f>
        <v>227.57954482450737</v>
      </c>
      <c r="T24" s="32">
        <f>'Intermediate calculations'!AD32/1000</f>
        <v>228.47375642089816</v>
      </c>
      <c r="U24" s="32">
        <f>'Intermediate calculations'!AE32/1000</f>
        <v>230.50265811419081</v>
      </c>
      <c r="V24" s="32">
        <f>'Intermediate calculations'!AF32/1000</f>
        <v>232.69090070904008</v>
      </c>
      <c r="W24" s="32">
        <f>'Intermediate calculations'!AG32/1000</f>
        <v>214.33917978413527</v>
      </c>
      <c r="X24" s="32">
        <f>'Intermediate calculations'!AH32/1000</f>
        <v>227.1680687448609</v>
      </c>
      <c r="Y24" s="32">
        <f>'Intermediate calculations'!AI32/1000</f>
        <v>742.75548513660544</v>
      </c>
      <c r="Z24" s="32">
        <f>'Intermediate calculations'!AJ32/1000</f>
        <v>761.52611991902882</v>
      </c>
      <c r="AA24" s="32">
        <f>'Intermediate calculations'!AK32/1000</f>
        <v>779.14056059258428</v>
      </c>
      <c r="AB24" s="32">
        <f>'Intermediate calculations'!AL32/1000</f>
        <v>795.56118164700956</v>
      </c>
      <c r="AC24" s="32">
        <f>'Intermediate calculations'!AM32/1000</f>
        <v>810.79678092647191</v>
      </c>
      <c r="AD24" s="32">
        <f>'Intermediate calculations'!AN32/1000</f>
        <v>824.76053972755244</v>
      </c>
      <c r="AE24" s="32">
        <f>'Intermediate calculations'!AO32/1000</f>
        <v>837.37525511543799</v>
      </c>
      <c r="AF24" s="32">
        <f>'Intermediate calculations'!AP32/1000</f>
        <v>848.56668407784514</v>
      </c>
      <c r="AG24" s="32">
        <f>'Intermediate calculations'!AQ32/1000</f>
        <v>858.26616194648341</v>
      </c>
      <c r="AH24" s="32">
        <f>'Intermediate calculations'!AR32/1000</f>
        <v>866.41545760745657</v>
      </c>
      <c r="AI24" s="32">
        <f>'Intermediate calculations'!AS32/1000</f>
        <v>872.96114542951955</v>
      </c>
      <c r="AJ24" s="32">
        <f>'Intermediate calculations'!AT32/1000</f>
        <v>877.86043290526663</v>
      </c>
      <c r="AK24" s="32">
        <f>'Intermediate calculations'!AU32/1000</f>
        <v>881.08175255309925</v>
      </c>
      <c r="AL24" s="32">
        <f>'Intermediate calculations'!AV32/1000</f>
        <v>882.59899952694127</v>
      </c>
      <c r="AM24" s="32">
        <f>'Intermediate calculations'!AW32/1000</f>
        <v>882.39440414022124</v>
      </c>
      <c r="AN24" s="32">
        <f>'Intermediate calculations'!AX32/1000</f>
        <v>-83.806845574283557</v>
      </c>
      <c r="AO24" s="32">
        <f>'Intermediate calculations'!AY32/1000</f>
        <v>-84.486277009716261</v>
      </c>
      <c r="AP24" s="32">
        <f>'Intermediate calculations'!AZ32/1000</f>
        <v>-85.148843231183307</v>
      </c>
      <c r="AQ24" s="32">
        <f>'Intermediate calculations'!BA32/1000</f>
        <v>-85.795544465702022</v>
      </c>
      <c r="AR24" s="32">
        <f>'Intermediate calculations'!BB32/1000</f>
        <v>-86.42753373310147</v>
      </c>
      <c r="AS24" s="32">
        <f>'Intermediate calculations'!BC32/1000</f>
        <v>-87.042213555582734</v>
      </c>
      <c r="AT24" s="32">
        <f>'Intermediate calculations'!BD32/1000</f>
        <v>-87.637873502503709</v>
      </c>
      <c r="AU24" s="32">
        <f>'Intermediate calculations'!BE32/1000</f>
        <v>-88.214387661269512</v>
      </c>
      <c r="AV24" s="32">
        <f>'Intermediate calculations'!BF32/1000</f>
        <v>-88.769718794390883</v>
      </c>
      <c r="AW24" s="32">
        <f>'Intermediate calculations'!BG32/1000</f>
        <v>-89.301599060412599</v>
      </c>
      <c r="AX24" s="32">
        <f>'Intermediate calculations'!BH32/1000</f>
        <v>-89.809830394578782</v>
      </c>
      <c r="AY24" s="32">
        <f>'Intermediate calculations'!BI32/1000</f>
        <v>-90.294842880359383</v>
      </c>
      <c r="AZ24" s="32">
        <f>'Intermediate calculations'!BJ32/1000</f>
        <v>-90.756957665608653</v>
      </c>
      <c r="BA24" s="32">
        <f>'Intermediate calculations'!BK32/1000</f>
        <v>-91.193963498801665</v>
      </c>
    </row>
    <row r="25" spans="1:53" x14ac:dyDescent="0.25">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232.80307737192553</v>
      </c>
      <c r="P25" s="32">
        <f>'Intermediate calculations'!Z29/1000</f>
        <v>238.58845125065105</v>
      </c>
      <c r="Q25" s="32">
        <f>'Intermediate calculations'!AA29/1000</f>
        <v>245.79232692559364</v>
      </c>
      <c r="R25" s="32">
        <f>'Intermediate calculations'!AB29/1000</f>
        <v>250.38930527292379</v>
      </c>
      <c r="S25" s="32">
        <f>'Intermediate calculations'!AC29/1000</f>
        <v>253.23716816784</v>
      </c>
      <c r="T25" s="32">
        <f>'Intermediate calculations'!AD29/1000</f>
        <v>254.29165168168265</v>
      </c>
      <c r="U25" s="32">
        <f>'Intermediate calculations'!AE29/1000</f>
        <v>256.68419880969998</v>
      </c>
      <c r="V25" s="32">
        <f>'Intermediate calculations'!AF29/1000</f>
        <v>259.26464593191383</v>
      </c>
      <c r="W25" s="32">
        <f>'Intermediate calculations'!AG29/1000</f>
        <v>237.62369736441551</v>
      </c>
      <c r="X25" s="32">
        <f>'Intermediate calculations'!AH29/1000</f>
        <v>252.75194213847615</v>
      </c>
      <c r="Y25" s="32">
        <f>'Intermediate calculations'!AI29/1000</f>
        <v>860.74945941986732</v>
      </c>
      <c r="Z25" s="32">
        <f>'Intermediate calculations'!AJ29/1000</f>
        <v>882.88440488726769</v>
      </c>
      <c r="AA25" s="32">
        <f>'Intermediate calculations'!AK29/1000</f>
        <v>903.65592850739608</v>
      </c>
      <c r="AB25" s="32">
        <f>'Intermediate calculations'!AL29/1000</f>
        <v>923.01966104993642</v>
      </c>
      <c r="AC25" s="32">
        <f>'Intermediate calculations'!AM29/1000</f>
        <v>940.98597722001364</v>
      </c>
      <c r="AD25" s="32">
        <f>'Intermediate calculations'!AN29/1000</f>
        <v>957.45249756759802</v>
      </c>
      <c r="AE25" s="32">
        <f>'Intermediate calculations'!AO29/1000</f>
        <v>972.32818187099122</v>
      </c>
      <c r="AF25" s="32">
        <f>'Intermediate calculations'!AP29/1000</f>
        <v>985.52548034579468</v>
      </c>
      <c r="AG25" s="32">
        <f>'Intermediate calculations'!AQ29/1000</f>
        <v>996.96342137299985</v>
      </c>
      <c r="AH25" s="32">
        <f>'Intermediate calculations'!AR29/1000</f>
        <v>1006.5733369216352</v>
      </c>
      <c r="AI25" s="32">
        <f>'Intermediate calculations'!AS29/1000</f>
        <v>1014.2922257427881</v>
      </c>
      <c r="AJ25" s="32">
        <f>'Intermediate calculations'!AT29/1000</f>
        <v>1020.069625514389</v>
      </c>
      <c r="AK25" s="32">
        <f>'Intermediate calculations'!AU29/1000</f>
        <v>1023.8683108313401</v>
      </c>
      <c r="AL25" s="32">
        <f>'Intermediate calculations'!AV29/1000</f>
        <v>1025.6574980067262</v>
      </c>
      <c r="AM25" s="32">
        <f>'Intermediate calculations'!AW29/1000</f>
        <v>1025.4162324458955</v>
      </c>
      <c r="AN25" s="32">
        <f>'Intermediate calculations'!AX29/1000</f>
        <v>-113.95983132958665</v>
      </c>
      <c r="AO25" s="32">
        <f>'Intermediate calculations'!AY29/1000</f>
        <v>-114.76103906424585</v>
      </c>
      <c r="AP25" s="32">
        <f>'Intermediate calculations'!AZ29/1000</f>
        <v>-115.54235878788393</v>
      </c>
      <c r="AQ25" s="32">
        <f>'Intermediate calculations'!BA29/1000</f>
        <v>-116.30497000086095</v>
      </c>
      <c r="AR25" s="32">
        <f>'Intermediate calculations'!BB29/1000</f>
        <v>-117.05023238180975</v>
      </c>
      <c r="AS25" s="32">
        <f>'Intermediate calculations'!BC29/1000</f>
        <v>-117.77508290009241</v>
      </c>
      <c r="AT25" s="32">
        <f>'Intermediate calculations'!BD29/1000</f>
        <v>-118.47750456004374</v>
      </c>
      <c r="AU25" s="32">
        <f>'Intermediate calculations'!BE29/1000</f>
        <v>-119.1573488814204</v>
      </c>
      <c r="AV25" s="32">
        <f>'Intermediate calculations'!BF29/1000</f>
        <v>-119.81221348725148</v>
      </c>
      <c r="AW25" s="32">
        <f>'Intermediate calculations'!BG29/1000</f>
        <v>-120.43942406483949</v>
      </c>
      <c r="AX25" s="32">
        <f>'Intermediate calculations'!BH29/1000</f>
        <v>-121.03874704975668</v>
      </c>
      <c r="AY25" s="32">
        <f>'Intermediate calculations'!BI29/1000</f>
        <v>-121.61068961047471</v>
      </c>
      <c r="AZ25" s="32">
        <f>'Intermediate calculations'!BJ29/1000</f>
        <v>-122.15563045502996</v>
      </c>
      <c r="BA25" s="32">
        <f>'Intermediate calculations'!BK29/1000</f>
        <v>-122.67096200341857</v>
      </c>
    </row>
    <row r="26" spans="1:53" x14ac:dyDescent="0.25">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25">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25">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25">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25">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25">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2896.0855151347182</v>
      </c>
      <c r="Q31" s="34">
        <f>'Intermediate calculations'!AA15/1000</f>
        <v>2942.4453105118946</v>
      </c>
      <c r="R31" s="34">
        <f>'Intermediate calculations'!AB15/1000</f>
        <v>2979.877509050561</v>
      </c>
      <c r="S31" s="34">
        <f>'Intermediate calculations'!AC15/1000</f>
        <v>3011.589701515968</v>
      </c>
      <c r="T31" s="34">
        <f>'Intermediate calculations'!AD15/1000</f>
        <v>3037.4479061853244</v>
      </c>
      <c r="U31" s="34">
        <f>'Intermediate calculations'!AE15/1000</f>
        <v>3068.5581134720883</v>
      </c>
      <c r="V31" s="34">
        <f>'Intermediate calculations'!AF15/1000</f>
        <v>3100.7243936023351</v>
      </c>
      <c r="W31" s="34">
        <f>'Intermediate calculations'!AG15/1000</f>
        <v>3031.159231114842</v>
      </c>
      <c r="X31" s="34">
        <f>'Intermediate calculations'!AH15/1000</f>
        <v>3101.5903631989963</v>
      </c>
      <c r="Y31" s="34">
        <f>'Intermediate calculations'!AI15/1000</f>
        <v>5367.0475638466096</v>
      </c>
      <c r="Z31" s="34">
        <f>'Intermediate calculations'!AJ15/1000</f>
        <v>5461.7490777710791</v>
      </c>
      <c r="AA31" s="34">
        <f>'Intermediate calculations'!AK15/1000</f>
        <v>5553.4690148613136</v>
      </c>
      <c r="AB31" s="34">
        <f>'Intermediate calculations'!AL15/1000</f>
        <v>5641.1186535381921</v>
      </c>
      <c r="AC31" s="34">
        <f>'Intermediate calculations'!AM15/1000</f>
        <v>5723.0807930074106</v>
      </c>
      <c r="AD31" s="34">
        <f>'Intermediate calculations'!AN15/1000</f>
        <v>5799.044661896236</v>
      </c>
      <c r="AE31" s="34">
        <f>'Intermediate calculations'!AO15/1000</f>
        <v>5868.6677531233854</v>
      </c>
      <c r="AF31" s="34">
        <f>'Intermediate calculations'!AP15/1000</f>
        <v>5931.6726936057066</v>
      </c>
      <c r="AG31" s="34">
        <f>'Intermediate calculations'!AQ15/1000</f>
        <v>5987.8244238885518</v>
      </c>
      <c r="AH31" s="34">
        <f>'Intermediate calculations'!AR15/1000</f>
        <v>6036.8778522484436</v>
      </c>
      <c r="AI31" s="34">
        <f>'Intermediate calculations'!AS15/1000</f>
        <v>6078.659066736911</v>
      </c>
      <c r="AJ31" s="34">
        <f>'Intermediate calculations'!AT15/1000</f>
        <v>6112.9985011793078</v>
      </c>
      <c r="AK31" s="34">
        <f>'Intermediate calculations'!AU15/1000</f>
        <v>6139.7301150523554</v>
      </c>
      <c r="AL31" s="34">
        <f>'Intermediate calculations'!AV15/1000</f>
        <v>6158.7708504458433</v>
      </c>
      <c r="AM31" s="34">
        <f>'Intermediate calculations'!AW15/1000</f>
        <v>6170.0879714790499</v>
      </c>
      <c r="AN31" s="34">
        <f>'Intermediate calculations'!AX15/1000</f>
        <v>1959.5195256894765</v>
      </c>
      <c r="AO31" s="34">
        <f>'Intermediate calculations'!AY15/1000</f>
        <v>1968.2370490827163</v>
      </c>
      <c r="AP31" s="34">
        <f>'Intermediate calculations'!AZ15/1000</f>
        <v>1976.7381814030525</v>
      </c>
      <c r="AQ31" s="34">
        <f>'Intermediate calculations'!BA15/1000</f>
        <v>1985.0357561785906</v>
      </c>
      <c r="AR31" s="34">
        <f>'Intermediate calculations'!BB15/1000</f>
        <v>1993.1445673632284</v>
      </c>
      <c r="AS31" s="34">
        <f>'Intermediate calculations'!BC15/1000</f>
        <v>2001.0312877184917</v>
      </c>
      <c r="AT31" s="34">
        <f>'Intermediate calculations'!BD15/1000</f>
        <v>2008.6739713667578</v>
      </c>
      <c r="AU31" s="34">
        <f>'Intermediate calculations'!BE15/1000</f>
        <v>2016.071002771957</v>
      </c>
      <c r="AV31" s="34">
        <f>'Intermediate calculations'!BF15/1000</f>
        <v>2023.1962429235205</v>
      </c>
      <c r="AW31" s="34">
        <f>'Intermediate calculations'!BG15/1000</f>
        <v>2030.020594020102</v>
      </c>
      <c r="AX31" s="34">
        <f>'Intermediate calculations'!BH15/1000</f>
        <v>2036.5415147690064</v>
      </c>
      <c r="AY31" s="34">
        <f>'Intermediate calculations'!BI15/1000</f>
        <v>2042.7645234057986</v>
      </c>
      <c r="AZ31" s="34">
        <f>'Intermediate calculations'!BJ15/1000</f>
        <v>2048.6937404550613</v>
      </c>
      <c r="BA31" s="34">
        <f>'Intermediate calculations'!BK15/1000</f>
        <v>2054.3007941990732</v>
      </c>
    </row>
    <row r="32" spans="1:53" x14ac:dyDescent="0.25">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1952.2937553922523</v>
      </c>
      <c r="P32" s="34">
        <f>'Intermediate calculations'!Z12/1000</f>
        <v>1989.2140809840128</v>
      </c>
      <c r="Q32" s="34">
        <f>'Intermediate calculations'!AA12/1000</f>
        <v>2031.5845891224524</v>
      </c>
      <c r="R32" s="34">
        <f>'Intermediate calculations'!AB12/1000</f>
        <v>2065.795725300226</v>
      </c>
      <c r="S32" s="34">
        <f>'Intermediate calculations'!AC12/1000</f>
        <v>2094.7790652397453</v>
      </c>
      <c r="T32" s="34">
        <f>'Intermediate calculations'!AD12/1000</f>
        <v>2118.4121564230554</v>
      </c>
      <c r="U32" s="34">
        <f>'Intermediate calculations'!AE12/1000</f>
        <v>2146.8453123571594</v>
      </c>
      <c r="V32" s="34">
        <f>'Intermediate calculations'!AF12/1000</f>
        <v>2176.2436654550011</v>
      </c>
      <c r="W32" s="34">
        <f>'Intermediate calculations'!AG12/1000</f>
        <v>2112.6646254841025</v>
      </c>
      <c r="X32" s="34">
        <f>'Intermediate calculations'!AH12/1000</f>
        <v>2177.0351178663955</v>
      </c>
      <c r="Y32" s="34">
        <f>'Intermediate calculations'!AI12/1000</f>
        <v>4247.5484144928814</v>
      </c>
      <c r="Z32" s="34">
        <f>'Intermediate calculations'!AJ12/1000</f>
        <v>4334.1008083033757</v>
      </c>
      <c r="AA32" s="34">
        <f>'Intermediate calculations'!AK12/1000</f>
        <v>4417.9281916928257</v>
      </c>
      <c r="AB32" s="34">
        <f>'Intermediate calculations'!AL12/1000</f>
        <v>4498.0355282044593</v>
      </c>
      <c r="AC32" s="34">
        <f>'Intermediate calculations'!AM12/1000</f>
        <v>4572.944778108832</v>
      </c>
      <c r="AD32" s="34">
        <f>'Intermediate calculations'!AN12/1000</f>
        <v>4642.3719120897977</v>
      </c>
      <c r="AE32" s="34">
        <f>'Intermediate calculations'!AO12/1000</f>
        <v>4706.0038959987605</v>
      </c>
      <c r="AF32" s="34">
        <f>'Intermediate calculations'!AP12/1000</f>
        <v>4763.5872248669966</v>
      </c>
      <c r="AG32" s="34">
        <f>'Intermediate calculations'!AQ12/1000</f>
        <v>4814.9070662420536</v>
      </c>
      <c r="AH32" s="34">
        <f>'Intermediate calculations'!AR12/1000</f>
        <v>4859.739418685187</v>
      </c>
      <c r="AI32" s="34">
        <f>'Intermediate calculations'!AS12/1000</f>
        <v>4897.9253354718057</v>
      </c>
      <c r="AJ32" s="34">
        <f>'Intermediate calculations'!AT12/1000</f>
        <v>4929.3098416947832</v>
      </c>
      <c r="AK32" s="34">
        <f>'Intermediate calculations'!AU12/1000</f>
        <v>4953.7411847140238</v>
      </c>
      <c r="AL32" s="34">
        <f>'Intermediate calculations'!AV12/1000</f>
        <v>4971.1434538005878</v>
      </c>
      <c r="AM32" s="34">
        <f>'Intermediate calculations'!AW12/1000</f>
        <v>4981.4867300152464</v>
      </c>
      <c r="AN32" s="34">
        <f>'Intermediate calculations'!AX12/1000</f>
        <v>1133.2401372872725</v>
      </c>
      <c r="AO32" s="34">
        <f>'Intermediate calculations'!AY12/1000</f>
        <v>1141.2075127442865</v>
      </c>
      <c r="AP32" s="34">
        <f>'Intermediate calculations'!AZ12/1000</f>
        <v>1148.9771177055304</v>
      </c>
      <c r="AQ32" s="34">
        <f>'Intermediate calculations'!BA12/1000</f>
        <v>1156.5606813665845</v>
      </c>
      <c r="AR32" s="34">
        <f>'Intermediate calculations'!BB12/1000</f>
        <v>1163.9717246530463</v>
      </c>
      <c r="AS32" s="34">
        <f>'Intermediate calculations'!BC12/1000</f>
        <v>1171.179788154612</v>
      </c>
      <c r="AT32" s="34">
        <f>'Intermediate calculations'!BD12/1000</f>
        <v>1178.1648144491371</v>
      </c>
      <c r="AU32" s="34">
        <f>'Intermediate calculations'!BE12/1000</f>
        <v>1184.925327018366</v>
      </c>
      <c r="AV32" s="34">
        <f>'Intermediate calculations'!BF12/1000</f>
        <v>1191.4374361287266</v>
      </c>
      <c r="AW32" s="34">
        <f>'Intermediate calculations'!BG12/1000</f>
        <v>1197.6745478615283</v>
      </c>
      <c r="AX32" s="34">
        <f>'Intermediate calculations'!BH12/1000</f>
        <v>1203.6343396037848</v>
      </c>
      <c r="AY32" s="34">
        <f>'Intermediate calculations'!BI12/1000</f>
        <v>1209.3218547436938</v>
      </c>
      <c r="AZ32" s="34">
        <f>'Intermediate calculations'!BJ12/1000</f>
        <v>1214.7408592323122</v>
      </c>
      <c r="BA32" s="34">
        <f>'Intermediate calculations'!BK12/1000</f>
        <v>1219.8654227546588</v>
      </c>
    </row>
    <row r="33" spans="1:53" x14ac:dyDescent="0.25">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25">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25">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25">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25">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164.54471238917679</v>
      </c>
      <c r="X37">
        <f>'Intermediate calculations'!AH27/1000</f>
        <v>165.67599678341315</v>
      </c>
      <c r="Y37">
        <f>'Intermediate calculations'!AI27/1000</f>
        <v>168.8389053220381</v>
      </c>
      <c r="Z37">
        <f>'Intermediate calculations'!AJ27/1000</f>
        <v>169.86911365750444</v>
      </c>
      <c r="AA37">
        <f>'Intermediate calculations'!AK27/1000</f>
        <v>171.04932261118671</v>
      </c>
      <c r="AB37">
        <f>'Intermediate calculations'!AL27/1000</f>
        <v>172.3101813758152</v>
      </c>
      <c r="AC37">
        <f>'Intermediate calculations'!AM27/1000</f>
        <v>173.52779635027622</v>
      </c>
      <c r="AD37">
        <f>'Intermediate calculations'!AN27/1000</f>
        <v>174.70692743784491</v>
      </c>
      <c r="AE37">
        <f>'Intermediate calculations'!AO27/1000</f>
        <v>175.8468553260584</v>
      </c>
      <c r="AF37">
        <f>'Intermediate calculations'!AP27/1000</f>
        <v>176.95078087099483</v>
      </c>
      <c r="AG37">
        <f>'Intermediate calculations'!AQ27/1000</f>
        <v>178.02327175648031</v>
      </c>
      <c r="AH37">
        <f>'Intermediate calculations'!AR27/1000</f>
        <v>179.06477708379279</v>
      </c>
      <c r="AI37">
        <f>'Intermediate calculations'!AS27/1000</f>
        <v>180.07952298379922</v>
      </c>
      <c r="AJ37">
        <f>'Intermediate calculations'!AT27/1000</f>
        <v>181.06862884384691</v>
      </c>
      <c r="AK37">
        <f>'Intermediate calculations'!AU27/1000</f>
        <v>182.02985487076239</v>
      </c>
      <c r="AL37">
        <f>'Intermediate calculations'!AV27/1000</f>
        <v>182.96540968193935</v>
      </c>
      <c r="AM37">
        <f>'Intermediate calculations'!AW27/1000</f>
        <v>183.87857836887861</v>
      </c>
      <c r="AN37">
        <f>'Intermediate calculations'!AX27/1000</f>
        <v>180.5604798910507</v>
      </c>
      <c r="AO37">
        <f>'Intermediate calculations'!AY27/1000</f>
        <v>181.43232064928867</v>
      </c>
      <c r="AP37">
        <f>'Intermediate calculations'!AZ27/1000</f>
        <v>182.28252010545432</v>
      </c>
      <c r="AQ37">
        <f>'Intermediate calculations'!BA27/1000</f>
        <v>183.11236174252423</v>
      </c>
      <c r="AR37">
        <f>'Intermediate calculations'!BB27/1000</f>
        <v>183.9233251059384</v>
      </c>
      <c r="AS37">
        <f>'Intermediate calculations'!BC27/1000</f>
        <v>184.71207713382233</v>
      </c>
      <c r="AT37">
        <f>'Intermediate calculations'!BD27/1000</f>
        <v>185.47642301582417</v>
      </c>
      <c r="AU37">
        <f>'Intermediate calculations'!BE27/1000</f>
        <v>186.21620118195105</v>
      </c>
      <c r="AV37">
        <f>'Intermediate calculations'!BF27/1000</f>
        <v>186.92879746602691</v>
      </c>
      <c r="AW37">
        <f>'Intermediate calculations'!BG27/1000</f>
        <v>187.61130179278783</v>
      </c>
      <c r="AX37">
        <f>'Intermediate calculations'!BH27/1000</f>
        <v>188.26346000718891</v>
      </c>
      <c r="AY37">
        <f>'Intermediate calculations'!BI27/1000</f>
        <v>188.88582398875616</v>
      </c>
      <c r="AZ37">
        <f>'Intermediate calculations'!BJ27/1000</f>
        <v>189.478805831741</v>
      </c>
      <c r="BA37">
        <f>'Intermediate calculations'!BK27/1000</f>
        <v>190.03956807660649</v>
      </c>
    </row>
    <row r="38" spans="1:53" x14ac:dyDescent="0.25">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168.49335641070593</v>
      </c>
      <c r="P38">
        <f>'Intermediate calculations'!Z19/1000</f>
        <v>171.01670205543255</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v>
      </c>
      <c r="V38">
        <f>'Intermediate calculations'!AF19/1000</f>
        <v>187.93821358431839</v>
      </c>
      <c r="W38">
        <f>'Intermediate calculations'!AG19/1000</f>
        <v>189.19283903649284</v>
      </c>
      <c r="X38">
        <f>'Intermediate calculations'!AH19/1000</f>
        <v>191.17477999216524</v>
      </c>
      <c r="Y38">
        <f>'Intermediate calculations'!AI19/1000</f>
        <v>196.71600199052781</v>
      </c>
      <c r="Z38">
        <f>'Intermediate calculations'!AJ19/1000</f>
        <v>198.52086388320342</v>
      </c>
      <c r="AA38">
        <f>'Intermediate calculations'!AK19/1000</f>
        <v>200.58851766988292</v>
      </c>
      <c r="AB38">
        <f>'Intermediate calculations'!AL19/1000</f>
        <v>202.79746498469368</v>
      </c>
      <c r="AC38">
        <f>'Intermediate calculations'!AM19/1000</f>
        <v>204.93065182826655</v>
      </c>
      <c r="AD38">
        <f>'Intermediate calculations'!AN19/1000</f>
        <v>206.99641725954564</v>
      </c>
      <c r="AE38">
        <f>'Intermediate calculations'!AO19/1000</f>
        <v>208.99350108716129</v>
      </c>
      <c r="AF38">
        <f>'Intermediate calculations'!AP19/1000</f>
        <v>210.92751101487664</v>
      </c>
      <c r="AG38">
        <f>'Intermediate calculations'!AQ19/1000</f>
        <v>212.80644934493628</v>
      </c>
      <c r="AH38">
        <f>'Intermediate calculations'!AR19/1000</f>
        <v>214.6311028752672</v>
      </c>
      <c r="AI38">
        <f>'Intermediate calculations'!AS19/1000</f>
        <v>216.40887552825339</v>
      </c>
      <c r="AJ38">
        <f>'Intermediate calculations'!AT19/1000</f>
        <v>218.14172840195303</v>
      </c>
      <c r="AK38">
        <f>'Intermediate calculations'!AU19/1000</f>
        <v>219.82573751593719</v>
      </c>
      <c r="AL38">
        <f>'Intermediate calculations'!AV19/1000</f>
        <v>221.46477223257858</v>
      </c>
      <c r="AM38">
        <f>'Intermediate calculations'!AW19/1000</f>
        <v>223.0645878309403</v>
      </c>
      <c r="AN38">
        <f>'Intermediate calculations'!AX19/1000</f>
        <v>217.25148256610493</v>
      </c>
      <c r="AO38">
        <f>'Intermediate calculations'!AY19/1000</f>
        <v>218.77889416515097</v>
      </c>
      <c r="AP38">
        <f>'Intermediate calculations'!AZ19/1000</f>
        <v>220.26839152872282</v>
      </c>
      <c r="AQ38">
        <f>'Intermediate calculations'!BA19/1000</f>
        <v>221.72222324036892</v>
      </c>
      <c r="AR38">
        <f>'Intermediate calculations'!BB19/1000</f>
        <v>223.14298137306227</v>
      </c>
      <c r="AS38">
        <f>'Intermediate calculations'!BC19/1000</f>
        <v>224.52482660658387</v>
      </c>
      <c r="AT38">
        <f>'Intermediate calculations'!BD19/1000</f>
        <v>225.86391376765226</v>
      </c>
      <c r="AU38">
        <f>'Intermediate calculations'!BE19/1000</f>
        <v>227.15995979553793</v>
      </c>
      <c r="AV38">
        <f>'Intermediate calculations'!BF19/1000</f>
        <v>228.40838483124551</v>
      </c>
      <c r="AW38">
        <f>'Intermediate calculations'!BG19/1000</f>
        <v>229.60409060118516</v>
      </c>
      <c r="AX38">
        <f>'Intermediate calculations'!BH19/1000</f>
        <v>230.74663184128789</v>
      </c>
      <c r="AY38">
        <f>'Intermediate calculations'!BI19/1000</f>
        <v>231.83697541067494</v>
      </c>
      <c r="AZ38">
        <f>'Intermediate calculations'!BJ19/1000</f>
        <v>232.87584327322955</v>
      </c>
      <c r="BA38">
        <f>'Intermediate calculations'!BK19/1000</f>
        <v>233.85826437366731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5546875"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77"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75" x14ac:dyDescent="0.25">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25">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25">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25">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25">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75" x14ac:dyDescent="0.25">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75" x14ac:dyDescent="0.25">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25">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25">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25">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25">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25">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25">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25">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25">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25">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25">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25">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25">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25">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25">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25">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25">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25">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25">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25">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25">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25">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25">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25">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25">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25">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25">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25">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25">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25">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25">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25">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25">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25">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25">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25">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25">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75" x14ac:dyDescent="0.25">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25">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25">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25">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25">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25">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25">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25">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25">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25">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25">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25">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25">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25">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25">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25">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25">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25">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25">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25">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25">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25">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25">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25">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25">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25">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25">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25">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25">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25">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25">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25">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25">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25">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25">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25">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75" x14ac:dyDescent="0.25">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25">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25">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25">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25">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25">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25">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25">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25">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25">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25">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25">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25">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25">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25">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25">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25">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25">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25">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25">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25">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25">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25">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25">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75" x14ac:dyDescent="0.25">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25">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25">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25">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25">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25">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25">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25">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25">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25">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25">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25">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25">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25">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25">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25">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25">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25">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25">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25">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25">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25">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25">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25">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25">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75" x14ac:dyDescent="0.25">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25">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25">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25">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25">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25">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25">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25">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25">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25">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25">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25">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25">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25">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25">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25">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25">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25">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25">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25">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25">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25">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25">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25">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25">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75" x14ac:dyDescent="0.25">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25">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25">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25">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25">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25">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25">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25">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25">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25">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25">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25">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25">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25">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25">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25">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25">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25">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25">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25">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25">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25">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25">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25">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25">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75" x14ac:dyDescent="0.25">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25">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25">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25">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25">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25">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25">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25">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25">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25">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25">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25">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25">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25">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25">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25">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25">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25">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25">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25">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25">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25">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25">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25">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25">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25">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25">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25">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25">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25">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25">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25">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25">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25">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25">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25">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25">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25">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25">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25">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25">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25">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25">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25">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25">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25">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25">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25">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25">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30545.697692386806</v>
      </c>
      <c r="AU4" s="81">
        <f t="shared" si="0"/>
        <v>28386.840294811875</v>
      </c>
      <c r="AV4" s="81">
        <f t="shared" si="0"/>
        <v>26658.582353066653</v>
      </c>
      <c r="AW4" s="81">
        <f>AW11-AV11</f>
        <v>24905.205873753875</v>
      </c>
      <c r="AX4" s="81">
        <f t="shared" si="0"/>
        <v>23550.175813615322</v>
      </c>
      <c r="AY4" s="81">
        <f t="shared" si="0"/>
        <v>22252.152675736696</v>
      </c>
      <c r="AZ4" s="81">
        <f t="shared" si="0"/>
        <v>20649.138132803142</v>
      </c>
      <c r="BA4" s="15">
        <f>BA8/'Intermediate calculations'!AV8</f>
        <v>3.5308171115186582</v>
      </c>
      <c r="BB4" s="15">
        <f>BB8/'Intermediate calculations'!AW8</f>
        <v>3.4332531022983912</v>
      </c>
      <c r="BC4" s="15">
        <f>BC8/'Intermediate calculations'!AX8</f>
        <v>3.3377541092705738</v>
      </c>
      <c r="BD4" s="15">
        <f>BD8/'Intermediate calculations'!AY8</f>
        <v>3.2442330159192245</v>
      </c>
      <c r="BE4" s="15">
        <f>BE8/'Intermediate calculations'!AZ8</f>
        <v>3.1526086459819269</v>
      </c>
      <c r="BF4" s="15">
        <f>BF8/'Intermediate calculations'!BA8</f>
        <v>3.0628052211155752</v>
      </c>
      <c r="BG4" s="15">
        <f>BG8/'Intermediate calculations'!BB8</f>
        <v>2.9899291852606633</v>
      </c>
      <c r="BH4" s="15">
        <f>BH8/'Intermediate calculations'!BC8</f>
        <v>2.9184695640871459</v>
      </c>
      <c r="BI4" s="15">
        <f>BI8/'Intermediate calculations'!BD8</f>
        <v>2.8483729040734147</v>
      </c>
      <c r="BJ4" s="15">
        <f>BJ8/'Intermediate calculations'!BE8</f>
        <v>2.7795890112494339</v>
      </c>
      <c r="BK4" s="15">
        <f>BK8/'Intermediate calculations'!BF8</f>
        <v>2.7120706846423062</v>
      </c>
      <c r="BL4" s="15">
        <f>BL8/'Intermediate calculations'!BG8</f>
        <v>2.6457734767135372</v>
      </c>
      <c r="BM4" s="15">
        <f>BM8/'Intermediate calculations'!BH8</f>
        <v>2.58065547755541</v>
      </c>
      <c r="BN4" s="15">
        <f>BN8/'Intermediate calculations'!BI8</f>
        <v>2.5166771200581541</v>
      </c>
      <c r="BO4" s="15">
        <f>BO8/'Intermediate calculations'!BJ8</f>
        <v>2.4538010036352174</v>
      </c>
      <c r="BP4" s="15">
        <f>BP8/'Intermediate calculations'!BK8</f>
        <v>2.3919917344128283</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593358.66490468499</v>
      </c>
      <c r="AF5" s="23">
        <f>'Intermediate calculations'!AA15*'Intermediate calculations'!AA16*Constants!$H$18</f>
        <v>598039.0074127327</v>
      </c>
      <c r="AG5" s="23">
        <f>'Intermediate calculations'!AB15*'Intermediate calculations'!AB16*Constants!$H$18</f>
        <v>601046.62603335571</v>
      </c>
      <c r="AH5" s="23">
        <f>'Intermediate calculations'!AC15*'Intermediate calculations'!AC16*Constants!$H$18</f>
        <v>603045.20236245112</v>
      </c>
      <c r="AI5" s="23">
        <f>'Intermediate calculations'!AD15*'Intermediate calculations'!AD16*Constants!$H$18</f>
        <v>604015.06594627828</v>
      </c>
      <c r="AJ5" s="23">
        <f>'Intermediate calculations'!AE15*'Intermediate calculations'!AE16*Constants!$H$18</f>
        <v>606157.85554919671</v>
      </c>
      <c r="AK5" s="23">
        <f>'Intermediate calculations'!AF15*'Intermediate calculations'!AF16*Constants!$H$18</f>
        <v>608615.99513645715</v>
      </c>
      <c r="AL5" s="23">
        <f>'Intermediate calculations'!AG15*'Intermediate calculations'!AG16*Constants!$H$18</f>
        <v>591322.41163745022</v>
      </c>
      <c r="AM5" s="23">
        <f>'Intermediate calculations'!AH15*'Intermediate calculations'!AH16*Constants!$H$18</f>
        <v>601496.9511698751</v>
      </c>
      <c r="AN5" s="23">
        <f>'Intermediate calculations'!AI15*'Intermediate calculations'!AI16*Constants!$H$18</f>
        <v>1034923.6075225763</v>
      </c>
      <c r="AO5" s="23">
        <f>'Intermediate calculations'!AJ15*'Intermediate calculations'!AJ16*Constants!$H$18</f>
        <v>1047399.1285581163</v>
      </c>
      <c r="AP5" s="23">
        <f>'Intermediate calculations'!AK15*'Intermediate calculations'!AK16*Constants!$H$18</f>
        <v>1059327.4427172677</v>
      </c>
      <c r="AQ5" s="23">
        <f>'Intermediate calculations'!AL15*'Intermediate calculations'!AL16*Constants!$H$18</f>
        <v>1070505.6520089905</v>
      </c>
      <c r="AR5" s="23">
        <f>'Intermediate calculations'!AM15*'Intermediate calculations'!AM16*Constants!$H$18</f>
        <v>1080635.2397358473</v>
      </c>
      <c r="AS5" s="23">
        <f>'Intermediate calculations'!AN15*'Intermediate calculations'!AN16*Constants!$H$18</f>
        <v>1089668.9004951715</v>
      </c>
      <c r="AT5" s="23">
        <f>'Intermediate calculations'!AO15*'Intermediate calculations'!AO16*Constants!$H$18</f>
        <v>1097554.0084447339</v>
      </c>
      <c r="AU5" s="23">
        <f>'Intermediate calculations'!AP15*'Intermediate calculations'!AP16*Constants!$H$18</f>
        <v>1104250.7335875784</v>
      </c>
      <c r="AV5" s="23">
        <f>'Intermediate calculations'!AQ15*'Intermediate calculations'!AQ16*Constants!$H$18</f>
        <v>1109727.4879097647</v>
      </c>
      <c r="AW5" s="23">
        <f>'Intermediate calculations'!AR15*'Intermediate calculations'!AR16*Constants!$H$18</f>
        <v>1113951.0653098414</v>
      </c>
      <c r="AX5" s="23">
        <f>'Intermediate calculations'!AS15*'Intermediate calculations'!AS16*Constants!$H$18</f>
        <v>1116901.5865918756</v>
      </c>
      <c r="AY5" s="23">
        <f>'Intermediate calculations'!AT15*'Intermediate calculations'!AT16*Constants!$H$18</f>
        <v>1118559.9831987994</v>
      </c>
      <c r="AZ5" s="23">
        <f>'Intermediate calculations'!AU15*'Intermediate calculations'!AU16*Constants!$H$18</f>
        <v>1118907.8325413887</v>
      </c>
      <c r="BA5" s="23">
        <f>'Intermediate calculations'!AV15*'Intermediate calculations'!AV16*Constants!$H$18</f>
        <v>1117941.7703009425</v>
      </c>
      <c r="BB5" s="23">
        <f>'Intermediate calculations'!AW15*'Intermediate calculations'!AW16*Constants!$H$18</f>
        <v>1115667.2963556021</v>
      </c>
      <c r="BC5" s="23">
        <f>'Intermediate calculations'!AX15*'Intermediate calculations'!AX16*Constants!$H$18</f>
        <v>352977.83999699447</v>
      </c>
      <c r="BD5" s="23">
        <f>'Intermediate calculations'!AY15*'Intermediate calculations'!AY16*Constants!$H$18</f>
        <v>353235.50789657497</v>
      </c>
      <c r="BE5" s="23">
        <f>'Intermediate calculations'!AZ15*'Intermediate calculations'!AZ16*Constants!$H$18</f>
        <v>353474.62715966295</v>
      </c>
      <c r="BF5" s="23">
        <f>'Intermediate calculations'!BA15*'Intermediate calculations'!BA16*Constants!$H$18</f>
        <v>353696.81534571305</v>
      </c>
      <c r="BG5" s="23">
        <f>'Intermediate calculations'!BB15*'Intermediate calculations'!BB16*Constants!$H$18</f>
        <v>353904.06494897016</v>
      </c>
      <c r="BH5" s="23">
        <f>'Intermediate calculations'!BC15*'Intermediate calculations'!BC16*Constants!$H$18</f>
        <v>354089.87141117838</v>
      </c>
      <c r="BI5" s="23">
        <f>'Intermediate calculations'!BD15*'Intermediate calculations'!BD16*Constants!$H$18</f>
        <v>354249.86667107692</v>
      </c>
      <c r="BJ5" s="23">
        <f>'Intermediate calculations'!BE15*'Intermediate calculations'!BE16*Constants!$H$18</f>
        <v>354383.35025856091</v>
      </c>
      <c r="BK5" s="23">
        <f>'Intermediate calculations'!BF15*'Intermediate calculations'!BF16*Constants!$H$18</f>
        <v>354485.36599126982</v>
      </c>
      <c r="BL5" s="23">
        <f>'Intermediate calculations'!BG15*'Intermediate calculations'!BG16*Constants!$H$18</f>
        <v>354550.53300491563</v>
      </c>
      <c r="BM5" s="23">
        <f>'Intermediate calculations'!BH15*'Intermediate calculations'!BH16*Constants!$H$18</f>
        <v>354578.18668771023</v>
      </c>
      <c r="BN5" s="23">
        <f>'Intermediate calculations'!BI15*'Intermediate calculations'!BI16*Constants!$H$18</f>
        <v>354569.09132560756</v>
      </c>
      <c r="BO5" s="23">
        <f>'Intermediate calculations'!BJ15*'Intermediate calculations'!BJ16*Constants!$H$18</f>
        <v>354523.779919889</v>
      </c>
      <c r="BP5" s="23">
        <f>'Intermediate calculations'!BK15*'Intermediate calculations'!BK16*Constants!$H$18</f>
        <v>354437.19147932017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491640.03663531045</v>
      </c>
      <c r="AF6" s="23">
        <f>'Intermediate calculations'!AA15*'Intermediate calculations'!AA16*Constants!$H$19</f>
        <v>495518.03471340711</v>
      </c>
      <c r="AG6" s="23">
        <f>'Intermediate calculations'!AB15*'Intermediate calculations'!AB16*Constants!$H$19</f>
        <v>498010.06157049473</v>
      </c>
      <c r="AH6" s="23">
        <f>'Intermediate calculations'!AC15*'Intermediate calculations'!AC16*Constants!$H$19</f>
        <v>499666.02481460234</v>
      </c>
      <c r="AI6" s="23">
        <f>'Intermediate calculations'!AD15*'Intermediate calculations'!AD16*Constants!$H$19</f>
        <v>500469.62606977345</v>
      </c>
      <c r="AJ6" s="23">
        <f>'Intermediate calculations'!AE15*'Intermediate calculations'!AE16*Constants!$H$19</f>
        <v>502245.08031219151</v>
      </c>
      <c r="AK6" s="23">
        <f>'Intermediate calculations'!AF15*'Intermediate calculations'!AF16*Constants!$H$19</f>
        <v>504281.82454163593</v>
      </c>
      <c r="AL6" s="23">
        <f>'Intermediate calculations'!AG15*'Intermediate calculations'!AG16*Constants!$H$19</f>
        <v>489952.85535674449</v>
      </c>
      <c r="AM6" s="23">
        <f>'Intermediate calculations'!AH15*'Intermediate calculations'!AH16*Constants!$H$19</f>
        <v>498383.18811218225</v>
      </c>
      <c r="AN6" s="23">
        <f>'Intermediate calculations'!AI15*'Intermediate calculations'!AI16*Constants!$H$19</f>
        <v>857508.13194727746</v>
      </c>
      <c r="AO6" s="23">
        <f>'Intermediate calculations'!AJ15*'Intermediate calculations'!AJ16*Constants!$H$19</f>
        <v>867844.99223386776</v>
      </c>
      <c r="AP6" s="23">
        <f>'Intermediate calculations'!AK15*'Intermediate calculations'!AK16*Constants!$H$19</f>
        <v>877728.45253716467</v>
      </c>
      <c r="AQ6" s="23">
        <f>'Intermediate calculations'!AL15*'Intermediate calculations'!AL16*Constants!$H$19</f>
        <v>886990.39737887774</v>
      </c>
      <c r="AR6" s="23">
        <f>'Intermediate calculations'!AM15*'Intermediate calculations'!AM16*Constants!$H$19</f>
        <v>895383.4843525592</v>
      </c>
      <c r="AS6" s="23">
        <f>'Intermediate calculations'!AN15*'Intermediate calculations'!AN16*Constants!$H$19</f>
        <v>902868.51755314216</v>
      </c>
      <c r="AT6" s="23">
        <f>'Intermediate calculations'!AO15*'Intermediate calculations'!AO16*Constants!$H$19</f>
        <v>909401.89271135093</v>
      </c>
      <c r="AU6" s="23">
        <f>'Intermediate calculations'!AP15*'Intermediate calculations'!AP16*Constants!$H$19</f>
        <v>914950.60782970779</v>
      </c>
      <c r="AV6" s="23">
        <f>'Intermediate calculations'!AQ15*'Intermediate calculations'!AQ16*Constants!$H$19</f>
        <v>919488.48998237646</v>
      </c>
      <c r="AW6" s="23">
        <f>'Intermediate calculations'!AR15*'Intermediate calculations'!AR16*Constants!$H$19</f>
        <v>922988.02554244013</v>
      </c>
      <c r="AX6" s="23">
        <f>'Intermediate calculations'!AS15*'Intermediate calculations'!AS16*Constants!$H$19</f>
        <v>925432.74317612546</v>
      </c>
      <c r="AY6" s="23">
        <f>'Intermediate calculations'!AT15*'Intermediate calculations'!AT16*Constants!$H$19</f>
        <v>926806.84322186233</v>
      </c>
      <c r="AZ6" s="23">
        <f>'Intermediate calculations'!AU15*'Intermediate calculations'!AU16*Constants!$H$19</f>
        <v>927095.0612485793</v>
      </c>
      <c r="BA6" s="23">
        <f>'Intermediate calculations'!AV15*'Intermediate calculations'!AV16*Constants!$H$19</f>
        <v>926294.60967792373</v>
      </c>
      <c r="BB6" s="23">
        <f>'Intermediate calculations'!AW15*'Intermediate calculations'!AW16*Constants!$H$19</f>
        <v>924410.04555178457</v>
      </c>
      <c r="BC6" s="23">
        <f>'Intermediate calculations'!AX15*'Intermediate calculations'!AX16*Constants!$H$19</f>
        <v>292467.35314036685</v>
      </c>
      <c r="BD6" s="23">
        <f>'Intermediate calculations'!AY15*'Intermediate calculations'!AY16*Constants!$H$19</f>
        <v>292680.84940001921</v>
      </c>
      <c r="BE6" s="23">
        <f>'Intermediate calculations'!AZ15*'Intermediate calculations'!AZ16*Constants!$H$19</f>
        <v>292878.97678943502</v>
      </c>
      <c r="BF6" s="23">
        <f>'Intermediate calculations'!BA15*'Intermediate calculations'!BA16*Constants!$H$19</f>
        <v>293063.07557216223</v>
      </c>
      <c r="BG6" s="23">
        <f>'Intermediate calculations'!BB15*'Intermediate calculations'!BB16*Constants!$H$19</f>
        <v>293234.79667200387</v>
      </c>
      <c r="BH6" s="23">
        <f>'Intermediate calculations'!BC15*'Intermediate calculations'!BC16*Constants!$H$19</f>
        <v>293388.75059783354</v>
      </c>
      <c r="BI6" s="23">
        <f>'Intermediate calculations'!BD15*'Intermediate calculations'!BD16*Constants!$H$19</f>
        <v>293521.31809889228</v>
      </c>
      <c r="BJ6" s="23">
        <f>'Intermediate calculations'!BE15*'Intermediate calculations'!BE16*Constants!$H$19</f>
        <v>293631.91878566478</v>
      </c>
      <c r="BK6" s="23">
        <f>'Intermediate calculations'!BF15*'Intermediate calculations'!BF16*Constants!$H$19</f>
        <v>293716.44610705215</v>
      </c>
      <c r="BL6" s="23">
        <f>'Intermediate calculations'!BG15*'Intermediate calculations'!BG16*Constants!$H$19</f>
        <v>293770.44163264439</v>
      </c>
      <c r="BM6" s="23">
        <f>'Intermediate calculations'!BH15*'Intermediate calculations'!BH16*Constants!$H$19</f>
        <v>293793.35468410276</v>
      </c>
      <c r="BN6" s="23">
        <f>'Intermediate calculations'!BI15*'Intermediate calculations'!BI16*Constants!$H$19</f>
        <v>293785.81852693198</v>
      </c>
      <c r="BO6" s="23">
        <f>'Intermediate calculations'!BJ15*'Intermediate calculations'!BJ16*Constants!$H$19</f>
        <v>293748.27479076519</v>
      </c>
      <c r="BP6" s="23">
        <f>'Intermediate calculations'!BK15*'Intermediate calculations'!BK16*Constants!$H$19</f>
        <v>293676.53008286527</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610311.7696162475</v>
      </c>
      <c r="AF7" s="23">
        <f>'Intermediate calculations'!AA15*'Intermediate calculations'!AA16*(1-Constants!$H$18-Constants!$H$19)</f>
        <v>615125.83619595377</v>
      </c>
      <c r="AG7" s="23">
        <f>'Intermediate calculations'!AB15*'Intermediate calculations'!AB16*(1-Constants!$H$18-Constants!$H$19)</f>
        <v>618219.38677716604</v>
      </c>
      <c r="AH7" s="23">
        <f>'Intermediate calculations'!AC15*'Intermediate calculations'!AC16*(1-Constants!$H$18-Constants!$H$19)</f>
        <v>620275.0652870927</v>
      </c>
      <c r="AI7" s="23">
        <f>'Intermediate calculations'!AD15*'Intermediate calculations'!AD16*(1-Constants!$H$18-Constants!$H$19)</f>
        <v>621272.6392590293</v>
      </c>
      <c r="AJ7" s="23">
        <f>'Intermediate calculations'!AE15*'Intermediate calculations'!AE16*(1-Constants!$H$18-Constants!$H$19)</f>
        <v>623476.65142203099</v>
      </c>
      <c r="AK7" s="23">
        <f>'Intermediate calculations'!AF15*'Intermediate calculations'!AF16*(1-Constants!$H$18-Constants!$H$19)</f>
        <v>626005.02356892754</v>
      </c>
      <c r="AL7" s="23">
        <f>'Intermediate calculations'!AG15*'Intermediate calculations'!AG16*(1-Constants!$H$18-Constants!$H$19)</f>
        <v>608217.33768423472</v>
      </c>
      <c r="AM7" s="23">
        <f>'Intermediate calculations'!AH15*'Intermediate calculations'!AH16*(1-Constants!$H$18-Constants!$H$19)</f>
        <v>618682.57834615733</v>
      </c>
      <c r="AN7" s="23">
        <f>'Intermediate calculations'!AI15*'Intermediate calculations'!AI16*(1-Constants!$H$18-Constants!$H$19)</f>
        <v>1064492.8534517928</v>
      </c>
      <c r="AO7" s="23">
        <f>'Intermediate calculations'!AJ15*'Intermediate calculations'!AJ16*(1-Constants!$H$18-Constants!$H$19)</f>
        <v>1077324.8179454913</v>
      </c>
      <c r="AP7" s="23">
        <f>'Intermediate calculations'!AK15*'Intermediate calculations'!AK16*(1-Constants!$H$18-Constants!$H$19)</f>
        <v>1089593.9410806184</v>
      </c>
      <c r="AQ7" s="23">
        <f>'Intermediate calculations'!AL15*'Intermediate calculations'!AL16*(1-Constants!$H$18-Constants!$H$19)</f>
        <v>1101091.527780676</v>
      </c>
      <c r="AR7" s="23">
        <f>'Intermediate calculations'!AM15*'Intermediate calculations'!AM16*(1-Constants!$H$18-Constants!$H$19)</f>
        <v>1111510.5322997288</v>
      </c>
      <c r="AS7" s="23">
        <f>'Intermediate calculations'!AN15*'Intermediate calculations'!AN16*(1-Constants!$H$18-Constants!$H$19)</f>
        <v>1120802.2976521766</v>
      </c>
      <c r="AT7" s="23">
        <f>'Intermediate calculations'!AO15*'Intermediate calculations'!AO16*(1-Constants!$H$18-Constants!$H$19)</f>
        <v>1128912.6944002979</v>
      </c>
      <c r="AU7" s="23">
        <f>'Intermediate calculations'!AP15*'Intermediate calculations'!AP16*(1-Constants!$H$18-Constants!$H$19)</f>
        <v>1135800.7545472237</v>
      </c>
      <c r="AV7" s="23">
        <f>'Intermediate calculations'!AQ15*'Intermediate calculations'!AQ16*(1-Constants!$H$18-Constants!$H$19)</f>
        <v>1141433.9875643295</v>
      </c>
      <c r="AW7" s="23">
        <f>'Intermediate calculations'!AR15*'Intermediate calculations'!AR16*(1-Constants!$H$18-Constants!$H$19)</f>
        <v>1145778.2386044087</v>
      </c>
      <c r="AX7" s="23">
        <f>'Intermediate calculations'!AS15*'Intermediate calculations'!AS16*(1-Constants!$H$18-Constants!$H$19)</f>
        <v>1148813.0604945007</v>
      </c>
      <c r="AY7" s="23">
        <f>'Intermediate calculations'!AT15*'Intermediate calculations'!AT16*(1-Constants!$H$18-Constants!$H$19)</f>
        <v>1150518.8398616223</v>
      </c>
      <c r="AZ7" s="23">
        <f>'Intermediate calculations'!AU15*'Intermediate calculations'!AU16*(1-Constants!$H$18-Constants!$H$19)</f>
        <v>1150876.6277568573</v>
      </c>
      <c r="BA7" s="23">
        <f>'Intermediate calculations'!AV15*'Intermediate calculations'!AV16*(1-Constants!$H$18-Constants!$H$19)</f>
        <v>1149882.9637381125</v>
      </c>
      <c r="BB7" s="23">
        <f>'Intermediate calculations'!AW15*'Intermediate calculations'!AW16*(1-Constants!$H$18-Constants!$H$19)</f>
        <v>1147543.5048229052</v>
      </c>
      <c r="BC7" s="23">
        <f>'Intermediate calculations'!AX15*'Intermediate calculations'!AX16*(1-Constants!$H$18-Constants!$H$19)</f>
        <v>363062.92113976576</v>
      </c>
      <c r="BD7" s="23">
        <f>'Intermediate calculations'!AY15*'Intermediate calculations'!AY16*(1-Constants!$H$18-Constants!$H$19)</f>
        <v>363327.9509793343</v>
      </c>
      <c r="BE7" s="23">
        <f>'Intermediate calculations'!AZ15*'Intermediate calculations'!AZ16*(1-Constants!$H$18-Constants!$H$19)</f>
        <v>363573.90222136764</v>
      </c>
      <c r="BF7" s="23">
        <f>'Intermediate calculations'!BA15*'Intermediate calculations'!BA16*(1-Constants!$H$18-Constants!$H$19)</f>
        <v>363802.43864130491</v>
      </c>
      <c r="BG7" s="23">
        <f>'Intermediate calculations'!BB15*'Intermediate calculations'!BB16*(1-Constants!$H$18-Constants!$H$19)</f>
        <v>364015.60966179799</v>
      </c>
      <c r="BH7" s="23">
        <f>'Intermediate calculations'!BC15*'Intermediate calculations'!BC16*(1-Constants!$H$18-Constants!$H$19)</f>
        <v>364206.72488006926</v>
      </c>
      <c r="BI7" s="23">
        <f>'Intermediate calculations'!BD15*'Intermediate calculations'!BD16*(1-Constants!$H$18-Constants!$H$19)</f>
        <v>364371.29143310775</v>
      </c>
      <c r="BJ7" s="23">
        <f>'Intermediate calculations'!BE15*'Intermediate calculations'!BE16*(1-Constants!$H$18-Constants!$H$19)</f>
        <v>364508.58883737703</v>
      </c>
      <c r="BK7" s="23">
        <f>'Intermediate calculations'!BF15*'Intermediate calculations'!BF16*(1-Constants!$H$18-Constants!$H$19)</f>
        <v>364613.51930530614</v>
      </c>
      <c r="BL7" s="23">
        <f>'Intermediate calculations'!BG15*'Intermediate calculations'!BG16*(1-Constants!$H$18-Constants!$H$19)</f>
        <v>364680.54823362757</v>
      </c>
      <c r="BM7" s="23">
        <f>'Intermediate calculations'!BH15*'Intermediate calculations'!BH16*(1-Constants!$H$18-Constants!$H$19)</f>
        <v>364708.9920216449</v>
      </c>
      <c r="BN7" s="23">
        <f>'Intermediate calculations'!BI15*'Intermediate calculations'!BI16*(1-Constants!$H$18-Constants!$H$19)</f>
        <v>364699.63679205358</v>
      </c>
      <c r="BO7" s="23">
        <f>'Intermediate calculations'!BJ15*'Intermediate calculations'!BJ16*(1-Constants!$H$18-Constants!$H$19)</f>
        <v>364653.03077474306</v>
      </c>
      <c r="BP7" s="23">
        <f>'Intermediate calculations'!BK15*'Intermediate calculations'!BK16*(1-Constants!$H$18-Constants!$H$19)</f>
        <v>364563.96837872942</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5954880.1627134718</v>
      </c>
      <c r="AE8" s="23">
        <f>'Intermediate calculations'!Z10*'Intermediate calculations'!Z11*Constants!$H$20</f>
        <v>5903235.3888004785</v>
      </c>
      <c r="AF8" s="23">
        <f>'Intermediate calculations'!AA10*'Intermediate calculations'!AA11*Constants!$H$20</f>
        <v>5883575.786790872</v>
      </c>
      <c r="AG8" s="23">
        <f>'Intermediate calculations'!AB10*'Intermediate calculations'!AB11*Constants!$H$20</f>
        <v>5805008.3335930649</v>
      </c>
      <c r="AH8" s="23">
        <f>'Intermediate calculations'!AC10*'Intermediate calculations'!AC11*Constants!$H$20</f>
        <v>5690965.7565264786</v>
      </c>
      <c r="AI8" s="23">
        <f>'Intermediate calculations'!AD10*'Intermediate calculations'!AD11*Constants!$H$20</f>
        <v>5543806.2775503118</v>
      </c>
      <c r="AJ8" s="23">
        <f>'Intermediate calculations'!AE10*'Intermediate calculations'!AE11*Constants!$H$20</f>
        <v>5427737.2925172495</v>
      </c>
      <c r="AK8" s="23">
        <f>'Intermediate calculations'!AF10*'Intermediate calculations'!AF11*Constants!$H$20</f>
        <v>5317922.8374796035</v>
      </c>
      <c r="AL8" s="23">
        <f>'Intermediate calculations'!AG10*'Intermediate calculations'!AG11*Constants!$H$20</f>
        <v>4755918.1218965715</v>
      </c>
      <c r="AM8" s="23">
        <f>'Intermediate calculations'!AH10*'Intermediate calculations'!AH11*Constants!$H$20</f>
        <v>4939149.1944778934</v>
      </c>
      <c r="AN8" s="23">
        <f>'Intermediate calculations'!AI10*'Intermediate calculations'!AI11*Constants!$H$20</f>
        <v>15566694.993877109</v>
      </c>
      <c r="AO8" s="23">
        <f>'Intermediate calculations'!AJ10*'Intermediate calculations'!AJ11*Constants!$H$20</f>
        <v>15641779.067004707</v>
      </c>
      <c r="AP8" s="23">
        <f>'Intermediate calculations'!AK10*'Intermediate calculations'!AK11*Constants!$H$20</f>
        <v>15689832.688180834</v>
      </c>
      <c r="AQ8" s="23">
        <f>'Intermediate calculations'!AL10*'Intermediate calculations'!AL11*Constants!$H$20</f>
        <v>15710846.069805361</v>
      </c>
      <c r="AR8" s="23">
        <f>'Intermediate calculations'!AM10*'Intermediate calculations'!AM11*Constants!$H$20</f>
        <v>15705264.354760379</v>
      </c>
      <c r="AS8" s="23">
        <f>'Intermediate calculations'!AN10*'Intermediate calculations'!AN11*Constants!$H$20</f>
        <v>15672819.997851543</v>
      </c>
      <c r="AT8" s="23">
        <f>'Intermediate calculations'!AO10*'Intermediate calculations'!AO11*Constants!$H$20</f>
        <v>15613433.523932638</v>
      </c>
      <c r="AU8" s="23">
        <f>'Intermediate calculations'!AP10*'Intermediate calculations'!AP11*Constants!$H$20</f>
        <v>15527154.06979692</v>
      </c>
      <c r="AV8" s="23">
        <f>'Intermediate calculations'!AQ10*'Intermediate calculations'!AQ11*Constants!$H$20</f>
        <v>15414175.643613048</v>
      </c>
      <c r="AW8" s="23">
        <f>'Intermediate calculations'!AR10*'Intermediate calculations'!AR11*Constants!$H$20</f>
        <v>15146507.038818283</v>
      </c>
      <c r="AX8" s="23">
        <f>'Intermediate calculations'!AS10*'Intermediate calculations'!AS11*Constants!$H$20</f>
        <v>14853625.744490532</v>
      </c>
      <c r="AY8" s="23">
        <f>'Intermediate calculations'!AT10*'Intermediate calculations'!AT11*Constants!$H$20</f>
        <v>14536847.734424569</v>
      </c>
      <c r="AZ8" s="23">
        <f>'Intermediate calculations'!AU10*'Intermediate calculations'!AU11*Constants!$H$20</f>
        <v>14197638.514468007</v>
      </c>
      <c r="BA8" s="23">
        <f>'Intermediate calculations'!AV10*'Intermediate calculations'!AV11*Constants!$H$20</f>
        <v>13837558.240646992</v>
      </c>
      <c r="BB8" s="23">
        <f>'Intermediate calculations'!AW10*'Intermediate calculations'!AW11*Constants!$H$20</f>
        <v>13458268.255725138</v>
      </c>
      <c r="BC8" s="23">
        <f>'Intermediate calculations'!AX10*'Intermediate calculations'!AX11*Constants!$H$20</f>
        <v>-1039155.8627087944</v>
      </c>
      <c r="BD8" s="23">
        <f>'Intermediate calculations'!AY10*'Intermediate calculations'!AY11*Constants!$H$20</f>
        <v>-1014135.9924717954</v>
      </c>
      <c r="BE8" s="23">
        <f>'Intermediate calculations'!AZ10*'Intermediate calculations'!AZ11*Constants!$H$20</f>
        <v>-989376.44121652725</v>
      </c>
      <c r="BF8" s="23">
        <f>'Intermediate calculations'!BA10*'Intermediate calculations'!BA11*Constants!$H$20</f>
        <v>-964874.65173804481</v>
      </c>
      <c r="BG8" s="23">
        <f>'Intermediate calculations'!BB10*'Intermediate calculations'!BB11*Constants!$H$20</f>
        <v>-945428.22862049635</v>
      </c>
      <c r="BH8" s="23">
        <f>'Intermediate calculations'!BC10*'Intermediate calculations'!BC11*Constants!$H$20</f>
        <v>-926166.27609481115</v>
      </c>
      <c r="BI8" s="23">
        <f>'Intermediate calculations'!BD10*'Intermediate calculations'!BD11*Constants!$H$20</f>
        <v>-907074.46766085073</v>
      </c>
      <c r="BJ8" s="23">
        <f>'Intermediate calculations'!BE10*'Intermediate calculations'!BE11*Constants!$H$20</f>
        <v>-888148.07415729144</v>
      </c>
      <c r="BK8" s="23">
        <f>'Intermediate calculations'!BF10*'Intermediate calculations'!BF11*Constants!$H$20</f>
        <v>-869373.25849270087</v>
      </c>
      <c r="BL8" s="23">
        <f>'Intermediate calculations'!BG10*'Intermediate calculations'!BG11*Constants!$H$20</f>
        <v>-850736.4700094898</v>
      </c>
      <c r="BM8" s="23">
        <f>'Intermediate calculations'!BH10*'Intermediate calculations'!BH11*Constants!$H$20</f>
        <v>-832235.53239271138</v>
      </c>
      <c r="BN8" s="23">
        <f>'Intermediate calculations'!BI10*'Intermediate calculations'!BI11*Constants!$H$20</f>
        <v>-813871.5886540697</v>
      </c>
      <c r="BO8" s="23">
        <f>'Intermediate calculations'!BJ10*'Intermediate calculations'!BJ11*Constants!$H$20</f>
        <v>-795645.3399709207</v>
      </c>
      <c r="BP8" s="23">
        <f>'Intermediate calculations'!BK10*'Intermediate calculations'!BK11*Constants!$H$20</f>
        <v>-777546.31788674416</v>
      </c>
    </row>
    <row r="9" spans="1:72" x14ac:dyDescent="0.25">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5280742.7858025115</v>
      </c>
      <c r="AE9" s="23">
        <f>'Intermediate calculations'!Z10*'Intermediate calculations'!Z11*(1-Constants!$H$20)</f>
        <v>5234944.5900683487</v>
      </c>
      <c r="AF9" s="23">
        <f>'Intermediate calculations'!AA10*'Intermediate calculations'!AA11*(1-Constants!$H$20)</f>
        <v>5217510.6033805832</v>
      </c>
      <c r="AG9" s="23">
        <f>'Intermediate calculations'!AB10*'Intermediate calculations'!AB11*(1-Constants!$H$20)</f>
        <v>5147837.57884668</v>
      </c>
      <c r="AH9" s="23">
        <f>'Intermediate calculations'!AC10*'Intermediate calculations'!AC11*(1-Constants!$H$20)</f>
        <v>5046705.4822027264</v>
      </c>
      <c r="AI9" s="23">
        <f>'Intermediate calculations'!AD10*'Intermediate calculations'!AD11*(1-Constants!$H$20)</f>
        <v>4916205.5668842383</v>
      </c>
      <c r="AJ9" s="23">
        <f>'Intermediate calculations'!AE10*'Intermediate calculations'!AE11*(1-Constants!$H$20)</f>
        <v>4813276.4669492589</v>
      </c>
      <c r="AK9" s="23">
        <f>'Intermediate calculations'!AF10*'Intermediate calculations'!AF11*(1-Constants!$H$20)</f>
        <v>4715893.8370102132</v>
      </c>
      <c r="AL9" s="23">
        <f>'Intermediate calculations'!AG10*'Intermediate calculations'!AG11*(1-Constants!$H$20)</f>
        <v>4217512.2967762044</v>
      </c>
      <c r="AM9" s="23">
        <f>'Intermediate calculations'!AH10*'Intermediate calculations'!AH11*(1-Constants!$H$20)</f>
        <v>4380000.2290653009</v>
      </c>
      <c r="AN9" s="23">
        <f>'Intermediate calculations'!AI10*'Intermediate calculations'!AI11*(1-Constants!$H$20)</f>
        <v>13804427.636079699</v>
      </c>
      <c r="AO9" s="23">
        <f>'Intermediate calculations'!AJ10*'Intermediate calculations'!AJ11*(1-Constants!$H$20)</f>
        <v>13871011.625457004</v>
      </c>
      <c r="AP9" s="23">
        <f>'Intermediate calculations'!AK10*'Intermediate calculations'!AK11*(1-Constants!$H$20)</f>
        <v>13913625.214047153</v>
      </c>
      <c r="AQ9" s="23">
        <f>'Intermediate calculations'!AL10*'Intermediate calculations'!AL11*(1-Constants!$H$20)</f>
        <v>13932259.722280223</v>
      </c>
      <c r="AR9" s="23">
        <f>'Intermediate calculations'!AM10*'Intermediate calculations'!AM11*(1-Constants!$H$20)</f>
        <v>13927309.899504486</v>
      </c>
      <c r="AS9" s="23">
        <f>'Intermediate calculations'!AN10*'Intermediate calculations'!AN11*(1-Constants!$H$20)</f>
        <v>13898538.488660801</v>
      </c>
      <c r="AT9" s="23">
        <f>'Intermediate calculations'!AO10*'Intermediate calculations'!AO11*(1-Constants!$H$20)</f>
        <v>13845875.01178932</v>
      </c>
      <c r="AU9" s="23">
        <f>'Intermediate calculations'!AP10*'Intermediate calculations'!AP11*(1-Constants!$H$20)</f>
        <v>13769363.043027457</v>
      </c>
      <c r="AV9" s="23">
        <f>'Intermediate calculations'!AQ10*'Intermediate calculations'!AQ11*(1-Constants!$H$20)</f>
        <v>13669174.627354965</v>
      </c>
      <c r="AW9" s="23">
        <f>'Intermediate calculations'!AR10*'Intermediate calculations'!AR11*(1-Constants!$H$20)</f>
        <v>13431808.128763383</v>
      </c>
      <c r="AX9" s="23">
        <f>'Intermediate calculations'!AS10*'Intermediate calculations'!AS11*(1-Constants!$H$20)</f>
        <v>13172083.207378397</v>
      </c>
      <c r="AY9" s="23">
        <f>'Intermediate calculations'!AT10*'Intermediate calculations'!AT11*(1-Constants!$H$20)</f>
        <v>12891166.858829334</v>
      </c>
      <c r="AZ9" s="23">
        <f>'Intermediate calculations'!AU10*'Intermediate calculations'!AU11*(1-Constants!$H$20)</f>
        <v>12590358.682641439</v>
      </c>
      <c r="BA9" s="23">
        <f>'Intermediate calculations'!AV10*'Intermediate calculations'!AV11*(1-Constants!$H$20)</f>
        <v>12271042.213403936</v>
      </c>
      <c r="BB9" s="23">
        <f>'Intermediate calculations'!AW10*'Intermediate calculations'!AW11*(1-Constants!$H$20)</f>
        <v>11934690.717341159</v>
      </c>
      <c r="BC9" s="23">
        <f>'Intermediate calculations'!AX10*'Intermediate calculations'!AX11*(1-Constants!$H$20)</f>
        <v>-921515.57636440243</v>
      </c>
      <c r="BD9" s="23">
        <f>'Intermediate calculations'!AY10*'Intermediate calculations'!AY11*(1-Constants!$H$20)</f>
        <v>-899328.14426744112</v>
      </c>
      <c r="BE9" s="23">
        <f>'Intermediate calculations'!AZ10*'Intermediate calculations'!AZ11*(1-Constants!$H$20)</f>
        <v>-877371.56107880711</v>
      </c>
      <c r="BF9" s="23">
        <f>'Intermediate calculations'!BA10*'Intermediate calculations'!BA11*(1-Constants!$H$20)</f>
        <v>-855643.55908845481</v>
      </c>
      <c r="BG9" s="23">
        <f>'Intermediate calculations'!BB10*'Intermediate calculations'!BB11*(1-Constants!$H$20)</f>
        <v>-838398.61783327023</v>
      </c>
      <c r="BH9" s="23">
        <f>'Intermediate calculations'!BC10*'Intermediate calculations'!BC11*(1-Constants!$H$20)</f>
        <v>-821317.26370671915</v>
      </c>
      <c r="BI9" s="23">
        <f>'Intermediate calculations'!BD10*'Intermediate calculations'!BD11*(1-Constants!$H$20)</f>
        <v>-804386.79207660339</v>
      </c>
      <c r="BJ9" s="23">
        <f>'Intermediate calculations'!BE10*'Intermediate calculations'!BE11*(1-Constants!$H$20)</f>
        <v>-787603.00915835274</v>
      </c>
      <c r="BK9" s="23">
        <f>'Intermediate calculations'!BF10*'Intermediate calculations'!BF11*(1-Constants!$H$20)</f>
        <v>-770953.64432371582</v>
      </c>
      <c r="BL9" s="23">
        <f>'Intermediate calculations'!BG10*'Intermediate calculations'!BG11*(1-Constants!$H$20)</f>
        <v>-754426.68095181172</v>
      </c>
      <c r="BM9" s="23">
        <f>'Intermediate calculations'!BH10*'Intermediate calculations'!BH11*(1-Constants!$H$20)</f>
        <v>-738020.1891029703</v>
      </c>
      <c r="BN9" s="23">
        <f>'Intermediate calculations'!BI10*'Intermediate calculations'!BI11*(1-Constants!$H$20)</f>
        <v>-721735.1823913448</v>
      </c>
      <c r="BO9" s="23">
        <f>'Intermediate calculations'!BJ10*'Intermediate calculations'!BJ11*(1-Constants!$H$20)</f>
        <v>-705572.28261572216</v>
      </c>
      <c r="BP9" s="23">
        <f>'Intermediate calculations'!BK10*'Intermediate calculations'!BK11*(1-Constants!$H$20)</f>
        <v>-689522.20642786729</v>
      </c>
    </row>
    <row r="10" spans="1:72" x14ac:dyDescent="0.25">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559717.1030773099</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597546.77075746469</v>
      </c>
      <c r="AH10" s="23">
        <f>(((('Intermediate calculations'!AC9/('Intermediate calculations'!AC64+0.27))*ttokg)/Constants!$H$21)/(365/'Intermediate calculations'!AC65))</f>
        <v>610009.49754182238</v>
      </c>
      <c r="AI10" s="23">
        <f>(((('Intermediate calculations'!AD9/('Intermediate calculations'!AD64+0.27))*ttokg)/Constants!$H$21)/(365/'Intermediate calculations'!AD65))</f>
        <v>618596.39996388659</v>
      </c>
      <c r="AJ10" s="23">
        <f>(((('Intermediate calculations'!AE9/('Intermediate calculations'!AE64+0.27))*ttokg)/Constants!$H$21)/(365/'Intermediate calculations'!AE65))</f>
        <v>630321.10002649156</v>
      </c>
      <c r="AK10" s="23">
        <f>(((('Intermediate calculations'!AF9/('Intermediate calculations'!AF64+0.27))*ttokg)/Constants!$H$21)/(365/'Intermediate calculations'!AF65))</f>
        <v>642612.00897727197</v>
      </c>
      <c r="AL10" s="23">
        <f>(((('Intermediate calculations'!AG9/('Intermediate calculations'!AG64+0.27))*ttokg)/Constants!$H$21)/(365/'Intermediate calculations'!AG65))</f>
        <v>597926.80550167628</v>
      </c>
      <c r="AM10" s="23">
        <f>(((('Intermediate calculations'!AH9/('Intermediate calculations'!AH64+0.27))*ttokg)/Constants!$H$21)/(365/'Intermediate calculations'!AH65))</f>
        <v>635923.78226835607</v>
      </c>
      <c r="AN10" s="23">
        <f>(((('Intermediate calculations'!AI9/('Intermediate calculations'!AI64+0.27))*ttokg)/Constants!$H$21)/(365/'Intermediate calculations'!AI65))</f>
        <v>2051862.6305769777</v>
      </c>
      <c r="AO10" s="23">
        <f>(((('Intermediate calculations'!AJ9/('Intermediate calculations'!AJ64+0.27))*ttokg)/Constants!$H$21)/(365/'Intermediate calculations'!AJ65))</f>
        <v>2110128.1093969485</v>
      </c>
      <c r="AP10" s="23">
        <f>(((('Intermediate calculations'!AK9/('Intermediate calculations'!AK64+0.27))*ttokg)/Constants!$H$21)/(365/'Intermediate calculations'!AK65))</f>
        <v>2165681.5943024219</v>
      </c>
      <c r="AQ10" s="23">
        <f>(((('Intermediate calculations'!AL9/('Intermediate calculations'!AL64+0.27))*ttokg)/Constants!$H$21)/(365/'Intermediate calculations'!AL65))</f>
        <v>2218309.6215923456</v>
      </c>
      <c r="AR10" s="23">
        <f>(((('Intermediate calculations'!AM9/('Intermediate calculations'!AM64+0.27))*ttokg)/Constants!$H$21)/(365/'Intermediate calculations'!AM65))</f>
        <v>2267857.4872500789</v>
      </c>
      <c r="AS10" s="23">
        <f>(((('Intermediate calculations'!AN9/('Intermediate calculations'!AN64+0.27))*ttokg)/Constants!$H$21)/(365/'Intermediate calculations'!AN65))</f>
        <v>2314063.8575068722</v>
      </c>
      <c r="AT10" s="23">
        <f>(((('Intermediate calculations'!AO9/('Intermediate calculations'!AO64+0.27))*ttokg)/Constants!$H$21)/(365/'Intermediate calculations'!AO65))</f>
        <v>2356684.8108836943</v>
      </c>
      <c r="AU10" s="23">
        <f>(((('Intermediate calculations'!AP9/('Intermediate calculations'!AP64+0.27))*ttokg)/Constants!$H$21)/(365/'Intermediate calculations'!AP65))</f>
        <v>2395487.2900291942</v>
      </c>
      <c r="AV10" s="23">
        <f>(((('Intermediate calculations'!AQ9/('Intermediate calculations'!AQ64+0.27))*ttokg)/Constants!$H$21)/(365/'Intermediate calculations'!AQ65))</f>
        <v>2430253.3946859613</v>
      </c>
      <c r="AW10" s="23">
        <f>(((('Intermediate calculations'!AR9/('Intermediate calculations'!AR64+0.27))*ttokg)/Constants!$H$21)/(365/'Intermediate calculations'!AR65))</f>
        <v>2467246.0848619989</v>
      </c>
      <c r="AX10" s="23">
        <f>(((('Intermediate calculations'!AS9/('Intermediate calculations'!AS64+0.27))*ttokg)/Constants!$H$21)/(365/'Intermediate calculations'!AS65))</f>
        <v>2499930.2988543268</v>
      </c>
      <c r="AY10" s="23">
        <f>(((('Intermediate calculations'!AT9/('Intermediate calculations'!AT64+0.27))*ttokg)/Constants!$H$21)/(365/'Intermediate calculations'!AT65))</f>
        <v>2528114.7198890457</v>
      </c>
      <c r="AZ10" s="23">
        <f>(((('Intermediate calculations'!AU9/('Intermediate calculations'!AU64+0.27))*ttokg)/Constants!$H$21)/(365/'Intermediate calculations'!AU65))</f>
        <v>2551633.274717289</v>
      </c>
      <c r="BA10" s="23">
        <f>(((('Intermediate calculations'!AV9/('Intermediate calculations'!AV64+0.27))*ttokg)/Constants!$H$21)/(365/'Intermediate calculations'!AV65))</f>
        <v>2570339.3559679454</v>
      </c>
      <c r="BB10" s="23">
        <f>(((('Intermediate calculations'!AW9/('Intermediate calculations'!AW64+0.27))*ttokg)/Constants!$H$21)/(365/'Intermediate calculations'!AW65))</f>
        <v>2584110.295193579</v>
      </c>
      <c r="BC10" s="23">
        <f>(((('Intermediate calculations'!AX9/('Intermediate calculations'!AX64+0.27))*ttokg)/Constants!$H$21)/(365/'Intermediate calculations'!AX65))</f>
        <v>-206283.35899440647</v>
      </c>
      <c r="BD10" s="23">
        <f>(((('Intermediate calculations'!AY9/('Intermediate calculations'!AY64+0.27))*ttokg)/Constants!$H$21)/(365/'Intermediate calculations'!AY65))</f>
        <v>-208171.35185682061</v>
      </c>
      <c r="BE10" s="23">
        <f>(((('Intermediate calculations'!AZ9/('Intermediate calculations'!AZ64+0.27))*ttokg)/Constants!$H$21)/(365/'Intermediate calculations'!AZ65))</f>
        <v>-210046.86042128532</v>
      </c>
      <c r="BF10" s="23">
        <f>(((('Intermediate calculations'!BA9/('Intermediate calculations'!BA64+0.27))*ttokg)/Constants!$H$21)/(365/'Intermediate calculations'!BA65))</f>
        <v>-211910.8188296984</v>
      </c>
      <c r="BG10" s="23">
        <f>(((('Intermediate calculations'!BB9/('Intermediate calculations'!BB64+0.27))*ttokg)/Constants!$H$21)/(365/'Intermediate calculations'!BB65))</f>
        <v>-213498.50210210861</v>
      </c>
      <c r="BH10" s="23">
        <f>(((('Intermediate calculations'!BC9/('Intermediate calculations'!BC64+0.27))*ttokg)/Constants!$H$21)/(365/'Intermediate calculations'!BC65))</f>
        <v>-215070.30981703315</v>
      </c>
      <c r="BI10" s="23">
        <f>(((('Intermediate calculations'!BD9/('Intermediate calculations'!BD64+0.27))*ttokg)/Constants!$H$21)/(365/'Intermediate calculations'!BD65))</f>
        <v>-216623.83626085726</v>
      </c>
      <c r="BJ10" s="23">
        <f>(((('Intermediate calculations'!BE9/('Intermediate calculations'!BE64+0.27))*ttokg)/Constants!$H$21)/(365/'Intermediate calculations'!BE65))</f>
        <v>-218158.6541779798</v>
      </c>
      <c r="BK10" s="23">
        <f>(((('Intermediate calculations'!BF9/('Intermediate calculations'!BF64+0.27))*ttokg)/Constants!$H$21)/(365/'Intermediate calculations'!BF65))</f>
        <v>-219671.89978816328</v>
      </c>
      <c r="BL10" s="23">
        <f>(((('Intermediate calculations'!BG9/('Intermediate calculations'!BG64+0.27))*ttokg)/Constants!$H$21)/(365/'Intermediate calculations'!BG65))</f>
        <v>-221160.37634344128</v>
      </c>
      <c r="BM10" s="23">
        <f>(((('Intermediate calculations'!BH9/('Intermediate calculations'!BH64+0.27))*ttokg)/Constants!$H$21)/(365/'Intermediate calculations'!BH65))</f>
        <v>-222623.4999354897</v>
      </c>
      <c r="BN10" s="23">
        <f>(((('Intermediate calculations'!BI9/('Intermediate calculations'!BI64+0.27))*ttokg)/Constants!$H$21)/(365/'Intermediate calculations'!BI65))</f>
        <v>-224061.49175282463</v>
      </c>
      <c r="BO10" s="23">
        <f>(((('Intermediate calculations'!BJ9/('Intermediate calculations'!BJ64+0.27))*ttokg)/Constants!$H$21)/(365/'Intermediate calculations'!BJ65))</f>
        <v>-225474.44027129476</v>
      </c>
      <c r="BP10" s="23">
        <f>(((('Intermediate calculations'!BK9/('Intermediate calculations'!BK64+0.27))*ttokg)/Constants!$H$21)/(365/'Intermediate calculations'!BK65))</f>
        <v>-226859.15549894181</v>
      </c>
    </row>
    <row r="11" spans="1:72" x14ac:dyDescent="0.25">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19294878.757226616</v>
      </c>
      <c r="AM11" s="23">
        <f>('Intermediate calculations'!AH27*'Intermediate calculations'!AH28)*Constants!$H$22</f>
        <v>19307720.31860701</v>
      </c>
      <c r="AN11" s="23">
        <f>('Intermediate calculations'!AI27*'Intermediate calculations'!AI28)*Constants!$H$22</f>
        <v>19559205.069961581</v>
      </c>
      <c r="AO11" s="23">
        <f>('Intermediate calculations'!AJ27*'Intermediate calculations'!AJ28)*Constants!$H$22</f>
        <v>19565339.844192322</v>
      </c>
      <c r="AP11" s="23">
        <f>('Intermediate calculations'!AK27*'Intermediate calculations'!AK28)*Constants!$H$22</f>
        <v>19591581.184798744</v>
      </c>
      <c r="AQ11" s="23">
        <f>('Intermediate calculations'!AL27*'Intermediate calculations'!AL28)*Constants!$H$22</f>
        <v>19629513.679572582</v>
      </c>
      <c r="AR11" s="23">
        <f>('Intermediate calculations'!AM27*'Intermediate calculations'!AM28)*Constants!$H$22</f>
        <v>19664751.667307843</v>
      </c>
      <c r="AS11" s="23">
        <f>('Intermediate calculations'!AN27*'Intermediate calculations'!AN28)*Constants!$H$22</f>
        <v>19697731.441644121</v>
      </c>
      <c r="AT11" s="23">
        <f>('Intermediate calculations'!AO27*'Intermediate calculations'!AO28)*Constants!$H$22</f>
        <v>19728277.139336508</v>
      </c>
      <c r="AU11" s="23">
        <f>('Intermediate calculations'!AP27*'Intermediate calculations'!AP28)*Constants!$H$22</f>
        <v>19756663.97963132</v>
      </c>
      <c r="AV11" s="23">
        <f>('Intermediate calculations'!AQ27*'Intermediate calculations'!AQ28)*Constants!$H$22</f>
        <v>19783322.561984386</v>
      </c>
      <c r="AW11" s="23">
        <f>('Intermediate calculations'!AR27*'Intermediate calculations'!AR28)*Constants!$H$22</f>
        <v>19808227.76785814</v>
      </c>
      <c r="AX11" s="23">
        <f>('Intermediate calculations'!AS27*'Intermediate calculations'!AS28)*Constants!$H$22</f>
        <v>19831777.943671755</v>
      </c>
      <c r="AY11" s="23">
        <f>('Intermediate calculations'!AT27*'Intermediate calculations'!AT28)*Constants!$H$22</f>
        <v>19854030.096347492</v>
      </c>
      <c r="AZ11" s="23">
        <f>('Intermediate calculations'!AU27*'Intermediate calculations'!AU28)*Constants!$H$22</f>
        <v>19874679.234480295</v>
      </c>
      <c r="BA11" s="23">
        <f>('Intermediate calculations'!AV27*'Intermediate calculations'!AV28)*Constants!$H$22</f>
        <v>19893914.25161792</v>
      </c>
      <c r="BB11" s="23">
        <f>('Intermediate calculations'!AW27*'Intermediate calculations'!AW28)*Constants!$H$22</f>
        <v>19912042.010925505</v>
      </c>
      <c r="BC11" s="23">
        <f>('Intermediate calculations'!AX27*'Intermediate calculations'!AX28)*Constants!$H$22</f>
        <v>19475049.108869474</v>
      </c>
      <c r="BD11" s="23">
        <f>('Intermediate calculations'!AY27*'Intermediate calculations'!AY28)*Constants!$H$22</f>
        <v>19492958.180870771</v>
      </c>
      <c r="BE11" s="23">
        <f>('Intermediate calculations'!AZ27*'Intermediate calculations'!AZ28)*Constants!$H$22</f>
        <v>19509662.73535268</v>
      </c>
      <c r="BF11" s="23">
        <f>('Intermediate calculations'!BA27*'Intermediate calculations'!BA28)*Constants!$H$22</f>
        <v>19525264.861968085</v>
      </c>
      <c r="BG11" s="23">
        <f>('Intermediate calculations'!BB27*'Intermediate calculations'!BB28)*Constants!$H$22</f>
        <v>19539888.662803639</v>
      </c>
      <c r="BH11" s="23">
        <f>('Intermediate calculations'!BC27*'Intermediate calculations'!BC28)*Constants!$H$22</f>
        <v>19553149.472452078</v>
      </c>
      <c r="BI11" s="23">
        <f>('Intermediate calculations'!BD27*'Intermediate calculations'!BD28)*Constants!$H$22</f>
        <v>19564790.407166932</v>
      </c>
      <c r="BJ11" s="23">
        <f>('Intermediate calculations'!BE27*'Intermediate calculations'!BE28)*Constants!$H$22</f>
        <v>19574773.841368008</v>
      </c>
      <c r="BK11" s="23">
        <f>('Intermediate calculations'!BF27*'Intermediate calculations'!BF28)*Constants!$H$22</f>
        <v>19582807.445582233</v>
      </c>
      <c r="BL11" s="23">
        <f>('Intermediate calculations'!BG27*'Intermediate calculations'!BG28)*Constants!$H$22</f>
        <v>19588573.465668801</v>
      </c>
      <c r="BM11" s="23">
        <f>('Intermediate calculations'!BH27*'Intermediate calculations'!BH28)*Constants!$H$22</f>
        <v>19592036.068410829</v>
      </c>
      <c r="BN11" s="23">
        <f>('Intermediate calculations'!BI27*'Intermediate calculations'!BI28)*Constants!$H$22</f>
        <v>19593244.644470215</v>
      </c>
      <c r="BO11" s="23">
        <f>('Intermediate calculations'!BJ27*'Intermediate calculations'!BJ28)*Constants!$H$22</f>
        <v>19592234.545043476</v>
      </c>
      <c r="BP11" s="23">
        <f>('Intermediate calculations'!BK27*'Intermediate calculations'!BK28)*Constants!$H$22</f>
        <v>19588706.691560276</v>
      </c>
    </row>
    <row r="12" spans="1:72" x14ac:dyDescent="0.25">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2883142.8028039774</v>
      </c>
      <c r="AM12" s="23">
        <f>('Intermediate calculations'!AH27*'Intermediate calculations'!AH28)*(1-Constants!$H$22)</f>
        <v>2885061.6568033467</v>
      </c>
      <c r="AN12" s="23">
        <f>('Intermediate calculations'!AI27*'Intermediate calculations'!AI28)*(1-Constants!$H$22)</f>
        <v>2922639.8380402364</v>
      </c>
      <c r="AO12" s="23">
        <f>('Intermediate calculations'!AJ27*'Intermediate calculations'!AJ28)*(1-Constants!$H$22)</f>
        <v>2923556.5284425314</v>
      </c>
      <c r="AP12" s="23">
        <f>('Intermediate calculations'!AK27*'Intermediate calculations'!AK28)*(1-Constants!$H$22)</f>
        <v>2927477.6483032606</v>
      </c>
      <c r="AQ12" s="23">
        <f>('Intermediate calculations'!AL27*'Intermediate calculations'!AL28)*(1-Constants!$H$22)</f>
        <v>2933145.7222349835</v>
      </c>
      <c r="AR12" s="23">
        <f>('Intermediate calculations'!AM27*'Intermediate calculations'!AM28)*(1-Constants!$H$22)</f>
        <v>2938411.1686781836</v>
      </c>
      <c r="AS12" s="23">
        <f>('Intermediate calculations'!AN27*'Intermediate calculations'!AN28)*(1-Constants!$H$22)</f>
        <v>2943339.1809353284</v>
      </c>
      <c r="AT12" s="23">
        <f>('Intermediate calculations'!AO27*'Intermediate calculations'!AO28)*(1-Constants!$H$22)</f>
        <v>2947903.480590513</v>
      </c>
      <c r="AU12" s="23">
        <f>('Intermediate calculations'!AP27*'Intermediate calculations'!AP28)*(1-Constants!$H$22)</f>
        <v>2952145.1923587029</v>
      </c>
      <c r="AV12" s="23">
        <f>('Intermediate calculations'!AQ27*'Intermediate calculations'!AQ28)*(1-Constants!$H$22)</f>
        <v>2956128.6586873224</v>
      </c>
      <c r="AW12" s="23">
        <f>('Intermediate calculations'!AR27*'Intermediate calculations'!AR28)*(1-Constants!$H$22)</f>
        <v>2959850.1262316764</v>
      </c>
      <c r="AX12" s="23">
        <f>('Intermediate calculations'!AS27*'Intermediate calculations'!AS28)*(1-Constants!$H$22)</f>
        <v>2963369.1180199175</v>
      </c>
      <c r="AY12" s="23">
        <f>('Intermediate calculations'!AT27*'Intermediate calculations'!AT28)*(1-Constants!$H$22)</f>
        <v>2966694.1523277862</v>
      </c>
      <c r="AZ12" s="23">
        <f>('Intermediate calculations'!AU27*'Intermediate calculations'!AU28)*(1-Constants!$H$22)</f>
        <v>2969779.6557269408</v>
      </c>
      <c r="BA12" s="23">
        <f>('Intermediate calculations'!AV27*'Intermediate calculations'!AV28)*(1-Constants!$H$22)</f>
        <v>2972653.8536900342</v>
      </c>
      <c r="BB12" s="23">
        <f>('Intermediate calculations'!AW27*'Intermediate calculations'!AW28)*(1-Constants!$H$22)</f>
        <v>2975362.5993336961</v>
      </c>
      <c r="BC12" s="23">
        <f>('Intermediate calculations'!AX27*'Intermediate calculations'!AX28)*(1-Constants!$H$22)</f>
        <v>2910064.809371301</v>
      </c>
      <c r="BD12" s="23">
        <f>('Intermediate calculations'!AY27*'Intermediate calculations'!AY28)*(1-Constants!$H$22)</f>
        <v>2912740.87760138</v>
      </c>
      <c r="BE12" s="23">
        <f>('Intermediate calculations'!AZ27*'Intermediate calculations'!AZ28)*(1-Constants!$H$22)</f>
        <v>2915236.9604549981</v>
      </c>
      <c r="BF12" s="23">
        <f>('Intermediate calculations'!BA27*'Intermediate calculations'!BA28)*(1-Constants!$H$22)</f>
        <v>2917568.3127078749</v>
      </c>
      <c r="BG12" s="23">
        <f>('Intermediate calculations'!BB27*'Intermediate calculations'!BB28)*(1-Constants!$H$22)</f>
        <v>2919753.4783499693</v>
      </c>
      <c r="BH12" s="23">
        <f>('Intermediate calculations'!BC27*'Intermediate calculations'!BC28)*(1-Constants!$H$22)</f>
        <v>2921734.9786422644</v>
      </c>
      <c r="BI12" s="23">
        <f>('Intermediate calculations'!BD27*'Intermediate calculations'!BD28)*(1-Constants!$H$22)</f>
        <v>2923474.428657128</v>
      </c>
      <c r="BJ12" s="23">
        <f>('Intermediate calculations'!BE27*'Intermediate calculations'!BE28)*(1-Constants!$H$22)</f>
        <v>2924966.2061814265</v>
      </c>
      <c r="BK12" s="23">
        <f>('Intermediate calculations'!BF27*'Intermediate calculations'!BF28)*(1-Constants!$H$22)</f>
        <v>2926166.6297996445</v>
      </c>
      <c r="BL12" s="23">
        <f>('Intermediate calculations'!BG27*'Intermediate calculations'!BG28)*(1-Constants!$H$22)</f>
        <v>2927028.2190079815</v>
      </c>
      <c r="BM12" s="23">
        <f>('Intermediate calculations'!BH27*'Intermediate calculations'!BH28)*(1-Constants!$H$22)</f>
        <v>2927545.6194177098</v>
      </c>
      <c r="BN12" s="23">
        <f>('Intermediate calculations'!BI27*'Intermediate calculations'!BI28)*(1-Constants!$H$22)</f>
        <v>2927726.2112426758</v>
      </c>
      <c r="BO12" s="23">
        <f>('Intermediate calculations'!BJ27*'Intermediate calculations'!BJ28)*(1-Constants!$H$22)</f>
        <v>2927575.2768455772</v>
      </c>
      <c r="BP12" s="23">
        <f>('Intermediate calculations'!BK27*'Intermediate calculations'!BK28)*(1-Constants!$H$22)</f>
        <v>2927048.1263250983</v>
      </c>
    </row>
    <row r="13" spans="1:72" x14ac:dyDescent="0.25">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2068089.0408217218</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2125847.6846541641</v>
      </c>
      <c r="AK13" s="23">
        <f>'Intermediate calculations'!AF22*'Intermediate calculations'!AF25*Constants!$H$23</f>
        <v>2139834.1013227375</v>
      </c>
      <c r="AL13" s="23">
        <f>'Intermediate calculations'!AG22*'Intermediate calculations'!AG25*Constants!$H$23</f>
        <v>2134616.11169963</v>
      </c>
      <c r="AM13" s="23">
        <f>'Intermediate calculations'!AH22*'Intermediate calculations'!AH25*Constants!$H$23</f>
        <v>2138109.4674663781</v>
      </c>
      <c r="AN13" s="23">
        <f>'Intermediate calculations'!AI22*'Intermediate calculations'!AI25*Constants!$H$23</f>
        <v>2181460.1937599764</v>
      </c>
      <c r="AO13" s="23">
        <f>'Intermediate calculations'!AJ22*'Intermediate calculations'!AJ25*Constants!$H$23</f>
        <v>2183418.7272190307</v>
      </c>
      <c r="AP13" s="23">
        <f>'Intermediate calculations'!AK22*'Intermediate calculations'!AK25*Constants!$H$23</f>
        <v>2188603.9714687425</v>
      </c>
      <c r="AQ13" s="23">
        <f>'Intermediate calculations'!AL22*'Intermediate calculations'!AL25*Constants!$H$23</f>
        <v>2195602.1293189167</v>
      </c>
      <c r="AR13" s="23">
        <f>'Intermediate calculations'!AM22*'Intermediate calculations'!AM25*Constants!$H$23</f>
        <v>2202020.4162375215</v>
      </c>
      <c r="AS13" s="23">
        <f>'Intermediate calculations'!AN22*'Intermediate calculations'!AN25*Constants!$H$23</f>
        <v>2207943.6707722908</v>
      </c>
      <c r="AT13" s="23">
        <f>'Intermediate calculations'!AO22*'Intermediate calculations'!AO25*Constants!$H$23</f>
        <v>2213353.7246603156</v>
      </c>
      <c r="AU13" s="23">
        <f>'Intermediate calculations'!AP22*'Intermediate calculations'!AP25*Constants!$H$23</f>
        <v>2218306.1326348721</v>
      </c>
      <c r="AV13" s="23">
        <f>'Intermediate calculations'!AQ22*'Intermediate calculations'!AQ25*Constants!$H$23</f>
        <v>2222880.7982622627</v>
      </c>
      <c r="AW13" s="23">
        <f>'Intermediate calculations'!AR22*'Intermediate calculations'!AR25*Constants!$H$23</f>
        <v>2227081.4073423054</v>
      </c>
      <c r="AX13" s="23">
        <f>'Intermediate calculations'!AS22*'Intermediate calculations'!AS25*Constants!$H$23</f>
        <v>2230980.4914978449</v>
      </c>
      <c r="AY13" s="23">
        <f>'Intermediate calculations'!AT22*'Intermediate calculations'!AT25*Constants!$H$23</f>
        <v>2234593.6283040005</v>
      </c>
      <c r="AZ13" s="23">
        <f>'Intermediate calculations'!AU22*'Intermediate calculations'!AU25*Constants!$H$23</f>
        <v>2237876.7029687106</v>
      </c>
      <c r="BA13" s="23">
        <f>'Intermediate calculations'!AV22*'Intermediate calculations'!AV25*Constants!$H$23</f>
        <v>2240866.0743360408</v>
      </c>
      <c r="BB13" s="23">
        <f>'Intermediate calculations'!AW22*'Intermediate calculations'!AW25*Constants!$H$23</f>
        <v>2243616.6672446863</v>
      </c>
      <c r="BC13" s="23">
        <f>'Intermediate calculations'!AX22*'Intermediate calculations'!AX25*Constants!$H$23</f>
        <v>2172392.1510401987</v>
      </c>
      <c r="BD13" s="23">
        <f>'Intermediate calculations'!AY22*'Intermediate calculations'!AY25*Constants!$H$23</f>
        <v>2175137.4797161301</v>
      </c>
      <c r="BE13" s="23">
        <f>'Intermediate calculations'!AZ22*'Intermediate calculations'!AZ25*Constants!$H$23</f>
        <v>2177637.0641602017</v>
      </c>
      <c r="BF13" s="23">
        <f>'Intermediate calculations'!BA22*'Intermediate calculations'!BA25*Constants!$H$23</f>
        <v>2179911.1340294322</v>
      </c>
      <c r="BG13" s="23">
        <f>'Intermediate calculations'!BB22*'Intermediate calculations'!BB25*Constants!$H$23</f>
        <v>2181983.1167039187</v>
      </c>
      <c r="BH13" s="23">
        <f>'Intermediate calculations'!BC22*'Intermediate calculations'!BC25*Constants!$H$23</f>
        <v>2183794.1926580667</v>
      </c>
      <c r="BI13" s="23">
        <f>'Intermediate calculations'!BD22*'Intermediate calculations'!BD25*Constants!$H$23</f>
        <v>2185306.3123972258</v>
      </c>
      <c r="BJ13" s="23">
        <f>'Intermediate calculations'!BE22*'Intermediate calculations'!BE25*Constants!$H$23</f>
        <v>2186516.6980708055</v>
      </c>
      <c r="BK13" s="23">
        <f>'Intermediate calculations'!BF22*'Intermediate calculations'!BF25*Constants!$H$23</f>
        <v>2187381.648274323</v>
      </c>
      <c r="BL13" s="23">
        <f>'Intermediate calculations'!BG22*'Intermediate calculations'!BG25*Constants!$H$23</f>
        <v>2187853.5469475901</v>
      </c>
      <c r="BM13" s="23">
        <f>'Intermediate calculations'!BH22*'Intermediate calculations'!BH25*Constants!$H$23</f>
        <v>2187929.9590612692</v>
      </c>
      <c r="BN13" s="23">
        <f>'Intermediate calculations'!BI22*'Intermediate calculations'!BI25*Constants!$H$23</f>
        <v>2187621.9207132552</v>
      </c>
      <c r="BO13" s="23">
        <f>'Intermediate calculations'!BJ22*'Intermediate calculations'!BJ25*Constants!$H$23</f>
        <v>2186938.0464040749</v>
      </c>
      <c r="BP13" s="23">
        <f>'Intermediate calculations'!BK22*'Intermediate calculations'!BK25*Constants!$H$23</f>
        <v>2185833.6603005412</v>
      </c>
    </row>
    <row r="14" spans="1:72" x14ac:dyDescent="0.25">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4014525.785124518</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4077550.4703819798</v>
      </c>
      <c r="AI14" s="23">
        <f>'Intermediate calculations'!AD22*'Intermediate calculations'!AD25*(1-Constants!$H$23)</f>
        <v>4101196.8798749652</v>
      </c>
      <c r="AJ14" s="23">
        <f>'Intermediate calculations'!AE22*'Intermediate calculations'!AE25*(1-Constants!$H$23)</f>
        <v>4126645.5055051413</v>
      </c>
      <c r="AK14" s="23">
        <f>'Intermediate calculations'!AF22*'Intermediate calculations'!AF25*(1-Constants!$H$23)</f>
        <v>4153795.6084500193</v>
      </c>
      <c r="AL14" s="23">
        <f>'Intermediate calculations'!AG22*'Intermediate calculations'!AG25*(1-Constants!$H$23)</f>
        <v>4143666.5697698691</v>
      </c>
      <c r="AM14" s="23">
        <f>'Intermediate calculations'!AH22*'Intermediate calculations'!AH25*(1-Constants!$H$23)</f>
        <v>4150447.7897876743</v>
      </c>
      <c r="AN14" s="23">
        <f>'Intermediate calculations'!AI22*'Intermediate calculations'!AI25*(1-Constants!$H$23)</f>
        <v>4234599.1996517181</v>
      </c>
      <c r="AO14" s="23">
        <f>'Intermediate calculations'!AJ22*'Intermediate calculations'!AJ25*(1-Constants!$H$23)</f>
        <v>4238401.0587192941</v>
      </c>
      <c r="AP14" s="23">
        <f>'Intermediate calculations'!AK22*'Intermediate calculations'!AK25*(1-Constants!$H$23)</f>
        <v>4248466.5328510879</v>
      </c>
      <c r="AQ14" s="23">
        <f>'Intermediate calculations'!AL22*'Intermediate calculations'!AL25*(1-Constants!$H$23)</f>
        <v>4262051.1922073076</v>
      </c>
      <c r="AR14" s="23">
        <f>'Intermediate calculations'!AM22*'Intermediate calculations'!AM25*(1-Constants!$H$23)</f>
        <v>4274510.2197551876</v>
      </c>
      <c r="AS14" s="23">
        <f>'Intermediate calculations'!AN22*'Intermediate calculations'!AN25*(1-Constants!$H$23)</f>
        <v>4286008.3020873871</v>
      </c>
      <c r="AT14" s="23">
        <f>'Intermediate calculations'!AO22*'Intermediate calculations'!AO25*(1-Constants!$H$23)</f>
        <v>4296510.171399435</v>
      </c>
      <c r="AU14" s="23">
        <f>'Intermediate calculations'!AP22*'Intermediate calculations'!AP25*(1-Constants!$H$23)</f>
        <v>4306123.6692323983</v>
      </c>
      <c r="AV14" s="23">
        <f>'Intermediate calculations'!AQ22*'Intermediate calculations'!AQ25*(1-Constants!$H$23)</f>
        <v>4315003.9025090979</v>
      </c>
      <c r="AW14" s="23">
        <f>'Intermediate calculations'!AR22*'Intermediate calculations'!AR25*(1-Constants!$H$23)</f>
        <v>4323158.0260174153</v>
      </c>
      <c r="AX14" s="23">
        <f>'Intermediate calculations'!AS22*'Intermediate calculations'!AS25*(1-Constants!$H$23)</f>
        <v>4330726.8364369925</v>
      </c>
      <c r="AY14" s="23">
        <f>'Intermediate calculations'!AT22*'Intermediate calculations'!AT25*(1-Constants!$H$23)</f>
        <v>4337740.5725901173</v>
      </c>
      <c r="AZ14" s="23">
        <f>'Intermediate calculations'!AU22*'Intermediate calculations'!AU25*(1-Constants!$H$23)</f>
        <v>4344113.5998804374</v>
      </c>
      <c r="BA14" s="23">
        <f>'Intermediate calculations'!AV22*'Intermediate calculations'!AV25*(1-Constants!$H$23)</f>
        <v>4349916.497240549</v>
      </c>
      <c r="BB14" s="23">
        <f>'Intermediate calculations'!AW22*'Intermediate calculations'!AW25*(1-Constants!$H$23)</f>
        <v>4355255.8834749786</v>
      </c>
      <c r="BC14" s="23">
        <f>'Intermediate calculations'!AX22*'Intermediate calculations'!AX25*(1-Constants!$H$23)</f>
        <v>4216996.5284897964</v>
      </c>
      <c r="BD14" s="23">
        <f>'Intermediate calculations'!AY22*'Intermediate calculations'!AY25*(1-Constants!$H$23)</f>
        <v>4222325.6959195463</v>
      </c>
      <c r="BE14" s="23">
        <f>'Intermediate calculations'!AZ22*'Intermediate calculations'!AZ25*(1-Constants!$H$23)</f>
        <v>4227177.8304286264</v>
      </c>
      <c r="BF14" s="23">
        <f>'Intermediate calculations'!BA22*'Intermediate calculations'!BA25*(1-Constants!$H$23)</f>
        <v>4231592.2013512505</v>
      </c>
      <c r="BG14" s="23">
        <f>'Intermediate calculations'!BB22*'Intermediate calculations'!BB25*(1-Constants!$H$23)</f>
        <v>4235614.2853664299</v>
      </c>
      <c r="BH14" s="23">
        <f>'Intermediate calculations'!BC22*'Intermediate calculations'!BC25*(1-Constants!$H$23)</f>
        <v>4239129.9033950698</v>
      </c>
      <c r="BI14" s="23">
        <f>'Intermediate calculations'!BD22*'Intermediate calculations'!BD25*(1-Constants!$H$23)</f>
        <v>4242065.1946534375</v>
      </c>
      <c r="BJ14" s="23">
        <f>'Intermediate calculations'!BE22*'Intermediate calculations'!BE25*(1-Constants!$H$23)</f>
        <v>4244414.7668433273</v>
      </c>
      <c r="BK14" s="23">
        <f>'Intermediate calculations'!BF22*'Intermediate calculations'!BF25*(1-Constants!$H$23)</f>
        <v>4246093.7878266266</v>
      </c>
      <c r="BL14" s="23">
        <f>'Intermediate calculations'!BG22*'Intermediate calculations'!BG25*(1-Constants!$H$23)</f>
        <v>4247009.8264276739</v>
      </c>
      <c r="BM14" s="23">
        <f>'Intermediate calculations'!BH22*'Intermediate calculations'!BH25*(1-Constants!$H$23)</f>
        <v>4247158.1558248159</v>
      </c>
      <c r="BN14" s="23">
        <f>'Intermediate calculations'!BI22*'Intermediate calculations'!BI25*(1-Constants!$H$23)</f>
        <v>4246560.1990316128</v>
      </c>
      <c r="BO14" s="23">
        <f>'Intermediate calculations'!BJ22*'Intermediate calculations'!BJ25*(1-Constants!$H$23)</f>
        <v>4245232.6783137918</v>
      </c>
      <c r="BP14" s="23">
        <f>'Intermediate calculations'!BK22*'Intermediate calculations'!BK25*(1-Constants!$H$23)</f>
        <v>4243088.8699951675</v>
      </c>
    </row>
    <row r="15" spans="1:72" x14ac:dyDescent="0.25">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309973.53172331408</v>
      </c>
      <c r="AF15" s="23">
        <f>((Data!$AJ$61*((Drivers!AB5*1000000)/Drivers!AB4))+Data!$AK$61)</f>
        <v>312241.56810798903</v>
      </c>
      <c r="AG15" s="23">
        <f>((Data!$AJ$61*((Drivers!AC5*1000000)/Drivers!AC4))+Data!$AK$61)</f>
        <v>312726.42527824314</v>
      </c>
      <c r="AH15" s="23">
        <f>((Data!$AJ$61*((Drivers!AD5*1000000)/Drivers!AD4))+Data!$AK$61)</f>
        <v>312032.30780712381</v>
      </c>
      <c r="AI15" s="23">
        <f>((Data!$AJ$61*((Drivers!AE5*1000000)/Drivers!AE4))+Data!$AK$61)</f>
        <v>310184.61831503396</v>
      </c>
      <c r="AJ15" s="23">
        <f>((Data!$AJ$61*((Drivers!AF5*1000000)/Drivers!AF4))+Data!$AK$61)</f>
        <v>309160.15388587426</v>
      </c>
      <c r="AK15" s="23">
        <f>((Data!$AJ$61*((Drivers!AG5*1000000)/Drivers!AG4))+Data!$AK$61)</f>
        <v>308239.46209968906</v>
      </c>
      <c r="AL15" s="23">
        <f>((Data!$AJ$61*((Drivers!AH5*1000000)/Drivers!AH4))+Data!$AK$61)</f>
        <v>294517.6531577555</v>
      </c>
      <c r="AM15" s="23">
        <f>((Data!$AJ$61*((Drivers!AI5*1000000)/Drivers!AI4))+Data!$AK$61)</f>
        <v>301858.44070166023</v>
      </c>
      <c r="AN15" s="23">
        <f>((Data!$AJ$61*((Drivers!AJ5*1000000)/Drivers!AJ4))+Data!$AK$61)</f>
        <v>647959.983994929</v>
      </c>
      <c r="AO15" s="23">
        <f>((Data!$AJ$61*((Drivers!AK5*1000000)/Drivers!AK4))+Data!$AK$61)</f>
        <v>656258.51310214202</v>
      </c>
      <c r="AP15" s="23">
        <f>((Data!$AJ$61*((Drivers!AL5*1000000)/Drivers!AL4))+Data!$AK$61)</f>
        <v>662941.93280236714</v>
      </c>
      <c r="AQ15" s="23">
        <f>((Data!$AJ$61*((Drivers!AM5*1000000)/Drivers!AM4))+Data!$AK$61)</f>
        <v>668320.71592275577</v>
      </c>
      <c r="AR15" s="23">
        <f>((Data!$AJ$61*((Drivers!AN5*1000000)/Drivers!AN4))+Data!$AK$61)</f>
        <v>672992.98154037318</v>
      </c>
      <c r="AS15" s="23">
        <f>((Data!$AJ$61*((Drivers!AO5*1000000)/Drivers!AO4))+Data!$AK$61)</f>
        <v>676905.65600066155</v>
      </c>
      <c r="AT15" s="23">
        <f>((Data!$AJ$61*((Drivers!AP5*1000000)/Drivers!AP4))+Data!$AK$61)</f>
        <v>680036.79493059521</v>
      </c>
      <c r="AU15" s="23">
        <f>((Data!$AJ$61*((Drivers!AQ5*1000000)/Drivers!AQ4))+Data!$AK$61)</f>
        <v>682348.24607523973</v>
      </c>
      <c r="AV15" s="23">
        <f>((Data!$AJ$61*((Drivers!AR5*1000000)/Drivers!AR4))+Data!$AK$61)</f>
        <v>683799.14378610451</v>
      </c>
      <c r="AW15" s="23">
        <f>((Data!$AJ$61*((Drivers!AS5*1000000)/Drivers!AS4))+Data!$AK$61)</f>
        <v>684373.63654909784</v>
      </c>
      <c r="AX15" s="23">
        <f>((Data!$AJ$61*((Drivers!AT5*1000000)/Drivers!AT4))+Data!$AK$61)</f>
        <v>684041.72165558289</v>
      </c>
      <c r="AY15" s="23">
        <f>((Data!$AJ$61*((Drivers!AU5*1000000)/Drivers!AU4))+Data!$AK$61)</f>
        <v>682793.70286200021</v>
      </c>
      <c r="AZ15" s="23">
        <f>((Data!$AJ$61*((Drivers!AV5*1000000)/Drivers!AV4))+Data!$AK$61)</f>
        <v>680640.86120435607</v>
      </c>
      <c r="BA15" s="23">
        <f>((Data!$AJ$61*((Drivers!AW5*1000000)/Drivers!AW4))+Data!$AK$61)</f>
        <v>677577.56070166884</v>
      </c>
      <c r="BB15" s="23">
        <f>((Data!$AJ$61*((Drivers!AX5*1000000)/Drivers!AX4))+Data!$AK$61)</f>
        <v>673598.32944589283</v>
      </c>
      <c r="BC15" s="23">
        <f>((Data!$AJ$61*((Drivers!AY5*1000000)/Drivers!AY4))+Data!$AK$61)</f>
        <v>99172.5386975859</v>
      </c>
      <c r="BD15" s="23">
        <f>((Data!$AJ$61*((Drivers!AZ5*1000000)/Drivers!AZ4))+Data!$AK$61)</f>
        <v>99172.5386975859</v>
      </c>
      <c r="BE15" s="23">
        <f>((Data!$AJ$61*((Drivers!BA5*1000000)/Drivers!BA4))+Data!$AK$61)</f>
        <v>99172.5386975859</v>
      </c>
      <c r="BF15" s="23">
        <f>((Data!$AJ$61*((Drivers!BB5*1000000)/Drivers!BB4))+Data!$AK$61)</f>
        <v>99172.5386975859</v>
      </c>
      <c r="BG15" s="23">
        <f>((Data!$AJ$61*((Drivers!BC5*1000000)/Drivers!BC4))+Data!$AK$61)</f>
        <v>99172.5386975859</v>
      </c>
      <c r="BH15" s="23">
        <f>((Data!$AJ$61*((Drivers!BD5*1000000)/Drivers!BD4))+Data!$AK$61)</f>
        <v>99172.5386975859</v>
      </c>
      <c r="BI15" s="23">
        <f>((Data!$AJ$61*((Drivers!BE5*1000000)/Drivers!BE4))+Data!$AK$61)</f>
        <v>99172.5386975859</v>
      </c>
      <c r="BJ15" s="23">
        <f>((Data!$AJ$61*((Drivers!BF5*1000000)/Drivers!BF4))+Data!$AK$61)</f>
        <v>99172.5386975859</v>
      </c>
      <c r="BK15" s="23">
        <f>((Data!$AJ$61*((Drivers!BG5*1000000)/Drivers!BG4))+Data!$AK$61)</f>
        <v>99172.5386975859</v>
      </c>
      <c r="BL15" s="23">
        <f>((Data!$AJ$61*((Drivers!BH5*1000000)/Drivers!BH4))+Data!$AK$61)</f>
        <v>99172.5386975859</v>
      </c>
      <c r="BM15" s="23">
        <f>((Data!$AJ$61*((Drivers!BI5*1000000)/Drivers!BI4))+Data!$AK$61)</f>
        <v>99172.5386975859</v>
      </c>
      <c r="BN15" s="23">
        <f>((Data!$AJ$61*((Drivers!BJ5*1000000)/Drivers!BJ4))+Data!$AK$61)</f>
        <v>99172.5386975859</v>
      </c>
      <c r="BO15" s="23">
        <f>((Data!$AJ$61*((Drivers!BK5*1000000)/Drivers!BK4))+Data!$AK$61)</f>
        <v>99172.5386975859</v>
      </c>
      <c r="BP15" s="23">
        <f>((Data!$AJ$61*((Drivers!BL5*1000000)/Drivers!BL4))+Data!$AK$61)</f>
        <v>99172.5386975859</v>
      </c>
    </row>
    <row r="16" spans="1:72" x14ac:dyDescent="0.25">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25">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1656046.9024620028</v>
      </c>
      <c r="AE17" s="23">
        <f>'Intermediate calculations'!Z32*'Intermediate calculations'!Z33*Constants!$H$24</f>
        <v>1647045.1860532647</v>
      </c>
      <c r="AF17" s="23">
        <f>'Intermediate calculations'!AA32*'Intermediate calculations'!AA33*Constants!$H$24</f>
        <v>1647784.019010039</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1574056.8450456359</v>
      </c>
      <c r="AJ17" s="23">
        <f>'Intermediate calculations'!AE32*'Intermediate calculations'!AE33*Constants!$H$24</f>
        <v>1549447.5878836229</v>
      </c>
      <c r="AK17" s="23">
        <f>'Intermediate calculations'!AF32*'Intermediate calculations'!AF33*Constants!$H$24</f>
        <v>1527015.9199472496</v>
      </c>
      <c r="AL17" s="23">
        <f>'Intermediate calculations'!AG32*'Intermediate calculations'!AG33*Constants!$H$24</f>
        <v>1373893.3263119359</v>
      </c>
      <c r="AM17" s="23">
        <f>'Intermediate calculations'!AH32*'Intermediate calculations'!AH33*Constants!$H$24</f>
        <v>1422952.5691280668</v>
      </c>
      <c r="AN17" s="23">
        <f>'Intermediate calculations'!AI32*'Intermediate calculations'!AI33*Constants!$H$24</f>
        <v>4548493.9904950364</v>
      </c>
      <c r="AO17" s="23">
        <f>'Intermediate calculations'!AJ32*'Intermediate calculations'!AJ33*Constants!$H$24</f>
        <v>4560962.539341609</v>
      </c>
      <c r="AP17" s="23">
        <f>'Intermediate calculations'!AK32*'Intermediate calculations'!AK33*Constants!$H$24</f>
        <v>4565567.5401573936</v>
      </c>
      <c r="AQ17" s="23">
        <f>'Intermediate calculations'!AL32*'Intermediate calculations'!AL33*Constants!$H$24</f>
        <v>4562516.7726062052</v>
      </c>
      <c r="AR17" s="23">
        <f>'Intermediate calculations'!AM32*'Intermediate calculations'!AM33*Constants!$H$24</f>
        <v>4552270.4855006905</v>
      </c>
      <c r="AS17" s="23">
        <f>'Intermediate calculations'!AN32*'Intermediate calculations'!AN33*Constants!$H$24</f>
        <v>4534734.5602203431</v>
      </c>
      <c r="AT17" s="23">
        <f>'Intermediate calculations'!AO32*'Intermediate calculations'!AO33*Constants!$H$24</f>
        <v>4509883.7964351429</v>
      </c>
      <c r="AU17" s="23">
        <f>'Intermediate calculations'!AP32*'Intermediate calculations'!AP33*Constants!$H$24</f>
        <v>4477720.5244091665</v>
      </c>
      <c r="AV17" s="23">
        <f>'Intermediate calculations'!AQ32*'Intermediate calculations'!AQ33*Constants!$H$24</f>
        <v>4438285.9964855248</v>
      </c>
      <c r="AW17" s="23">
        <f>'Intermediate calculations'!AR32*'Intermediate calculations'!AR33*Constants!$H$24</f>
        <v>4391681.7093471689</v>
      </c>
      <c r="AX17" s="23">
        <f>'Intermediate calculations'!AS32*'Intermediate calculations'!AS33*Constants!$H$24</f>
        <v>4338036.0241695745</v>
      </c>
      <c r="AY17" s="23">
        <f>'Intermediate calculations'!AT32*'Intermediate calculations'!AT33*Constants!$H$24</f>
        <v>4277530.3261559019</v>
      </c>
      <c r="AZ17" s="23">
        <f>'Intermediate calculations'!AU32*'Intermediate calculations'!AU33*Constants!$H$24</f>
        <v>4210397.0505048446</v>
      </c>
      <c r="BA17" s="23">
        <f>'Intermediate calculations'!AV32*'Intermediate calculations'!AV33*Constants!$H$24</f>
        <v>4136887.9711882346</v>
      </c>
      <c r="BB17" s="23">
        <f>'Intermediate calculations'!AW32*'Intermediate calculations'!AW33*Constants!$H$24</f>
        <v>4057285.6229150845</v>
      </c>
      <c r="BC17" s="23">
        <f>'Intermediate calculations'!AX32*'Intermediate calculations'!AX33*Constants!$H$24</f>
        <v>-378067.1431512342</v>
      </c>
      <c r="BD17" s="23">
        <f>'Intermediate calculations'!AY32*'Intermediate calculations'!AY33*Constants!$H$24</f>
        <v>-373974.22118522861</v>
      </c>
      <c r="BE17" s="23">
        <f>'Intermediate calculations'!AZ32*'Intermediate calculations'!AZ33*Constants!$H$24</f>
        <v>-369866.79826982657</v>
      </c>
      <c r="BF17" s="23">
        <f>'Intermediate calculations'!BA32*'Intermediate calculations'!BA33*Constants!$H$24</f>
        <v>-365749.13565556059</v>
      </c>
      <c r="BG17" s="23">
        <f>'Intermediate calculations'!BB32*'Intermediate calculations'!BB33*Constants!$H$24</f>
        <v>-361625.94284646778</v>
      </c>
      <c r="BH17" s="23">
        <f>'Intermediate calculations'!BC32*'Intermediate calculations'!BC33*Constants!$H$24</f>
        <v>-357486.29005510121</v>
      </c>
      <c r="BI17" s="23">
        <f>'Intermediate calculations'!BD32*'Intermediate calculations'!BD33*Constants!$H$24</f>
        <v>-353323.7245647891</v>
      </c>
      <c r="BJ17" s="23">
        <f>'Intermediate calculations'!BE32*'Intermediate calculations'!BE33*Constants!$H$24</f>
        <v>-349138.64848070475</v>
      </c>
      <c r="BK17" s="23">
        <f>'Intermediate calculations'!BF32*'Intermediate calculations'!BF33*Constants!$H$24</f>
        <v>-344924.12642266747</v>
      </c>
      <c r="BL17" s="23">
        <f>'Intermediate calculations'!BG32*'Intermediate calculations'!BG33*Constants!$H$24</f>
        <v>-340672.96380764054</v>
      </c>
      <c r="BM17" s="23">
        <f>'Intermediate calculations'!BH32*'Intermediate calculations'!BH33*Constants!$H$24</f>
        <v>-336386.36719111202</v>
      </c>
      <c r="BN17" s="23">
        <f>'Intermediate calculations'!BI32*'Intermediate calculations'!BI33*Constants!$H$24</f>
        <v>-332067.9035896397</v>
      </c>
      <c r="BO17" s="23">
        <f>'Intermediate calculations'!BJ32*'Intermediate calculations'!BJ33*Constants!$H$24</f>
        <v>-327720.62418101879</v>
      </c>
      <c r="BP17" s="23">
        <f>'Intermediate calculations'!BK32*'Intermediate calculations'!BK33*Constants!$H$24</f>
        <v>-323338.51037587819</v>
      </c>
    </row>
    <row r="18" spans="1:72" x14ac:dyDescent="0.25">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225824.57760845491</v>
      </c>
      <c r="AE18" s="23">
        <f>'Intermediate calculations'!Z32*'Intermediate calculations'!Z33*(1-Constants!$H$24)</f>
        <v>224597.07082544517</v>
      </c>
      <c r="AF18" s="23">
        <f>'Intermediate calculations'!AA32*'Intermediate calculations'!AA33*(1-Constants!$H$24)</f>
        <v>224697.82077409624</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214644.1152334958</v>
      </c>
      <c r="AJ18" s="23">
        <f>'Intermediate calculations'!AE32*'Intermediate calculations'!AE33*(1-Constants!$H$24)</f>
        <v>211288.30743867584</v>
      </c>
      <c r="AK18" s="23">
        <f>'Intermediate calculations'!AF32*'Intermediate calculations'!AF33*(1-Constants!$H$24)</f>
        <v>208229.44362917039</v>
      </c>
      <c r="AL18" s="23">
        <f>'Intermediate calculations'!AG32*'Intermediate calculations'!AG33*(1-Constants!$H$24)</f>
        <v>187349.08995162763</v>
      </c>
      <c r="AM18" s="23">
        <f>'Intermediate calculations'!AH32*'Intermediate calculations'!AH33*(1-Constants!$H$24)</f>
        <v>194038.98669928181</v>
      </c>
      <c r="AN18" s="23">
        <f>'Intermediate calculations'!AI32*'Intermediate calculations'!AI33*(1-Constants!$H$24)</f>
        <v>620249.18052205048</v>
      </c>
      <c r="AO18" s="23">
        <f>'Intermediate calculations'!AJ32*'Intermediate calculations'!AJ33*(1-Constants!$H$24)</f>
        <v>621949.43718294671</v>
      </c>
      <c r="AP18" s="23">
        <f>'Intermediate calculations'!AK32*'Intermediate calculations'!AK33*(1-Constants!$H$24)</f>
        <v>622577.39183964464</v>
      </c>
      <c r="AQ18" s="23">
        <f>'Intermediate calculations'!AL32*'Intermediate calculations'!AL33*(1-Constants!$H$24)</f>
        <v>622161.37808266433</v>
      </c>
      <c r="AR18" s="23">
        <f>'Intermediate calculations'!AM32*'Intermediate calculations'!AM33*(1-Constants!$H$24)</f>
        <v>620764.15711373056</v>
      </c>
      <c r="AS18" s="23">
        <f>'Intermediate calculations'!AN32*'Intermediate calculations'!AN33*(1-Constants!$H$24)</f>
        <v>618372.89457550133</v>
      </c>
      <c r="AT18" s="23">
        <f>'Intermediate calculations'!AO32*'Intermediate calculations'!AO33*(1-Constants!$H$24)</f>
        <v>614984.15405933757</v>
      </c>
      <c r="AU18" s="23">
        <f>'Intermediate calculations'!AP32*'Intermediate calculations'!AP33*(1-Constants!$H$24)</f>
        <v>610598.25332852267</v>
      </c>
      <c r="AV18" s="23">
        <f>'Intermediate calculations'!AQ32*'Intermediate calculations'!AQ33*(1-Constants!$H$24)</f>
        <v>605220.81770257163</v>
      </c>
      <c r="AW18" s="23">
        <f>'Intermediate calculations'!AR32*'Intermediate calculations'!AR33*(1-Constants!$H$24)</f>
        <v>598865.6876382503</v>
      </c>
      <c r="AX18" s="23">
        <f>'Intermediate calculations'!AS32*'Intermediate calculations'!AS33*(1-Constants!$H$24)</f>
        <v>591550.3669322147</v>
      </c>
      <c r="AY18" s="23">
        <f>'Intermediate calculations'!AT32*'Intermediate calculations'!AT33*(1-Constants!$H$24)</f>
        <v>583299.58993035019</v>
      </c>
      <c r="AZ18" s="23">
        <f>'Intermediate calculations'!AU32*'Intermediate calculations'!AU33*(1-Constants!$H$24)</f>
        <v>574145.0523415698</v>
      </c>
      <c r="BA18" s="23">
        <f>'Intermediate calculations'!AV32*'Intermediate calculations'!AV33*(1-Constants!$H$24)</f>
        <v>564121.08698021376</v>
      </c>
      <c r="BB18" s="23">
        <f>'Intermediate calculations'!AW32*'Intermediate calculations'!AW33*(1-Constants!$H$24)</f>
        <v>553266.22130660247</v>
      </c>
      <c r="BC18" s="23">
        <f>'Intermediate calculations'!AX32*'Intermediate calculations'!AX33*(1-Constants!$H$24)</f>
        <v>-51554.61042971375</v>
      </c>
      <c r="BD18" s="23">
        <f>'Intermediate calculations'!AY32*'Intermediate calculations'!AY33*(1-Constants!$H$24)</f>
        <v>-50996.484707076626</v>
      </c>
      <c r="BE18" s="23">
        <f>'Intermediate calculations'!AZ32*'Intermediate calculations'!AZ33*(1-Constants!$H$24)</f>
        <v>-50436.381582249072</v>
      </c>
      <c r="BF18" s="23">
        <f>'Intermediate calculations'!BA32*'Intermediate calculations'!BA33*(1-Constants!$H$24)</f>
        <v>-49874.882134849169</v>
      </c>
      <c r="BG18" s="23">
        <f>'Intermediate calculations'!BB32*'Intermediate calculations'!BB33*(1-Constants!$H$24)</f>
        <v>-49312.628569972876</v>
      </c>
      <c r="BH18" s="23">
        <f>'Intermediate calculations'!BC32*'Intermediate calculations'!BC33*(1-Constants!$H$24)</f>
        <v>-48748.130462059256</v>
      </c>
      <c r="BI18" s="23">
        <f>'Intermediate calculations'!BD32*'Intermediate calculations'!BD33*(1-Constants!$H$24)</f>
        <v>-48180.507895198512</v>
      </c>
      <c r="BJ18" s="23">
        <f>'Intermediate calculations'!BE32*'Intermediate calculations'!BE33*(1-Constants!$H$24)</f>
        <v>-47609.815701914289</v>
      </c>
      <c r="BK18" s="23">
        <f>'Intermediate calculations'!BF32*'Intermediate calculations'!BF33*(1-Constants!$H$24)</f>
        <v>-47035.108148545558</v>
      </c>
      <c r="BL18" s="23">
        <f>'Intermediate calculations'!BG32*'Intermediate calculations'!BG33*(1-Constants!$H$24)</f>
        <v>-46455.404155587348</v>
      </c>
      <c r="BM18" s="23">
        <f>'Intermediate calculations'!BH32*'Intermediate calculations'!BH33*(1-Constants!$H$24)</f>
        <v>-45870.86825333345</v>
      </c>
      <c r="BN18" s="23">
        <f>'Intermediate calculations'!BI32*'Intermediate calculations'!BI33*(1-Constants!$H$24)</f>
        <v>-45281.986853132679</v>
      </c>
      <c r="BO18" s="23">
        <f>'Intermediate calculations'!BJ32*'Intermediate calculations'!BJ33*(1-Constants!$H$24)</f>
        <v>-44689.176024684377</v>
      </c>
      <c r="BP18" s="23">
        <f>'Intermediate calculations'!BK32*'Intermediate calculations'!BK33*(1-Constants!$H$24)</f>
        <v>-44091.615051256122</v>
      </c>
    </row>
    <row r="19" spans="1:72" x14ac:dyDescent="0.25">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23653841.793715</v>
      </c>
      <c r="AE19" s="23">
        <f>'Intermediate calculations'!Z37*'Intermediate calculations'!Z38*Constants!$H$25</f>
        <v>24134771.290486101</v>
      </c>
      <c r="AF19" s="23">
        <f>'Intermediate calculations'!AA37*'Intermediate calculations'!AA38*Constants!$H$25</f>
        <v>24696932.291742448</v>
      </c>
      <c r="AG19" s="23">
        <f>'Intermediate calculations'!AB37*'Intermediate calculations'!AB38*Constants!$H$25</f>
        <v>25128517.122223888</v>
      </c>
      <c r="AH19" s="23">
        <f>'Intermediate calculations'!AC37*'Intermediate calculations'!AC38*Constants!$H$25</f>
        <v>25474971.393442623</v>
      </c>
      <c r="AI19" s="23">
        <f>'Intermediate calculations'!AD37*'Intermediate calculations'!AD38*Constants!$H$25</f>
        <v>25734234.718944561</v>
      </c>
      <c r="AJ19" s="23">
        <f>'Intermediate calculations'!AE37*'Intermediate calculations'!AE38*Constants!$H$25</f>
        <v>26066681.867313132</v>
      </c>
      <c r="AK19" s="23">
        <f>'Intermediate calculations'!AF37*'Intermediate calculations'!AF38*Constants!$H$25</f>
        <v>26412334.873995654</v>
      </c>
      <c r="AL19" s="23">
        <f>'Intermediate calculations'!AG37*'Intermediate calculations'!AG38*Constants!$H$25</f>
        <v>25371106.885045256</v>
      </c>
      <c r="AM19" s="23">
        <f>'Intermediate calculations'!AH37*'Intermediate calculations'!AH38*Constants!$H$25</f>
        <v>26301759.864103805</v>
      </c>
      <c r="AN19" s="23">
        <f>'Intermediate calculations'!AI37*'Intermediate calculations'!AI38*Constants!$H$25</f>
        <v>58453993.075396262</v>
      </c>
      <c r="AO19" s="23">
        <f>'Intermediate calculations'!AJ37*'Intermediate calculations'!AJ38*Constants!$H$25</f>
        <v>59739070.443922609</v>
      </c>
      <c r="AP19" s="23">
        <f>'Intermediate calculations'!AK37*'Intermediate calculations'!AK38*Constants!$H$25</f>
        <v>60971447.47047931</v>
      </c>
      <c r="AQ19" s="23">
        <f>'Intermediate calculations'!AL37*'Intermediate calculations'!AL38*Constants!$H$25</f>
        <v>62140240.38118834</v>
      </c>
      <c r="AR19" s="23">
        <f>'Intermediate calculations'!AM37*'Intermediate calculations'!AM38*Constants!$H$25</f>
        <v>63230690.129821882</v>
      </c>
      <c r="AS19" s="23">
        <f>'Intermediate calculations'!AN37*'Intermediate calculations'!AN38*Constants!$H$25</f>
        <v>64238030.957677633</v>
      </c>
      <c r="AT19" s="23">
        <f>'Intermediate calculations'!AO37*'Intermediate calculations'!AO38*Constants!$H$25</f>
        <v>65157412.811972722</v>
      </c>
      <c r="AU19" s="23">
        <f>'Intermediate calculations'!AP37*'Intermediate calculations'!AP38*Constants!$H$25</f>
        <v>65984651.89490328</v>
      </c>
      <c r="AV19" s="23">
        <f>'Intermediate calculations'!AQ37*'Intermediate calculations'!AQ38*Constants!$H$25</f>
        <v>66716076.782532059</v>
      </c>
      <c r="AW19" s="23">
        <f>'Intermediate calculations'!AR37*'Intermediate calculations'!AR38*Constants!$H$25</f>
        <v>67348150.272239521</v>
      </c>
      <c r="AX19" s="23">
        <f>'Intermediate calculations'!AS37*'Intermediate calculations'!AS38*Constants!$H$25</f>
        <v>67878097.621147081</v>
      </c>
      <c r="AY19" s="23">
        <f>'Intermediate calculations'!AT37*'Intermediate calculations'!AT38*Constants!$H$25</f>
        <v>68303415.631308526</v>
      </c>
      <c r="AZ19" s="23">
        <f>'Intermediate calculations'!AU37*'Intermediate calculations'!AU38*Constants!$H$25</f>
        <v>68621877.969516248</v>
      </c>
      <c r="BA19" s="23">
        <f>'Intermediate calculations'!AV37*'Intermediate calculations'!AV38*Constants!$H$25</f>
        <v>68832144.300082967</v>
      </c>
      <c r="BB19" s="23">
        <f>'Intermediate calculations'!AW37*'Intermediate calculations'!AW38*Constants!$H$25</f>
        <v>68933520.94400239</v>
      </c>
      <c r="BC19" s="23">
        <f>'Intermediate calculations'!AX37*'Intermediate calculations'!AX38*Constants!$H$25</f>
        <v>8986405.4583409671</v>
      </c>
      <c r="BD19" s="23">
        <f>'Intermediate calculations'!AY37*'Intermediate calculations'!AY38*Constants!$H$25</f>
        <v>9052359.785518948</v>
      </c>
      <c r="BE19" s="23">
        <f>'Intermediate calculations'!AZ37*'Intermediate calculations'!AZ38*Constants!$H$25</f>
        <v>9116679.1899604667</v>
      </c>
      <c r="BF19" s="23">
        <f>'Intermediate calculations'!BA37*'Intermediate calculations'!BA38*Constants!$H$25</f>
        <v>9179460.5648498666</v>
      </c>
      <c r="BG19" s="23">
        <f>'Intermediate calculations'!BB37*'Intermediate calculations'!BB38*Constants!$H$25</f>
        <v>9240815.6048103776</v>
      </c>
      <c r="BH19" s="23">
        <f>'Intermediate calculations'!BC37*'Intermediate calculations'!BC38*Constants!$H$25</f>
        <v>9300492.7436588462</v>
      </c>
      <c r="BI19" s="23">
        <f>'Intermediate calculations'!BD37*'Intermediate calculations'!BD38*Constants!$H$25</f>
        <v>9358326.3155942075</v>
      </c>
      <c r="BJ19" s="23">
        <f>'Intermediate calculations'!BE37*'Intermediate calculations'!BE38*Constants!$H$25</f>
        <v>9414304.1199616734</v>
      </c>
      <c r="BK19" s="23">
        <f>'Intermediate calculations'!BF37*'Intermediate calculations'!BF38*Constants!$H$25</f>
        <v>9468228.8191304449</v>
      </c>
      <c r="BL19" s="23">
        <f>'Intermediate calculations'!BG37*'Intermediate calculations'!BG38*Constants!$H$25</f>
        <v>9519880.7258345038</v>
      </c>
      <c r="BM19" s="23">
        <f>'Intermediate calculations'!BH37*'Intermediate calculations'!BH38*Constants!$H$25</f>
        <v>9569240.6276933048</v>
      </c>
      <c r="BN19" s="23">
        <f>'Intermediate calculations'!BI37*'Intermediate calculations'!BI38*Constants!$H$25</f>
        <v>9616350.1568514053</v>
      </c>
      <c r="BO19" s="23">
        <f>'Intermediate calculations'!BJ37*'Intermediate calculations'!BJ38*Constants!$H$25</f>
        <v>9661240.394951161</v>
      </c>
      <c r="BP19" s="23">
        <f>'Intermediate calculations'!BK37*'Intermediate calculations'!BK38*Constants!$H$25</f>
        <v>9703697.1154731549</v>
      </c>
    </row>
    <row r="20" spans="1:72" x14ac:dyDescent="0.25">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94043391.409974962</v>
      </c>
      <c r="AE20" s="23">
        <f>'Intermediate calculations'!Z42*'Intermediate calculations'!Z43*Constants!$H$26</f>
        <v>95281774.784899995</v>
      </c>
      <c r="AF20" s="23">
        <f>'Intermediate calculations'!AA42*'Intermediate calculations'!AA43*Constants!$H$26</f>
        <v>97270973.713722691</v>
      </c>
      <c r="AG20" s="23">
        <f>'Intermediate calculations'!AB42*'Intermediate calculations'!AB43*Constants!$H$26</f>
        <v>97842130.842887655</v>
      </c>
      <c r="AH20" s="23">
        <f>'Intermediate calculations'!AC42*'Intermediate calculations'!AC43*Constants!$H$26</f>
        <v>97491901.623900309</v>
      </c>
      <c r="AI20" s="23">
        <f>'Intermediate calculations'!AD42*'Intermediate calculations'!AD43*Constants!$H$26</f>
        <v>96224012.280420974</v>
      </c>
      <c r="AJ20" s="23">
        <f>'Intermediate calculations'!AE42*'Intermediate calculations'!AE43*Constants!$H$26</f>
        <v>95690259.829558358</v>
      </c>
      <c r="AK20" s="23">
        <f>'Intermediate calculations'!AF42*'Intermediate calculations'!AF43*Constants!$H$26</f>
        <v>95277598.733681634</v>
      </c>
      <c r="AL20" s="23">
        <f>'Intermediate calculations'!AG42*'Intermediate calculations'!AG43*Constants!$H$26</f>
        <v>83092786.05011037</v>
      </c>
      <c r="AM20" s="23">
        <f>'Intermediate calculations'!AH42*'Intermediate calculations'!AH43*Constants!$H$26</f>
        <v>89381268.281634822</v>
      </c>
      <c r="AN20" s="23">
        <f>'Intermediate calculations'!AI42*'Intermediate calculations'!AI43*Constants!$H$26</f>
        <v>388652143.84659076</v>
      </c>
      <c r="AO20" s="23">
        <f>'Intermediate calculations'!AJ42*'Intermediate calculations'!AJ43*Constants!$H$26</f>
        <v>395620031.65685779</v>
      </c>
      <c r="AP20" s="23">
        <f>'Intermediate calculations'!AK42*'Intermediate calculations'!AK43*Constants!$H$26</f>
        <v>401810251.07019573</v>
      </c>
      <c r="AQ20" s="23">
        <f>'Intermediate calculations'!AL42*'Intermediate calculations'!AL43*Constants!$H$26</f>
        <v>407249233.73769373</v>
      </c>
      <c r="AR20" s="23">
        <f>'Intermediate calculations'!AM42*'Intermediate calculations'!AM43*Constants!$H$26</f>
        <v>412010896.32823962</v>
      </c>
      <c r="AS20" s="23">
        <f>'Intermediate calculations'!AN42*'Intermediate calculations'!AN43*Constants!$H$26</f>
        <v>416059521.97388119</v>
      </c>
      <c r="AT20" s="23">
        <f>'Intermediate calculations'!AO42*'Intermediate calculations'!AO43*Constants!$H$26</f>
        <v>419367689.7745806</v>
      </c>
      <c r="AU20" s="23">
        <f>'Intermediate calculations'!AP42*'Intermediate calculations'!AP43*Constants!$H$26</f>
        <v>421908447.5243901</v>
      </c>
      <c r="AV20" s="23">
        <f>'Intermediate calculations'!AQ42*'Intermediate calculations'!AQ43*Constants!$H$26</f>
        <v>423657757.3261283</v>
      </c>
      <c r="AW20" s="23">
        <f>'Intermediate calculations'!AR42*'Intermediate calculations'!AR43*Constants!$H$26</f>
        <v>424599227.84356123</v>
      </c>
      <c r="AX20" s="23">
        <f>'Intermediate calculations'!AS42*'Intermediate calculations'!AS43*Constants!$H$26</f>
        <v>424717662.24588925</v>
      </c>
      <c r="AY20" s="23">
        <f>'Intermediate calculations'!AT42*'Intermediate calculations'!AT43*Constants!$H$26</f>
        <v>424004872.02672267</v>
      </c>
      <c r="AZ20" s="23">
        <f>'Intermediate calculations'!AU42*'Intermediate calculations'!AU43*Constants!$H$26</f>
        <v>422459862.18418473</v>
      </c>
      <c r="BA20" s="23">
        <f>'Intermediate calculations'!AV42*'Intermediate calculations'!AV43*Constants!$H$26</f>
        <v>420082512.31946158</v>
      </c>
      <c r="BB20" s="23">
        <f>'Intermediate calculations'!AW42*'Intermediate calculations'!AW43*Constants!$H$26</f>
        <v>416876383.56053138</v>
      </c>
      <c r="BC20" s="23">
        <f>'Intermediate calculations'!AX42*'Intermediate calculations'!AX43*Constants!$H$26</f>
        <v>-89020230.204841599</v>
      </c>
      <c r="BD20" s="23">
        <f>'Intermediate calculations'!AY42*'Intermediate calculations'!AY43*Constants!$H$26</f>
        <v>-89146208.089037806</v>
      </c>
      <c r="BE20" s="23">
        <f>'Intermediate calculations'!AZ42*'Intermediate calculations'!AZ43*Constants!$H$26</f>
        <v>-89260278.921735153</v>
      </c>
      <c r="BF20" s="23">
        <f>'Intermediate calculations'!BA42*'Intermediate calculations'!BA43*Constants!$H$26</f>
        <v>-89363412.734265909</v>
      </c>
      <c r="BG20" s="23">
        <f>'Intermediate calculations'!BB42*'Intermediate calculations'!BB43*Constants!$H$26</f>
        <v>-89456718.537233844</v>
      </c>
      <c r="BH20" s="23">
        <f>'Intermediate calculations'!BC42*'Intermediate calculations'!BC43*Constants!$H$26</f>
        <v>-89537592.271047369</v>
      </c>
      <c r="BI20" s="23">
        <f>'Intermediate calculations'!BD42*'Intermediate calculations'!BD43*Constants!$H$26</f>
        <v>-89604368.784275606</v>
      </c>
      <c r="BJ20" s="23">
        <f>'Intermediate calculations'!BE42*'Intermediate calculations'!BE43*Constants!$H$26</f>
        <v>-89656972.479263023</v>
      </c>
      <c r="BK20" s="23">
        <f>'Intermediate calculations'!BF42*'Intermediate calculations'!BF43*Constants!$H$26</f>
        <v>-89693483.690001965</v>
      </c>
      <c r="BL20" s="23">
        <f>'Intermediate calculations'!BG42*'Intermediate calculations'!BG43*Constants!$H$26</f>
        <v>-89711808.563796133</v>
      </c>
      <c r="BM20" s="23">
        <f>'Intermediate calculations'!BH42*'Intermediate calculations'!BH43*Constants!$H$26</f>
        <v>-89711887.098993719</v>
      </c>
      <c r="BN20" s="23">
        <f>'Intermediate calculations'!BI42*'Intermediate calculations'!BI43*Constants!$H$26</f>
        <v>-89694262.947943121</v>
      </c>
      <c r="BO20" s="23">
        <f>'Intermediate calculations'!BJ42*'Intermediate calculations'!BJ43*Constants!$H$26</f>
        <v>-89659368.15995191</v>
      </c>
      <c r="BP20" s="23">
        <f>'Intermediate calculations'!BK42*'Intermediate calculations'!BK43*Constants!$H$26</f>
        <v>-89605239.831014261</v>
      </c>
    </row>
    <row r="21" spans="1:72" x14ac:dyDescent="0.25">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985576.74140479264</v>
      </c>
      <c r="AE21" s="23">
        <f>'Intermediate calculations'!Z37*'Intermediate calculations'!Z38*(1-Constants!$H$25)</f>
        <v>1005615.4704369218</v>
      </c>
      <c r="AF21" s="23">
        <f>'Intermediate calculations'!AA37*'Intermediate calculations'!AA38*(1-Constants!$H$25)</f>
        <v>1029038.8454892697</v>
      </c>
      <c r="AG21" s="23">
        <f>'Intermediate calculations'!AB37*'Intermediate calculations'!AB38*(1-Constants!$H$25)</f>
        <v>1047021.5467593296</v>
      </c>
      <c r="AH21" s="23">
        <f>'Intermediate calculations'!AC37*'Intermediate calculations'!AC38*(1-Constants!$H$25)</f>
        <v>1061457.1413934438</v>
      </c>
      <c r="AI21" s="23">
        <f>'Intermediate calculations'!AD37*'Intermediate calculations'!AD38*(1-Constants!$H$25)</f>
        <v>1072259.7799560244</v>
      </c>
      <c r="AJ21" s="23">
        <f>'Intermediate calculations'!AE37*'Intermediate calculations'!AE38*(1-Constants!$H$25)</f>
        <v>1086111.7444713814</v>
      </c>
      <c r="AK21" s="23">
        <f>'Intermediate calculations'!AF37*'Intermediate calculations'!AF38*(1-Constants!$H$25)</f>
        <v>1100513.9530831533</v>
      </c>
      <c r="AL21" s="23">
        <f>'Intermediate calculations'!AG37*'Intermediate calculations'!AG38*(1-Constants!$H$25)</f>
        <v>1057129.4535435534</v>
      </c>
      <c r="AM21" s="23">
        <f>'Intermediate calculations'!AH37*'Intermediate calculations'!AH38*(1-Constants!$H$25)</f>
        <v>1095906.6610043263</v>
      </c>
      <c r="AN21" s="23">
        <f>'Intermediate calculations'!AI37*'Intermediate calculations'!AI38*(1-Constants!$H$25)</f>
        <v>2435583.0448081796</v>
      </c>
      <c r="AO21" s="23">
        <f>'Intermediate calculations'!AJ37*'Intermediate calculations'!AJ38*(1-Constants!$H$25)</f>
        <v>2489127.9351634444</v>
      </c>
      <c r="AP21" s="23">
        <f>'Intermediate calculations'!AK37*'Intermediate calculations'!AK38*(1-Constants!$H$25)</f>
        <v>2540476.9779366404</v>
      </c>
      <c r="AQ21" s="23">
        <f>'Intermediate calculations'!AL37*'Intermediate calculations'!AL38*(1-Constants!$H$25)</f>
        <v>2589176.6825495167</v>
      </c>
      <c r="AR21" s="23">
        <f>'Intermediate calculations'!AM37*'Intermediate calculations'!AM38*(1-Constants!$H$25)</f>
        <v>2634612.0887425812</v>
      </c>
      <c r="AS21" s="23">
        <f>'Intermediate calculations'!AN37*'Intermediate calculations'!AN38*(1-Constants!$H$25)</f>
        <v>2676584.6232365705</v>
      </c>
      <c r="AT21" s="23">
        <f>'Intermediate calculations'!AO37*'Intermediate calculations'!AO38*(1-Constants!$H$25)</f>
        <v>2714892.2004988659</v>
      </c>
      <c r="AU21" s="23">
        <f>'Intermediate calculations'!AP37*'Intermediate calculations'!AP38*(1-Constants!$H$25)</f>
        <v>2749360.4956209725</v>
      </c>
      <c r="AV21" s="23">
        <f>'Intermediate calculations'!AQ37*'Intermediate calculations'!AQ38*(1-Constants!$H$25)</f>
        <v>2779836.5326055051</v>
      </c>
      <c r="AW21" s="23">
        <f>'Intermediate calculations'!AR37*'Intermediate calculations'!AR38*(1-Constants!$H$25)</f>
        <v>2806172.9280099827</v>
      </c>
      <c r="AX21" s="23">
        <f>'Intermediate calculations'!AS37*'Intermediate calculations'!AS38*(1-Constants!$H$25)</f>
        <v>2828254.0675477977</v>
      </c>
      <c r="AY21" s="23">
        <f>'Intermediate calculations'!AT37*'Intermediate calculations'!AT38*(1-Constants!$H$25)</f>
        <v>2845975.6513045249</v>
      </c>
      <c r="AZ21" s="23">
        <f>'Intermediate calculations'!AU37*'Intermediate calculations'!AU38*(1-Constants!$H$25)</f>
        <v>2859244.915396513</v>
      </c>
      <c r="BA21" s="23">
        <f>'Intermediate calculations'!AV37*'Intermediate calculations'!AV38*(1-Constants!$H$25)</f>
        <v>2868006.0125034596</v>
      </c>
      <c r="BB21" s="23">
        <f>'Intermediate calculations'!AW37*'Intermediate calculations'!AW38*(1-Constants!$H$25)</f>
        <v>2872230.0393334352</v>
      </c>
      <c r="BC21" s="23">
        <f>'Intermediate calculations'!AX37*'Intermediate calculations'!AX38*(1-Constants!$H$25)</f>
        <v>374433.56076420727</v>
      </c>
      <c r="BD21" s="23">
        <f>'Intermediate calculations'!AY37*'Intermediate calculations'!AY38*(1-Constants!$H$25)</f>
        <v>377181.65772995655</v>
      </c>
      <c r="BE21" s="23">
        <f>'Intermediate calculations'!AZ37*'Intermediate calculations'!AZ38*(1-Constants!$H$25)</f>
        <v>379861.63291501981</v>
      </c>
      <c r="BF21" s="23">
        <f>'Intermediate calculations'!BA37*'Intermediate calculations'!BA38*(1-Constants!$H$25)</f>
        <v>382477.52353541146</v>
      </c>
      <c r="BG21" s="23">
        <f>'Intermediate calculations'!BB37*'Intermediate calculations'!BB38*(1-Constants!$H$25)</f>
        <v>385033.98353376606</v>
      </c>
      <c r="BH21" s="23">
        <f>'Intermediate calculations'!BC37*'Intermediate calculations'!BC38*(1-Constants!$H$25)</f>
        <v>387520.53098578565</v>
      </c>
      <c r="BI21" s="23">
        <f>'Intermediate calculations'!BD37*'Intermediate calculations'!BD38*(1-Constants!$H$25)</f>
        <v>389930.26314975898</v>
      </c>
      <c r="BJ21" s="23">
        <f>'Intermediate calculations'!BE37*'Intermediate calculations'!BE38*(1-Constants!$H$25)</f>
        <v>392262.67166507011</v>
      </c>
      <c r="BK21" s="23">
        <f>'Intermediate calculations'!BF37*'Intermediate calculations'!BF38*(1-Constants!$H$25)</f>
        <v>394509.53413043555</v>
      </c>
      <c r="BL21" s="23">
        <f>'Intermediate calculations'!BG37*'Intermediate calculations'!BG38*(1-Constants!$H$25)</f>
        <v>396661.69690977142</v>
      </c>
      <c r="BM21" s="23">
        <f>'Intermediate calculations'!BH37*'Intermediate calculations'!BH38*(1-Constants!$H$25)</f>
        <v>398718.35948722134</v>
      </c>
      <c r="BN21" s="23">
        <f>'Intermediate calculations'!BI37*'Intermediate calculations'!BI38*(1-Constants!$H$25)</f>
        <v>400681.25653547561</v>
      </c>
      <c r="BO21" s="23">
        <f>'Intermediate calculations'!BJ37*'Intermediate calculations'!BJ38*(1-Constants!$H$25)</f>
        <v>402551.68312296539</v>
      </c>
      <c r="BP21" s="23">
        <f>'Intermediate calculations'!BK37*'Intermediate calculations'!BK38*(1-Constants!$H$25)</f>
        <v>404320.71314471518</v>
      </c>
    </row>
    <row r="22" spans="1:72" x14ac:dyDescent="0.25">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3918474.6420822935</v>
      </c>
      <c r="AE22" s="23">
        <f>'Intermediate calculations'!Z42*'Intermediate calculations'!Z43*(1-Constants!$H$26)</f>
        <v>3970073.9493708364</v>
      </c>
      <c r="AF22" s="23">
        <f>'Intermediate calculations'!AA42*'Intermediate calculations'!AA43*(1-Constants!$H$26)</f>
        <v>4052957.2380717825</v>
      </c>
      <c r="AG22" s="23">
        <f>'Intermediate calculations'!AB42*'Intermediate calculations'!AB43*(1-Constants!$H$26)</f>
        <v>4076755.4517869898</v>
      </c>
      <c r="AH22" s="23">
        <f>'Intermediate calculations'!AC42*'Intermediate calculations'!AC43*(1-Constants!$H$26)</f>
        <v>4062162.5676625171</v>
      </c>
      <c r="AI22" s="23">
        <f>'Intermediate calculations'!AD42*'Intermediate calculations'!AD43*(1-Constants!$H$26)</f>
        <v>4009333.845017544</v>
      </c>
      <c r="AJ22" s="23">
        <f>'Intermediate calculations'!AE42*'Intermediate calculations'!AE43*(1-Constants!$H$26)</f>
        <v>3987094.1595649356</v>
      </c>
      <c r="AK22" s="23">
        <f>'Intermediate calculations'!AF42*'Intermediate calculations'!AF43*(1-Constants!$H$26)</f>
        <v>3969899.9472367382</v>
      </c>
      <c r="AL22" s="23">
        <f>'Intermediate calculations'!AG42*'Intermediate calculations'!AG43*(1-Constants!$H$26)</f>
        <v>3462199.4187546023</v>
      </c>
      <c r="AM22" s="23">
        <f>'Intermediate calculations'!AH42*'Intermediate calculations'!AH43*(1-Constants!$H$26)</f>
        <v>3724219.5117347874</v>
      </c>
      <c r="AN22" s="23">
        <f>'Intermediate calculations'!AI42*'Intermediate calculations'!AI43*(1-Constants!$H$26)</f>
        <v>16193839.326941296</v>
      </c>
      <c r="AO22" s="23">
        <f>'Intermediate calculations'!AJ42*'Intermediate calculations'!AJ43*(1-Constants!$H$26)</f>
        <v>16484167.985702422</v>
      </c>
      <c r="AP22" s="23">
        <f>'Intermediate calculations'!AK42*'Intermediate calculations'!AK43*(1-Constants!$H$26)</f>
        <v>16742093.794591503</v>
      </c>
      <c r="AQ22" s="23">
        <f>'Intermediate calculations'!AL42*'Intermediate calculations'!AL43*(1-Constants!$H$26)</f>
        <v>16968718.072403919</v>
      </c>
      <c r="AR22" s="23">
        <f>'Intermediate calculations'!AM42*'Intermediate calculations'!AM43*(1-Constants!$H$26)</f>
        <v>17167120.680343334</v>
      </c>
      <c r="AS22" s="23">
        <f>'Intermediate calculations'!AN42*'Intermediate calculations'!AN43*(1-Constants!$H$26)</f>
        <v>17335813.415578399</v>
      </c>
      <c r="AT22" s="23">
        <f>'Intermediate calculations'!AO42*'Intermediate calculations'!AO43*(1-Constants!$H$26)</f>
        <v>17473653.740607541</v>
      </c>
      <c r="AU22" s="23">
        <f>'Intermediate calculations'!AP42*'Intermediate calculations'!AP43*(1-Constants!$H$26)</f>
        <v>17579518.646849606</v>
      </c>
      <c r="AV22" s="23">
        <f>'Intermediate calculations'!AQ42*'Intermediate calculations'!AQ43*(1-Constants!$H$26)</f>
        <v>17652406.555255361</v>
      </c>
      <c r="AW22" s="23">
        <f>'Intermediate calculations'!AR42*'Intermediate calculations'!AR43*(1-Constants!$H$26)</f>
        <v>17691634.493481737</v>
      </c>
      <c r="AX22" s="23">
        <f>'Intermediate calculations'!AS42*'Intermediate calculations'!AS43*(1-Constants!$H$26)</f>
        <v>17696569.260245401</v>
      </c>
      <c r="AY22" s="23">
        <f>'Intermediate calculations'!AT42*'Intermediate calculations'!AT43*(1-Constants!$H$26)</f>
        <v>17666869.667780127</v>
      </c>
      <c r="AZ22" s="23">
        <f>'Intermediate calculations'!AU42*'Intermediate calculations'!AU43*(1-Constants!$H$26)</f>
        <v>17602494.257674381</v>
      </c>
      <c r="BA22" s="23">
        <f>'Intermediate calculations'!AV42*'Intermediate calculations'!AV43*(1-Constants!$H$26)</f>
        <v>17503438.013310917</v>
      </c>
      <c r="BB22" s="23">
        <f>'Intermediate calculations'!AW42*'Intermediate calculations'!AW43*(1-Constants!$H$26)</f>
        <v>17369849.315022156</v>
      </c>
      <c r="BC22" s="23">
        <f>'Intermediate calculations'!AX42*'Intermediate calculations'!AX43*(1-Constants!$H$26)</f>
        <v>-3709176.2585350703</v>
      </c>
      <c r="BD22" s="23">
        <f>'Intermediate calculations'!AY42*'Intermediate calculations'!AY43*(1-Constants!$H$26)</f>
        <v>-3714425.3370432453</v>
      </c>
      <c r="BE22" s="23">
        <f>'Intermediate calculations'!AZ42*'Intermediate calculations'!AZ43*(1-Constants!$H$26)</f>
        <v>-3719178.2884056349</v>
      </c>
      <c r="BF22" s="23">
        <f>'Intermediate calculations'!BA42*'Intermediate calculations'!BA43*(1-Constants!$H$26)</f>
        <v>-3723475.5305944164</v>
      </c>
      <c r="BG22" s="23">
        <f>'Intermediate calculations'!BB42*'Intermediate calculations'!BB43*(1-Constants!$H$26)</f>
        <v>-3727363.2723847469</v>
      </c>
      <c r="BH22" s="23">
        <f>'Intermediate calculations'!BC42*'Intermediate calculations'!BC43*(1-Constants!$H$26)</f>
        <v>-3730733.0112936441</v>
      </c>
      <c r="BI22" s="23">
        <f>'Intermediate calculations'!BD42*'Intermediate calculations'!BD43*(1-Constants!$H$26)</f>
        <v>-3733515.3660114869</v>
      </c>
      <c r="BJ22" s="23">
        <f>'Intermediate calculations'!BE42*'Intermediate calculations'!BE43*(1-Constants!$H$26)</f>
        <v>-3735707.1866359627</v>
      </c>
      <c r="BK22" s="23">
        <f>'Intermediate calculations'!BF42*'Intermediate calculations'!BF43*(1-Constants!$H$26)</f>
        <v>-3737228.4870834188</v>
      </c>
      <c r="BL22" s="23">
        <f>'Intermediate calculations'!BG42*'Intermediate calculations'!BG43*(1-Constants!$H$26)</f>
        <v>-3737992.0234915093</v>
      </c>
      <c r="BM22" s="23">
        <f>'Intermediate calculations'!BH42*'Intermediate calculations'!BH43*(1-Constants!$H$26)</f>
        <v>-3737995.295791408</v>
      </c>
      <c r="BN22" s="23">
        <f>'Intermediate calculations'!BI42*'Intermediate calculations'!BI43*(1-Constants!$H$26)</f>
        <v>-3737260.9561643</v>
      </c>
      <c r="BO22" s="23">
        <f>'Intermediate calculations'!BJ42*'Intermediate calculations'!BJ43*(1-Constants!$H$26)</f>
        <v>-3735807.0066646663</v>
      </c>
      <c r="BP22" s="23">
        <f>'Intermediate calculations'!BK42*'Intermediate calculations'!BK43*(1-Constants!$H$26)</f>
        <v>-3733551.6596255978</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3536340.4824694507</v>
      </c>
      <c r="AN41" s="22">
        <f>((Data!$AJ$42*LN('Intermediate calculations'!AH60))+Data!$AK$42)</f>
        <v>3563496.0859221276</v>
      </c>
      <c r="AO41" s="22">
        <f>((Data!$AJ$42*LN('Intermediate calculations'!AI60))+Data!$AK$42)</f>
        <v>4215209.0285238456</v>
      </c>
      <c r="AP41" s="22">
        <f>((Data!$AJ$42*LN('Intermediate calculations'!AJ60))+Data!$AK$42)</f>
        <v>4231490.20733344</v>
      </c>
      <c r="AQ41" s="22">
        <f>((Data!$AJ$42*LN('Intermediate calculations'!AK60))+Data!$AK$42)</f>
        <v>4246561.0039512403</v>
      </c>
      <c r="AR41" s="22">
        <f>((Data!$AJ$42*LN('Intermediate calculations'!AL60))+Data!$AK$42)</f>
        <v>4260423.0437018257</v>
      </c>
      <c r="AS41" s="22">
        <f>((Data!$AJ$42*LN('Intermediate calculations'!AM60))+Data!$AK$42)</f>
        <v>4273086.8475590721</v>
      </c>
      <c r="AT41" s="22">
        <f>((Data!$AJ$42*LN('Intermediate calculations'!AN60))+Data!$AK$42)</f>
        <v>4284541.4205668941</v>
      </c>
      <c r="AU41" s="22">
        <f>((Data!$AJ$42*LN('Intermediate calculations'!AO60))+Data!$AK$42)</f>
        <v>4294777.5678657647</v>
      </c>
      <c r="AV41" s="22">
        <f>((Data!$AJ$42*LN('Intermediate calculations'!AP60))+Data!$AK$42)</f>
        <v>4303786.2816398833</v>
      </c>
      <c r="AW41" s="22">
        <f>((Data!$AJ$42*LN('Intermediate calculations'!AQ60))+Data!$AK$42)</f>
        <v>4311559.1323509235</v>
      </c>
      <c r="AX41" s="22">
        <f>((Data!$AJ$42*LN('Intermediate calculations'!AR60))+Data!$AK$42)</f>
        <v>4318089.0880459901</v>
      </c>
      <c r="AY41" s="22">
        <f>((Data!$AJ$42*LN('Intermediate calculations'!AS60))+Data!$AK$42)</f>
        <v>4323369.2214795537</v>
      </c>
      <c r="AZ41" s="22">
        <f>((Data!$AJ$42*LN('Intermediate calculations'!AT60))+Data!$AK$42)</f>
        <v>4327393.7601321675</v>
      </c>
      <c r="BA41" s="22">
        <f>((Data!$AJ$42*LN('Intermediate calculations'!AU60))+Data!$AK$42)</f>
        <v>4330158.0834303666</v>
      </c>
      <c r="BB41" s="22">
        <f>((Data!$AJ$42*LN('Intermediate calculations'!AV60))+Data!$AK$42)</f>
        <v>4331657.4983833581</v>
      </c>
      <c r="BC41" s="22">
        <f>((Data!$AJ$42*LN('Intermediate calculations'!AW60))+Data!$AK$42)</f>
        <v>4331887.7516830992</v>
      </c>
      <c r="BD41" s="22">
        <f>((Data!$AJ$42*LN('Intermediate calculations'!AX60))+Data!$AK$42)</f>
        <v>2405421.3565535322</v>
      </c>
      <c r="BE41" s="22">
        <f>((Data!$AJ$42*LN('Intermediate calculations'!AY60))+Data!$AK$42)</f>
        <v>2403788.2854956239</v>
      </c>
      <c r="BF41" s="22">
        <f>((Data!$AJ$42*LN('Intermediate calculations'!AZ60))+Data!$AK$42)</f>
        <v>2402192.4110759087</v>
      </c>
      <c r="BG41" s="22">
        <f>((Data!$AJ$42*LN('Intermediate calculations'!BA60))+Data!$AK$42)</f>
        <v>2400631.5554386713</v>
      </c>
      <c r="BH41" s="22">
        <f>((Data!$AJ$42*LN('Intermediate calculations'!BB60))+Data!$AK$42)</f>
        <v>2399103.147229027</v>
      </c>
      <c r="BI41" s="22">
        <f>((Data!$AJ$42*LN('Intermediate calculations'!BC60))+Data!$AK$42)</f>
        <v>2397613.6863267925</v>
      </c>
      <c r="BJ41" s="22">
        <f>((Data!$AJ$42*LN('Intermediate calculations'!BD60))+Data!$AK$42)</f>
        <v>2396167.5612667147</v>
      </c>
      <c r="BK41" s="22">
        <f>((Data!$AJ$42*LN('Intermediate calculations'!BE60))+Data!$AK$42)</f>
        <v>2394765.3283680808</v>
      </c>
      <c r="BL41" s="22">
        <f>((Data!$AJ$42*LN('Intermediate calculations'!BF60))+Data!$AK$42)</f>
        <v>2393412.2009041701</v>
      </c>
      <c r="BM41" s="22">
        <f>((Data!$AJ$42*LN('Intermediate calculations'!BG60))+Data!$AK$42)</f>
        <v>2392113.9824916571</v>
      </c>
      <c r="BN41" s="22">
        <f>((Data!$AJ$42*LN('Intermediate calculations'!BH60))+Data!$AK$42)</f>
        <v>2390871.439684974</v>
      </c>
      <c r="BO41" s="22">
        <f>((Data!$AJ$42*LN('Intermediate calculations'!BI60))+Data!$AK$42)</f>
        <v>2389683.7917572055</v>
      </c>
      <c r="BP41" s="22">
        <f>((Data!$AJ$42*LN('Intermediate calculations'!BJ60))+Data!$AK$42)</f>
        <v>2388550.507793935</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1950130.9088433851</v>
      </c>
      <c r="AN45" s="22">
        <f t="shared" si="16"/>
        <v>1965105.98884597</v>
      </c>
      <c r="AO45" s="22">
        <f t="shared" si="16"/>
        <v>2324496.0304330825</v>
      </c>
      <c r="AP45" s="22">
        <f t="shared" si="16"/>
        <v>2333474.3599198475</v>
      </c>
      <c r="AQ45" s="22">
        <f t="shared" si="16"/>
        <v>2341785.2186878189</v>
      </c>
      <c r="AR45" s="22">
        <f t="shared" si="16"/>
        <v>2349429.5030295672</v>
      </c>
      <c r="AS45" s="22">
        <f t="shared" si="16"/>
        <v>2356413.0147835882</v>
      </c>
      <c r="AT45" s="22">
        <f t="shared" si="16"/>
        <v>2362729.6907317592</v>
      </c>
      <c r="AU45" s="22">
        <f t="shared" si="16"/>
        <v>2368374.4603273217</v>
      </c>
      <c r="AV45" s="22">
        <f t="shared" si="16"/>
        <v>2373342.3561696257</v>
      </c>
      <c r="AW45" s="22">
        <f t="shared" si="16"/>
        <v>2377628.7297517415</v>
      </c>
      <c r="AX45" s="22">
        <f t="shared" si="16"/>
        <v>2381229.7032715296</v>
      </c>
      <c r="AY45" s="22">
        <f t="shared" si="16"/>
        <v>2384141.456668199</v>
      </c>
      <c r="AZ45" s="22">
        <f t="shared" si="16"/>
        <v>2386360.8066598647</v>
      </c>
      <c r="BA45" s="22">
        <f t="shared" si="16"/>
        <v>2387885.2052104506</v>
      </c>
      <c r="BB45" s="22">
        <f t="shared" si="16"/>
        <v>2388712.0643490166</v>
      </c>
      <c r="BC45" s="22">
        <f t="shared" si="16"/>
        <v>2388839.038569659</v>
      </c>
      <c r="BD45" s="22">
        <f t="shared" si="16"/>
        <v>1326480.4561271621</v>
      </c>
      <c r="BE45" s="22">
        <f t="shared" si="16"/>
        <v>1325579.8917267171</v>
      </c>
      <c r="BF45" s="22">
        <f t="shared" si="16"/>
        <v>1324699.8395801699</v>
      </c>
      <c r="BG45" s="22">
        <f t="shared" si="16"/>
        <v>1323839.0986991636</v>
      </c>
      <c r="BH45" s="22">
        <f t="shared" si="16"/>
        <v>1322996.2510984496</v>
      </c>
      <c r="BI45" s="22">
        <f t="shared" si="16"/>
        <v>1322174.8811660688</v>
      </c>
      <c r="BJ45" s="22">
        <f t="shared" si="16"/>
        <v>1321377.4089793009</v>
      </c>
      <c r="BK45" s="22">
        <f t="shared" si="16"/>
        <v>1320604.1413229259</v>
      </c>
      <c r="BL45" s="22">
        <f t="shared" si="16"/>
        <v>1319857.9530800069</v>
      </c>
      <c r="BM45" s="22">
        <f t="shared" si="16"/>
        <v>1319142.0446811349</v>
      </c>
      <c r="BN45" s="22">
        <f t="shared" si="16"/>
        <v>1318456.8388462088</v>
      </c>
      <c r="BO45" s="22">
        <f t="shared" si="16"/>
        <v>1317801.9050398497</v>
      </c>
      <c r="BP45" s="22">
        <f t="shared" si="16"/>
        <v>1317176.9504869082</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640787.03747400374</v>
      </c>
      <c r="AN46" s="22">
        <f>((Data!$AJ$48*'Activity data'!AN47)+Data!$AK$48)</f>
        <v>640551.21895943326</v>
      </c>
      <c r="AO46" s="22">
        <f>((Data!$AJ$48*'Activity data'!AO47)+Data!$AK$48)</f>
        <v>634891.76166479173</v>
      </c>
      <c r="AP46" s="22">
        <f>((Data!$AJ$48*'Activity data'!AP47)+Data!$AK$48)</f>
        <v>634750.37635516224</v>
      </c>
      <c r="AQ46" s="22">
        <f>((Data!$AJ$48*'Activity data'!AQ47)+Data!$AK$48)</f>
        <v>634619.50197124376</v>
      </c>
      <c r="AR46" s="22">
        <f>((Data!$AJ$48*'Activity data'!AR47)+Data!$AK$48)</f>
        <v>634499.12439876248</v>
      </c>
      <c r="AS46" s="22">
        <f>((Data!$AJ$48*'Activity data'!AS47)+Data!$AK$48)</f>
        <v>634389.15227387007</v>
      </c>
      <c r="AT46" s="22">
        <f>((Data!$AJ$48*'Activity data'!AT47)+Data!$AK$48)</f>
        <v>634289.6810764632</v>
      </c>
      <c r="AU46" s="22">
        <f>((Data!$AJ$48*'Activity data'!AU47)+Data!$AK$48)</f>
        <v>634200.79065444949</v>
      </c>
      <c r="AV46" s="22">
        <f>((Data!$AJ$48*'Activity data'!AV47)+Data!$AK$48)</f>
        <v>634122.55923145416</v>
      </c>
      <c r="AW46" s="22">
        <f>((Data!$AJ$48*'Activity data'!AW47)+Data!$AK$48)</f>
        <v>634055.06000935624</v>
      </c>
      <c r="AX46" s="22">
        <f>((Data!$AJ$48*'Activity data'!AX47)+Data!$AK$48)</f>
        <v>633998.35405344167</v>
      </c>
      <c r="AY46" s="22">
        <f>((Data!$AJ$48*'Activity data'!AY47)+Data!$AK$48)</f>
        <v>633952.5015197203</v>
      </c>
      <c r="AZ46" s="22">
        <f>((Data!$AJ$48*'Activity data'!AZ47)+Data!$AK$48)</f>
        <v>633917.55253659259</v>
      </c>
      <c r="BA46" s="22">
        <f>((Data!$AJ$48*'Activity data'!BA47)+Data!$AK$48)</f>
        <v>633893.54722899164</v>
      </c>
      <c r="BB46" s="22">
        <f>((Data!$AJ$48*'Activity data'!BB47)+Data!$AK$48)</f>
        <v>633880.52635072032</v>
      </c>
      <c r="BC46" s="22">
        <f>((Data!$AJ$48*'Activity data'!BC47)+Data!$AK$48)</f>
        <v>633878.5268373891</v>
      </c>
      <c r="BD46" s="22">
        <f>((Data!$AJ$48*'Activity data'!BD47)+Data!$AK$48)</f>
        <v>650607.90810343029</v>
      </c>
      <c r="BE46" s="22">
        <f>((Data!$AJ$48*'Activity data'!BE47)+Data!$AK$48)</f>
        <v>650622.08964764595</v>
      </c>
      <c r="BF46" s="22">
        <f>((Data!$AJ$48*'Activity data'!BF47)+Data!$AK$48)</f>
        <v>650635.94817727699</v>
      </c>
      <c r="BG46" s="22">
        <f>((Data!$AJ$48*'Activity data'!BG47)+Data!$AK$48)</f>
        <v>650649.50260476267</v>
      </c>
      <c r="BH46" s="22">
        <f>((Data!$AJ$48*'Activity data'!BH47)+Data!$AK$48)</f>
        <v>650662.77525967848</v>
      </c>
      <c r="BI46" s="22">
        <f>((Data!$AJ$48*'Activity data'!BI47)+Data!$AK$48)</f>
        <v>650675.70969724632</v>
      </c>
      <c r="BJ46" s="22">
        <f>((Data!$AJ$48*'Activity data'!BJ47)+Data!$AK$48)</f>
        <v>650688.26780755108</v>
      </c>
      <c r="BK46" s="22">
        <f>((Data!$AJ$48*'Activity data'!BK47)+Data!$AK$48)</f>
        <v>650700.4447595313</v>
      </c>
      <c r="BL46" s="22">
        <f>((Data!$AJ$48*'Activity data'!BL47)+Data!$AK$48)</f>
        <v>650712.19528126507</v>
      </c>
      <c r="BM46" s="22">
        <f>((Data!$AJ$48*'Activity data'!BM47)+Data!$AK$48)</f>
        <v>650723.4689743045</v>
      </c>
      <c r="BN46" s="22">
        <f>((Data!$AJ$48*'Activity data'!BN47)+Data!$AK$48)</f>
        <v>650734.25918191206</v>
      </c>
      <c r="BO46" s="22">
        <f>((Data!$AJ$48*'Activity data'!BO47)+Data!$AK$48)</f>
        <v>650744.57268389873</v>
      </c>
      <c r="BP46" s="22">
        <f>((Data!$AJ$48*'Activity data'!BP47)+Data!$AK$48)</f>
        <v>650754.41409071081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420226.87274158868</v>
      </c>
      <c r="AN47" s="22">
        <f>((Data!$AJ$49*'Activity data'!AN41)+Data!$AK$49)</f>
        <v>420053.42264826311</v>
      </c>
      <c r="AO47" s="22">
        <f>((Data!$AJ$49*'Activity data'!AO41)+Data!$AK$49)</f>
        <v>415890.7579918601</v>
      </c>
      <c r="AP47" s="22">
        <f>((Data!$AJ$49*'Activity data'!AP41)+Data!$AK$49)</f>
        <v>415786.76575361373</v>
      </c>
      <c r="AQ47" s="22">
        <f>((Data!$AJ$49*'Activity data'!AQ41)+Data!$AK$49)</f>
        <v>415690.5045497556</v>
      </c>
      <c r="AR47" s="22">
        <f>((Data!$AJ$49*'Activity data'!AR41)+Data!$AK$49)</f>
        <v>415601.96399890346</v>
      </c>
      <c r="AS47" s="22">
        <f>((Data!$AJ$49*'Activity data'!AS41)+Data!$AK$49)</f>
        <v>415521.07690078672</v>
      </c>
      <c r="AT47" s="22">
        <f>((Data!$AJ$49*'Activity data'!AT41)+Data!$AK$49)</f>
        <v>415447.91348312696</v>
      </c>
      <c r="AU47" s="22">
        <f>((Data!$AJ$49*'Activity data'!AU41)+Data!$AK$49)</f>
        <v>415382.53247594816</v>
      </c>
      <c r="AV47" s="22">
        <f>((Data!$AJ$49*'Activity data'!AV41)+Data!$AK$49)</f>
        <v>415324.99141457619</v>
      </c>
      <c r="AW47" s="22">
        <f>((Data!$AJ$49*'Activity data'!AW41)+Data!$AK$49)</f>
        <v>415275.34414072405</v>
      </c>
      <c r="AX47" s="22">
        <f>((Data!$AJ$49*'Activity data'!AX41)+Data!$AK$49)</f>
        <v>415233.6355693533</v>
      </c>
      <c r="AY47" s="22">
        <f>((Data!$AJ$49*'Activity data'!AY41)+Data!$AK$49)</f>
        <v>415199.90994663164</v>
      </c>
      <c r="AZ47" s="22">
        <f>((Data!$AJ$49*'Activity data'!AZ41)+Data!$AK$49)</f>
        <v>415174.20414318284</v>
      </c>
      <c r="BA47" s="22">
        <f>((Data!$AJ$49*'Activity data'!BA41)+Data!$AK$49)</f>
        <v>415156.5476718439</v>
      </c>
      <c r="BB47" s="22">
        <f>((Data!$AJ$49*'Activity data'!BB41)+Data!$AK$49)</f>
        <v>415146.97050800058</v>
      </c>
      <c r="BC47" s="22">
        <f>((Data!$AJ$49*'Activity data'!BC41)+Data!$AK$49)</f>
        <v>415145.49981866759</v>
      </c>
      <c r="BD47" s="22">
        <f>((Data!$AJ$49*'Activity data'!BD41)+Data!$AK$49)</f>
        <v>427450.35530111392</v>
      </c>
      <c r="BE47" s="22">
        <f>((Data!$AJ$49*'Activity data'!BE41)+Data!$AK$49)</f>
        <v>427460.78616220289</v>
      </c>
      <c r="BF47" s="22">
        <f>((Data!$AJ$49*'Activity data'!BF41)+Data!$AK$49)</f>
        <v>427470.97943842737</v>
      </c>
      <c r="BG47" s="22">
        <f>((Data!$AJ$49*'Activity data'!BG41)+Data!$AK$49)</f>
        <v>427480.94904033357</v>
      </c>
      <c r="BH47" s="22">
        <f>((Data!$AJ$49*'Activity data'!BH41)+Data!$AK$49)</f>
        <v>427490.71139185212</v>
      </c>
      <c r="BI47" s="22">
        <f>((Data!$AJ$49*'Activity data'!BI41)+Data!$AK$49)</f>
        <v>427500.22497651418</v>
      </c>
      <c r="BJ47" s="22">
        <f>((Data!$AJ$49*'Activity data'!BJ41)+Data!$AK$49)</f>
        <v>427509.46176357614</v>
      </c>
      <c r="BK47" s="22">
        <f>((Data!$AJ$49*'Activity data'!BK41)+Data!$AK$49)</f>
        <v>427518.41819967801</v>
      </c>
      <c r="BL47" s="22">
        <f>((Data!$AJ$49*'Activity data'!BL41)+Data!$AK$49)</f>
        <v>427527.06098625081</v>
      </c>
      <c r="BM47" s="22">
        <f>((Data!$AJ$49*'Activity data'!BM41)+Data!$AK$49)</f>
        <v>427535.35305404448</v>
      </c>
      <c r="BN47" s="22">
        <f>((Data!$AJ$49*'Activity data'!BN41)+Data!$AK$49)</f>
        <v>427543.28950687108</v>
      </c>
      <c r="BO47" s="22">
        <f>((Data!$AJ$49*'Activity data'!BO41)+Data!$AK$49)</f>
        <v>427550.87533144199</v>
      </c>
      <c r="BP47" s="22">
        <f>((Data!$AJ$49*'Activity data'!BP41)+Data!$AK$49)</f>
        <v>427558.11391884944</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2773.4973600944859</v>
      </c>
      <c r="AN48" s="22">
        <f t="shared" ref="AN48:BP48" si="19">AN47*0.05*0.33*0.8*0.5</f>
        <v>2772.3525894785371</v>
      </c>
      <c r="AO48" s="22">
        <f t="shared" si="19"/>
        <v>2744.8790027462774</v>
      </c>
      <c r="AP48" s="22">
        <f t="shared" si="19"/>
        <v>2744.1926539738506</v>
      </c>
      <c r="AQ48" s="22">
        <f t="shared" si="19"/>
        <v>2743.5573300283877</v>
      </c>
      <c r="AR48" s="22">
        <f t="shared" si="19"/>
        <v>2742.9729623927633</v>
      </c>
      <c r="AS48" s="22">
        <f t="shared" si="19"/>
        <v>2742.4391075451927</v>
      </c>
      <c r="AT48" s="22">
        <f t="shared" si="19"/>
        <v>2741.956228988638</v>
      </c>
      <c r="AU48" s="22">
        <f t="shared" si="19"/>
        <v>2741.524714341258</v>
      </c>
      <c r="AV48" s="22">
        <f t="shared" si="19"/>
        <v>2741.1449433362031</v>
      </c>
      <c r="AW48" s="22">
        <f t="shared" si="19"/>
        <v>2740.817271328779</v>
      </c>
      <c r="AX48" s="22">
        <f t="shared" si="19"/>
        <v>2740.5419947577325</v>
      </c>
      <c r="AY48" s="22">
        <f t="shared" si="19"/>
        <v>2740.3194056477696</v>
      </c>
      <c r="AZ48" s="22">
        <f t="shared" si="19"/>
        <v>2740.1497473450072</v>
      </c>
      <c r="BA48" s="22">
        <f t="shared" si="19"/>
        <v>2740.0332146341702</v>
      </c>
      <c r="BB48" s="22">
        <f t="shared" si="19"/>
        <v>2739.9700053528045</v>
      </c>
      <c r="BC48" s="22">
        <f t="shared" si="19"/>
        <v>2739.9602988032066</v>
      </c>
      <c r="BD48" s="22">
        <f t="shared" si="19"/>
        <v>2821.1723449873525</v>
      </c>
      <c r="BE48" s="22">
        <f t="shared" si="19"/>
        <v>2821.2411886705395</v>
      </c>
      <c r="BF48" s="22">
        <f t="shared" si="19"/>
        <v>2821.308464293621</v>
      </c>
      <c r="BG48" s="22">
        <f t="shared" si="19"/>
        <v>2821.3742636662018</v>
      </c>
      <c r="BH48" s="22">
        <f t="shared" si="19"/>
        <v>2821.4386951862248</v>
      </c>
      <c r="BI48" s="22">
        <f t="shared" si="19"/>
        <v>2821.5014848449941</v>
      </c>
      <c r="BJ48" s="22">
        <f t="shared" si="19"/>
        <v>2821.5624476396029</v>
      </c>
      <c r="BK48" s="22">
        <f t="shared" si="19"/>
        <v>2821.6215601178756</v>
      </c>
      <c r="BL48" s="22">
        <f t="shared" si="19"/>
        <v>2821.6786025092561</v>
      </c>
      <c r="BM48" s="22">
        <f t="shared" si="19"/>
        <v>2821.7333301566941</v>
      </c>
      <c r="BN48" s="22">
        <f t="shared" si="19"/>
        <v>2821.7857107453492</v>
      </c>
      <c r="BO48" s="22">
        <f t="shared" si="19"/>
        <v>2821.8357771875176</v>
      </c>
      <c r="BP48" s="22">
        <f t="shared" si="19"/>
        <v>2821.8835518644069</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20765840.779266842</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20329471.467798639</v>
      </c>
      <c r="AM50" s="22">
        <f>((AM5*Constants!$H63*Constants!$H81*(1-Constants!$H99))+(AM5*Constants!$H63*Constants!$H115))</f>
        <v>20679268.815322887</v>
      </c>
      <c r="AN50" s="22">
        <f>((AN5*Constants!$H63*Constants!$H81*(1-Constants!$H99))+(AN5*Constants!$H63*Constants!$H115))</f>
        <v>35580335.763395853</v>
      </c>
      <c r="AO50" s="22">
        <f>((AO5*Constants!$H63*Constants!$H81*(1-Constants!$H99))+(AO5*Constants!$H63*Constants!$H115))</f>
        <v>36009240.103814177</v>
      </c>
      <c r="AP50" s="22">
        <f>((AP5*Constants!$H63*Constants!$H81*(1-Constants!$H99))+(AP5*Constants!$H63*Constants!$H115))</f>
        <v>36419331.650464512</v>
      </c>
      <c r="AQ50" s="22">
        <f>((AQ5*Constants!$H63*Constants!$H81*(1-Constants!$H99))+(AQ5*Constants!$H63*Constants!$H115))</f>
        <v>36803634.836653389</v>
      </c>
      <c r="AR50" s="22">
        <f>((AR5*Constants!$H63*Constants!$H81*(1-Constants!$H99))+(AR5*Constants!$H63*Constants!$H115))</f>
        <v>37151886.755777255</v>
      </c>
      <c r="AS50" s="22">
        <f>((AS5*Constants!$H63*Constants!$H81*(1-Constants!$H99))+(AS5*Constants!$H63*Constants!$H115))</f>
        <v>37462461.063535869</v>
      </c>
      <c r="AT50" s="22">
        <f>((AT5*Constants!$H63*Constants!$H81*(1-Constants!$H99))+(AT5*Constants!$H63*Constants!$H115))</f>
        <v>37733548.500653714</v>
      </c>
      <c r="AU50" s="22">
        <f>((AU5*Constants!$H63*Constants!$H81*(1-Constants!$H99))+(AU5*Constants!$H63*Constants!$H115))</f>
        <v>37963779.724838428</v>
      </c>
      <c r="AV50" s="22">
        <f>((AV5*Constants!$H63*Constants!$H81*(1-Constants!$H99))+(AV5*Constants!$H63*Constants!$H115))</f>
        <v>38152068.750483029</v>
      </c>
      <c r="AW50" s="22">
        <f>((AW5*Constants!$H63*Constants!$H81*(1-Constants!$H99))+(AW5*Constants!$H63*Constants!$H115))</f>
        <v>38297273.962660141</v>
      </c>
      <c r="AX50" s="22">
        <f>((AX5*Constants!$H63*Constants!$H81*(1-Constants!$H99))+(AX5*Constants!$H63*Constants!$H115))</f>
        <v>38398711.921103403</v>
      </c>
      <c r="AY50" s="22">
        <f>((AY5*Constants!$H63*Constants!$H81*(1-Constants!$H99))+(AY5*Constants!$H63*Constants!$H115))</f>
        <v>38455727.05504597</v>
      </c>
      <c r="AZ50" s="22">
        <f>((AZ5*Constants!$H63*Constants!$H81*(1-Constants!$H99))+(AZ5*Constants!$H63*Constants!$H115))</f>
        <v>38467686.001884595</v>
      </c>
      <c r="BA50" s="22">
        <f>((BA5*Constants!$H63*Constants!$H81*(1-Constants!$H99))+(BA5*Constants!$H63*Constants!$H115))</f>
        <v>38434473.09744066</v>
      </c>
      <c r="BB50" s="22">
        <f>((BB5*Constants!$H63*Constants!$H81*(1-Constants!$H99))+(BB5*Constants!$H63*Constants!$H115))</f>
        <v>38356277.425729178</v>
      </c>
      <c r="BC50" s="22">
        <f>((BC5*Constants!$H63*Constants!$H81*(1-Constants!$H99))+(BC5*Constants!$H63*Constants!$H115))</f>
        <v>12135262.90524522</v>
      </c>
      <c r="BD50" s="22">
        <f>((BD5*Constants!$H63*Constants!$H81*(1-Constants!$H99))+(BD5*Constants!$H63*Constants!$H115))</f>
        <v>12144121.443514019</v>
      </c>
      <c r="BE50" s="22">
        <f>((BE5*Constants!$H63*Constants!$H81*(1-Constants!$H99))+(BE5*Constants!$H63*Constants!$H115))</f>
        <v>12152342.28571563</v>
      </c>
      <c r="BF50" s="22">
        <f>((BF5*Constants!$H63*Constants!$H81*(1-Constants!$H99))+(BF5*Constants!$H63*Constants!$H115))</f>
        <v>12159981.043016033</v>
      </c>
      <c r="BG50" s="22">
        <f>((BG5*Constants!$H63*Constants!$H81*(1-Constants!$H99))+(BG5*Constants!$H63*Constants!$H115))</f>
        <v>12167106.216716893</v>
      </c>
      <c r="BH50" s="22">
        <f>((BH5*Constants!$H63*Constants!$H81*(1-Constants!$H99))+(BH5*Constants!$H63*Constants!$H115))</f>
        <v>12173494.182228861</v>
      </c>
      <c r="BI50" s="22">
        <f>((BI5*Constants!$H63*Constants!$H81*(1-Constants!$H99))+(BI5*Constants!$H63*Constants!$H115))</f>
        <v>12178994.767031802</v>
      </c>
      <c r="BJ50" s="22">
        <f>((BJ5*Constants!$H63*Constants!$H81*(1-Constants!$H99))+(BJ5*Constants!$H63*Constants!$H115))</f>
        <v>12183583.889192184</v>
      </c>
      <c r="BK50" s="22">
        <f>((BK5*Constants!$H63*Constants!$H81*(1-Constants!$H99))+(BK5*Constants!$H63*Constants!$H115))</f>
        <v>12187091.156778457</v>
      </c>
      <c r="BL50" s="22">
        <f>((BL5*Constants!$H63*Constants!$H81*(1-Constants!$H99))+(BL5*Constants!$H63*Constants!$H115))</f>
        <v>12189331.577433044</v>
      </c>
      <c r="BM50" s="22">
        <f>((BM5*Constants!$H63*Constants!$H81*(1-Constants!$H99))+(BM5*Constants!$H63*Constants!$H115))</f>
        <v>12190282.302019646</v>
      </c>
      <c r="BN50" s="22">
        <f>((BN5*Constants!$H63*Constants!$H81*(1-Constants!$H99))+(BN5*Constants!$H63*Constants!$H115))</f>
        <v>12189969.606439846</v>
      </c>
      <c r="BO50" s="22">
        <f>((BO5*Constants!$H63*Constants!$H81*(1-Constants!$H99))+(BO5*Constants!$H63*Constants!$H115))</f>
        <v>12188411.815103695</v>
      </c>
      <c r="BP50" s="22">
        <f>((BP5*Constants!$H63*Constants!$H81*(1-Constants!$H99))+(BP5*Constants!$H63*Constants!$H115))</f>
        <v>12185434.932784775</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60718711.330740973</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59442780.221653096</v>
      </c>
      <c r="AM51" s="22">
        <f>((AM6*Constants!$H64*Constants!$H82*(1-Constants!$H100))+(AM6*Constants!$H64*Constants!$H116))</f>
        <v>60465577.439177245</v>
      </c>
      <c r="AN51" s="22">
        <f>((AN6*Constants!$H64*Constants!$H82*(1-Constants!$H100))+(AN6*Constants!$H64*Constants!$H116))</f>
        <v>104035861.54938948</v>
      </c>
      <c r="AO51" s="22">
        <f>((AO6*Constants!$H64*Constants!$H82*(1-Constants!$H100))+(AO6*Constants!$H64*Constants!$H116))</f>
        <v>105289965.30137256</v>
      </c>
      <c r="AP51" s="22">
        <f>((AP6*Constants!$H64*Constants!$H82*(1-Constants!$H100))+(AP6*Constants!$H64*Constants!$H116))</f>
        <v>106489060.99438682</v>
      </c>
      <c r="AQ51" s="22">
        <f>((AQ6*Constants!$H64*Constants!$H82*(1-Constants!$H100))+(AQ6*Constants!$H64*Constants!$H116))</f>
        <v>107612752.27535744</v>
      </c>
      <c r="AR51" s="22">
        <f>((AR6*Constants!$H64*Constants!$H82*(1-Constants!$H100))+(AR6*Constants!$H64*Constants!$H116))</f>
        <v>108631030.70542087</v>
      </c>
      <c r="AS51" s="22">
        <f>((AS6*Constants!$H64*Constants!$H82*(1-Constants!$H100))+(AS6*Constants!$H64*Constants!$H116))</f>
        <v>109539140.90139078</v>
      </c>
      <c r="AT51" s="22">
        <f>((AT6*Constants!$H64*Constants!$H82*(1-Constants!$H100))+(AT6*Constants!$H64*Constants!$H116))</f>
        <v>110331792.64204088</v>
      </c>
      <c r="AU51" s="22">
        <f>((AU6*Constants!$H64*Constants!$H82*(1-Constants!$H100))+(AU6*Constants!$H64*Constants!$H116))</f>
        <v>111004982.01054224</v>
      </c>
      <c r="AV51" s="22">
        <f>((AV6*Constants!$H64*Constants!$H82*(1-Constants!$H100))+(AV6*Constants!$H64*Constants!$H116))</f>
        <v>111555533.61672983</v>
      </c>
      <c r="AW51" s="22">
        <f>((AW6*Constants!$H64*Constants!$H82*(1-Constants!$H100))+(AW6*Constants!$H64*Constants!$H116))</f>
        <v>111980109.41193213</v>
      </c>
      <c r="AX51" s="22">
        <f>((AX6*Constants!$H64*Constants!$H82*(1-Constants!$H100))+(AX6*Constants!$H64*Constants!$H116))</f>
        <v>112276711.03679121</v>
      </c>
      <c r="AY51" s="22">
        <f>((AY6*Constants!$H64*Constants!$H82*(1-Constants!$H100))+(AY6*Constants!$H64*Constants!$H116))</f>
        <v>112443421.6215511</v>
      </c>
      <c r="AZ51" s="22">
        <f>((AZ6*Constants!$H64*Constants!$H82*(1-Constants!$H100))+(AZ6*Constants!$H64*Constants!$H116))</f>
        <v>112478389.2324768</v>
      </c>
      <c r="BA51" s="22">
        <f>((BA6*Constants!$H64*Constants!$H82*(1-Constants!$H100))+(BA6*Constants!$H64*Constants!$H116))</f>
        <v>112381275.67089155</v>
      </c>
      <c r="BB51" s="22">
        <f>((BB6*Constants!$H64*Constants!$H82*(1-Constants!$H100))+(BB6*Constants!$H64*Constants!$H116))</f>
        <v>112152633.81292722</v>
      </c>
      <c r="BC51" s="22">
        <f>((BC6*Constants!$H64*Constants!$H82*(1-Constants!$H100))+(BC6*Constants!$H64*Constants!$H116))</f>
        <v>35483153.94972647</v>
      </c>
      <c r="BD51" s="22">
        <f>((BD6*Constants!$H64*Constants!$H82*(1-Constants!$H100))+(BD6*Constants!$H64*Constants!$H116))</f>
        <v>35509056.056637183</v>
      </c>
      <c r="BE51" s="22">
        <f>((BE6*Constants!$H64*Constants!$H82*(1-Constants!$H100))+(BE6*Constants!$H64*Constants!$H116))</f>
        <v>35533093.558891073</v>
      </c>
      <c r="BF51" s="22">
        <f>((BF6*Constants!$H64*Constants!$H82*(1-Constants!$H100))+(BF6*Constants!$H64*Constants!$H116))</f>
        <v>35555429.061911575</v>
      </c>
      <c r="BG51" s="22">
        <f>((BG6*Constants!$H64*Constants!$H82*(1-Constants!$H100))+(BG6*Constants!$H64*Constants!$H116))</f>
        <v>35576262.861502096</v>
      </c>
      <c r="BH51" s="22">
        <f>((BH6*Constants!$H64*Constants!$H82*(1-Constants!$H100))+(BH6*Constants!$H64*Constants!$H116))</f>
        <v>35594941.085901245</v>
      </c>
      <c r="BI51" s="22">
        <f>((BI6*Constants!$H64*Constants!$H82*(1-Constants!$H100))+(BI6*Constants!$H64*Constants!$H116))</f>
        <v>35611024.635050535</v>
      </c>
      <c r="BJ51" s="22">
        <f>((BJ6*Constants!$H64*Constants!$H82*(1-Constants!$H100))+(BJ6*Constants!$H64*Constants!$H116))</f>
        <v>35624443.094080426</v>
      </c>
      <c r="BK51" s="22">
        <f>((BK6*Constants!$H64*Constants!$H82*(1-Constants!$H100))+(BK6*Constants!$H64*Constants!$H116))</f>
        <v>35634698.241964594</v>
      </c>
      <c r="BL51" s="22">
        <f>((BL6*Constants!$H64*Constants!$H82*(1-Constants!$H100))+(BL6*Constants!$H64*Constants!$H116))</f>
        <v>35641249.166457929</v>
      </c>
      <c r="BM51" s="22">
        <f>((BM6*Constants!$H64*Constants!$H82*(1-Constants!$H100))+(BM6*Constants!$H64*Constants!$H116))</f>
        <v>35644029.057353869</v>
      </c>
      <c r="BN51" s="22">
        <f>((BN6*Constants!$H64*Constants!$H82*(1-Constants!$H100))+(BN6*Constants!$H64*Constants!$H116))</f>
        <v>35643114.744620472</v>
      </c>
      <c r="BO51" s="22">
        <f>((BO6*Constants!$H64*Constants!$H82*(1-Constants!$H100))+(BO6*Constants!$H64*Constants!$H116))</f>
        <v>35638559.808296978</v>
      </c>
      <c r="BP51" s="22">
        <f>((BP6*Constants!$H64*Constants!$H82*(1-Constants!$H100))+(BP6*Constants!$H64*Constants!$H116))</f>
        <v>35629855.491428249</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3248108.7006967533</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3179853.58055194</v>
      </c>
      <c r="AM52" s="22">
        <f>((AM7*Constants!$H65*Constants!$H83*(1-Constants!$H101))+(AM7*Constants!$H65*Constants!$H117))</f>
        <v>3234567.4647645419</v>
      </c>
      <c r="AN52" s="22">
        <f>((AN7*Constants!$H65*Constants!$H83*(1-Constants!$H101))+(AN7*Constants!$H65*Constants!$H117))</f>
        <v>5565331.9986053631</v>
      </c>
      <c r="AO52" s="22">
        <f>((AO7*Constants!$H65*Constants!$H83*(1-Constants!$H101))+(AO7*Constants!$H65*Constants!$H117))</f>
        <v>5632419.4782161238</v>
      </c>
      <c r="AP52" s="22">
        <f>((AP7*Constants!$H65*Constants!$H83*(1-Constants!$H101))+(AP7*Constants!$H65*Constants!$H117))</f>
        <v>5696564.33682869</v>
      </c>
      <c r="AQ52" s="22">
        <f>((AQ7*Constants!$H65*Constants!$H83*(1-Constants!$H101))+(AQ7*Constants!$H65*Constants!$H117))</f>
        <v>5756675.4845560584</v>
      </c>
      <c r="AR52" s="22">
        <f>((AR7*Constants!$H65*Constants!$H83*(1-Constants!$H101))+(AR7*Constants!$H65*Constants!$H117))</f>
        <v>5811147.6391181797</v>
      </c>
      <c r="AS52" s="22">
        <f>((AS7*Constants!$H65*Constants!$H83*(1-Constants!$H101))+(AS7*Constants!$H65*Constants!$H117))</f>
        <v>5859726.414327262</v>
      </c>
      <c r="AT52" s="22">
        <f>((AT7*Constants!$H65*Constants!$H83*(1-Constants!$H101))+(AT7*Constants!$H65*Constants!$H117))</f>
        <v>5902128.8131760117</v>
      </c>
      <c r="AU52" s="22">
        <f>((AU7*Constants!$H65*Constants!$H83*(1-Constants!$H101))+(AU7*Constants!$H65*Constants!$H117))</f>
        <v>5938140.6486897003</v>
      </c>
      <c r="AV52" s="22">
        <f>((AV7*Constants!$H65*Constants!$H83*(1-Constants!$H101))+(AV7*Constants!$H65*Constants!$H117))</f>
        <v>5967592.055398576</v>
      </c>
      <c r="AW52" s="22">
        <f>((AW7*Constants!$H65*Constants!$H83*(1-Constants!$H101))+(AW7*Constants!$H65*Constants!$H117))</f>
        <v>5990304.4665199164</v>
      </c>
      <c r="AX52" s="22">
        <f>((AX7*Constants!$H65*Constants!$H83*(1-Constants!$H101))+(AX7*Constants!$H65*Constants!$H117))</f>
        <v>6006170.9810955944</v>
      </c>
      <c r="AY52" s="22">
        <f>((AY7*Constants!$H65*Constants!$H83*(1-Constants!$H101))+(AY7*Constants!$H65*Constants!$H117))</f>
        <v>6015089.0574017148</v>
      </c>
      <c r="AZ52" s="22">
        <f>((AZ7*Constants!$H65*Constants!$H83*(1-Constants!$H101))+(AZ7*Constants!$H65*Constants!$H117))</f>
        <v>6016959.6274253726</v>
      </c>
      <c r="BA52" s="22">
        <f>((BA7*Constants!$H65*Constants!$H83*(1-Constants!$H101))+(BA7*Constants!$H65*Constants!$H117))</f>
        <v>6011764.5994442534</v>
      </c>
      <c r="BB52" s="22">
        <f>((BB7*Constants!$H65*Constants!$H83*(1-Constants!$H101))+(BB7*Constants!$H65*Constants!$H117))</f>
        <v>5999533.5492140837</v>
      </c>
      <c r="BC52" s="22">
        <f>((BC7*Constants!$H65*Constants!$H83*(1-Constants!$H101))+(BC7*Constants!$H65*Constants!$H117))</f>
        <v>1898148.6686117789</v>
      </c>
      <c r="BD52" s="22">
        <f>((BD7*Constants!$H65*Constants!$H83*(1-Constants!$H101))+(BD7*Constants!$H65*Constants!$H117))</f>
        <v>1899534.2852854398</v>
      </c>
      <c r="BE52" s="22">
        <f>((BE7*Constants!$H65*Constants!$H83*(1-Constants!$H101))+(BE7*Constants!$H65*Constants!$H117))</f>
        <v>1900820.1561233196</v>
      </c>
      <c r="BF52" s="22">
        <f>((BF7*Constants!$H65*Constants!$H83*(1-Constants!$H101))+(BF7*Constants!$H65*Constants!$H117))</f>
        <v>1902014.979598742</v>
      </c>
      <c r="BG52" s="22">
        <f>((BG7*Constants!$H65*Constants!$H83*(1-Constants!$H101))+(BG7*Constants!$H65*Constants!$H117))</f>
        <v>1903129.4704078427</v>
      </c>
      <c r="BH52" s="22">
        <f>((BH7*Constants!$H65*Constants!$H83*(1-Constants!$H101))+(BH7*Constants!$H65*Constants!$H117))</f>
        <v>1904128.6500981681</v>
      </c>
      <c r="BI52" s="22">
        <f>((BI7*Constants!$H65*Constants!$H83*(1-Constants!$H101))+(BI7*Constants!$H65*Constants!$H117))</f>
        <v>1904989.0292924065</v>
      </c>
      <c r="BJ52" s="22">
        <f>((BJ7*Constants!$H65*Constants!$H83*(1-Constants!$H101))+(BJ7*Constants!$H65*Constants!$H117))</f>
        <v>1905706.8411920613</v>
      </c>
      <c r="BK52" s="22">
        <f>((BK7*Constants!$H65*Constants!$H83*(1-Constants!$H101))+(BK7*Constants!$H65*Constants!$H117))</f>
        <v>1906255.4337813878</v>
      </c>
      <c r="BL52" s="22">
        <f>((BL7*Constants!$H65*Constants!$H83*(1-Constants!$H101))+(BL7*Constants!$H65*Constants!$H117))</f>
        <v>1906605.8713051435</v>
      </c>
      <c r="BM52" s="22">
        <f>((BM7*Constants!$H65*Constants!$H83*(1-Constants!$H101))+(BM7*Constants!$H65*Constants!$H117))</f>
        <v>1906754.5797939803</v>
      </c>
      <c r="BN52" s="22">
        <f>((BN7*Constants!$H65*Constants!$H83*(1-Constants!$H101))+(BN7*Constants!$H65*Constants!$H117))</f>
        <v>1906705.6692179912</v>
      </c>
      <c r="BO52" s="22">
        <f>((BO7*Constants!$H65*Constants!$H83*(1-Constants!$H101))+(BO7*Constants!$H65*Constants!$H117))</f>
        <v>1906462.0058071706</v>
      </c>
      <c r="BP52" s="22">
        <f>((BP7*Constants!$H65*Constants!$H83*(1-Constants!$H101))+(BP7*Constants!$H65*Constants!$H117))</f>
        <v>1905996.3739329877</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25454532.089860555</v>
      </c>
      <c r="AE53" s="22">
        <f>((AE8*Constants!$H66*Constants!$H84*(1-Constants!$H102))+(AE8*Constants!$H66*Constants!$H118))</f>
        <v>25233773.06215195</v>
      </c>
      <c r="AF53" s="22">
        <f>((AF8*Constants!$H66*Constants!$H84*(1-Constants!$H102))+(AF8*Constants!$H66*Constants!$H118))</f>
        <v>25149736.783242285</v>
      </c>
      <c r="AG53" s="22">
        <f>((AG8*Constants!$H66*Constants!$H84*(1-Constants!$H102))+(AG8*Constants!$H66*Constants!$H118))</f>
        <v>24813894.968798298</v>
      </c>
      <c r="AH53" s="22">
        <f>((AH8*Constants!$H66*Constants!$H84*(1-Constants!$H102))+(AH8*Constants!$H66*Constants!$H118))</f>
        <v>24326412.373308245</v>
      </c>
      <c r="AI53" s="22">
        <f>((AI8*Constants!$H66*Constants!$H84*(1-Constants!$H102))+(AI8*Constants!$H66*Constants!$H118))</f>
        <v>23697369.373689067</v>
      </c>
      <c r="AJ53" s="22">
        <f>((AJ8*Constants!$H66*Constants!$H84*(1-Constants!$H102))+(AJ8*Constants!$H66*Constants!$H118))</f>
        <v>23201224.762306098</v>
      </c>
      <c r="AK53" s="22">
        <f>((AK8*Constants!$H66*Constants!$H84*(1-Constants!$H102))+(AK8*Constants!$H66*Constants!$H118))</f>
        <v>22731815.556191601</v>
      </c>
      <c r="AL53" s="22">
        <f>((AL8*Constants!$H66*Constants!$H84*(1-Constants!$H102))+(AL8*Constants!$H66*Constants!$H118))</f>
        <v>20329488.947331246</v>
      </c>
      <c r="AM53" s="22">
        <f>((AM8*Constants!$H66*Constants!$H84*(1-Constants!$H102))+(AM8*Constants!$H66*Constants!$H118))</f>
        <v>21112722.377633486</v>
      </c>
      <c r="AN53" s="22">
        <f>((AN8*Constants!$H66*Constants!$H84*(1-Constants!$H102))+(AN8*Constants!$H66*Constants!$H118))</f>
        <v>66540875.118830226</v>
      </c>
      <c r="AO53" s="22">
        <f>((AO8*Constants!$H66*Constants!$H84*(1-Constants!$H102))+(AO8*Constants!$H66*Constants!$H118))</f>
        <v>66861826.993031003</v>
      </c>
      <c r="AP53" s="22">
        <f>((AP8*Constants!$H66*Constants!$H84*(1-Constants!$H102))+(AP8*Constants!$H66*Constants!$H118))</f>
        <v>67067235.399050757</v>
      </c>
      <c r="AQ53" s="22">
        <f>((AQ8*Constants!$H66*Constants!$H84*(1-Constants!$H102))+(AQ8*Constants!$H66*Constants!$H118))</f>
        <v>67157058.499140531</v>
      </c>
      <c r="AR53" s="22">
        <f>((AR8*Constants!$H66*Constants!$H84*(1-Constants!$H102))+(AR8*Constants!$H66*Constants!$H118))</f>
        <v>67133199.0862142</v>
      </c>
      <c r="AS53" s="22">
        <f>((AS8*Constants!$H66*Constants!$H84*(1-Constants!$H102))+(AS8*Constants!$H66*Constants!$H118))</f>
        <v>66994513.520509303</v>
      </c>
      <c r="AT53" s="22">
        <f>((AT8*Constants!$H66*Constants!$H84*(1-Constants!$H102))+(AT8*Constants!$H66*Constants!$H118))</f>
        <v>66740662.080217086</v>
      </c>
      <c r="AU53" s="22">
        <f>((AU8*Constants!$H66*Constants!$H84*(1-Constants!$H102))+(AU8*Constants!$H66*Constants!$H118))</f>
        <v>66371854.803834781</v>
      </c>
      <c r="AV53" s="22">
        <f>((AV8*Constants!$H66*Constants!$H84*(1-Constants!$H102))+(AV8*Constants!$H66*Constants!$H118))</f>
        <v>65888920.992208101</v>
      </c>
      <c r="AW53" s="22">
        <f>((AW8*Constants!$H66*Constants!$H84*(1-Constants!$H102))+(AW8*Constants!$H66*Constants!$H118))</f>
        <v>64744753.703526363</v>
      </c>
      <c r="AX53" s="22">
        <f>((AX8*Constants!$H66*Constants!$H84*(1-Constants!$H102))+(AX8*Constants!$H66*Constants!$H118))</f>
        <v>63492813.093257479</v>
      </c>
      <c r="AY53" s="22">
        <f>((AY8*Constants!$H66*Constants!$H84*(1-Constants!$H102))+(AY8*Constants!$H66*Constants!$H118))</f>
        <v>62138724.379083931</v>
      </c>
      <c r="AZ53" s="22">
        <f>((AZ8*Constants!$H66*Constants!$H84*(1-Constants!$H102))+(AZ8*Constants!$H66*Constants!$H118))</f>
        <v>60688751.963412941</v>
      </c>
      <c r="BA53" s="22">
        <f>((BA8*Constants!$H66*Constants!$H84*(1-Constants!$H102))+(BA8*Constants!$H66*Constants!$H118))</f>
        <v>59149564.837147377</v>
      </c>
      <c r="BB53" s="22">
        <f>((BB8*Constants!$H66*Constants!$H84*(1-Constants!$H102))+(BB8*Constants!$H66*Constants!$H118))</f>
        <v>57528264.520642482</v>
      </c>
      <c r="BC53" s="22">
        <f>((BC8*Constants!$H66*Constants!$H84*(1-Constants!$H102))+(BC8*Constants!$H66*Constants!$H118))</f>
        <v>-4441940.9846922345</v>
      </c>
      <c r="BD53" s="22">
        <f>((BD8*Constants!$H66*Constants!$H84*(1-Constants!$H102))+(BD8*Constants!$H66*Constants!$H118))</f>
        <v>-4334991.8820352918</v>
      </c>
      <c r="BE53" s="22">
        <f>((BE8*Constants!$H66*Constants!$H84*(1-Constants!$H102))+(BE8*Constants!$H66*Constants!$H118))</f>
        <v>-4229155.5302134631</v>
      </c>
      <c r="BF53" s="22">
        <f>((BF8*Constants!$H66*Constants!$H84*(1-Constants!$H102))+(BF8*Constants!$H66*Constants!$H118))</f>
        <v>-4124420.9982837993</v>
      </c>
      <c r="BG53" s="22">
        <f>((BG8*Constants!$H66*Constants!$H84*(1-Constants!$H102))+(BG8*Constants!$H66*Constants!$H118))</f>
        <v>-4041295.9667545184</v>
      </c>
      <c r="BH53" s="22">
        <f>((BH8*Constants!$H66*Constants!$H84*(1-Constants!$H102))+(BH8*Constants!$H66*Constants!$H118))</f>
        <v>-3958959.4670633124</v>
      </c>
      <c r="BI53" s="22">
        <f>((BI8*Constants!$H66*Constants!$H84*(1-Constants!$H102))+(BI8*Constants!$H66*Constants!$H118))</f>
        <v>-3877350.2596306191</v>
      </c>
      <c r="BJ53" s="22">
        <f>((BJ8*Constants!$H66*Constants!$H84*(1-Constants!$H102))+(BJ8*Constants!$H66*Constants!$H118))</f>
        <v>-3796448.1293412079</v>
      </c>
      <c r="BK53" s="22">
        <f>((BK8*Constants!$H66*Constants!$H84*(1-Constants!$H102))+(BK8*Constants!$H66*Constants!$H118))</f>
        <v>-3716193.9286256437</v>
      </c>
      <c r="BL53" s="22">
        <f>((BL8*Constants!$H66*Constants!$H84*(1-Constants!$H102))+(BL8*Constants!$H66*Constants!$H118))</f>
        <v>-3636529.7342950441</v>
      </c>
      <c r="BM53" s="22">
        <f>((BM8*Constants!$H66*Constants!$H84*(1-Constants!$H102))+(BM8*Constants!$H66*Constants!$H118))</f>
        <v>-3557446.2435461381</v>
      </c>
      <c r="BN53" s="22">
        <f>((BN8*Constants!$H66*Constants!$H84*(1-Constants!$H102))+(BN8*Constants!$H66*Constants!$H118))</f>
        <v>-3478948.3422586247</v>
      </c>
      <c r="BO53" s="22">
        <f>((BO8*Constants!$H66*Constants!$H84*(1-Constants!$H102))+(BO8*Constants!$H66*Constants!$H118))</f>
        <v>-3401039.0276618414</v>
      </c>
      <c r="BP53" s="22">
        <f>((BP8*Constants!$H66*Constants!$H84*(1-Constants!$H102))+(BP8*Constants!$H66*Constants!$H118))</f>
        <v>-3323673.5516407685</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169291745.38087153</v>
      </c>
      <c r="AE54" s="22">
        <f>((AE9*Constants!$H67*Constants!$H85*(1-Constants!$H103))+(AE9*Constants!$H67*Constants!$H119))</f>
        <v>167823532.13784513</v>
      </c>
      <c r="AF54" s="22">
        <f>((AF9*Constants!$H67*Constants!$H85*(1-Constants!$H103))+(AF9*Constants!$H67*Constants!$H119))</f>
        <v>167264627.80278578</v>
      </c>
      <c r="AG54" s="22">
        <f>((AG9*Constants!$H67*Constants!$H85*(1-Constants!$H103))+(AG9*Constants!$H67*Constants!$H119))</f>
        <v>165031027.64316043</v>
      </c>
      <c r="AH54" s="22">
        <f>((AH9*Constants!$H67*Constants!$H85*(1-Constants!$H103))+(AH9*Constants!$H67*Constants!$H119))</f>
        <v>161788902.46317402</v>
      </c>
      <c r="AI54" s="22">
        <f>((AI9*Constants!$H67*Constants!$H85*(1-Constants!$H103))+(AI9*Constants!$H67*Constants!$H119))</f>
        <v>157605294.33597654</v>
      </c>
      <c r="AJ54" s="22">
        <f>((AJ9*Constants!$H67*Constants!$H85*(1-Constants!$H103))+(AJ9*Constants!$H67*Constants!$H119))</f>
        <v>154305560.248317</v>
      </c>
      <c r="AK54" s="22">
        <f>((AK9*Constants!$H67*Constants!$H85*(1-Constants!$H103))+(AK9*Constants!$H67*Constants!$H119))</f>
        <v>151183636.67414027</v>
      </c>
      <c r="AL54" s="22">
        <f>((AL9*Constants!$H67*Constants!$H85*(1-Constants!$H103))+(AL9*Constants!$H67*Constants!$H119))</f>
        <v>135206361.4622781</v>
      </c>
      <c r="AM54" s="22">
        <f>((AM9*Constants!$H67*Constants!$H85*(1-Constants!$H103))+(AM9*Constants!$H67*Constants!$H119))</f>
        <v>140415451.69377092</v>
      </c>
      <c r="AN54" s="22">
        <f>((AN9*Constants!$H67*Constants!$H85*(1-Constants!$H103))+(AN9*Constants!$H67*Constants!$H119))</f>
        <v>442546767.24246508</v>
      </c>
      <c r="AO54" s="22">
        <f>((AO9*Constants!$H67*Constants!$H85*(1-Constants!$H103))+(AO9*Constants!$H67*Constants!$H119))</f>
        <v>444681338.1226092</v>
      </c>
      <c r="AP54" s="22">
        <f>((AP9*Constants!$H67*Constants!$H85*(1-Constants!$H103))+(AP9*Constants!$H67*Constants!$H119))</f>
        <v>446047458.20873874</v>
      </c>
      <c r="AQ54" s="22">
        <f>((AQ9*Constants!$H67*Constants!$H85*(1-Constants!$H103))+(AQ9*Constants!$H67*Constants!$H119))</f>
        <v>446644849.24841833</v>
      </c>
      <c r="AR54" s="22">
        <f>((AR9*Constants!$H67*Constants!$H85*(1-Constants!$H103))+(AR9*Constants!$H67*Constants!$H119))</f>
        <v>446486166.24282229</v>
      </c>
      <c r="AS54" s="22">
        <f>((AS9*Constants!$H67*Constants!$H85*(1-Constants!$H103))+(AS9*Constants!$H67*Constants!$H119))</f>
        <v>445563803.12907767</v>
      </c>
      <c r="AT54" s="22">
        <f>((AT9*Constants!$H67*Constants!$H85*(1-Constants!$H103))+(AT9*Constants!$H67*Constants!$H119))</f>
        <v>443875500.5021503</v>
      </c>
      <c r="AU54" s="22">
        <f>((AU9*Constants!$H67*Constants!$H85*(1-Constants!$H103))+(AU9*Constants!$H67*Constants!$H119))</f>
        <v>441422655.2757085</v>
      </c>
      <c r="AV54" s="22">
        <f>((AV9*Constants!$H67*Constants!$H85*(1-Constants!$H103))+(AV9*Constants!$H67*Constants!$H119))</f>
        <v>438210782.9228757</v>
      </c>
      <c r="AW54" s="22">
        <f>((AW9*Constants!$H67*Constants!$H85*(1-Constants!$H103))+(AW9*Constants!$H67*Constants!$H119))</f>
        <v>430601211.60469824</v>
      </c>
      <c r="AX54" s="22">
        <f>((AX9*Constants!$H67*Constants!$H85*(1-Constants!$H103))+(AX9*Constants!$H67*Constants!$H119))</f>
        <v>422274866.79987514</v>
      </c>
      <c r="AY54" s="22">
        <f>((AY9*Constants!$H67*Constants!$H85*(1-Constants!$H103))+(AY9*Constants!$H67*Constants!$H119))</f>
        <v>413269160.42846268</v>
      </c>
      <c r="AZ54" s="22">
        <f>((AZ9*Constants!$H67*Constants!$H85*(1-Constants!$H103))+(AZ9*Constants!$H67*Constants!$H119))</f>
        <v>403625755.46872902</v>
      </c>
      <c r="BA54" s="22">
        <f>((BA9*Constants!$H67*Constants!$H85*(1-Constants!$H103))+(BA9*Constants!$H67*Constants!$H119))</f>
        <v>393389005.71613544</v>
      </c>
      <c r="BB54" s="22">
        <f>((BB9*Constants!$H67*Constants!$H85*(1-Constants!$H103))+(BB9*Constants!$H67*Constants!$H119))</f>
        <v>382606141.61167181</v>
      </c>
      <c r="BC54" s="22">
        <f>((BC9*Constants!$H67*Constants!$H85*(1-Constants!$H103))+(BC9*Constants!$H67*Constants!$H119))</f>
        <v>-29542241.810719337</v>
      </c>
      <c r="BD54" s="22">
        <f>((BD9*Constants!$H67*Constants!$H85*(1-Constants!$H103))+(BD9*Constants!$H67*Constants!$H119))</f>
        <v>-28830949.998644587</v>
      </c>
      <c r="BE54" s="22">
        <f>((BE9*Constants!$H67*Constants!$H85*(1-Constants!$H103))+(BE9*Constants!$H67*Constants!$H119))</f>
        <v>-28127058.814889599</v>
      </c>
      <c r="BF54" s="22">
        <f>((BF9*Constants!$H67*Constants!$H85*(1-Constants!$H103))+(BF9*Constants!$H67*Constants!$H119))</f>
        <v>-27430495.560478639</v>
      </c>
      <c r="BG54" s="22">
        <f>((BG9*Constants!$H67*Constants!$H85*(1-Constants!$H103))+(BG9*Constants!$H67*Constants!$H119))</f>
        <v>-26877651.704510156</v>
      </c>
      <c r="BH54" s="22">
        <f>((BH9*Constants!$H67*Constants!$H85*(1-Constants!$H103))+(BH9*Constants!$H67*Constants!$H119))</f>
        <v>-26330052.17716201</v>
      </c>
      <c r="BI54" s="22">
        <f>((BI9*Constants!$H67*Constants!$H85*(1-Constants!$H103))+(BI9*Constants!$H67*Constants!$H119))</f>
        <v>-25787289.689261731</v>
      </c>
      <c r="BJ54" s="22">
        <f>((BJ9*Constants!$H67*Constants!$H85*(1-Constants!$H103))+(BJ9*Constants!$H67*Constants!$H119))</f>
        <v>-25249229.795118921</v>
      </c>
      <c r="BK54" s="22">
        <f>((BK9*Constants!$H67*Constants!$H85*(1-Constants!$H103))+(BK9*Constants!$H67*Constants!$H119))</f>
        <v>-24715479.118998788</v>
      </c>
      <c r="BL54" s="22">
        <f>((BL9*Constants!$H67*Constants!$H85*(1-Constants!$H103))+(BL9*Constants!$H67*Constants!$H119))</f>
        <v>-24185652.428216279</v>
      </c>
      <c r="BM54" s="22">
        <f>((BM9*Constants!$H67*Constants!$H85*(1-Constants!$H103))+(BM9*Constants!$H67*Constants!$H119))</f>
        <v>-23659687.85214664</v>
      </c>
      <c r="BN54" s="22">
        <f>((BN9*Constants!$H67*Constants!$H85*(1-Constants!$H103))+(BN9*Constants!$H67*Constants!$H119))</f>
        <v>-23137617.885557406</v>
      </c>
      <c r="BO54" s="22">
        <f>((BO9*Constants!$H67*Constants!$H85*(1-Constants!$H103))+(BO9*Constants!$H67*Constants!$H119))</f>
        <v>-22619462.462273438</v>
      </c>
      <c r="BP54" s="22">
        <f>((BP9*Constants!$H67*Constants!$H85*(1-Constants!$H103))+(BP9*Constants!$H67*Constants!$H119))</f>
        <v>-22104923.973740518</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22601454.870712783</v>
      </c>
      <c r="AF55" s="22">
        <f>((AF10*Constants!$H68*Constants!$H86*(1-Constants!$H104))+(AF10*Constants!$H68*Constants!$H120))</f>
        <v>23476461.448728886</v>
      </c>
      <c r="AG55" s="22">
        <f>((AG10*Constants!$H68*Constants!$H86*(1-Constants!$H104))+(AG10*Constants!$H68*Constants!$H120))</f>
        <v>24129022.140224975</v>
      </c>
      <c r="AH55" s="22">
        <f>((AH10*Constants!$H68*Constants!$H86*(1-Constants!$H104))+(AH10*Constants!$H68*Constants!$H120))</f>
        <v>24632268.790066544</v>
      </c>
      <c r="AI55" s="22">
        <f>((AI10*Constants!$H68*Constants!$H86*(1-Constants!$H104))+(AI10*Constants!$H68*Constants!$H120))</f>
        <v>24979009.110318452</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24144367.996325094</v>
      </c>
      <c r="AM55" s="22">
        <f>((AM10*Constants!$H68*Constants!$H86*(1-Constants!$H104))+(AM10*Constants!$H68*Constants!$H120))</f>
        <v>25678691.23014098</v>
      </c>
      <c r="AN55" s="22">
        <f>((AN10*Constants!$H68*Constants!$H86*(1-Constants!$H104))+(AN10*Constants!$H68*Constants!$H120))</f>
        <v>82854499.873094112</v>
      </c>
      <c r="AO55" s="22">
        <f>((AO10*Constants!$H68*Constants!$H86*(1-Constants!$H104))+(AO10*Constants!$H68*Constants!$H120))</f>
        <v>85207268.053358465</v>
      </c>
      <c r="AP55" s="22">
        <f>((AP10*Constants!$H68*Constants!$H86*(1-Constants!$H104))+(AP10*Constants!$H68*Constants!$H120))</f>
        <v>87450525.540218681</v>
      </c>
      <c r="AQ55" s="22">
        <f>((AQ10*Constants!$H68*Constants!$H86*(1-Constants!$H104))+(AQ10*Constants!$H68*Constants!$H120))</f>
        <v>89575652.639584005</v>
      </c>
      <c r="AR55" s="22">
        <f>((AR10*Constants!$H68*Constants!$H86*(1-Constants!$H104))+(AR10*Constants!$H68*Constants!$H120))</f>
        <v>91576402.381634906</v>
      </c>
      <c r="AS55" s="22">
        <f>((AS10*Constants!$H68*Constants!$H86*(1-Constants!$H104))+(AS10*Constants!$H68*Constants!$H120))</f>
        <v>93442222.072254777</v>
      </c>
      <c r="AT55" s="22">
        <f>((AT10*Constants!$H68*Constants!$H86*(1-Constants!$H104))+(AT10*Constants!$H68*Constants!$H120))</f>
        <v>95163262.128020138</v>
      </c>
      <c r="AU55" s="22">
        <f>((AU10*Constants!$H68*Constants!$H86*(1-Constants!$H104))+(AU10*Constants!$H68*Constants!$H120))</f>
        <v>96730111.660501987</v>
      </c>
      <c r="AV55" s="22">
        <f>((AV10*Constants!$H68*Constants!$H86*(1-Constants!$H104))+(AV10*Constants!$H68*Constants!$H120))</f>
        <v>98133971.826843679</v>
      </c>
      <c r="AW55" s="22">
        <f>((AW10*Constants!$H68*Constants!$H86*(1-Constants!$H104))+(AW10*Constants!$H68*Constants!$H120))</f>
        <v>99627741.827730179</v>
      </c>
      <c r="AX55" s="22">
        <f>((AX10*Constants!$H68*Constants!$H86*(1-Constants!$H104))+(AX10*Constants!$H68*Constants!$H120))</f>
        <v>100947534.95799348</v>
      </c>
      <c r="AY55" s="22">
        <f>((AY10*Constants!$H68*Constants!$H86*(1-Constants!$H104))+(AY10*Constants!$H68*Constants!$H120))</f>
        <v>102085625.81955749</v>
      </c>
      <c r="AZ55" s="22">
        <f>((AZ10*Constants!$H68*Constants!$H86*(1-Constants!$H104))+(AZ10*Constants!$H68*Constants!$H120))</f>
        <v>103035308.35141593</v>
      </c>
      <c r="BA55" s="22">
        <f>((BA10*Constants!$H68*Constants!$H86*(1-Constants!$H104))+(BA10*Constants!$H68*Constants!$H120))</f>
        <v>103790662.52742758</v>
      </c>
      <c r="BB55" s="22">
        <f>((BB10*Constants!$H68*Constants!$H86*(1-Constants!$H104))+(BB10*Constants!$H68*Constants!$H120))</f>
        <v>104346734.97853598</v>
      </c>
      <c r="BC55" s="22">
        <f>((BC10*Constants!$H68*Constants!$H86*(1-Constants!$H104))+(BC10*Constants!$H68*Constants!$H120))</f>
        <v>-8329750.8746077204</v>
      </c>
      <c r="BD55" s="22">
        <f>((BD10*Constants!$H68*Constants!$H86*(1-Constants!$H104))+(BD10*Constants!$H68*Constants!$H120))</f>
        <v>-8405988.2903334051</v>
      </c>
      <c r="BE55" s="22">
        <f>((BE10*Constants!$H68*Constants!$H86*(1-Constants!$H104))+(BE10*Constants!$H68*Constants!$H120))</f>
        <v>-8481721.5883625876</v>
      </c>
      <c r="BF55" s="22">
        <f>((BF10*Constants!$H68*Constants!$H86*(1-Constants!$H104))+(BF10*Constants!$H68*Constants!$H120))</f>
        <v>-8556988.4894756936</v>
      </c>
      <c r="BG55" s="22">
        <f>((BG10*Constants!$H68*Constants!$H86*(1-Constants!$H104))+(BG10*Constants!$H68*Constants!$H120))</f>
        <v>-8621099.3619737383</v>
      </c>
      <c r="BH55" s="22">
        <f>((BH10*Constants!$H68*Constants!$H86*(1-Constants!$H104))+(BH10*Constants!$H68*Constants!$H120))</f>
        <v>-8684569.1772411093</v>
      </c>
      <c r="BI55" s="22">
        <f>((BI10*Constants!$H68*Constants!$H86*(1-Constants!$H104))+(BI10*Constants!$H68*Constants!$H120))</f>
        <v>-8747300.7922257241</v>
      </c>
      <c r="BJ55" s="22">
        <f>((BJ10*Constants!$H68*Constants!$H86*(1-Constants!$H104))+(BJ10*Constants!$H68*Constants!$H120))</f>
        <v>-8809276.9542866778</v>
      </c>
      <c r="BK55" s="22">
        <f>((BK10*Constants!$H68*Constants!$H86*(1-Constants!$H104))+(BK10*Constants!$H68*Constants!$H120))</f>
        <v>-8870382.0235776231</v>
      </c>
      <c r="BL55" s="22">
        <f>((BL10*Constants!$H68*Constants!$H86*(1-Constants!$H104))+(BL10*Constants!$H68*Constants!$H120))</f>
        <v>-8930486.91496877</v>
      </c>
      <c r="BM55" s="22">
        <f>((BM10*Constants!$H68*Constants!$H86*(1-Constants!$H104))+(BM10*Constants!$H68*Constants!$H120))</f>
        <v>-8989568.0501603652</v>
      </c>
      <c r="BN55" s="22">
        <f>((BN10*Constants!$H68*Constants!$H86*(1-Constants!$H104))+(BN10*Constants!$H68*Constants!$H120))</f>
        <v>-9047634.3607756048</v>
      </c>
      <c r="BO55" s="22">
        <f>((BO10*Constants!$H68*Constants!$H86*(1-Constants!$H104))+(BO10*Constants!$H68*Constants!$H120))</f>
        <v>-9104689.4194816314</v>
      </c>
      <c r="BP55" s="22">
        <f>((BP10*Constants!$H68*Constants!$H86*(1-Constants!$H104))+(BP10*Constants!$H68*Constants!$H120))</f>
        <v>-9160604.4139572084</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3767729.0920704734</v>
      </c>
      <c r="AM56" s="22">
        <f>((AM11*Constants!$H69*Constants!$H87*(1-Constants!$H105))+(AM11*Constants!$H69*Constants!$H121))</f>
        <v>3770236.6758189537</v>
      </c>
      <c r="AN56" s="22">
        <f>((AN11*Constants!$H69*Constants!$H87*(1-Constants!$H105))+(AN11*Constants!$H69*Constants!$H121))</f>
        <v>3819344.3393504415</v>
      </c>
      <c r="AO56" s="22">
        <f>((AO11*Constants!$H69*Constants!$H87*(1-Constants!$H105))+(AO11*Constants!$H69*Constants!$H121))</f>
        <v>3820542.282474794</v>
      </c>
      <c r="AP56" s="22">
        <f>((AP11*Constants!$H69*Constants!$H87*(1-Constants!$H105))+(AP11*Constants!$H69*Constants!$H121))</f>
        <v>3825666.4536946164</v>
      </c>
      <c r="AQ56" s="22">
        <f>((AQ11*Constants!$H69*Constants!$H87*(1-Constants!$H105))+(AQ11*Constants!$H69*Constants!$H121))</f>
        <v>3833073.5675662532</v>
      </c>
      <c r="AR56" s="22">
        <f>((AR11*Constants!$H69*Constants!$H87*(1-Constants!$H105))+(AR11*Constants!$H69*Constants!$H121))</f>
        <v>3839954.522518429</v>
      </c>
      <c r="AS56" s="22">
        <f>((AS11*Constants!$H69*Constants!$H87*(1-Constants!$H105))+(AS11*Constants!$H69*Constants!$H121))</f>
        <v>3846394.5140198101</v>
      </c>
      <c r="AT56" s="22">
        <f>((AT11*Constants!$H69*Constants!$H87*(1-Constants!$H105))+(AT11*Constants!$H69*Constants!$H121))</f>
        <v>3852359.2010894339</v>
      </c>
      <c r="AU56" s="22">
        <f>((AU11*Constants!$H69*Constants!$H87*(1-Constants!$H105))+(AU11*Constants!$H69*Constants!$H121))</f>
        <v>3857902.32604795</v>
      </c>
      <c r="AV56" s="22">
        <f>((AV11*Constants!$H69*Constants!$H87*(1-Constants!$H105))+(AV11*Constants!$H69*Constants!$H121))</f>
        <v>3863107.9724554135</v>
      </c>
      <c r="AW56" s="22">
        <f>((AW11*Constants!$H69*Constants!$H87*(1-Constants!$H105))+(AW11*Constants!$H69*Constants!$H121))</f>
        <v>3867971.2353914087</v>
      </c>
      <c r="AX56" s="22">
        <f>((AX11*Constants!$H69*Constants!$H87*(1-Constants!$H105))+(AX11*Constants!$H69*Constants!$H121))</f>
        <v>3872569.9003352402</v>
      </c>
      <c r="AY56" s="22">
        <f>((AY11*Constants!$H69*Constants!$H87*(1-Constants!$H105))+(AY11*Constants!$H69*Constants!$H121))</f>
        <v>3876915.0990821449</v>
      </c>
      <c r="AZ56" s="22">
        <f>((AZ11*Constants!$H69*Constants!$H87*(1-Constants!$H105))+(AZ11*Constants!$H69*Constants!$H121))</f>
        <v>3880947.2756740809</v>
      </c>
      <c r="BA56" s="22">
        <f>((BA11*Constants!$H69*Constants!$H87*(1-Constants!$H105))+(BA11*Constants!$H69*Constants!$H121))</f>
        <v>3884703.3155314843</v>
      </c>
      <c r="BB56" s="22">
        <f>((BB11*Constants!$H69*Constants!$H87*(1-Constants!$H105))+(BB11*Constants!$H69*Constants!$H121))</f>
        <v>3888243.1401127428</v>
      </c>
      <c r="BC56" s="22">
        <f>((BC11*Constants!$H69*Constants!$H87*(1-Constants!$H105))+(BC11*Constants!$H69*Constants!$H121))</f>
        <v>3802911.1258087843</v>
      </c>
      <c r="BD56" s="22">
        <f>((BD11*Constants!$H69*Constants!$H87*(1-Constants!$H105))+(BD11*Constants!$H69*Constants!$H121))</f>
        <v>3806408.2471144055</v>
      </c>
      <c r="BE56" s="22">
        <f>((BE11*Constants!$H69*Constants!$H87*(1-Constants!$H105))+(BE11*Constants!$H69*Constants!$H121))</f>
        <v>3809670.1611530199</v>
      </c>
      <c r="BF56" s="22">
        <f>((BF11*Constants!$H69*Constants!$H87*(1-Constants!$H105))+(BF11*Constants!$H69*Constants!$H121))</f>
        <v>3812716.8030670052</v>
      </c>
      <c r="BG56" s="22">
        <f>((BG11*Constants!$H69*Constants!$H87*(1-Constants!$H105))+(BG11*Constants!$H69*Constants!$H121))</f>
        <v>3815572.4063873482</v>
      </c>
      <c r="BH56" s="22">
        <f>((BH11*Constants!$H69*Constants!$H87*(1-Constants!$H105))+(BH11*Constants!$H69*Constants!$H121))</f>
        <v>3818161.8571387879</v>
      </c>
      <c r="BI56" s="22">
        <f>((BI11*Constants!$H69*Constants!$H87*(1-Constants!$H105))+(BI11*Constants!$H69*Constants!$H121))</f>
        <v>3820434.9933909457</v>
      </c>
      <c r="BJ56" s="22">
        <f>((BJ11*Constants!$H69*Constants!$H87*(1-Constants!$H105))+(BJ11*Constants!$H69*Constants!$H121))</f>
        <v>3822384.4679614496</v>
      </c>
      <c r="BK56" s="22">
        <f>((BK11*Constants!$H69*Constants!$H87*(1-Constants!$H105))+(BK11*Constants!$H69*Constants!$H121))</f>
        <v>3823953.1973996055</v>
      </c>
      <c r="BL56" s="22">
        <f>((BL11*Constants!$H69*Constants!$H87*(1-Constants!$H105))+(BL11*Constants!$H69*Constants!$H121))</f>
        <v>3825079.1335559799</v>
      </c>
      <c r="BM56" s="22">
        <f>((BM11*Constants!$H69*Constants!$H87*(1-Constants!$H105))+(BM11*Constants!$H69*Constants!$H121))</f>
        <v>3825755.2792446665</v>
      </c>
      <c r="BN56" s="22">
        <f>((BN11*Constants!$H69*Constants!$H87*(1-Constants!$H105))+(BN11*Constants!$H69*Constants!$H121))</f>
        <v>3825991.2790265894</v>
      </c>
      <c r="BO56" s="22">
        <f>((BO11*Constants!$H69*Constants!$H87*(1-Constants!$H105))+(BO11*Constants!$H69*Constants!$H121))</f>
        <v>3825794.0359630855</v>
      </c>
      <c r="BP56" s="22">
        <f>((BP11*Constants!$H69*Constants!$H87*(1-Constants!$H105))+(BP11*Constants!$H69*Constants!$H121))</f>
        <v>3825105.1487009027</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3066419.3290910418</v>
      </c>
      <c r="AM57" s="22">
        <f>((AM12*Constants!$H70*Constants!$H88*(1-Constants!$H106))+(AM12*Constants!$H70*Constants!$H122))</f>
        <v>3068460.1614034916</v>
      </c>
      <c r="AN57" s="22">
        <f>((AN12*Constants!$H70*Constants!$H88*(1-Constants!$H106))+(AN12*Constants!$H70*Constants!$H122))</f>
        <v>3108427.1242555631</v>
      </c>
      <c r="AO57" s="22">
        <f>((AO12*Constants!$H70*Constants!$H88*(1-Constants!$H106))+(AO12*Constants!$H70*Constants!$H122))</f>
        <v>3109402.0871209665</v>
      </c>
      <c r="AP57" s="22">
        <f>((AP12*Constants!$H70*Constants!$H88*(1-Constants!$H106))+(AP12*Constants!$H70*Constants!$H122))</f>
        <v>3113572.465959271</v>
      </c>
      <c r="AQ57" s="22">
        <f>((AQ12*Constants!$H70*Constants!$H88*(1-Constants!$H106))+(AQ12*Constants!$H70*Constants!$H122))</f>
        <v>3119600.8497930681</v>
      </c>
      <c r="AR57" s="22">
        <f>((AR12*Constants!$H70*Constants!$H88*(1-Constants!$H106))+(AR12*Constants!$H70*Constants!$H122))</f>
        <v>3125201.0117878262</v>
      </c>
      <c r="AS57" s="22">
        <f>((AS12*Constants!$H70*Constants!$H88*(1-Constants!$H106))+(AS12*Constants!$H70*Constants!$H122))</f>
        <v>3130442.2894743183</v>
      </c>
      <c r="AT57" s="22">
        <f>((AT12*Constants!$H70*Constants!$H88*(1-Constants!$H106))+(AT12*Constants!$H70*Constants!$H122))</f>
        <v>3135296.733962052</v>
      </c>
      <c r="AU57" s="22">
        <f>((AU12*Constants!$H70*Constants!$H88*(1-Constants!$H106))+(AU12*Constants!$H70*Constants!$H122))</f>
        <v>3139808.0841947775</v>
      </c>
      <c r="AV57" s="22">
        <f>((AV12*Constants!$H70*Constants!$H88*(1-Constants!$H106))+(AV12*Constants!$H70*Constants!$H122))</f>
        <v>3144044.7727608043</v>
      </c>
      <c r="AW57" s="22">
        <f>((AW12*Constants!$H70*Constants!$H88*(1-Constants!$H106))+(AW12*Constants!$H70*Constants!$H122))</f>
        <v>3148002.8077216442</v>
      </c>
      <c r="AX57" s="22">
        <f>((AX12*Constants!$H70*Constants!$H88*(1-Constants!$H106))+(AX12*Constants!$H70*Constants!$H122))</f>
        <v>3151745.4958839789</v>
      </c>
      <c r="AY57" s="22">
        <f>((AY12*Constants!$H70*Constants!$H88*(1-Constants!$H106))+(AY12*Constants!$H70*Constants!$H122))</f>
        <v>3155281.8970159739</v>
      </c>
      <c r="AZ57" s="22">
        <f>((AZ12*Constants!$H70*Constants!$H88*(1-Constants!$H106))+(AZ12*Constants!$H70*Constants!$H122))</f>
        <v>3158563.5406632959</v>
      </c>
      <c r="BA57" s="22">
        <f>((BA12*Constants!$H70*Constants!$H88*(1-Constants!$H106))+(BA12*Constants!$H70*Constants!$H122))</f>
        <v>3161620.4465442994</v>
      </c>
      <c r="BB57" s="22">
        <f>((BB12*Constants!$H70*Constants!$H88*(1-Constants!$H106))+(BB12*Constants!$H70*Constants!$H122))</f>
        <v>3164501.3825809178</v>
      </c>
      <c r="BC57" s="22">
        <f>((BC12*Constants!$H70*Constants!$H88*(1-Constants!$H106))+(BC12*Constants!$H70*Constants!$H122))</f>
        <v>3095052.7222187314</v>
      </c>
      <c r="BD57" s="22">
        <f>((BD12*Constants!$H70*Constants!$H88*(1-Constants!$H106))+(BD12*Constants!$H70*Constants!$H122))</f>
        <v>3097898.9035936887</v>
      </c>
      <c r="BE57" s="22">
        <f>((BE12*Constants!$H70*Constants!$H88*(1-Constants!$H106))+(BE12*Constants!$H70*Constants!$H122))</f>
        <v>3100553.6582253017</v>
      </c>
      <c r="BF57" s="22">
        <f>((BF12*Constants!$H70*Constants!$H88*(1-Constants!$H106))+(BF12*Constants!$H70*Constants!$H122))</f>
        <v>3103033.2106096614</v>
      </c>
      <c r="BG57" s="22">
        <f>((BG12*Constants!$H70*Constants!$H88*(1-Constants!$H106))+(BG12*Constants!$H70*Constants!$H122))</f>
        <v>3105357.2835468971</v>
      </c>
      <c r="BH57" s="22">
        <f>((BH12*Constants!$H70*Constants!$H88*(1-Constants!$H106))+(BH12*Constants!$H70*Constants!$H122))</f>
        <v>3107464.7444714773</v>
      </c>
      <c r="BI57" s="22">
        <f>((BI12*Constants!$H70*Constants!$H88*(1-Constants!$H106))+(BI12*Constants!$H70*Constants!$H122))</f>
        <v>3109314.7683906457</v>
      </c>
      <c r="BJ57" s="22">
        <f>((BJ12*Constants!$H70*Constants!$H88*(1-Constants!$H106))+(BJ12*Constants!$H70*Constants!$H122))</f>
        <v>3110901.3756966605</v>
      </c>
      <c r="BK57" s="22">
        <f>((BK12*Constants!$H70*Constants!$H88*(1-Constants!$H106))+(BK12*Constants!$H70*Constants!$H122))</f>
        <v>3112178.1082200799</v>
      </c>
      <c r="BL57" s="22">
        <f>((BL12*Constants!$H70*Constants!$H88*(1-Constants!$H106))+(BL12*Constants!$H70*Constants!$H122))</f>
        <v>3113094.4672015393</v>
      </c>
      <c r="BM57" s="22">
        <f>((BM12*Constants!$H70*Constants!$H88*(1-Constants!$H106))+(BM12*Constants!$H70*Constants!$H122))</f>
        <v>3113644.7578828498</v>
      </c>
      <c r="BN57" s="22">
        <f>((BN12*Constants!$H70*Constants!$H88*(1-Constants!$H106))+(BN12*Constants!$H70*Constants!$H122))</f>
        <v>3113836.829625607</v>
      </c>
      <c r="BO57" s="22">
        <f>((BO12*Constants!$H70*Constants!$H88*(1-Constants!$H106))+(BO12*Constants!$H70*Constants!$H122))</f>
        <v>3113676.300583397</v>
      </c>
      <c r="BP57" s="22">
        <f>((BP12*Constants!$H70*Constants!$H88*(1-Constants!$H106))+(BP12*Constants!$H70*Constants!$H122))</f>
        <v>3113115.6399932369</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473846.44384169258</v>
      </c>
      <c r="AM58" s="22">
        <f>((AM13*Constants!$H71*Constants!$H89*(1-Constants!$H107))+(AM13*Constants!$H71*Constants!$H123))</f>
        <v>474621.9060890142</v>
      </c>
      <c r="AN58" s="22">
        <f>((AN13*Constants!$H71*Constants!$H89*(1-Constants!$H107))+(AN13*Constants!$H71*Constants!$H123))</f>
        <v>484244.98884360859</v>
      </c>
      <c r="AO58" s="22">
        <f>((AO13*Constants!$H71*Constants!$H89*(1-Constants!$H107))+(AO13*Constants!$H71*Constants!$H123))</f>
        <v>484679.74810061575</v>
      </c>
      <c r="AP58" s="22">
        <f>((AP13*Constants!$H71*Constants!$H89*(1-Constants!$H107))+(AP13*Constants!$H71*Constants!$H123))</f>
        <v>485830.77920860262</v>
      </c>
      <c r="AQ58" s="22">
        <f>((AQ13*Constants!$H71*Constants!$H89*(1-Constants!$H107))+(AQ13*Constants!$H71*Constants!$H123))</f>
        <v>487384.24457999802</v>
      </c>
      <c r="AR58" s="22">
        <f>((AR13*Constants!$H71*Constants!$H89*(1-Constants!$H107))+(AR13*Constants!$H71*Constants!$H123))</f>
        <v>488808.9890177765</v>
      </c>
      <c r="AS58" s="22">
        <f>((AS13*Constants!$H71*Constants!$H89*(1-Constants!$H107))+(AS13*Constants!$H71*Constants!$H123))</f>
        <v>490123.84515602374</v>
      </c>
      <c r="AT58" s="22">
        <f>((AT13*Constants!$H71*Constants!$H89*(1-Constants!$H107))+(AT13*Constants!$H71*Constants!$H123))</f>
        <v>491324.77996663528</v>
      </c>
      <c r="AU58" s="22">
        <f>((AU13*Constants!$H71*Constants!$H89*(1-Constants!$H107))+(AU13*Constants!$H71*Constants!$H123))</f>
        <v>492424.12560275925</v>
      </c>
      <c r="AV58" s="22">
        <f>((AV13*Constants!$H71*Constants!$H89*(1-Constants!$H107))+(AV13*Constants!$H71*Constants!$H123))</f>
        <v>493439.61922122439</v>
      </c>
      <c r="AW58" s="22">
        <f>((AW13*Constants!$H71*Constants!$H89*(1-Constants!$H107))+(AW13*Constants!$H71*Constants!$H123))</f>
        <v>494372.07900340157</v>
      </c>
      <c r="AX58" s="22">
        <f>((AX13*Constants!$H71*Constants!$H89*(1-Constants!$H107))+(AX13*Constants!$H71*Constants!$H123))</f>
        <v>495237.60566705576</v>
      </c>
      <c r="AY58" s="22">
        <f>((AY13*Constants!$H71*Constants!$H89*(1-Constants!$H107))+(AY13*Constants!$H71*Constants!$H123))</f>
        <v>496039.65715412487</v>
      </c>
      <c r="AZ58" s="22">
        <f>((AZ13*Constants!$H71*Constants!$H89*(1-Constants!$H107))+(AZ13*Constants!$H71*Constants!$H123))</f>
        <v>496768.44077297475</v>
      </c>
      <c r="BA58" s="22">
        <f>((BA13*Constants!$H71*Constants!$H89*(1-Constants!$H107))+(BA13*Constants!$H71*Constants!$H123))</f>
        <v>497432.02753406396</v>
      </c>
      <c r="BB58" s="22">
        <f>((BB13*Constants!$H71*Constants!$H89*(1-Constants!$H107))+(BB13*Constants!$H71*Constants!$H123))</f>
        <v>498042.60976525501</v>
      </c>
      <c r="BC58" s="22">
        <f>((BC13*Constants!$H71*Constants!$H89*(1-Constants!$H107))+(BC13*Constants!$H71*Constants!$H123))</f>
        <v>482232.04620168795</v>
      </c>
      <c r="BD58" s="22">
        <f>((BD13*Constants!$H71*Constants!$H89*(1-Constants!$H107))+(BD13*Constants!$H71*Constants!$H123))</f>
        <v>482841.45986775024</v>
      </c>
      <c r="BE58" s="22">
        <f>((BE13*Constants!$H71*Constants!$H89*(1-Constants!$H107))+(BE13*Constants!$H71*Constants!$H123))</f>
        <v>483396.32272735937</v>
      </c>
      <c r="BF58" s="22">
        <f>((BF13*Constants!$H71*Constants!$H89*(1-Constants!$H107))+(BF13*Constants!$H71*Constants!$H123))</f>
        <v>483901.12540109368</v>
      </c>
      <c r="BG58" s="22">
        <f>((BG13*Constants!$H71*Constants!$H89*(1-Constants!$H107))+(BG13*Constants!$H71*Constants!$H123))</f>
        <v>484361.06834663131</v>
      </c>
      <c r="BH58" s="22">
        <f>((BH13*Constants!$H71*Constants!$H89*(1-Constants!$H107))+(BH13*Constants!$H71*Constants!$H123))</f>
        <v>484763.09468555782</v>
      </c>
      <c r="BI58" s="22">
        <f>((BI13*Constants!$H71*Constants!$H89*(1-Constants!$H107))+(BI13*Constants!$H71*Constants!$H123))</f>
        <v>485098.75811334531</v>
      </c>
      <c r="BJ58" s="22">
        <f>((BJ13*Constants!$H71*Constants!$H89*(1-Constants!$H107))+(BJ13*Constants!$H71*Constants!$H123))</f>
        <v>485367.44199704647</v>
      </c>
      <c r="BK58" s="22">
        <f>((BK13*Constants!$H71*Constants!$H89*(1-Constants!$H107))+(BK13*Constants!$H71*Constants!$H123))</f>
        <v>485559.44540964632</v>
      </c>
      <c r="BL58" s="22">
        <f>((BL13*Constants!$H71*Constants!$H89*(1-Constants!$H107))+(BL13*Constants!$H71*Constants!$H123))</f>
        <v>485664.19844086148</v>
      </c>
      <c r="BM58" s="22">
        <f>((BM13*Constants!$H71*Constants!$H89*(1-Constants!$H107))+(BM13*Constants!$H71*Constants!$H123))</f>
        <v>485681.16055790673</v>
      </c>
      <c r="BN58" s="22">
        <f>((BN13*Constants!$H71*Constants!$H89*(1-Constants!$H107))+(BN13*Constants!$H71*Constants!$H123))</f>
        <v>485612.78157633083</v>
      </c>
      <c r="BO58" s="22">
        <f>((BO13*Constants!$H71*Constants!$H89*(1-Constants!$H107))+(BO13*Constants!$H71*Constants!$H123))</f>
        <v>485460.97376055369</v>
      </c>
      <c r="BP58" s="22">
        <f>((BP13*Constants!$H71*Constants!$H89*(1-Constants!$H107))+(BP13*Constants!$H71*Constants!$H123))</f>
        <v>485215.81987788633</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5717459.3363540992</v>
      </c>
      <c r="AM59" s="22">
        <f>((AM14*Constants!$H72*Constants!$H90*(1-Constants!$H108))+(AM14*Constants!$H72*Constants!$H124))</f>
        <v>5726816.1098902551</v>
      </c>
      <c r="AN59" s="22">
        <f>((AN14*Constants!$H72*Constants!$H90*(1-Constants!$H108))+(AN14*Constants!$H72*Constants!$H124))</f>
        <v>5842928.7979874676</v>
      </c>
      <c r="AO59" s="22">
        <f>((AO14*Constants!$H72*Constants!$H90*(1-Constants!$H108))+(AO14*Constants!$H72*Constants!$H124))</f>
        <v>5848174.6290058205</v>
      </c>
      <c r="AP59" s="22">
        <f>((AP14*Constants!$H72*Constants!$H90*(1-Constants!$H108))+(AP14*Constants!$H72*Constants!$H124))</f>
        <v>5862063.0387223521</v>
      </c>
      <c r="AQ59" s="22">
        <f>((AQ14*Constants!$H72*Constants!$H90*(1-Constants!$H108))+(AQ14*Constants!$H72*Constants!$H124))</f>
        <v>5880807.2441644706</v>
      </c>
      <c r="AR59" s="22">
        <f>((AR14*Constants!$H72*Constants!$H90*(1-Constants!$H108))+(AR14*Constants!$H72*Constants!$H124))</f>
        <v>5897998.2951759612</v>
      </c>
      <c r="AS59" s="22">
        <f>((AS14*Constants!$H72*Constants!$H90*(1-Constants!$H108))+(AS14*Constants!$H72*Constants!$H124))</f>
        <v>5913863.4274382936</v>
      </c>
      <c r="AT59" s="22">
        <f>((AT14*Constants!$H72*Constants!$H90*(1-Constants!$H108))+(AT14*Constants!$H72*Constants!$H124))</f>
        <v>5928353.9781948123</v>
      </c>
      <c r="AU59" s="22">
        <f>((AU14*Constants!$H72*Constants!$H90*(1-Constants!$H108))+(AU14*Constants!$H72*Constants!$H124))</f>
        <v>5941618.7479378916</v>
      </c>
      <c r="AV59" s="22">
        <f>((AV14*Constants!$H72*Constants!$H90*(1-Constants!$H108))+(AV14*Constants!$H72*Constants!$H124))</f>
        <v>5953871.7542553581</v>
      </c>
      <c r="AW59" s="22">
        <f>((AW14*Constants!$H72*Constants!$H90*(1-Constants!$H108))+(AW14*Constants!$H72*Constants!$H124))</f>
        <v>5965122.86937223</v>
      </c>
      <c r="AX59" s="22">
        <f>((AX14*Constants!$H72*Constants!$H90*(1-Constants!$H108))+(AX14*Constants!$H72*Constants!$H124))</f>
        <v>5975566.3655053936</v>
      </c>
      <c r="AY59" s="22">
        <f>((AY14*Constants!$H72*Constants!$H90*(1-Constants!$H108))+(AY14*Constants!$H72*Constants!$H124))</f>
        <v>5985243.9663876556</v>
      </c>
      <c r="AZ59" s="22">
        <f>((AZ14*Constants!$H72*Constants!$H90*(1-Constants!$H108))+(AZ14*Constants!$H72*Constants!$H124))</f>
        <v>5994037.5128201097</v>
      </c>
      <c r="BA59" s="22">
        <f>((BA14*Constants!$H72*Constants!$H90*(1-Constants!$H108))+(BA14*Constants!$H72*Constants!$H124))</f>
        <v>6002044.3900943398</v>
      </c>
      <c r="BB59" s="22">
        <f>((BB14*Constants!$H72*Constants!$H90*(1-Constants!$H108))+(BB14*Constants!$H72*Constants!$H124))</f>
        <v>6009411.711562518</v>
      </c>
      <c r="BC59" s="22">
        <f>((BC14*Constants!$H72*Constants!$H90*(1-Constants!$H108))+(BC14*Constants!$H72*Constants!$H124))</f>
        <v>5818640.5125077097</v>
      </c>
      <c r="BD59" s="22">
        <f>((BD14*Constants!$H72*Constants!$H90*(1-Constants!$H108))+(BD14*Constants!$H72*Constants!$H124))</f>
        <v>5825993.7339996379</v>
      </c>
      <c r="BE59" s="22">
        <f>((BE14*Constants!$H72*Constants!$H90*(1-Constants!$H108))+(BE14*Constants!$H72*Constants!$H124))</f>
        <v>5832688.7422207575</v>
      </c>
      <c r="BF59" s="22">
        <f>((BF14*Constants!$H72*Constants!$H90*(1-Constants!$H108))+(BF14*Constants!$H72*Constants!$H124))</f>
        <v>5838779.721265696</v>
      </c>
      <c r="BG59" s="22">
        <f>((BG14*Constants!$H72*Constants!$H90*(1-Constants!$H108))+(BG14*Constants!$H72*Constants!$H124))</f>
        <v>5844329.4201656897</v>
      </c>
      <c r="BH59" s="22">
        <f>((BH14*Constants!$H72*Constants!$H90*(1-Constants!$H108))+(BH14*Constants!$H72*Constants!$H124))</f>
        <v>5849180.2938502533</v>
      </c>
      <c r="BI59" s="22">
        <f>((BI14*Constants!$H72*Constants!$H90*(1-Constants!$H108))+(BI14*Constants!$H72*Constants!$H124))</f>
        <v>5853230.4287072681</v>
      </c>
      <c r="BJ59" s="22">
        <f>((BJ14*Constants!$H72*Constants!$H90*(1-Constants!$H108))+(BJ14*Constants!$H72*Constants!$H124))</f>
        <v>5856472.384406969</v>
      </c>
      <c r="BK59" s="22">
        <f>((BK14*Constants!$H72*Constants!$H90*(1-Constants!$H108))+(BK14*Constants!$H72*Constants!$H124))</f>
        <v>5858789.1089877868</v>
      </c>
      <c r="BL59" s="22">
        <f>((BL14*Constants!$H72*Constants!$H90*(1-Constants!$H108))+(BL14*Constants!$H72*Constants!$H124))</f>
        <v>5860053.0652844217</v>
      </c>
      <c r="BM59" s="22">
        <f>((BM14*Constants!$H72*Constants!$H90*(1-Constants!$H108))+(BM14*Constants!$H72*Constants!$H124))</f>
        <v>5860257.7311961846</v>
      </c>
      <c r="BN59" s="22">
        <f>((BN14*Constants!$H72*Constants!$H90*(1-Constants!$H108))+(BN14*Constants!$H72*Constants!$H124))</f>
        <v>5859432.6663429998</v>
      </c>
      <c r="BO59" s="22">
        <f>((BO14*Constants!$H72*Constants!$H90*(1-Constants!$H108))+(BO14*Constants!$H72*Constants!$H124))</f>
        <v>5857600.944220935</v>
      </c>
      <c r="BP59" s="22">
        <f>((BP14*Constants!$H72*Constants!$H90*(1-Constants!$H108))+(BP14*Constants!$H72*Constants!$H124))</f>
        <v>5854642.9029113157</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7887809.5503911283</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6579667.0256935256</v>
      </c>
      <c r="AM62" s="22">
        <f>((AM17*Constants!$H75*Constants!$H93*(1-Constants!$H111))+(AM17*Constants!$H75*Constants!$H127))</f>
        <v>6814615.0206221351</v>
      </c>
      <c r="AN62" s="22">
        <f>((AN17*Constants!$H75*Constants!$H93*(1-Constants!$H111))+(AN17*Constants!$H75*Constants!$H127))</f>
        <v>21783041.923758816</v>
      </c>
      <c r="AO62" s="22">
        <f>((AO17*Constants!$H75*Constants!$H93*(1-Constants!$H111))+(AO17*Constants!$H75*Constants!$H127))</f>
        <v>21842754.638081599</v>
      </c>
      <c r="AP62" s="22">
        <f>((AP17*Constants!$H75*Constants!$H93*(1-Constants!$H111))+(AP17*Constants!$H75*Constants!$H127))</f>
        <v>21864808.294970844</v>
      </c>
      <c r="AQ62" s="22">
        <f>((AQ17*Constants!$H75*Constants!$H93*(1-Constants!$H111))+(AQ17*Constants!$H75*Constants!$H127))</f>
        <v>21850197.96513287</v>
      </c>
      <c r="AR62" s="22">
        <f>((AR17*Constants!$H75*Constants!$H93*(1-Constants!$H111))+(AR17*Constants!$H75*Constants!$H127))</f>
        <v>21801127.810912877</v>
      </c>
      <c r="AS62" s="22">
        <f>((AS17*Constants!$H75*Constants!$H93*(1-Constants!$H111))+(AS17*Constants!$H75*Constants!$H127))</f>
        <v>21717147.091942608</v>
      </c>
      <c r="AT62" s="22">
        <f>((AT17*Constants!$H75*Constants!$H93*(1-Constants!$H111))+(AT17*Constants!$H75*Constants!$H127))</f>
        <v>21598135.122156207</v>
      </c>
      <c r="AU62" s="22">
        <f>((AU17*Constants!$H75*Constants!$H93*(1-Constants!$H111))+(AU17*Constants!$H75*Constants!$H127))</f>
        <v>21444103.061344173</v>
      </c>
      <c r="AV62" s="22">
        <f>((AV17*Constants!$H75*Constants!$H93*(1-Constants!$H111))+(AV17*Constants!$H75*Constants!$H127))</f>
        <v>21255248.469736625</v>
      </c>
      <c r="AW62" s="22">
        <f>((AW17*Constants!$H75*Constants!$H93*(1-Constants!$H111))+(AW17*Constants!$H75*Constants!$H127))</f>
        <v>21032057.421736315</v>
      </c>
      <c r="AX62" s="22">
        <f>((AX17*Constants!$H75*Constants!$H93*(1-Constants!$H111))+(AX17*Constants!$H75*Constants!$H127))</f>
        <v>20775144.647597391</v>
      </c>
      <c r="AY62" s="22">
        <f>((AY17*Constants!$H75*Constants!$H93*(1-Constants!$H111))+(AY17*Constants!$H75*Constants!$H127))</f>
        <v>20485378.813188829</v>
      </c>
      <c r="AZ62" s="22">
        <f>((AZ17*Constants!$H75*Constants!$H93*(1-Constants!$H111))+(AZ17*Constants!$H75*Constants!$H127))</f>
        <v>20163873.066222437</v>
      </c>
      <c r="BA62" s="22">
        <f>((BA17*Constants!$H75*Constants!$H93*(1-Constants!$H111))+(BA17*Constants!$H75*Constants!$H127))</f>
        <v>19811833.169087969</v>
      </c>
      <c r="BB62" s="22">
        <f>((BB17*Constants!$H75*Constants!$H93*(1-Constants!$H111))+(BB17*Constants!$H75*Constants!$H127))</f>
        <v>19430612.199402802</v>
      </c>
      <c r="BC62" s="22">
        <f>((BC17*Constants!$H75*Constants!$H93*(1-Constants!$H111))+(BC17*Constants!$H75*Constants!$H127))</f>
        <v>-1810588.8336817948</v>
      </c>
      <c r="BD62" s="22">
        <f>((BD17*Constants!$H75*Constants!$H93*(1-Constants!$H111))+(BD17*Constants!$H75*Constants!$H127))</f>
        <v>-1790987.5566519727</v>
      </c>
      <c r="BE62" s="22">
        <f>((BE17*Constants!$H75*Constants!$H93*(1-Constants!$H111))+(BE17*Constants!$H75*Constants!$H127))</f>
        <v>-1771316.8336056678</v>
      </c>
      <c r="BF62" s="22">
        <f>((BF17*Constants!$H75*Constants!$H93*(1-Constants!$H111))+(BF17*Constants!$H75*Constants!$H127))</f>
        <v>-1751597.0719566722</v>
      </c>
      <c r="BG62" s="22">
        <f>((BG17*Constants!$H75*Constants!$H93*(1-Constants!$H111))+(BG17*Constants!$H75*Constants!$H127))</f>
        <v>-1731850.8258347916</v>
      </c>
      <c r="BH62" s="22">
        <f>((BH17*Constants!$H75*Constants!$H93*(1-Constants!$H111))+(BH17*Constants!$H75*Constants!$H127))</f>
        <v>-1712025.7517569587</v>
      </c>
      <c r="BI62" s="22">
        <f>((BI17*Constants!$H75*Constants!$H93*(1-Constants!$H111))+(BI17*Constants!$H75*Constants!$H127))</f>
        <v>-1692090.9472314739</v>
      </c>
      <c r="BJ62" s="22">
        <f>((BJ17*Constants!$H75*Constants!$H93*(1-Constants!$H111))+(BJ17*Constants!$H75*Constants!$H127))</f>
        <v>-1672048.3379669054</v>
      </c>
      <c r="BK62" s="22">
        <f>((BK17*Constants!$H75*Constants!$H93*(1-Constants!$H111))+(BK17*Constants!$H75*Constants!$H127))</f>
        <v>-1651864.7099637298</v>
      </c>
      <c r="BL62" s="22">
        <f>((BL17*Constants!$H75*Constants!$H93*(1-Constants!$H111))+(BL17*Constants!$H75*Constants!$H127))</f>
        <v>-1631505.6078826098</v>
      </c>
      <c r="BM62" s="22">
        <f>((BM17*Constants!$H75*Constants!$H93*(1-Constants!$H111))+(BM17*Constants!$H75*Constants!$H127))</f>
        <v>-1610976.8099984734</v>
      </c>
      <c r="BN62" s="22">
        <f>((BN17*Constants!$H75*Constants!$H93*(1-Constants!$H111))+(BN17*Constants!$H75*Constants!$H127))</f>
        <v>-1590295.3989921769</v>
      </c>
      <c r="BO62" s="22">
        <f>((BO17*Constants!$H75*Constants!$H93*(1-Constants!$H111))+(BO17*Constants!$H75*Constants!$H127))</f>
        <v>-1569475.9871582442</v>
      </c>
      <c r="BP62" s="22">
        <f>((BP17*Constants!$H75*Constants!$H93*(1-Constants!$H111))+(BP17*Constants!$H75*Constants!$H127))</f>
        <v>-1548489.7510696545</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1669286.6504273994</v>
      </c>
      <c r="AM63" s="22">
        <f>((AM18*Constants!$H76*Constants!$H94*(1-Constants!$H112))+(AM18*Constants!$H76*Constants!$H128))</f>
        <v>1728893.8539450688</v>
      </c>
      <c r="AN63" s="22">
        <f>((AN18*Constants!$H76*Constants!$H94*(1-Constants!$H112))+(AN18*Constants!$H76*Constants!$H128))</f>
        <v>5526440.9197360929</v>
      </c>
      <c r="AO63" s="22">
        <f>((AO18*Constants!$H76*Constants!$H94*(1-Constants!$H112))+(AO18*Constants!$H76*Constants!$H128))</f>
        <v>5541590.263386853</v>
      </c>
      <c r="AP63" s="22">
        <f>((AP18*Constants!$H76*Constants!$H94*(1-Constants!$H112))+(AP18*Constants!$H76*Constants!$H128))</f>
        <v>5547185.3603567407</v>
      </c>
      <c r="AQ63" s="22">
        <f>((AQ18*Constants!$H76*Constants!$H94*(1-Constants!$H112))+(AQ18*Constants!$H76*Constants!$H128))</f>
        <v>5543478.6638838593</v>
      </c>
      <c r="AR63" s="22">
        <f>((AR18*Constants!$H76*Constants!$H94*(1-Constants!$H112))+(AR18*Constants!$H76*Constants!$H128))</f>
        <v>5531029.3783723004</v>
      </c>
      <c r="AS63" s="22">
        <f>((AS18*Constants!$H76*Constants!$H94*(1-Constants!$H112))+(AS18*Constants!$H76*Constants!$H128))</f>
        <v>5509723.1492693787</v>
      </c>
      <c r="AT63" s="22">
        <f>((AT18*Constants!$H76*Constants!$H94*(1-Constants!$H112))+(AT18*Constants!$H76*Constants!$H128))</f>
        <v>5479529.3580593169</v>
      </c>
      <c r="AU63" s="22">
        <f>((AU18*Constants!$H76*Constants!$H94*(1-Constants!$H112))+(AU18*Constants!$H76*Constants!$H128))</f>
        <v>5440450.8360235849</v>
      </c>
      <c r="AV63" s="22">
        <f>((AV18*Constants!$H76*Constants!$H94*(1-Constants!$H112))+(AV18*Constants!$H76*Constants!$H128))</f>
        <v>5392537.704946992</v>
      </c>
      <c r="AW63" s="22">
        <f>((AW18*Constants!$H76*Constants!$H94*(1-Constants!$H112))+(AW18*Constants!$H76*Constants!$H128))</f>
        <v>5335913.2837617034</v>
      </c>
      <c r="AX63" s="22">
        <f>((AX18*Constants!$H76*Constants!$H94*(1-Constants!$H112))+(AX18*Constants!$H76*Constants!$H128))</f>
        <v>5270733.5318806926</v>
      </c>
      <c r="AY63" s="22">
        <f>((AY18*Constants!$H76*Constants!$H94*(1-Constants!$H112))+(AY18*Constants!$H76*Constants!$H128))</f>
        <v>5197218.8331521209</v>
      </c>
      <c r="AZ63" s="22">
        <f>((AZ18*Constants!$H76*Constants!$H94*(1-Constants!$H112))+(AZ18*Constants!$H76*Constants!$H128))</f>
        <v>5115651.5974012958</v>
      </c>
      <c r="BA63" s="22">
        <f>((BA18*Constants!$H76*Constants!$H94*(1-Constants!$H112))+(BA18*Constants!$H76*Constants!$H128))</f>
        <v>5026337.7311509792</v>
      </c>
      <c r="BB63" s="22">
        <f>((BB18*Constants!$H76*Constants!$H94*(1-Constants!$H112))+(BB18*Constants!$H76*Constants!$H128))</f>
        <v>4929620.51535975</v>
      </c>
      <c r="BC63" s="22">
        <f>((BC18*Constants!$H76*Constants!$H94*(1-Constants!$H112))+(BC18*Constants!$H76*Constants!$H128))</f>
        <v>-459353.30126517481</v>
      </c>
      <c r="BD63" s="22">
        <f>((BD18*Constants!$H76*Constants!$H94*(1-Constants!$H112))+(BD18*Constants!$H76*Constants!$H128))</f>
        <v>-454380.38243061386</v>
      </c>
      <c r="BE63" s="22">
        <f>((BE18*Constants!$H76*Constants!$H94*(1-Constants!$H112))+(BE18*Constants!$H76*Constants!$H128))</f>
        <v>-449389.84487647517</v>
      </c>
      <c r="BF63" s="22">
        <f>((BF18*Constants!$H76*Constants!$H94*(1-Constants!$H112))+(BF18*Constants!$H76*Constants!$H128))</f>
        <v>-444386.86604156852</v>
      </c>
      <c r="BG63" s="22">
        <f>((BG18*Constants!$H76*Constants!$H94*(1-Constants!$H112))+(BG18*Constants!$H76*Constants!$H128))</f>
        <v>-439377.16799475363</v>
      </c>
      <c r="BH63" s="22">
        <f>((BH18*Constants!$H76*Constants!$H94*(1-Constants!$H112))+(BH18*Constants!$H76*Constants!$H128))</f>
        <v>-434347.47099449049</v>
      </c>
      <c r="BI63" s="22">
        <f>((BI18*Constants!$H76*Constants!$H94*(1-Constants!$H112))+(BI18*Constants!$H76*Constants!$H128))</f>
        <v>-429289.93496062653</v>
      </c>
      <c r="BJ63" s="22">
        <f>((BJ18*Constants!$H76*Constants!$H94*(1-Constants!$H112))+(BJ18*Constants!$H76*Constants!$H128))</f>
        <v>-424205.04845277936</v>
      </c>
      <c r="BK63" s="22">
        <f>((BK18*Constants!$H76*Constants!$H94*(1-Constants!$H112))+(BK18*Constants!$H76*Constants!$H128))</f>
        <v>-419084.38495243399</v>
      </c>
      <c r="BL63" s="22">
        <f>((BL18*Constants!$H76*Constants!$H94*(1-Constants!$H112))+(BL18*Constants!$H76*Constants!$H128))</f>
        <v>-413919.20300842536</v>
      </c>
      <c r="BM63" s="22">
        <f>((BM18*Constants!$H76*Constants!$H94*(1-Constants!$H112))+(BM18*Constants!$H76*Constants!$H128))</f>
        <v>-408710.96859116765</v>
      </c>
      <c r="BN63" s="22">
        <f>((BN18*Constants!$H76*Constants!$H94*(1-Constants!$H112))+(BN18*Constants!$H76*Constants!$H128))</f>
        <v>-403464.01564202906</v>
      </c>
      <c r="BO63" s="22">
        <f>((BO18*Constants!$H76*Constants!$H94*(1-Constants!$H112))+(BO18*Constants!$H76*Constants!$H128))</f>
        <v>-398182.05135593045</v>
      </c>
      <c r="BP63" s="22">
        <f>((BP18*Constants!$H76*Constants!$H94*(1-Constants!$H112))+(BP18*Constants!$H76*Constants!$H128))</f>
        <v>-392857.76311936771</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9991382.7736652158</v>
      </c>
      <c r="AE64" s="22">
        <f>((AE19*Constants!$H77*Constants!$H95*(1-Constants!$H113))+(AE19*Constants!$H77*Constants!$H129))</f>
        <v>10194527.393101329</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10870140.745282182</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10716755.548243115</v>
      </c>
      <c r="AM64" s="22">
        <f>((AM19*Constants!$H77*Constants!$H95*(1-Constants!$H113))+(AM19*Constants!$H77*Constants!$H129))</f>
        <v>11109863.366597446</v>
      </c>
      <c r="AN64" s="22">
        <f>((AN19*Constants!$H77*Constants!$H95*(1-Constants!$H113))+(AN19*Constants!$H77*Constants!$H129))</f>
        <v>24690966.675047379</v>
      </c>
      <c r="AO64" s="22">
        <f>((AO19*Constants!$H77*Constants!$H95*(1-Constants!$H113))+(AO19*Constants!$H77*Constants!$H129))</f>
        <v>25233783.355512906</v>
      </c>
      <c r="AP64" s="22">
        <f>((AP19*Constants!$H77*Constants!$H95*(1-Constants!$H113))+(AP19*Constants!$H77*Constants!$H129))</f>
        <v>25754339.411530457</v>
      </c>
      <c r="AQ64" s="22">
        <f>((AQ19*Constants!$H77*Constants!$H95*(1-Constants!$H113))+(AQ19*Constants!$H77*Constants!$H129))</f>
        <v>26248037.537013955</v>
      </c>
      <c r="AR64" s="22">
        <f>((AR19*Constants!$H77*Constants!$H95*(1-Constants!$H113))+(AR19*Constants!$H77*Constants!$H129))</f>
        <v>26708643.510836761</v>
      </c>
      <c r="AS64" s="22">
        <f>((AS19*Constants!$H77*Constants!$H95*(1-Constants!$H113))+(AS19*Constants!$H77*Constants!$H129))</f>
        <v>27134144.276523028</v>
      </c>
      <c r="AT64" s="22">
        <f>((AT19*Constants!$H77*Constants!$H95*(1-Constants!$H113))+(AT19*Constants!$H77*Constants!$H129))</f>
        <v>27522491.171777278</v>
      </c>
      <c r="AU64" s="22">
        <f>((AU19*Constants!$H77*Constants!$H95*(1-Constants!$H113))+(AU19*Constants!$H77*Constants!$H129))</f>
        <v>27871916.960407145</v>
      </c>
      <c r="AV64" s="22">
        <f>((AV19*Constants!$H77*Constants!$H95*(1-Constants!$H113))+(AV19*Constants!$H77*Constants!$H129))</f>
        <v>28180870.83294154</v>
      </c>
      <c r="AW64" s="22">
        <f>((AW19*Constants!$H77*Constants!$H95*(1-Constants!$H113))+(AW19*Constants!$H77*Constants!$H129))</f>
        <v>28447858.674993973</v>
      </c>
      <c r="AX64" s="22">
        <f>((AX19*Constants!$H77*Constants!$H95*(1-Constants!$H113))+(AX19*Constants!$H77*Constants!$H129))</f>
        <v>28671708.435172521</v>
      </c>
      <c r="AY64" s="22">
        <f>((AY19*Constants!$H77*Constants!$H95*(1-Constants!$H113))+(AY19*Constants!$H77*Constants!$H129))</f>
        <v>28851362.762664717</v>
      </c>
      <c r="AZ64" s="22">
        <f>((AZ19*Constants!$H77*Constants!$H95*(1-Constants!$H113))+(AZ19*Constants!$H77*Constants!$H129))</f>
        <v>28985881.254323658</v>
      </c>
      <c r="BA64" s="22">
        <f>((BA19*Constants!$H77*Constants!$H95*(1-Constants!$H113))+(BA19*Constants!$H77*Constants!$H129))</f>
        <v>29074697.752355039</v>
      </c>
      <c r="BB64" s="22">
        <f>((BB19*Constants!$H77*Constants!$H95*(1-Constants!$H113))+(BB19*Constants!$H77*Constants!$H129))</f>
        <v>29117519.246746603</v>
      </c>
      <c r="BC64" s="22">
        <f>((BC19*Constants!$H77*Constants!$H95*(1-Constants!$H113))+(BC19*Constants!$H77*Constants!$H129))</f>
        <v>3795857.6656032237</v>
      </c>
      <c r="BD64" s="22">
        <f>((BD19*Constants!$H77*Constants!$H95*(1-Constants!$H113))+(BD19*Constants!$H77*Constants!$H129))</f>
        <v>3823716.7734032031</v>
      </c>
      <c r="BE64" s="22">
        <f>((BE19*Constants!$H77*Constants!$H95*(1-Constants!$H113))+(BE19*Constants!$H77*Constants!$H129))</f>
        <v>3850885.2898393008</v>
      </c>
      <c r="BF64" s="22">
        <f>((BF19*Constants!$H77*Constants!$H95*(1-Constants!$H113))+(BF19*Constants!$H77*Constants!$H129))</f>
        <v>3877404.1425925829</v>
      </c>
      <c r="BG64" s="22">
        <f>((BG19*Constants!$H77*Constants!$H95*(1-Constants!$H113))+(BG19*Constants!$H77*Constants!$H129))</f>
        <v>3903320.5114719034</v>
      </c>
      <c r="BH64" s="22">
        <f>((BH19*Constants!$H77*Constants!$H95*(1-Constants!$H113))+(BH19*Constants!$H77*Constants!$H129))</f>
        <v>3928528.1349214963</v>
      </c>
      <c r="BI64" s="22">
        <f>((BI19*Constants!$H77*Constants!$H95*(1-Constants!$H113))+(BI19*Constants!$H77*Constants!$H129))</f>
        <v>3952957.0357069927</v>
      </c>
      <c r="BJ64" s="22">
        <f>((BJ19*Constants!$H77*Constants!$H95*(1-Constants!$H113))+(BJ19*Constants!$H77*Constants!$H129))</f>
        <v>3976602.0602718103</v>
      </c>
      <c r="BK64" s="22">
        <f>((BK19*Constants!$H77*Constants!$H95*(1-Constants!$H113))+(BK19*Constants!$H77*Constants!$H129))</f>
        <v>3999379.8532006997</v>
      </c>
      <c r="BL64" s="22">
        <f>((BL19*Constants!$H77*Constants!$H95*(1-Constants!$H113))+(BL19*Constants!$H77*Constants!$H129))</f>
        <v>4021197.6185924937</v>
      </c>
      <c r="BM64" s="22">
        <f>((BM19*Constants!$H77*Constants!$H95*(1-Constants!$H113))+(BM19*Constants!$H77*Constants!$H129))</f>
        <v>4042047.2411376513</v>
      </c>
      <c r="BN64" s="22">
        <f>((BN19*Constants!$H77*Constants!$H95*(1-Constants!$H113))+(BN19*Constants!$H77*Constants!$H129))</f>
        <v>4061946.306254033</v>
      </c>
      <c r="BO64" s="22">
        <f>((BO19*Constants!$H77*Constants!$H95*(1-Constants!$H113))+(BO19*Constants!$H77*Constants!$H129))</f>
        <v>4080907.94282737</v>
      </c>
      <c r="BP64" s="22">
        <f>((BP19*Constants!$H77*Constants!$H95*(1-Constants!$H113))+(BP19*Constants!$H77*Constants!$H129))</f>
        <v>4098841.6615758603</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50031084.230106682</v>
      </c>
      <c r="AE65" s="22">
        <f>((AE20*Constants!$H78*Constants!$H96*(1-Constants!$H114))+(AE20*Constants!$H78*Constants!$H130))</f>
        <v>50689904.185566798</v>
      </c>
      <c r="AF65" s="22">
        <f>((AF20*Constants!$H78*Constants!$H96*(1-Constants!$H114))+(AF20*Constants!$H78*Constants!$H130))</f>
        <v>51748158.015700467</v>
      </c>
      <c r="AG65" s="22">
        <f>((AG20*Constants!$H78*Constants!$H96*(1-Constants!$H114))+(AG20*Constants!$H78*Constants!$H130))</f>
        <v>52052013.608416229</v>
      </c>
      <c r="AH65" s="22">
        <f>((AH20*Constants!$H78*Constants!$H96*(1-Constants!$H114))+(AH20*Constants!$H78*Constants!$H130))</f>
        <v>51865691.663914956</v>
      </c>
      <c r="AI65" s="22">
        <f>((AI20*Constants!$H78*Constants!$H96*(1-Constants!$H114))+(AI20*Constants!$H78*Constants!$H130))</f>
        <v>51191174.533183947</v>
      </c>
      <c r="AJ65" s="22">
        <f>((AJ20*Constants!$H78*Constants!$H96*(1-Constants!$H114))+(AJ20*Constants!$H78*Constants!$H130))</f>
        <v>50907218.229325041</v>
      </c>
      <c r="AK65" s="22">
        <f>((AK20*Constants!$H78*Constants!$H96*(1-Constants!$H114))+(AK20*Constants!$H78*Constants!$H130))</f>
        <v>50687682.526318632</v>
      </c>
      <c r="AL65" s="22">
        <f>((AL20*Constants!$H78*Constants!$H96*(1-Constants!$H114))+(AL20*Constants!$H78*Constants!$H130))</f>
        <v>44205362.178658716</v>
      </c>
      <c r="AM65" s="22">
        <f>((AM20*Constants!$H78*Constants!$H96*(1-Constants!$H114))+(AM20*Constants!$H78*Constants!$H130))</f>
        <v>47550834.72582972</v>
      </c>
      <c r="AN65" s="22">
        <f>((AN20*Constants!$H78*Constants!$H96*(1-Constants!$H114))+(AN20*Constants!$H78*Constants!$H130))</f>
        <v>206762940.52638629</v>
      </c>
      <c r="AO65" s="22">
        <f>((AO20*Constants!$H78*Constants!$H96*(1-Constants!$H114))+(AO20*Constants!$H78*Constants!$H130))</f>
        <v>210469856.84144831</v>
      </c>
      <c r="AP65" s="22">
        <f>((AP20*Constants!$H78*Constants!$H96*(1-Constants!$H114))+(AP20*Constants!$H78*Constants!$H130))</f>
        <v>213763053.5693441</v>
      </c>
      <c r="AQ65" s="22">
        <f>((AQ20*Constants!$H78*Constants!$H96*(1-Constants!$H114))+(AQ20*Constants!$H78*Constants!$H130))</f>
        <v>216656592.34845304</v>
      </c>
      <c r="AR65" s="22">
        <f>((AR20*Constants!$H78*Constants!$H96*(1-Constants!$H114))+(AR20*Constants!$H78*Constants!$H130))</f>
        <v>219189796.84662348</v>
      </c>
      <c r="AS65" s="22">
        <f>((AS20*Constants!$H78*Constants!$H96*(1-Constants!$H114))+(AS20*Constants!$H78*Constants!$H130))</f>
        <v>221343665.69010475</v>
      </c>
      <c r="AT65" s="22">
        <f>((AT20*Constants!$H78*Constants!$H96*(1-Constants!$H114))+(AT20*Constants!$H78*Constants!$H130))</f>
        <v>223103610.96007687</v>
      </c>
      <c r="AU65" s="22">
        <f>((AU20*Constants!$H78*Constants!$H96*(1-Constants!$H114))+(AU20*Constants!$H78*Constants!$H130))</f>
        <v>224455294.08297551</v>
      </c>
      <c r="AV65" s="22">
        <f>((AV20*Constants!$H78*Constants!$H96*(1-Constants!$H114))+(AV20*Constants!$H78*Constants!$H130))</f>
        <v>225385926.89750028</v>
      </c>
      <c r="AW65" s="22">
        <f>((AW20*Constants!$H78*Constants!$H96*(1-Constants!$H114))+(AW20*Constants!$H78*Constants!$H130))</f>
        <v>225886789.21277454</v>
      </c>
      <c r="AX65" s="22">
        <f>((AX20*Constants!$H78*Constants!$H96*(1-Constants!$H114))+(AX20*Constants!$H78*Constants!$H130))</f>
        <v>225949796.31481308</v>
      </c>
      <c r="AY65" s="22">
        <f>((AY20*Constants!$H78*Constants!$H96*(1-Constants!$H114))+(AY20*Constants!$H78*Constants!$H130))</f>
        <v>225570591.91821644</v>
      </c>
      <c r="AZ65" s="22">
        <f>((AZ20*Constants!$H78*Constants!$H96*(1-Constants!$H114))+(AZ20*Constants!$H78*Constants!$H130))</f>
        <v>224748646.68198627</v>
      </c>
      <c r="BA65" s="22">
        <f>((BA20*Constants!$H78*Constants!$H96*(1-Constants!$H114))+(BA20*Constants!$H78*Constants!$H130))</f>
        <v>223483896.55395353</v>
      </c>
      <c r="BB65" s="22">
        <f>((BB20*Constants!$H78*Constants!$H96*(1-Constants!$H114))+(BB20*Constants!$H78*Constants!$H130))</f>
        <v>221778236.05420265</v>
      </c>
      <c r="BC65" s="22">
        <f>((BC20*Constants!$H78*Constants!$H96*(1-Constants!$H114))+(BC20*Constants!$H78*Constants!$H130))</f>
        <v>-47358762.46897573</v>
      </c>
      <c r="BD65" s="22">
        <f>((BD20*Constants!$H78*Constants!$H96*(1-Constants!$H114))+(BD20*Constants!$H78*Constants!$H130))</f>
        <v>-47425782.703368112</v>
      </c>
      <c r="BE65" s="22">
        <f>((BE20*Constants!$H78*Constants!$H96*(1-Constants!$H114))+(BE20*Constants!$H78*Constants!$H130))</f>
        <v>-47486468.386363097</v>
      </c>
      <c r="BF65" s="22">
        <f>((BF20*Constants!$H78*Constants!$H96*(1-Constants!$H114))+(BF20*Constants!$H78*Constants!$H130))</f>
        <v>-47541335.574629463</v>
      </c>
      <c r="BG65" s="22">
        <f>((BG20*Constants!$H78*Constants!$H96*(1-Constants!$H114))+(BG20*Constants!$H78*Constants!$H130))</f>
        <v>-47590974.261808403</v>
      </c>
      <c r="BH65" s="22">
        <f>((BH20*Constants!$H78*Constants!$H96*(1-Constants!$H114))+(BH20*Constants!$H78*Constants!$H130))</f>
        <v>-47633999.088197194</v>
      </c>
      <c r="BI65" s="22">
        <f>((BI20*Constants!$H78*Constants!$H96*(1-Constants!$H114))+(BI20*Constants!$H78*Constants!$H130))</f>
        <v>-47669524.193234615</v>
      </c>
      <c r="BJ65" s="22">
        <f>((BJ20*Constants!$H78*Constants!$H96*(1-Constants!$H114))+(BJ20*Constants!$H78*Constants!$H130))</f>
        <v>-47697509.358967923</v>
      </c>
      <c r="BK65" s="22">
        <f>((BK20*Constants!$H78*Constants!$H96*(1-Constants!$H114))+(BK20*Constants!$H78*Constants!$H130))</f>
        <v>-47716933.323081039</v>
      </c>
      <c r="BL65" s="22">
        <f>((BL20*Constants!$H78*Constants!$H96*(1-Constants!$H114))+(BL20*Constants!$H78*Constants!$H130))</f>
        <v>-47726682.155939534</v>
      </c>
      <c r="BM65" s="22">
        <f>((BM20*Constants!$H78*Constants!$H96*(1-Constants!$H114))+(BM20*Constants!$H78*Constants!$H130))</f>
        <v>-47726723.936664656</v>
      </c>
      <c r="BN65" s="22">
        <f>((BN20*Constants!$H78*Constants!$H96*(1-Constants!$H114))+(BN20*Constants!$H78*Constants!$H130))</f>
        <v>-47717347.888305739</v>
      </c>
      <c r="BO65" s="22">
        <f>((BO20*Constants!$H78*Constants!$H96*(1-Constants!$H114))+(BO20*Constants!$H78*Constants!$H130))</f>
        <v>-47698783.861094415</v>
      </c>
      <c r="BP65" s="22">
        <f>((BP20*Constants!$H78*Constants!$H96*(1-Constants!$H114))+(BP20*Constants!$H78*Constants!$H130))</f>
        <v>-47669987.590099581</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35097521.000428304</v>
      </c>
      <c r="AJ67" s="22">
        <f>AJ6*Constants!$H64*(1-Constants!$H82)</f>
        <v>35222032.138192892</v>
      </c>
      <c r="AK67" s="22">
        <f>AK6*Constants!$H64*(1-Constants!$H82)</f>
        <v>35364867.326667368</v>
      </c>
      <c r="AL67" s="22">
        <f>AL6*Constants!$H64*(1-Constants!$H82)</f>
        <v>34359988.567429535</v>
      </c>
      <c r="AM67" s="22">
        <f>AM6*Constants!$H64*(1-Constants!$H82)</f>
        <v>34951200.83189436</v>
      </c>
      <c r="AN67" s="22">
        <f>AN6*Constants!$H64*(1-Constants!$H82)</f>
        <v>60136336.155716456</v>
      </c>
      <c r="AO67" s="22">
        <f>AO6*Constants!$H64*(1-Constants!$H82)</f>
        <v>60861251.619290501</v>
      </c>
      <c r="AP67" s="22">
        <f>AP6*Constants!$H64*(1-Constants!$H82)</f>
        <v>61554370.516986609</v>
      </c>
      <c r="AQ67" s="22">
        <f>AQ6*Constants!$H64*(1-Constants!$H82)</f>
        <v>62203903.049339555</v>
      </c>
      <c r="AR67" s="22">
        <f>AR6*Constants!$H64*(1-Constants!$H82)</f>
        <v>62792503.297931142</v>
      </c>
      <c r="AS67" s="22">
        <f>AS6*Constants!$H64*(1-Constants!$H82)</f>
        <v>63317422.486353055</v>
      </c>
      <c r="AT67" s="22">
        <f>AT6*Constants!$H64*(1-Constants!$H82)</f>
        <v>63775602.683260627</v>
      </c>
      <c r="AU67" s="22">
        <f>AU6*Constants!$H64*(1-Constants!$H82)</f>
        <v>64164729.485862568</v>
      </c>
      <c r="AV67" s="22">
        <f>AV6*Constants!$H64*(1-Constants!$H82)</f>
        <v>64482967.408514351</v>
      </c>
      <c r="AW67" s="22">
        <f>AW6*Constants!$H64*(1-Constants!$H82)</f>
        <v>64728386.943313368</v>
      </c>
      <c r="AX67" s="22">
        <f>AX6*Constants!$H64*(1-Constants!$H82)</f>
        <v>64899832.969243467</v>
      </c>
      <c r="AY67" s="22">
        <f>AY6*Constants!$H64*(1-Constants!$H82)</f>
        <v>64996197.469104685</v>
      </c>
      <c r="AZ67" s="22">
        <f>AZ6*Constants!$H64*(1-Constants!$H82)</f>
        <v>65016409.960969247</v>
      </c>
      <c r="BA67" s="22">
        <f>BA6*Constants!$H64*(1-Constants!$H82)</f>
        <v>64960274.954272583</v>
      </c>
      <c r="BB67" s="22">
        <f>BB6*Constants!$H64*(1-Constants!$H82)</f>
        <v>64828112.03059376</v>
      </c>
      <c r="BC67" s="22">
        <f>BC6*Constants!$H64*(1-Constants!$H82)</f>
        <v>20510493.612558652</v>
      </c>
      <c r="BD67" s="22">
        <f>BD6*Constants!$H64*(1-Constants!$H82)</f>
        <v>20525465.928692017</v>
      </c>
      <c r="BE67" s="22">
        <f>BE6*Constants!$H64*(1-Constants!$H82)</f>
        <v>20539360.438665356</v>
      </c>
      <c r="BF67" s="22">
        <f>BF6*Constants!$H64*(1-Constants!$H82)</f>
        <v>20552271.134052936</v>
      </c>
      <c r="BG67" s="22">
        <f>BG6*Constants!$H64*(1-Constants!$H82)</f>
        <v>20564313.79277578</v>
      </c>
      <c r="BH67" s="22">
        <f>BH6*Constants!$H64*(1-Constants!$H82)</f>
        <v>20575110.454278175</v>
      </c>
      <c r="BI67" s="22">
        <f>BI6*Constants!$H64*(1-Constants!$H82)</f>
        <v>20584407.303497422</v>
      </c>
      <c r="BJ67" s="22">
        <f>BJ6*Constants!$H64*(1-Constants!$H82)</f>
        <v>20592163.638196778</v>
      </c>
      <c r="BK67" s="22">
        <f>BK6*Constants!$H64*(1-Constants!$H82)</f>
        <v>20598091.469343696</v>
      </c>
      <c r="BL67" s="22">
        <f>BL6*Constants!$H64*(1-Constants!$H82)</f>
        <v>20601878.130900536</v>
      </c>
      <c r="BM67" s="22">
        <f>BM6*Constants!$H64*(1-Constants!$H82)</f>
        <v>20603485.004250791</v>
      </c>
      <c r="BN67" s="22">
        <f>BN6*Constants!$H64*(1-Constants!$H82)</f>
        <v>20602956.499780618</v>
      </c>
      <c r="BO67" s="22">
        <f>BO6*Constants!$H64*(1-Constants!$H82)</f>
        <v>20600323.588610966</v>
      </c>
      <c r="BP67" s="22">
        <f>BP6*Constants!$H64*(1-Constants!$H82)</f>
        <v>20595292.191577021</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23901651.9416105</v>
      </c>
      <c r="AJ68" s="22">
        <f>AJ7*Constants!$H65*(1-Constants!$H83)</f>
        <v>23986444.878344316</v>
      </c>
      <c r="AK68" s="22">
        <f>AK7*Constants!$H65*(1-Constants!$H83)</f>
        <v>24083716.618986327</v>
      </c>
      <c r="AL68" s="22">
        <f>AL7*Constants!$H65*(1-Constants!$H83)</f>
        <v>23399387.308476705</v>
      </c>
      <c r="AM68" s="22">
        <f>AM7*Constants!$H65*(1-Constants!$H83)</f>
        <v>23802006.905703444</v>
      </c>
      <c r="AN68" s="22">
        <f>AN7*Constants!$H65*(1-Constants!$H83)</f>
        <v>40953256.380132407</v>
      </c>
      <c r="AO68" s="22">
        <f>AO7*Constants!$H65*(1-Constants!$H83)</f>
        <v>41446928.770761557</v>
      </c>
      <c r="AP68" s="22">
        <f>AP7*Constants!$H65*(1-Constants!$H83)</f>
        <v>41918947.482472926</v>
      </c>
      <c r="AQ68" s="22">
        <f>AQ7*Constants!$H65*(1-Constants!$H83)</f>
        <v>42361283.581163868</v>
      </c>
      <c r="AR68" s="22">
        <f>AR7*Constants!$H65*(1-Constants!$H83)</f>
        <v>42762124.377709299</v>
      </c>
      <c r="AS68" s="22">
        <f>AS7*Constants!$H65*(1-Constants!$H83)</f>
        <v>43119597.936567768</v>
      </c>
      <c r="AT68" s="22">
        <f>AT7*Constants!$H65*(1-Constants!$H83)</f>
        <v>43431621.785570957</v>
      </c>
      <c r="AU68" s="22">
        <f>AU7*Constants!$H65*(1-Constants!$H83)</f>
        <v>43696619.80058261</v>
      </c>
      <c r="AV68" s="22">
        <f>AV7*Constants!$H65*(1-Constants!$H83)</f>
        <v>43913342.003320269</v>
      </c>
      <c r="AW68" s="22">
        <f>AW7*Constants!$H65*(1-Constants!$H83)</f>
        <v>44080474.38570039</v>
      </c>
      <c r="AX68" s="22">
        <f>AX7*Constants!$H65*(1-Constants!$H83)</f>
        <v>44197230.30240754</v>
      </c>
      <c r="AY68" s="22">
        <f>AY7*Constants!$H65*(1-Constants!$H83)</f>
        <v>44262855.186147392</v>
      </c>
      <c r="AZ68" s="22">
        <f>AZ7*Constants!$H65*(1-Constants!$H83)</f>
        <v>44276620.031402819</v>
      </c>
      <c r="BA68" s="22">
        <f>BA7*Constants!$H65*(1-Constants!$H83)</f>
        <v>44238391.707761735</v>
      </c>
      <c r="BB68" s="22">
        <f>BB7*Constants!$H65*(1-Constants!$H83)</f>
        <v>44148387.852466144</v>
      </c>
      <c r="BC68" s="22">
        <f>BC7*Constants!$H65*(1-Constants!$H83)</f>
        <v>13967786.484749727</v>
      </c>
      <c r="BD68" s="22">
        <f>BD7*Constants!$H65*(1-Constants!$H83)</f>
        <v>13977982.734478448</v>
      </c>
      <c r="BE68" s="22">
        <f>BE7*Constants!$H65*(1-Constants!$H83)</f>
        <v>13987444.990837749</v>
      </c>
      <c r="BF68" s="22">
        <f>BF7*Constants!$H65*(1-Constants!$H83)</f>
        <v>13996237.262732802</v>
      </c>
      <c r="BG68" s="22">
        <f>BG7*Constants!$H65*(1-Constants!$H83)</f>
        <v>14004438.395719986</v>
      </c>
      <c r="BH68" s="22">
        <f>BH7*Constants!$H65*(1-Constants!$H83)</f>
        <v>14011790.996074824</v>
      </c>
      <c r="BI68" s="22">
        <f>BI7*Constants!$H65*(1-Constants!$H83)</f>
        <v>14018122.214002989</v>
      </c>
      <c r="BJ68" s="22">
        <f>BJ7*Constants!$H65*(1-Constants!$H83)</f>
        <v>14023404.331002774</v>
      </c>
      <c r="BK68" s="22">
        <f>BK7*Constants!$H65*(1-Constants!$H83)</f>
        <v>14027441.224572565</v>
      </c>
      <c r="BL68" s="22">
        <f>BL7*Constants!$H65*(1-Constants!$H83)</f>
        <v>14030019.967001442</v>
      </c>
      <c r="BM68" s="22">
        <f>BM7*Constants!$H65*(1-Constants!$H83)</f>
        <v>14031114.258747336</v>
      </c>
      <c r="BN68" s="22">
        <f>BN7*Constants!$H65*(1-Constants!$H83)</f>
        <v>14030754.343587074</v>
      </c>
      <c r="BO68" s="22">
        <f>BO7*Constants!$H65*(1-Constants!$H83)</f>
        <v>14028961.313065933</v>
      </c>
      <c r="BP68" s="22">
        <f>BP7*Constants!$H65*(1-Constants!$H83)</f>
        <v>14025534.89726056</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488521322.93671769</v>
      </c>
      <c r="AE69" s="22">
        <f>AE8*Constants!$H66*(1-Constants!$H84)</f>
        <v>484284533.51604748</v>
      </c>
      <c r="AF69" s="22">
        <f>AF8*Constants!$H66*(1-Constants!$H84)</f>
        <v>482671716.04202366</v>
      </c>
      <c r="AG69" s="22">
        <f>AG8*Constants!$H66*(1-Constants!$H84)</f>
        <v>476226267.07794714</v>
      </c>
      <c r="AH69" s="22">
        <f>AH8*Constants!$H66*(1-Constants!$H84)</f>
        <v>466870540.49783492</v>
      </c>
      <c r="AI69" s="22">
        <f>AI8*Constants!$H66*(1-Constants!$H84)</f>
        <v>454797998.08090127</v>
      </c>
      <c r="AJ69" s="22">
        <f>AJ8*Constants!$H66*(1-Constants!$H84)</f>
        <v>445276030.79173321</v>
      </c>
      <c r="AK69" s="22">
        <f>AK8*Constants!$H66*(1-Constants!$H84)</f>
        <v>436267167.24004078</v>
      </c>
      <c r="AL69" s="22">
        <f>AL8*Constants!$H66*(1-Constants!$H84)</f>
        <v>390161909.0901956</v>
      </c>
      <c r="AM69" s="22">
        <f>AM8*Constants!$H66*(1-Constants!$H84)</f>
        <v>405193661.79296583</v>
      </c>
      <c r="AN69" s="22">
        <f>AN8*Constants!$H66*(1-Constants!$H84)</f>
        <v>1277047098.240176</v>
      </c>
      <c r="AO69" s="22">
        <f>AO8*Constants!$H66*(1-Constants!$H84)</f>
        <v>1283206780.6743321</v>
      </c>
      <c r="AP69" s="22">
        <f>AP8*Constants!$H66*(1-Constants!$H84)</f>
        <v>1287148962.2040045</v>
      </c>
      <c r="AQ69" s="22">
        <f>AQ8*Constants!$H66*(1-Constants!$H84)</f>
        <v>1288872839.8824949</v>
      </c>
      <c r="AR69" s="22">
        <f>AR8*Constants!$H66*(1-Constants!$H84)</f>
        <v>1288414931.9576464</v>
      </c>
      <c r="AS69" s="22">
        <f>AS8*Constants!$H66*(1-Constants!$H84)</f>
        <v>1285753289.7875524</v>
      </c>
      <c r="AT69" s="22">
        <f>AT8*Constants!$H66*(1-Constants!$H84)</f>
        <v>1280881393.4587114</v>
      </c>
      <c r="AU69" s="22">
        <f>AU8*Constants!$H66*(1-Constants!$H84)</f>
        <v>1273803274.0129907</v>
      </c>
      <c r="AV69" s="22">
        <f>AV8*Constants!$H66*(1-Constants!$H84)</f>
        <v>1264534847.325206</v>
      </c>
      <c r="AW69" s="22">
        <f>AW8*Constants!$H66*(1-Constants!$H84)</f>
        <v>1242576081.1787887</v>
      </c>
      <c r="AX69" s="22">
        <f>AX8*Constants!$H66*(1-Constants!$H84)</f>
        <v>1218548938.1534262</v>
      </c>
      <c r="AY69" s="22">
        <f>AY8*Constants!$H66*(1-Constants!$H84)</f>
        <v>1192561376.9723177</v>
      </c>
      <c r="AZ69" s="22">
        <f>AZ8*Constants!$H66*(1-Constants!$H84)</f>
        <v>1164733623.5402482</v>
      </c>
      <c r="BA69" s="22">
        <f>BA8*Constants!$H66*(1-Constants!$H84)</f>
        <v>1135193668.5917172</v>
      </c>
      <c r="BB69" s="22">
        <f>BB8*Constants!$H66*(1-Constants!$H84)</f>
        <v>1104077803.9315224</v>
      </c>
      <c r="BC69" s="22">
        <f>BC8*Constants!$H66*(1-Constants!$H84)</f>
        <v>-85249372.433487326</v>
      </c>
      <c r="BD69" s="22">
        <f>BD8*Constants!$H66*(1-Constants!$H84)</f>
        <v>-83196813.897647008</v>
      </c>
      <c r="BE69" s="22">
        <f>BE8*Constants!$H66*(1-Constants!$H84)</f>
        <v>-81165611.185914934</v>
      </c>
      <c r="BF69" s="22">
        <f>BF8*Constants!$H66*(1-Constants!$H84)</f>
        <v>-79155554.512517348</v>
      </c>
      <c r="BG69" s="22">
        <f>BG8*Constants!$H66*(1-Constants!$H84)</f>
        <v>-77560225.624581665</v>
      </c>
      <c r="BH69" s="22">
        <f>BH8*Constants!$H66*(1-Constants!$H84)</f>
        <v>-75980030.175962552</v>
      </c>
      <c r="BI69" s="22">
        <f>BI8*Constants!$H66*(1-Constants!$H84)</f>
        <v>-74413792.861597732</v>
      </c>
      <c r="BJ69" s="22">
        <f>BJ8*Constants!$H66*(1-Constants!$H84)</f>
        <v>-72861125.714629233</v>
      </c>
      <c r="BK69" s="22">
        <f>BK8*Constants!$H66*(1-Constants!$H84)</f>
        <v>-71320893.579684064</v>
      </c>
      <c r="BL69" s="22">
        <f>BL8*Constants!$H66*(1-Constants!$H84)</f>
        <v>-69791984.799601853</v>
      </c>
      <c r="BM69" s="22">
        <f>BM8*Constants!$H66*(1-Constants!$H84)</f>
        <v>-68274220.83573395</v>
      </c>
      <c r="BN69" s="22">
        <f>BN8*Constants!$H66*(1-Constants!$H84)</f>
        <v>-66767695.45748876</v>
      </c>
      <c r="BO69" s="22">
        <f>BO8*Constants!$H66*(1-Constants!$H84)</f>
        <v>-65272466.18744947</v>
      </c>
      <c r="BP69" s="22">
        <f>BP8*Constants!$H66*(1-Constants!$H84)</f>
        <v>-63787674.223408684</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307182602.50561363</v>
      </c>
      <c r="AE70" s="22">
        <f>AE9*Constants!$H67*(1-Constants!$H85)</f>
        <v>304518505.89528352</v>
      </c>
      <c r="AF70" s="22">
        <f>AF9*Constants!$H67*(1-Constants!$H85)</f>
        <v>303504364.96473223</v>
      </c>
      <c r="AG70" s="22">
        <f>AG9*Constants!$H67*(1-Constants!$H85)</f>
        <v>299451461.449283</v>
      </c>
      <c r="AH70" s="22">
        <f>AH9*Constants!$H67*(1-Constants!$H85)</f>
        <v>293568573.01785612</v>
      </c>
      <c r="AI70" s="22">
        <f>AI9*Constants!$H67*(1-Constants!$H85)</f>
        <v>285977348.5935058</v>
      </c>
      <c r="AJ70" s="22">
        <f>AJ9*Constants!$H67*(1-Constants!$H85)</f>
        <v>279989927.86993003</v>
      </c>
      <c r="AK70" s="22">
        <f>AK9*Constants!$H67*(1-Constants!$H85)</f>
        <v>274325147.19098032</v>
      </c>
      <c r="AL70" s="22">
        <f>AL9*Constants!$H67*(1-Constants!$H85)</f>
        <v>245334123.62106916</v>
      </c>
      <c r="AM70" s="22">
        <f>AM9*Constants!$H67*(1-Constants!$H85)</f>
        <v>254786101.86369723</v>
      </c>
      <c r="AN70" s="22">
        <f>AN9*Constants!$H67*(1-Constants!$H85)</f>
        <v>803008247.01253736</v>
      </c>
      <c r="AO70" s="22">
        <f>AO9*Constants!$H67*(1-Constants!$H85)</f>
        <v>806881460.30312157</v>
      </c>
      <c r="AP70" s="22">
        <f>AP9*Constants!$H67*(1-Constants!$H85)</f>
        <v>809360307.23359859</v>
      </c>
      <c r="AQ70" s="22">
        <f>AQ9*Constants!$H67*(1-Constants!$H85)</f>
        <v>810444282.91043651</v>
      </c>
      <c r="AR70" s="22">
        <f>AR9*Constants!$H67*(1-Constants!$H85)</f>
        <v>810156350.03737915</v>
      </c>
      <c r="AS70" s="22">
        <f>AS9*Constants!$H67*(1-Constants!$H85)</f>
        <v>808482707.29066503</v>
      </c>
      <c r="AT70" s="22">
        <f>AT9*Constants!$H67*(1-Constants!$H85)</f>
        <v>805419254.94341779</v>
      </c>
      <c r="AU70" s="22">
        <f>AU9*Constants!$H67*(1-Constants!$H85)</f>
        <v>800968527.71801949</v>
      </c>
      <c r="AV70" s="22">
        <f>AV9*Constants!$H67*(1-Constants!$H85)</f>
        <v>795140533.52941144</v>
      </c>
      <c r="AW70" s="22">
        <f>AW9*Constants!$H67*(1-Constants!$H85)</f>
        <v>781332843.63755727</v>
      </c>
      <c r="AX70" s="22">
        <f>AX9*Constants!$H67*(1-Constants!$H85)</f>
        <v>766224556.69332182</v>
      </c>
      <c r="AY70" s="22">
        <f>AY9*Constants!$H67*(1-Constants!$H85)</f>
        <v>749883557.2290653</v>
      </c>
      <c r="AZ70" s="22">
        <f>AZ9*Constants!$H67*(1-Constants!$H85)</f>
        <v>732385443.39083898</v>
      </c>
      <c r="BA70" s="22">
        <f>BA9*Constants!$H67*(1-Constants!$H85)</f>
        <v>713810695.85589099</v>
      </c>
      <c r="BB70" s="22">
        <f>BB9*Constants!$H67*(1-Constants!$H85)</f>
        <v>694245015.02117872</v>
      </c>
      <c r="BC70" s="22">
        <f>BC9*Constants!$H67*(1-Constants!$H85)</f>
        <v>-53604874.253321379</v>
      </c>
      <c r="BD70" s="22">
        <f>BD9*Constants!$H67*(1-Constants!$H85)</f>
        <v>-52314223.787863165</v>
      </c>
      <c r="BE70" s="22">
        <f>BE9*Constants!$H67*(1-Constants!$H85)</f>
        <v>-51037001.881856121</v>
      </c>
      <c r="BF70" s="22">
        <f>BF9*Constants!$H67*(1-Constants!$H85)</f>
        <v>-49773076.621836238</v>
      </c>
      <c r="BG70" s="22">
        <f>BG9*Constants!$H67*(1-Constants!$H85)</f>
        <v>-48769932.528345041</v>
      </c>
      <c r="BH70" s="22">
        <f>BH9*Constants!$H67*(1-Constants!$H85)</f>
        <v>-47776304.353721395</v>
      </c>
      <c r="BI70" s="22">
        <f>BI9*Constants!$H67*(1-Constants!$H85)</f>
        <v>-46791453.065192655</v>
      </c>
      <c r="BJ70" s="22">
        <f>BJ9*Constants!$H67*(1-Constants!$H85)</f>
        <v>-45815134.708885141</v>
      </c>
      <c r="BK70" s="22">
        <f>BK9*Constants!$H67*(1-Constants!$H85)</f>
        <v>-44846635.498183288</v>
      </c>
      <c r="BL70" s="22">
        <f>BL9*Constants!$H67*(1-Constants!$H85)</f>
        <v>-43885256.422166638</v>
      </c>
      <c r="BM70" s="22">
        <f>BM9*Constants!$H67*(1-Constants!$H85)</f>
        <v>-42930885.215588659</v>
      </c>
      <c r="BN70" s="22">
        <f>BN9*Constants!$H67*(1-Constants!$H85)</f>
        <v>-41983580.840729155</v>
      </c>
      <c r="BO70" s="22">
        <f>BO9*Constants!$H67*(1-Constants!$H85)</f>
        <v>-41043379.46783486</v>
      </c>
      <c r="BP70" s="22">
        <f>BP9*Constants!$H67*(1-Constants!$H85)</f>
        <v>-40109741.081384011</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374503192.88652295</v>
      </c>
      <c r="AM72" s="22">
        <f>AM11*Constants!$H69*(1-Constants!$H87)</f>
        <v>374752440.66875142</v>
      </c>
      <c r="AN72" s="22">
        <f>AN11*Constants!$H69*(1-Constants!$H87)</f>
        <v>379633624.09206194</v>
      </c>
      <c r="AO72" s="22">
        <f>AO11*Constants!$H69*(1-Constants!$H87)</f>
        <v>379752696.75201267</v>
      </c>
      <c r="AP72" s="22">
        <f>AP11*Constants!$H69*(1-Constants!$H87)</f>
        <v>380262027.02386248</v>
      </c>
      <c r="AQ72" s="22">
        <f>AQ11*Constants!$H69*(1-Constants!$H87)</f>
        <v>380998276.294236</v>
      </c>
      <c r="AR72" s="22">
        <f>AR11*Constants!$H69*(1-Constants!$H87)</f>
        <v>381682226.63586795</v>
      </c>
      <c r="AS72" s="22">
        <f>AS11*Constants!$H69*(1-Constants!$H87)</f>
        <v>382322346.27305335</v>
      </c>
      <c r="AT72" s="22">
        <f>AT11*Constants!$H69*(1-Constants!$H87)</f>
        <v>382915221.79503411</v>
      </c>
      <c r="AU72" s="22">
        <f>AU11*Constants!$H69*(1-Constants!$H87)</f>
        <v>383466195.05898297</v>
      </c>
      <c r="AV72" s="22">
        <f>AV11*Constants!$H69*(1-Constants!$H87)</f>
        <v>383983623.76815856</v>
      </c>
      <c r="AW72" s="22">
        <f>AW11*Constants!$H69*(1-Constants!$H87)</f>
        <v>384467020.38529062</v>
      </c>
      <c r="AX72" s="22">
        <f>AX11*Constants!$H69*(1-Constants!$H87)</f>
        <v>384924116.59958708</v>
      </c>
      <c r="AY72" s="22">
        <f>AY11*Constants!$H69*(1-Constants!$H87)</f>
        <v>385356018.88467097</v>
      </c>
      <c r="AZ72" s="22">
        <f>AZ11*Constants!$H69*(1-Constants!$H87)</f>
        <v>385756807.52182126</v>
      </c>
      <c r="BA72" s="22">
        <f>BA11*Constants!$H69*(1-Constants!$H87)</f>
        <v>386130148.83294874</v>
      </c>
      <c r="BB72" s="22">
        <f>BB11*Constants!$H69*(1-Constants!$H87)</f>
        <v>386481998.86662805</v>
      </c>
      <c r="BC72" s="22">
        <f>BC11*Constants!$H69*(1-Constants!$H87)</f>
        <v>378000202.26412612</v>
      </c>
      <c r="BD72" s="22">
        <f>BD11*Constants!$H69*(1-Constants!$H87)</f>
        <v>378347807.69510657</v>
      </c>
      <c r="BE72" s="22">
        <f>BE11*Constants!$H69*(1-Constants!$H87)</f>
        <v>378672034.09051102</v>
      </c>
      <c r="BF72" s="22">
        <f>BF11*Constants!$H69*(1-Constants!$H87)</f>
        <v>378974862.9554553</v>
      </c>
      <c r="BG72" s="22">
        <f>BG11*Constants!$H69*(1-Constants!$H87)</f>
        <v>379258703.04452556</v>
      </c>
      <c r="BH72" s="22">
        <f>BH11*Constants!$H69*(1-Constants!$H87)</f>
        <v>379516088.20957834</v>
      </c>
      <c r="BI72" s="22">
        <f>BI11*Constants!$H69*(1-Constants!$H87)</f>
        <v>379742032.47560602</v>
      </c>
      <c r="BJ72" s="22">
        <f>BJ11*Constants!$H69*(1-Constants!$H87)</f>
        <v>379935805.55038506</v>
      </c>
      <c r="BK72" s="22">
        <f>BK11*Constants!$H69*(1-Constants!$H87)</f>
        <v>380091733.47646683</v>
      </c>
      <c r="BL72" s="22">
        <f>BL11*Constants!$H69*(1-Constants!$H87)</f>
        <v>380203648.81731129</v>
      </c>
      <c r="BM72" s="22">
        <f>BM11*Constants!$H69*(1-Constants!$H87)</f>
        <v>380270856.06949997</v>
      </c>
      <c r="BN72" s="22">
        <f>BN11*Constants!$H69*(1-Constants!$H87)</f>
        <v>380294313.8791489</v>
      </c>
      <c r="BO72" s="22">
        <f>BO11*Constants!$H69*(1-Constants!$H87)</f>
        <v>380274708.39392114</v>
      </c>
      <c r="BP72" s="22">
        <f>BP11*Constants!$H69*(1-Constants!$H87)</f>
        <v>380206234.66002947</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41805614.249866866</v>
      </c>
      <c r="AM73" s="22">
        <f>AM12*Constants!$H70*(1-Constants!$H88)</f>
        <v>41833437.661881499</v>
      </c>
      <c r="AN73" s="22">
        <f>AN12*Constants!$H70*(1-Constants!$H88)</f>
        <v>42378321.858208209</v>
      </c>
      <c r="AO73" s="22">
        <f>AO12*Constants!$H70*(1-Constants!$H88)</f>
        <v>42391613.882906966</v>
      </c>
      <c r="AP73" s="22">
        <f>AP12*Constants!$H70*(1-Constants!$H88)</f>
        <v>42448470.180196755</v>
      </c>
      <c r="AQ73" s="22">
        <f>AQ12*Constants!$H70*(1-Constants!$H88)</f>
        <v>42530657.337939642</v>
      </c>
      <c r="AR73" s="22">
        <f>AR12*Constants!$H70*(1-Constants!$H88)</f>
        <v>42607006.391008988</v>
      </c>
      <c r="AS73" s="22">
        <f>AS12*Constants!$H70*(1-Constants!$H88)</f>
        <v>42678462.643276624</v>
      </c>
      <c r="AT73" s="22">
        <f>AT12*Constants!$H70*(1-Constants!$H88)</f>
        <v>42744645.057314493</v>
      </c>
      <c r="AU73" s="22">
        <f>AU12*Constants!$H70*(1-Constants!$H88)</f>
        <v>42806149.942111596</v>
      </c>
      <c r="AV73" s="22">
        <f>AV12*Constants!$H70*(1-Constants!$H88)</f>
        <v>42863910.264128819</v>
      </c>
      <c r="AW73" s="22">
        <f>AW12*Constants!$H70*(1-Constants!$H88)</f>
        <v>42917871.599811308</v>
      </c>
      <c r="AX73" s="22">
        <f>AX12*Constants!$H70*(1-Constants!$H88)</f>
        <v>42968897.033967599</v>
      </c>
      <c r="AY73" s="22">
        <f>AY12*Constants!$H70*(1-Constants!$H88)</f>
        <v>43017110.08172477</v>
      </c>
      <c r="AZ73" s="22">
        <f>AZ12*Constants!$H70*(1-Constants!$H88)</f>
        <v>43061849.927682541</v>
      </c>
      <c r="BA73" s="22">
        <f>BA12*Constants!$H70*(1-Constants!$H88)</f>
        <v>43103525.84162131</v>
      </c>
      <c r="BB73" s="22">
        <f>BB12*Constants!$H70*(1-Constants!$H88)</f>
        <v>43142802.694425754</v>
      </c>
      <c r="BC73" s="22">
        <f>BC12*Constants!$H70*(1-Constants!$H88)</f>
        <v>42195983.752304032</v>
      </c>
      <c r="BD73" s="22">
        <f>BD12*Constants!$H70*(1-Constants!$H88)</f>
        <v>42234786.78211727</v>
      </c>
      <c r="BE73" s="22">
        <f>BE12*Constants!$H70*(1-Constants!$H88)</f>
        <v>42270980.021249436</v>
      </c>
      <c r="BF73" s="22">
        <f>BF12*Constants!$H70*(1-Constants!$H88)</f>
        <v>42304784.664179206</v>
      </c>
      <c r="BG73" s="22">
        <f>BG12*Constants!$H70*(1-Constants!$H88)</f>
        <v>42336469.599041469</v>
      </c>
      <c r="BH73" s="22">
        <f>BH12*Constants!$H70*(1-Constants!$H88)</f>
        <v>42365201.383251093</v>
      </c>
      <c r="BI73" s="22">
        <f>BI12*Constants!$H70*(1-Constants!$H88)</f>
        <v>42390423.434776805</v>
      </c>
      <c r="BJ73" s="22">
        <f>BJ12*Constants!$H70*(1-Constants!$H88)</f>
        <v>42412054.231443137</v>
      </c>
      <c r="BK73" s="22">
        <f>BK12*Constants!$H70*(1-Constants!$H88)</f>
        <v>42429460.392064407</v>
      </c>
      <c r="BL73" s="22">
        <f>BL12*Constants!$H70*(1-Constants!$H88)</f>
        <v>42441953.448617324</v>
      </c>
      <c r="BM73" s="22">
        <f>BM12*Constants!$H70*(1-Constants!$H88)</f>
        <v>42449455.76238437</v>
      </c>
      <c r="BN73" s="22">
        <f>BN12*Constants!$H70*(1-Constants!$H88)</f>
        <v>42452074.346577927</v>
      </c>
      <c r="BO73" s="22">
        <f>BO12*Constants!$H70*(1-Constants!$H88)</f>
        <v>42449885.795537032</v>
      </c>
      <c r="BP73" s="22">
        <f>BP12*Constants!$H70*(1-Constants!$H88)</f>
        <v>42442242.105016634</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47099194.719204389</v>
      </c>
      <c r="AM74" s="22">
        <f>AM13*Constants!$H71*(1-Constants!$H89)</f>
        <v>47176273.798004419</v>
      </c>
      <c r="AN74" s="22">
        <f>AN13*Constants!$H71*(1-Constants!$H89)</f>
        <v>48132785.035659887</v>
      </c>
      <c r="AO74" s="22">
        <f>AO13*Constants!$H71*(1-Constants!$H89)</f>
        <v>48175999.058193728</v>
      </c>
      <c r="AP74" s="22">
        <f>AP13*Constants!$H71*(1-Constants!$H89)</f>
        <v>48290408.776758701</v>
      </c>
      <c r="AQ74" s="22">
        <f>AQ13*Constants!$H71*(1-Constants!$H89)</f>
        <v>48444819.491385341</v>
      </c>
      <c r="AR74" s="22">
        <f>AR13*Constants!$H71*(1-Constants!$H89)</f>
        <v>48586435.655381396</v>
      </c>
      <c r="AS74" s="22">
        <f>AS13*Constants!$H71*(1-Constants!$H89)</f>
        <v>48717129.18719513</v>
      </c>
      <c r="AT74" s="22">
        <f>AT13*Constants!$H71*(1-Constants!$H89)</f>
        <v>48836499.213551097</v>
      </c>
      <c r="AU74" s="22">
        <f>AU13*Constants!$H71*(1-Constants!$H89)</f>
        <v>48945771.520756193</v>
      </c>
      <c r="AV74" s="22">
        <f>AV13*Constants!$H71*(1-Constants!$H89)</f>
        <v>49046709.139459051</v>
      </c>
      <c r="AW74" s="22">
        <f>AW13*Constants!$H71*(1-Constants!$H89)</f>
        <v>49139393.394916423</v>
      </c>
      <c r="AX74" s="22">
        <f>AX13*Constants!$H71*(1-Constants!$H89)</f>
        <v>49225424.65967723</v>
      </c>
      <c r="AY74" s="22">
        <f>AY13*Constants!$H71*(1-Constants!$H89)</f>
        <v>49305146.644837715</v>
      </c>
      <c r="AZ74" s="22">
        <f>AZ13*Constants!$H71*(1-Constants!$H89)</f>
        <v>49377585.980446286</v>
      </c>
      <c r="BA74" s="22">
        <f>BA13*Constants!$H71*(1-Constants!$H89)</f>
        <v>49443544.905494303</v>
      </c>
      <c r="BB74" s="22">
        <f>BB13*Constants!$H71*(1-Constants!$H89)</f>
        <v>49504235.307992212</v>
      </c>
      <c r="BC74" s="22">
        <f>BC13*Constants!$H71*(1-Constants!$H89)</f>
        <v>47932703.387517169</v>
      </c>
      <c r="BD74" s="22">
        <f>BD13*Constants!$H71*(1-Constants!$H89)</f>
        <v>47993277.637457103</v>
      </c>
      <c r="BE74" s="22">
        <f>BE13*Constants!$H71*(1-Constants!$H89)</f>
        <v>48048429.668683305</v>
      </c>
      <c r="BF74" s="22">
        <f>BF13*Constants!$H71*(1-Constants!$H89)</f>
        <v>48098605.838060521</v>
      </c>
      <c r="BG74" s="22">
        <f>BG13*Constants!$H71*(1-Constants!$H89)</f>
        <v>48144323.058550701</v>
      </c>
      <c r="BH74" s="22">
        <f>BH13*Constants!$H71*(1-Constants!$H89)</f>
        <v>48184283.507901832</v>
      </c>
      <c r="BI74" s="22">
        <f>BI13*Constants!$H71*(1-Constants!$H89)</f>
        <v>48217647.643796369</v>
      </c>
      <c r="BJ74" s="22">
        <f>BJ13*Constants!$H71*(1-Constants!$H89)</f>
        <v>48244354.174405225</v>
      </c>
      <c r="BK74" s="22">
        <f>BK13*Constants!$H71*(1-Constants!$H89)</f>
        <v>48263438.850958817</v>
      </c>
      <c r="BL74" s="22">
        <f>BL13*Constants!$H71*(1-Constants!$H89)</f>
        <v>48273851.04984466</v>
      </c>
      <c r="BM74" s="22">
        <f>BM13*Constants!$H71*(1-Constants!$H89)</f>
        <v>48275537.04340639</v>
      </c>
      <c r="BN74" s="22">
        <f>BN13*Constants!$H71*(1-Constants!$H89)</f>
        <v>48268740.337406382</v>
      </c>
      <c r="BO74" s="22">
        <f>BO13*Constants!$H71*(1-Constants!$H89)</f>
        <v>48253651.006320097</v>
      </c>
      <c r="BP74" s="22">
        <f>BP13*Constants!$H71*(1-Constants!$H89)</f>
        <v>48229283.301115207</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77948210.552067891</v>
      </c>
      <c r="AM75" s="22">
        <f>AM14*Constants!$H72*(1-Constants!$H90)</f>
        <v>78075774.861803651</v>
      </c>
      <c r="AN75" s="22">
        <f>AN14*Constants!$H72*(1-Constants!$H90)</f>
        <v>79658781.530870691</v>
      </c>
      <c r="AO75" s="22">
        <f>AO14*Constants!$H72*(1-Constants!$H90)</f>
        <v>79730299.860374004</v>
      </c>
      <c r="AP75" s="22">
        <f>AP14*Constants!$H72*(1-Constants!$H90)</f>
        <v>79919645.620637491</v>
      </c>
      <c r="AQ75" s="22">
        <f>AQ14*Constants!$H72*(1-Constants!$H90)</f>
        <v>80175192.216857836</v>
      </c>
      <c r="AR75" s="22">
        <f>AR14*Constants!$H72*(1-Constants!$H90)</f>
        <v>80409564.091675475</v>
      </c>
      <c r="AS75" s="22">
        <f>AS14*Constants!$H72*(1-Constants!$H90)</f>
        <v>80625859.232098684</v>
      </c>
      <c r="AT75" s="22">
        <f>AT14*Constants!$H72*(1-Constants!$H90)</f>
        <v>80823414.200999394</v>
      </c>
      <c r="AU75" s="22">
        <f>AU14*Constants!$H72*(1-Constants!$H90)</f>
        <v>81004257.649816588</v>
      </c>
      <c r="AV75" s="22">
        <f>AV14*Constants!$H72*(1-Constants!$H90)</f>
        <v>81171307.358461961</v>
      </c>
      <c r="AW75" s="22">
        <f>AW14*Constants!$H72*(1-Constants!$H90)</f>
        <v>81324697.918583497</v>
      </c>
      <c r="AX75" s="22">
        <f>AX14*Constants!$H72*(1-Constants!$H90)</f>
        <v>81467077.914241955</v>
      </c>
      <c r="AY75" s="22">
        <f>AY14*Constants!$H72*(1-Constants!$H90)</f>
        <v>81599016.180319846</v>
      </c>
      <c r="AZ75" s="22">
        <f>AZ14*Constants!$H72*(1-Constants!$H90)</f>
        <v>81718901.809319079</v>
      </c>
      <c r="BA75" s="22">
        <f>BA14*Constants!$H72*(1-Constants!$H90)</f>
        <v>81828062.490474746</v>
      </c>
      <c r="BB75" s="22">
        <f>BB14*Constants!$H72*(1-Constants!$H90)</f>
        <v>81928503.873827472</v>
      </c>
      <c r="BC75" s="22">
        <f>BC14*Constants!$H72*(1-Constants!$H90)</f>
        <v>79327650.467377678</v>
      </c>
      <c r="BD75" s="22">
        <f>BD14*Constants!$H72*(1-Constants!$H90)</f>
        <v>79427899.620606348</v>
      </c>
      <c r="BE75" s="22">
        <f>BE14*Constants!$H72*(1-Constants!$H90)</f>
        <v>79519175.112003267</v>
      </c>
      <c r="BF75" s="22">
        <f>BF14*Constants!$H72*(1-Constants!$H90)</f>
        <v>79602215.653112903</v>
      </c>
      <c r="BG75" s="22">
        <f>BG14*Constants!$H72*(1-Constants!$H90)</f>
        <v>79677876.724387452</v>
      </c>
      <c r="BH75" s="22">
        <f>BH14*Constants!$H72*(1-Constants!$H90)</f>
        <v>79744010.456362009</v>
      </c>
      <c r="BI75" s="22">
        <f>BI14*Constants!$H72*(1-Constants!$H90)</f>
        <v>79799227.423554316</v>
      </c>
      <c r="BJ75" s="22">
        <f>BJ14*Constants!$H72*(1-Constants!$H90)</f>
        <v>79843426.189232275</v>
      </c>
      <c r="BK75" s="22">
        <f>BK14*Constants!$H72*(1-Constants!$H90)</f>
        <v>79875010.941268638</v>
      </c>
      <c r="BL75" s="22">
        <f>BL14*Constants!$H72*(1-Constants!$H90)</f>
        <v>79892242.918925613</v>
      </c>
      <c r="BM75" s="22">
        <f>BM14*Constants!$H72*(1-Constants!$H90)</f>
        <v>79895033.204023317</v>
      </c>
      <c r="BN75" s="22">
        <f>BN14*Constants!$H72*(1-Constants!$H90)</f>
        <v>79883784.793652266</v>
      </c>
      <c r="BO75" s="22">
        <f>BO14*Constants!$H72*(1-Constants!$H90)</f>
        <v>79858812.257208362</v>
      </c>
      <c r="BP75" s="22">
        <f>BP14*Constants!$H72*(1-Constants!$H90)</f>
        <v>79818484.200066283</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12243954.503070906</v>
      </c>
      <c r="AF76" s="22">
        <f>AF15*Constants!$H73*(1-Constants!$H91)</f>
        <v>12333541.940265566</v>
      </c>
      <c r="AG76" s="22">
        <f>AG15*Constants!$H73*(1-Constants!$H91)</f>
        <v>12352693.798490604</v>
      </c>
      <c r="AH76" s="22">
        <f>AH15*Constants!$H73*(1-Constants!$H91)</f>
        <v>12325276.158381391</v>
      </c>
      <c r="AI76" s="22">
        <f>AI15*Constants!$H73*(1-Constants!$H91)</f>
        <v>12252292.423443841</v>
      </c>
      <c r="AJ76" s="22">
        <f>AJ15*Constants!$H73*(1-Constants!$H91)</f>
        <v>12211826.078492032</v>
      </c>
      <c r="AK76" s="22">
        <f>AK15*Constants!$H73*(1-Constants!$H91)</f>
        <v>12175458.752937717</v>
      </c>
      <c r="AL76" s="22">
        <f>AL15*Constants!$H73*(1-Constants!$H91)</f>
        <v>11633447.299731342</v>
      </c>
      <c r="AM76" s="22">
        <f>AM15*Constants!$H73*(1-Constants!$H91)</f>
        <v>11923408.407715579</v>
      </c>
      <c r="AN76" s="22">
        <f>AN15*Constants!$H73*(1-Constants!$H91)</f>
        <v>25594419.367799696</v>
      </c>
      <c r="AO76" s="22">
        <f>AO15*Constants!$H73*(1-Constants!$H91)</f>
        <v>25922211.26753461</v>
      </c>
      <c r="AP76" s="22">
        <f>AP15*Constants!$H73*(1-Constants!$H91)</f>
        <v>26186206.345693503</v>
      </c>
      <c r="AQ76" s="22">
        <f>AQ15*Constants!$H73*(1-Constants!$H91)</f>
        <v>26398668.278948855</v>
      </c>
      <c r="AR76" s="22">
        <f>AR15*Constants!$H73*(1-Constants!$H91)</f>
        <v>26583222.770844739</v>
      </c>
      <c r="AS76" s="22">
        <f>AS15*Constants!$H73*(1-Constants!$H91)</f>
        <v>26737773.41202613</v>
      </c>
      <c r="AT76" s="22">
        <f>AT15*Constants!$H73*(1-Constants!$H91)</f>
        <v>26861453.39975851</v>
      </c>
      <c r="AU76" s="22">
        <f>AU15*Constants!$H73*(1-Constants!$H91)</f>
        <v>26952755.71997197</v>
      </c>
      <c r="AV76" s="22">
        <f>AV15*Constants!$H73*(1-Constants!$H91)</f>
        <v>27010066.179551128</v>
      </c>
      <c r="AW76" s="22">
        <f>AW15*Constants!$H73*(1-Constants!$H91)</f>
        <v>27032758.643689364</v>
      </c>
      <c r="AX76" s="22">
        <f>AX15*Constants!$H73*(1-Constants!$H91)</f>
        <v>27019648.005395524</v>
      </c>
      <c r="AY76" s="22">
        <f>AY15*Constants!$H73*(1-Constants!$H91)</f>
        <v>26970351.263049006</v>
      </c>
      <c r="AZ76" s="22">
        <f>AZ15*Constants!$H73*(1-Constants!$H91)</f>
        <v>26885314.017572064</v>
      </c>
      <c r="BA76" s="22">
        <f>BA15*Constants!$H73*(1-Constants!$H91)</f>
        <v>26764313.647715919</v>
      </c>
      <c r="BB76" s="22">
        <f>BB15*Constants!$H73*(1-Constants!$H91)</f>
        <v>26607134.013112769</v>
      </c>
      <c r="BC76" s="22">
        <f>BC15*Constants!$H73*(1-Constants!$H91)</f>
        <v>3917315.278554643</v>
      </c>
      <c r="BD76" s="22">
        <f>BD15*Constants!$H73*(1-Constants!$H91)</f>
        <v>3917315.278554643</v>
      </c>
      <c r="BE76" s="22">
        <f>BE15*Constants!$H73*(1-Constants!$H91)</f>
        <v>3917315.278554643</v>
      </c>
      <c r="BF76" s="22">
        <f>BF15*Constants!$H73*(1-Constants!$H91)</f>
        <v>3917315.278554643</v>
      </c>
      <c r="BG76" s="22">
        <f>BG15*Constants!$H73*(1-Constants!$H91)</f>
        <v>3917315.278554643</v>
      </c>
      <c r="BH76" s="22">
        <f>BH15*Constants!$H73*(1-Constants!$H91)</f>
        <v>3917315.278554643</v>
      </c>
      <c r="BI76" s="22">
        <f>BI15*Constants!$H73*(1-Constants!$H91)</f>
        <v>3917315.278554643</v>
      </c>
      <c r="BJ76" s="22">
        <f>BJ15*Constants!$H73*(1-Constants!$H91)</f>
        <v>3917315.278554643</v>
      </c>
      <c r="BK76" s="22">
        <f>BK15*Constants!$H73*(1-Constants!$H91)</f>
        <v>3917315.278554643</v>
      </c>
      <c r="BL76" s="22">
        <f>BL15*Constants!$H73*(1-Constants!$H91)</f>
        <v>3917315.278554643</v>
      </c>
      <c r="BM76" s="22">
        <f>BM15*Constants!$H73*(1-Constants!$H91)</f>
        <v>3917315.278554643</v>
      </c>
      <c r="BN76" s="22">
        <f>BN15*Constants!$H73*(1-Constants!$H91)</f>
        <v>3917315.278554643</v>
      </c>
      <c r="BO76" s="22">
        <f>BO15*Constants!$H73*(1-Constants!$H91)</f>
        <v>3917315.278554643</v>
      </c>
      <c r="BP76" s="22">
        <f>BP15*Constants!$H73*(1-Constants!$H91)</f>
        <v>3917315.278554643</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101177601.00264658</v>
      </c>
      <c r="AN82" s="22">
        <f>((AN41*Constants!$H$45*Constants!$H$48)*(1+Constants!$H$51))*Constants!$H$54*Constants!$H$42*Constants!$H$57*Constants!$H$58*ttokg</f>
        <v>101954545.08502252</v>
      </c>
      <c r="AO82" s="22">
        <f>((AO41*Constants!$H$45*Constants!$H$48)*(1+Constants!$H$51))*Constants!$H$54*Constants!$H$42*Constants!$H$57*Constants!$H$58*ttokg</f>
        <v>120600586.7774706</v>
      </c>
      <c r="AP82" s="22">
        <f>((AP41*Constants!$H$45*Constants!$H$48)*(1+Constants!$H$51))*Constants!$H$54*Constants!$H$42*Constants!$H$57*Constants!$H$58*ttokg</f>
        <v>121066404.65377975</v>
      </c>
      <c r="AQ82" s="22">
        <f>((AQ41*Constants!$H$45*Constants!$H$48)*(1+Constants!$H$51))*Constants!$H$54*Constants!$H$42*Constants!$H$57*Constants!$H$58*ttokg</f>
        <v>121497592.50306821</v>
      </c>
      <c r="AR82" s="22">
        <f>((AR41*Constants!$H$45*Constants!$H$48)*(1+Constants!$H$51))*Constants!$H$54*Constants!$H$42*Constants!$H$57*Constants!$H$58*ttokg</f>
        <v>121894196.82720508</v>
      </c>
      <c r="AS82" s="22">
        <f>((AS41*Constants!$H$45*Constants!$H$48)*(1+Constants!$H$51))*Constants!$H$54*Constants!$H$42*Constants!$H$57*Constants!$H$58*ttokg</f>
        <v>122256518.63988006</v>
      </c>
      <c r="AT82" s="22">
        <f>((AT41*Constants!$H$45*Constants!$H$48)*(1+Constants!$H$51))*Constants!$H$54*Constants!$H$42*Constants!$H$57*Constants!$H$58*ttokg</f>
        <v>122584243.3663837</v>
      </c>
      <c r="AU82" s="22">
        <f>((AU41*Constants!$H$45*Constants!$H$48)*(1+Constants!$H$51))*Constants!$H$54*Constants!$H$42*Constants!$H$57*Constants!$H$58*ttokg</f>
        <v>122877107.93424518</v>
      </c>
      <c r="AV82" s="22">
        <f>((AV41*Constants!$H$45*Constants!$H$48)*(1+Constants!$H$51))*Constants!$H$54*Constants!$H$42*Constants!$H$57*Constants!$H$58*ttokg</f>
        <v>123134854.62246802</v>
      </c>
      <c r="AW82" s="22">
        <f>((AW41*Constants!$H$45*Constants!$H$48)*(1+Constants!$H$51))*Constants!$H$54*Constants!$H$42*Constants!$H$57*Constants!$H$58*ttokg</f>
        <v>123357242.25504845</v>
      </c>
      <c r="AX82" s="22">
        <f>((AX41*Constants!$H$45*Constants!$H$48)*(1+Constants!$H$51))*Constants!$H$54*Constants!$H$42*Constants!$H$57*Constants!$H$58*ttokg</f>
        <v>123544069.64204797</v>
      </c>
      <c r="AY82" s="22">
        <f>((AY41*Constants!$H$45*Constants!$H$48)*(1+Constants!$H$51))*Constants!$H$54*Constants!$H$42*Constants!$H$57*Constants!$H$58*ttokg</f>
        <v>123695138.58929163</v>
      </c>
      <c r="AZ82" s="22">
        <f>((AZ41*Constants!$H$45*Constants!$H$48)*(1+Constants!$H$51))*Constants!$H$54*Constants!$H$42*Constants!$H$57*Constants!$H$58*ttokg</f>
        <v>123810283.94026461</v>
      </c>
      <c r="BA82" s="22">
        <f>((BA41*Constants!$H$45*Constants!$H$48)*(1+Constants!$H$51))*Constants!$H$54*Constants!$H$42*Constants!$H$57*Constants!$H$58*ttokg</f>
        <v>123889373.49657123</v>
      </c>
      <c r="BB82" s="22">
        <f>((BB41*Constants!$H$45*Constants!$H$48)*(1+Constants!$H$51))*Constants!$H$54*Constants!$H$42*Constants!$H$57*Constants!$H$58*ttokg</f>
        <v>123932272.98789652</v>
      </c>
      <c r="BC82" s="22">
        <f>((BC41*Constants!$H$45*Constants!$H$48)*(1+Constants!$H$51))*Constants!$H$54*Constants!$H$42*Constants!$H$57*Constants!$H$58*ttokg</f>
        <v>123938860.72360986</v>
      </c>
      <c r="BD82" s="22">
        <f>((BD41*Constants!$H$45*Constants!$H$48)*(1+Constants!$H$51))*Constants!$H$54*Constants!$H$42*Constants!$H$57*Constants!$H$58*ttokg</f>
        <v>68821077.45650892</v>
      </c>
      <c r="BE82" s="22">
        <f>((BE41*Constants!$H$45*Constants!$H$48)*(1+Constants!$H$51))*Constants!$H$54*Constants!$H$42*Constants!$H$57*Constants!$H$58*ttokg</f>
        <v>68774353.954423904</v>
      </c>
      <c r="BF82" s="22">
        <f>((BF41*Constants!$H$45*Constants!$H$48)*(1+Constants!$H$51))*Constants!$H$54*Constants!$H$42*Constants!$H$57*Constants!$H$58*ttokg</f>
        <v>68728694.678658828</v>
      </c>
      <c r="BG82" s="22">
        <f>((BG41*Constants!$H$45*Constants!$H$48)*(1+Constants!$H$51))*Constants!$H$54*Constants!$H$42*Constants!$H$57*Constants!$H$58*ttokg</f>
        <v>68684037.318975851</v>
      </c>
      <c r="BH82" s="22">
        <f>((BH41*Constants!$H$45*Constants!$H$48)*(1+Constants!$H$51))*Constants!$H$54*Constants!$H$42*Constants!$H$57*Constants!$H$58*ttokg</f>
        <v>68640308.306803182</v>
      </c>
      <c r="BI82" s="22">
        <f>((BI41*Constants!$H$45*Constants!$H$48)*(1+Constants!$H$51))*Constants!$H$54*Constants!$H$42*Constants!$H$57*Constants!$H$58*ttokg</f>
        <v>68597693.609032318</v>
      </c>
      <c r="BJ82" s="22">
        <f>((BJ41*Constants!$H$45*Constants!$H$48)*(1+Constants!$H$51))*Constants!$H$54*Constants!$H$42*Constants!$H$57*Constants!$H$58*ttokg</f>
        <v>68556318.785240963</v>
      </c>
      <c r="BK82" s="22">
        <f>((BK41*Constants!$H$45*Constants!$H$48)*(1+Constants!$H$51))*Constants!$H$54*Constants!$H$42*Constants!$H$57*Constants!$H$58*ttokg</f>
        <v>68516199.75218004</v>
      </c>
      <c r="BL82" s="22">
        <f>((BL41*Constants!$H$45*Constants!$H$48)*(1+Constants!$H$51))*Constants!$H$54*Constants!$H$42*Constants!$H$57*Constants!$H$58*ttokg</f>
        <v>68477485.665873036</v>
      </c>
      <c r="BM82" s="22">
        <f>((BM41*Constants!$H$45*Constants!$H$48)*(1+Constants!$H$51))*Constants!$H$54*Constants!$H$42*Constants!$H$57*Constants!$H$58*ttokg</f>
        <v>68440342.572551951</v>
      </c>
      <c r="BN82" s="22">
        <f>((BN41*Constants!$H$45*Constants!$H$48)*(1+Constants!$H$51))*Constants!$H$54*Constants!$H$42*Constants!$H$57*Constants!$H$58*ttokg</f>
        <v>68404792.403967649</v>
      </c>
      <c r="BO82" s="22">
        <f>((BO41*Constants!$H$45*Constants!$H$48)*(1+Constants!$H$51))*Constants!$H$54*Constants!$H$42*Constants!$H$57*Constants!$H$58*ttokg</f>
        <v>68370812.822882891</v>
      </c>
      <c r="BP82" s="22">
        <f>((BP41*Constants!$H$45*Constants!$H$48)*(1+Constants!$H$51))*Constants!$H$54*Constants!$H$42*Constants!$H$57*Constants!$H$58*ttokg</f>
        <v>68338388.639400855</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189068677.61941099</v>
      </c>
      <c r="AN85" s="22">
        <f>SUM(AN82:AN84)/Constants!$H$41</f>
        <v>190363584.4233709</v>
      </c>
      <c r="AO85" s="22">
        <f>SUM(AO82:AO84)/Constants!$H$41</f>
        <v>221440320.57745102</v>
      </c>
      <c r="AP85" s="22">
        <f>SUM(AP82:AP84)/Constants!$H$41</f>
        <v>222216683.70463291</v>
      </c>
      <c r="AQ85" s="22">
        <f>SUM(AQ82:AQ84)/Constants!$H$41</f>
        <v>222935330.12011367</v>
      </c>
      <c r="AR85" s="22">
        <f>SUM(AR82:AR84)/Constants!$H$41</f>
        <v>223596337.32700849</v>
      </c>
      <c r="AS85" s="22">
        <f>SUM(AS82:AS84)/Constants!$H$41</f>
        <v>224200207.01480013</v>
      </c>
      <c r="AT85" s="22">
        <f>SUM(AT82:AT84)/Constants!$H$41</f>
        <v>224746414.89230618</v>
      </c>
      <c r="AU85" s="22">
        <f>SUM(AU82:AU84)/Constants!$H$41</f>
        <v>225234522.50540867</v>
      </c>
      <c r="AV85" s="22">
        <f>SUM(AV82:AV84)/Constants!$H$41</f>
        <v>225664100.3191134</v>
      </c>
      <c r="AW85" s="22">
        <f>SUM(AW82:AW84)/Constants!$H$41</f>
        <v>226034746.3734141</v>
      </c>
      <c r="AX85" s="22">
        <f>SUM(AX82:AX84)/Constants!$H$41</f>
        <v>226346125.35174665</v>
      </c>
      <c r="AY85" s="22">
        <f>SUM(AY82:AY84)/Constants!$H$41</f>
        <v>226597906.93048608</v>
      </c>
      <c r="AZ85" s="22">
        <f>SUM(AZ82:AZ84)/Constants!$H$41</f>
        <v>226789815.84877437</v>
      </c>
      <c r="BA85" s="22">
        <f>SUM(BA82:BA84)/Constants!$H$41</f>
        <v>226921631.7759521</v>
      </c>
      <c r="BB85" s="22">
        <f>SUM(BB82:BB84)/Constants!$H$41</f>
        <v>226993130.92816091</v>
      </c>
      <c r="BC85" s="22">
        <f>SUM(BC82:BC84)/Constants!$H$41</f>
        <v>227004110.48768312</v>
      </c>
      <c r="BD85" s="22">
        <f>SUM(BD82:BD84)/Constants!$H$41</f>
        <v>135141138.3758482</v>
      </c>
      <c r="BE85" s="22">
        <f>SUM(BE82:BE84)/Constants!$H$41</f>
        <v>135063265.87237316</v>
      </c>
      <c r="BF85" s="22">
        <f>SUM(BF82:BF84)/Constants!$H$41</f>
        <v>134987167.07943138</v>
      </c>
      <c r="BG85" s="22">
        <f>SUM(BG82:BG84)/Constants!$H$41</f>
        <v>134912738.14662644</v>
      </c>
      <c r="BH85" s="22">
        <f>SUM(BH82:BH84)/Constants!$H$41</f>
        <v>134839856.45967197</v>
      </c>
      <c r="BI85" s="22">
        <f>SUM(BI82:BI84)/Constants!$H$41</f>
        <v>134768831.96338722</v>
      </c>
      <c r="BJ85" s="22">
        <f>SUM(BJ82:BJ84)/Constants!$H$41</f>
        <v>134699873.92373496</v>
      </c>
      <c r="BK85" s="22">
        <f>SUM(BK82:BK84)/Constants!$H$41</f>
        <v>134633008.86863339</v>
      </c>
      <c r="BL85" s="22">
        <f>SUM(BL82:BL84)/Constants!$H$41</f>
        <v>134568485.39145508</v>
      </c>
      <c r="BM85" s="22">
        <f>SUM(BM82:BM84)/Constants!$H$41</f>
        <v>134506580.23591992</v>
      </c>
      <c r="BN85" s="22">
        <f>SUM(BN82:BN84)/Constants!$H$41</f>
        <v>134447329.95494607</v>
      </c>
      <c r="BO85" s="22">
        <f>SUM(BO82:BO84)/Constants!$H$41</f>
        <v>134390697.31980482</v>
      </c>
      <c r="BP85" s="22">
        <f>SUM(BP82:BP84)/Constants!$H$41</f>
        <v>134336657.01400143</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ColWidth="8.85546875" defaultRowHeight="15" x14ac:dyDescent="0.25"/>
  <cols>
    <col min="1" max="1" width="19.42578125" customWidth="1"/>
    <col min="2" max="2" width="33.140625" customWidth="1"/>
    <col min="3" max="3" width="27.7109375" customWidth="1"/>
    <col min="4" max="4" width="27.42578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1022</v>
      </c>
      <c r="K3" s="18"/>
      <c r="L3" s="18" t="s">
        <v>1023</v>
      </c>
      <c r="M3" s="18"/>
      <c r="N3" s="18" t="s">
        <v>1024</v>
      </c>
      <c r="O3" s="18"/>
      <c r="P3" s="18" t="s">
        <v>1025</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1025</v>
      </c>
      <c r="O23" s="18" t="s">
        <v>1022</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25">
      <c r="A149" t="str">
        <f>'IPCC Categories'!A59</f>
        <v>3C Aggregated and non-CO2 emissions on land</v>
      </c>
      <c r="B149" t="str">
        <f>'IPCC Categories'!B71</f>
        <v>3C2 Liming (CO2)</v>
      </c>
      <c r="E149" t="s">
        <v>378</v>
      </c>
      <c r="F149" t="s">
        <v>380</v>
      </c>
      <c r="G149" t="s">
        <v>379</v>
      </c>
      <c r="H149" s="26">
        <v>0.125</v>
      </c>
    </row>
    <row r="150" spans="1:8" x14ac:dyDescent="0.25">
      <c r="A150" t="str">
        <f>A149</f>
        <v>3C Aggregated and non-CO2 emissions on land</v>
      </c>
      <c r="B150" t="str">
        <f>'IPCC Categories'!B72</f>
        <v>3C3 Urea application (CO2)</v>
      </c>
      <c r="E150" t="s">
        <v>385</v>
      </c>
      <c r="F150" t="s">
        <v>380</v>
      </c>
      <c r="G150" t="s">
        <v>386</v>
      </c>
      <c r="H150" s="26">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5546875" defaultRowHeight="15" x14ac:dyDescent="0.25"/>
  <cols>
    <col min="1" max="1" width="62.85546875" customWidth="1"/>
    <col min="2" max="2" width="20.42578125" customWidth="1"/>
    <col min="3" max="3" width="8.42578125" customWidth="1"/>
    <col min="5" max="5" width="15.28515625" customWidth="1"/>
    <col min="6" max="6" width="19.140625" customWidth="1"/>
    <col min="8" max="8" width="10.42578125" customWidth="1"/>
    <col min="10" max="10" width="23.28515625" customWidth="1"/>
    <col min="13" max="13" width="15.42578125" customWidth="1"/>
    <col min="14" max="14" width="10.7109375" customWidth="1"/>
    <col min="16" max="16" width="21.7109375" customWidth="1"/>
    <col min="19" max="19" width="13.28515625" customWidth="1"/>
    <col min="20" max="20" width="10.42578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5546875" defaultRowHeight="15" x14ac:dyDescent="0.25"/>
  <cols>
    <col min="1" max="1" width="15.42578125" customWidth="1"/>
    <col min="2" max="2" width="31" customWidth="1"/>
    <col min="3" max="3" width="27.7109375" customWidth="1"/>
    <col min="4" max="4" width="48.42578125" customWidth="1"/>
    <col min="5" max="5" width="33.28515625" customWidth="1"/>
    <col min="6" max="6" width="7.42578125" customWidth="1"/>
    <col min="7" max="7" width="14" customWidth="1"/>
    <col min="8" max="35" width="9.7109375" customWidth="1"/>
    <col min="36" max="36" width="9.42578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72.649957574793405</v>
      </c>
      <c r="AF4" s="27">
        <f>IF(('Activity data'!AF5*EF!$H4)*kgtoGg=0,"NO",('Activity data'!AF5*EF!$H4)*kgtoGg)</f>
        <v>73.223011790998029</v>
      </c>
      <c r="AG4" s="27">
        <f>IF(('Activity data'!AG5*EF!$H4)*kgtoGg=0,"NO",('Activity data'!AG5*EF!$H4)*kgtoGg)</f>
        <v>73.591260167761035</v>
      </c>
      <c r="AH4" s="27">
        <f>IF(('Activity data'!AH5*EF!$H4)*kgtoGg=0,"NO",('Activity data'!AH5*EF!$H4)*kgtoGg)</f>
        <v>73.83596289834658</v>
      </c>
      <c r="AI4" s="27">
        <f>IF(('Activity data'!AI5*EF!$H4)*kgtoGg=0,"NO",('Activity data'!AI5*EF!$H4)*kgtoGg)</f>
        <v>73.954711561483919</v>
      </c>
      <c r="AJ4" s="27">
        <f>IF(('Activity data'!AJ5*EF!$H4)*kgtoGg=0,"NO",('Activity data'!AJ5*EF!$H4)*kgtoGg)</f>
        <v>74.217071552078707</v>
      </c>
      <c r="AK4" s="27">
        <f>IF(('Activity data'!AK5*EF!$H4)*kgtoGg=0,"NO",('Activity data'!AK5*EF!$H4)*kgtoGg)</f>
        <v>74.518042528471327</v>
      </c>
      <c r="AL4" s="27">
        <f>IF(('Activity data'!AL5*EF!$H4)*kgtoGg=0,"NO",('Activity data'!AL5*EF!$H4)*kgtoGg)</f>
        <v>72.400641735612226</v>
      </c>
      <c r="AM4" s="27">
        <f>IF(('Activity data'!AM5*EF!$H4)*kgtoGg=0,"NO",('Activity data'!AM5*EF!$H4)*kgtoGg)</f>
        <v>73.646397311613569</v>
      </c>
      <c r="AN4" s="27">
        <f>IF(('Activity data'!AN5*EF!$H4)*kgtoGg=0,"NO",('Activity data'!AN5*EF!$H4)*kgtoGg)</f>
        <v>126.71451623908638</v>
      </c>
      <c r="AO4" s="27">
        <f>IF(('Activity data'!AO5*EF!$H4)*kgtoGg=0,"NO",('Activity data'!AO5*EF!$H4)*kgtoGg)</f>
        <v>128.24200058803578</v>
      </c>
      <c r="AP4" s="27">
        <f>IF(('Activity data'!AP5*EF!$H4)*kgtoGg=0,"NO",('Activity data'!AP5*EF!$H4)*kgtoGg)</f>
        <v>129.70248573615504</v>
      </c>
      <c r="AQ4" s="27">
        <f>IF(('Activity data'!AQ5*EF!$H4)*kgtoGg=0,"NO",('Activity data'!AQ5*EF!$H4)*kgtoGg)</f>
        <v>131.07112915343163</v>
      </c>
      <c r="AR4" s="27">
        <f>IF(('Activity data'!AR5*EF!$H4)*kgtoGg=0,"NO",('Activity data'!AR5*EF!$H4)*kgtoGg)</f>
        <v>132.31138089682617</v>
      </c>
      <c r="AS4" s="27">
        <f>IF(('Activity data'!AS5*EF!$H4)*kgtoGg=0,"NO",('Activity data'!AS5*EF!$H4)*kgtoGg)</f>
        <v>133.41744896278323</v>
      </c>
      <c r="AT4" s="27">
        <f>IF(('Activity data'!AT5*EF!$H4)*kgtoGg=0,"NO",('Activity data'!AT5*EF!$H4)*kgtoGg)</f>
        <v>134.38288992099422</v>
      </c>
      <c r="AU4" s="27">
        <f>IF(('Activity data'!AU5*EF!$H4)*kgtoGg=0,"NO",('Activity data'!AU5*EF!$H4)*kgtoGg)</f>
        <v>135.20282704552554</v>
      </c>
      <c r="AV4" s="27">
        <f>IF(('Activity data'!AV5*EF!$H4)*kgtoGg=0,"NO",('Activity data'!AV5*EF!$H4)*kgtoGg)</f>
        <v>135.87339274665732</v>
      </c>
      <c r="AW4" s="27">
        <f>IF(('Activity data'!AW5*EF!$H4)*kgtoGg=0,"NO",('Activity data'!AW5*EF!$H4)*kgtoGg)</f>
        <v>136.39052131842715</v>
      </c>
      <c r="AX4" s="27">
        <f>IF(('Activity data'!AX5*EF!$H4)*kgtoGg=0,"NO",('Activity data'!AX5*EF!$H4)*kgtoGg)</f>
        <v>136.75177878147903</v>
      </c>
      <c r="AY4" s="27">
        <f>IF(('Activity data'!AY5*EF!$H4)*kgtoGg=0,"NO",('Activity data'!AY5*EF!$H4)*kgtoGg)</f>
        <v>136.95483040988077</v>
      </c>
      <c r="AZ4" s="27">
        <f>IF(('Activity data'!AZ5*EF!$H4)*kgtoGg=0,"NO",('Activity data'!AZ5*EF!$H4)*kgtoGg)</f>
        <v>136.99742056904799</v>
      </c>
      <c r="BA4" s="27">
        <f>IF(('Activity data'!BA5*EF!$H4)*kgtoGg=0,"NO",('Activity data'!BA5*EF!$H4)*kgtoGg)</f>
        <v>136.87913733677345</v>
      </c>
      <c r="BB4" s="27">
        <f>IF(('Activity data'!BB5*EF!$H4)*kgtoGg=0,"NO",('Activity data'!BB5*EF!$H4)*kgtoGg)</f>
        <v>136.60065411000454</v>
      </c>
      <c r="BC4" s="27">
        <f>IF(('Activity data'!BC5*EF!$H4)*kgtoGg=0,"NO",('Activity data'!BC5*EF!$H4)*kgtoGg)</f>
        <v>43.218084806671186</v>
      </c>
      <c r="BD4" s="27">
        <f>IF(('Activity data'!BD5*EF!$H4)*kgtoGg=0,"NO",('Activity data'!BD5*EF!$H4)*kgtoGg)</f>
        <v>43.249633283301115</v>
      </c>
      <c r="BE4" s="27">
        <f>IF(('Activity data'!BE5*EF!$H4)*kgtoGg=0,"NO",('Activity data'!BE5*EF!$H4)*kgtoGg)</f>
        <v>43.278910692305409</v>
      </c>
      <c r="BF4" s="27">
        <f>IF(('Activity data'!BF5*EF!$H4)*kgtoGg=0,"NO",('Activity data'!BF5*EF!$H4)*kgtoGg)</f>
        <v>43.306115085271941</v>
      </c>
      <c r="BG4" s="27">
        <f>IF(('Activity data'!BG5*EF!$H4)*kgtoGg=0,"NO",('Activity data'!BG5*EF!$H4)*kgtoGg)</f>
        <v>43.331490420249878</v>
      </c>
      <c r="BH4" s="27">
        <f>IF(('Activity data'!BH5*EF!$H4)*kgtoGg=0,"NO",('Activity data'!BH5*EF!$H4)*kgtoGg)</f>
        <v>43.354240288744201</v>
      </c>
      <c r="BI4" s="27">
        <f>IF(('Activity data'!BI5*EF!$H4)*kgtoGg=0,"NO",('Activity data'!BI5*EF!$H4)*kgtoGg)</f>
        <v>43.373829871792871</v>
      </c>
      <c r="BJ4" s="27">
        <f>IF(('Activity data'!BJ5*EF!$H4)*kgtoGg=0,"NO",('Activity data'!BJ5*EF!$H4)*kgtoGg)</f>
        <v>43.390173404871973</v>
      </c>
      <c r="BK4" s="27">
        <f>IF(('Activity data'!BK5*EF!$H4)*kgtoGg=0,"NO",('Activity data'!BK5*EF!$H4)*kgtoGg)</f>
        <v>43.402664060341642</v>
      </c>
      <c r="BL4" s="27">
        <f>IF(('Activity data'!BL5*EF!$H4)*kgtoGg=0,"NO",('Activity data'!BL5*EF!$H4)*kgtoGg)</f>
        <v>43.410643013134724</v>
      </c>
      <c r="BM4" s="27">
        <f>IF(('Activity data'!BM5*EF!$H4)*kgtoGg=0,"NO",('Activity data'!BM5*EF!$H4)*kgtoGg)</f>
        <v>43.414028889166616</v>
      </c>
      <c r="BN4" s="27">
        <f>IF(('Activity data'!BN5*EF!$H4)*kgtoGg=0,"NO",('Activity data'!BN5*EF!$H4)*kgtoGg)</f>
        <v>43.412915266479416</v>
      </c>
      <c r="BO4" s="27">
        <f>IF(('Activity data'!BO5*EF!$H4)*kgtoGg=0,"NO",('Activity data'!BO5*EF!$H4)*kgtoGg)</f>
        <v>43.407367404961896</v>
      </c>
      <c r="BP4" s="27">
        <f>IF(('Activity data'!BP5*EF!$H4)*kgtoGg=0,"NO",('Activity data'!BP5*EF!$H4)*kgtoGg)</f>
        <v>43.396765644330657</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58.1066387636453</v>
      </c>
      <c r="AF5" s="27">
        <f>IF(('Activity data'!AF6*EF!$H5)*kgtoGg=0,"NO",('Activity data'!AF6*EF!$H5)*kgtoGg)</f>
        <v>58.564977012483297</v>
      </c>
      <c r="AG5" s="27">
        <f>IF(('Activity data'!AG6*EF!$H5)*kgtoGg=0,"NO",('Activity data'!AG6*EF!$H5)*kgtoGg)</f>
        <v>58.859508160444918</v>
      </c>
      <c r="AH5" s="27">
        <f>IF(('Activity data'!AH6*EF!$H5)*kgtoGg=0,"NO",('Activity data'!AH6*EF!$H5)*kgtoGg)</f>
        <v>59.055225455337663</v>
      </c>
      <c r="AI5" s="27">
        <f>IF(('Activity data'!AI6*EF!$H5)*kgtoGg=0,"NO",('Activity data'!AI6*EF!$H5)*kgtoGg)</f>
        <v>59.150202601958618</v>
      </c>
      <c r="AJ5" s="27">
        <f>IF(('Activity data'!AJ6*EF!$H5)*kgtoGg=0,"NO",('Activity data'!AJ6*EF!$H5)*kgtoGg)</f>
        <v>59.360042465716688</v>
      </c>
      <c r="AK5" s="27">
        <f>IF(('Activity data'!AK6*EF!$H5)*kgtoGg=0,"NO",('Activity data'!AK6*EF!$H5)*kgtoGg)</f>
        <v>59.600764035107616</v>
      </c>
      <c r="AL5" s="27">
        <f>IF(('Activity data'!AL6*EF!$H5)*kgtoGg=0,"NO",('Activity data'!AL6*EF!$H5)*kgtoGg)</f>
        <v>57.907231828129312</v>
      </c>
      <c r="AM5" s="27">
        <f>IF(('Activity data'!AM6*EF!$H5)*kgtoGg=0,"NO",('Activity data'!AM6*EF!$H5)*kgtoGg)</f>
        <v>58.903607760874827</v>
      </c>
      <c r="AN5" s="27">
        <f>IF(('Activity data'!AN6*EF!$H5)*kgtoGg=0,"NO",('Activity data'!AN6*EF!$H5)*kgtoGg)</f>
        <v>101.34836780371782</v>
      </c>
      <c r="AO5" s="27">
        <f>IF(('Activity data'!AO6*EF!$H5)*kgtoGg=0,"NO",('Activity data'!AO6*EF!$H5)*kgtoGg)</f>
        <v>102.57007507299116</v>
      </c>
      <c r="AP5" s="27">
        <f>IF(('Activity data'!AP6*EF!$H5)*kgtoGg=0,"NO",('Activity data'!AP6*EF!$H5)*kgtoGg)</f>
        <v>103.73819527229158</v>
      </c>
      <c r="AQ5" s="27">
        <f>IF(('Activity data'!AQ6*EF!$H5)*kgtoGg=0,"NO",('Activity data'!AQ6*EF!$H5)*kgtoGg)</f>
        <v>104.83285893485541</v>
      </c>
      <c r="AR5" s="27">
        <f>IF(('Activity data'!AR6*EF!$H5)*kgtoGg=0,"NO",('Activity data'!AR6*EF!$H5)*kgtoGg)</f>
        <v>105.82483281116795</v>
      </c>
      <c r="AS5" s="27">
        <f>IF(('Activity data'!AS6*EF!$H5)*kgtoGg=0,"NO",('Activity data'!AS6*EF!$H5)*kgtoGg)</f>
        <v>106.70948436090084</v>
      </c>
      <c r="AT5" s="27">
        <f>IF(('Activity data'!AT6*EF!$H5)*kgtoGg=0,"NO",('Activity data'!AT6*EF!$H5)*kgtoGg)</f>
        <v>107.48166002182452</v>
      </c>
      <c r="AU5" s="27">
        <f>IF(('Activity data'!AU6*EF!$H5)*kgtoGg=0,"NO",('Activity data'!AU6*EF!$H5)*kgtoGg)</f>
        <v>108.13745930780478</v>
      </c>
      <c r="AV5" s="27">
        <f>IF(('Activity data'!AV6*EF!$H5)*kgtoGg=0,"NO",('Activity data'!AV6*EF!$H5)*kgtoGg)</f>
        <v>108.67378885655694</v>
      </c>
      <c r="AW5" s="27">
        <f>IF(('Activity data'!AW6*EF!$H5)*kgtoGg=0,"NO",('Activity data'!AW6*EF!$H5)*kgtoGg)</f>
        <v>109.087396849146</v>
      </c>
      <c r="AX5" s="27">
        <f>IF(('Activity data'!AX6*EF!$H5)*kgtoGg=0,"NO",('Activity data'!AX6*EF!$H5)*kgtoGg)</f>
        <v>109.37633654858924</v>
      </c>
      <c r="AY5" s="27">
        <f>IF(('Activity data'!AY6*EF!$H5)*kgtoGg=0,"NO",('Activity data'!AY6*EF!$H5)*kgtoGg)</f>
        <v>109.5387406024356</v>
      </c>
      <c r="AZ5" s="27">
        <f>IF(('Activity data'!AZ6*EF!$H5)*kgtoGg=0,"NO",('Activity data'!AZ6*EF!$H5)*kgtoGg)</f>
        <v>109.57280491680314</v>
      </c>
      <c r="BA5" s="27">
        <f>IF(('Activity data'!BA6*EF!$H5)*kgtoGg=0,"NO",('Activity data'!BA6*EF!$H5)*kgtoGg)</f>
        <v>109.47820002949129</v>
      </c>
      <c r="BB5" s="27">
        <f>IF(('Activity data'!BB6*EF!$H5)*kgtoGg=0,"NO",('Activity data'!BB6*EF!$H5)*kgtoGg)</f>
        <v>109.25546453452645</v>
      </c>
      <c r="BC5" s="27">
        <f>IF(('Activity data'!BC6*EF!$H5)*kgtoGg=0,"NO",('Activity data'!BC6*EF!$H5)*kgtoGg)</f>
        <v>34.566539689062871</v>
      </c>
      <c r="BD5" s="27">
        <f>IF(('Activity data'!BD6*EF!$H5)*kgtoGg=0,"NO",('Activity data'!BD6*EF!$H5)*kgtoGg)</f>
        <v>34.591772682945773</v>
      </c>
      <c r="BE5" s="27">
        <f>IF(('Activity data'!BE6*EF!$H5)*kgtoGg=0,"NO",('Activity data'!BE6*EF!$H5)*kgtoGg)</f>
        <v>34.61518923934495</v>
      </c>
      <c r="BF5" s="27">
        <f>IF(('Activity data'!BF6*EF!$H5)*kgtoGg=0,"NO",('Activity data'!BF6*EF!$H5)*kgtoGg)</f>
        <v>34.636947763199053</v>
      </c>
      <c r="BG5" s="27">
        <f>IF(('Activity data'!BG6*EF!$H5)*kgtoGg=0,"NO",('Activity data'!BG6*EF!$H5)*kgtoGg)</f>
        <v>34.657243376194444</v>
      </c>
      <c r="BH5" s="27">
        <f>IF(('Activity data'!BH6*EF!$H5)*kgtoGg=0,"NO",('Activity data'!BH6*EF!$H5)*kgtoGg)</f>
        <v>34.675439097632541</v>
      </c>
      <c r="BI5" s="27">
        <f>IF(('Activity data'!BI6*EF!$H5)*kgtoGg=0,"NO",('Activity data'!BI6*EF!$H5)*kgtoGg)</f>
        <v>34.691107170453741</v>
      </c>
      <c r="BJ5" s="27">
        <f>IF(('Activity data'!BJ6*EF!$H5)*kgtoGg=0,"NO",('Activity data'!BJ6*EF!$H5)*kgtoGg)</f>
        <v>34.704178998772043</v>
      </c>
      <c r="BK5" s="27">
        <f>IF(('Activity data'!BK6*EF!$H5)*kgtoGg=0,"NO",('Activity data'!BK6*EF!$H5)*kgtoGg)</f>
        <v>34.714169231795225</v>
      </c>
      <c r="BL5" s="27">
        <f>IF(('Activity data'!BL6*EF!$H5)*kgtoGg=0,"NO",('Activity data'!BL6*EF!$H5)*kgtoGg)</f>
        <v>34.720550930327988</v>
      </c>
      <c r="BM5" s="27">
        <f>IF(('Activity data'!BM6*EF!$H5)*kgtoGg=0,"NO",('Activity data'!BM6*EF!$H5)*kgtoGg)</f>
        <v>34.723259010030318</v>
      </c>
      <c r="BN5" s="27">
        <f>IF(('Activity data'!BN6*EF!$H5)*kgtoGg=0,"NO",('Activity data'!BN6*EF!$H5)*kgtoGg)</f>
        <v>34.722368316169444</v>
      </c>
      <c r="BO5" s="27">
        <f>IF(('Activity data'!BO6*EF!$H5)*kgtoGg=0,"NO",('Activity data'!BO6*EF!$H5)*kgtoGg)</f>
        <v>34.717931044684789</v>
      </c>
      <c r="BP5" s="27">
        <f>IF(('Activity data'!BP6*EF!$H5)*kgtoGg=0,"NO",('Activity data'!BP6*EF!$H5)*kgtoGg)</f>
        <v>34.709451581023373</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26.272250579806308</v>
      </c>
      <c r="AF6" s="27">
        <f>IF(('Activity data'!AF7*EF!$H6)*kgtoGg=0,"NO",('Activity data'!AF7*EF!$H6)*kgtoGg)</f>
        <v>26.479482964607669</v>
      </c>
      <c r="AG6" s="27">
        <f>IF(('Activity data'!AG7*EF!$H6)*kgtoGg=0,"NO",('Activity data'!AG7*EF!$H6)*kgtoGg)</f>
        <v>26.61265184663991</v>
      </c>
      <c r="AH6" s="27">
        <f>IF(('Activity data'!AH7*EF!$H6)*kgtoGg=0,"NO",('Activity data'!AH7*EF!$H6)*kgtoGg)</f>
        <v>26.701143177813606</v>
      </c>
      <c r="AI6" s="27">
        <f>IF(('Activity data'!AI7*EF!$H6)*kgtoGg=0,"NO",('Activity data'!AI7*EF!$H6)*kgtoGg)</f>
        <v>26.744086005835896</v>
      </c>
      <c r="AJ6" s="27">
        <f>IF(('Activity data'!AJ7*EF!$H6)*kgtoGg=0,"NO",('Activity data'!AJ7*EF!$H6)*kgtoGg)</f>
        <v>26.838962694620271</v>
      </c>
      <c r="AK6" s="27">
        <f>IF(('Activity data'!AK7*EF!$H6)*kgtoGg=0,"NO",('Activity data'!AK7*EF!$H6)*kgtoGg)</f>
        <v>26.947802192577253</v>
      </c>
      <c r="AL6" s="27">
        <f>IF(('Activity data'!AL7*EF!$H6)*kgtoGg=0,"NO",('Activity data'!AL7*EF!$H6)*kgtoGg)</f>
        <v>26.182091019923025</v>
      </c>
      <c r="AM6" s="27">
        <f>IF(('Activity data'!AM7*EF!$H6)*kgtoGg=0,"NO",('Activity data'!AM7*EF!$H6)*kgtoGg)</f>
        <v>26.632590975414445</v>
      </c>
      <c r="AN6" s="27">
        <f>IF(('Activity data'!AN7*EF!$H6)*kgtoGg=0,"NO",('Activity data'!AN7*EF!$H6)*kgtoGg)</f>
        <v>45.823502640107073</v>
      </c>
      <c r="AO6" s="27">
        <f>IF(('Activity data'!AO7*EF!$H6)*kgtoGg=0,"NO",('Activity data'!AO7*EF!$H6)*kgtoGg)</f>
        <v>46.375883576200764</v>
      </c>
      <c r="AP6" s="27">
        <f>IF(('Activity data'!AP7*EF!$H6)*kgtoGg=0,"NO",('Activity data'!AP7*EF!$H6)*kgtoGg)</f>
        <v>46.904035732930822</v>
      </c>
      <c r="AQ6" s="27">
        <f>IF(('Activity data'!AQ7*EF!$H6)*kgtoGg=0,"NO",('Activity data'!AQ7*EF!$H6)*kgtoGg)</f>
        <v>47.398975358684552</v>
      </c>
      <c r="AR6" s="27">
        <f>IF(('Activity data'!AR7*EF!$H6)*kgtoGg=0,"NO",('Activity data'!AR7*EF!$H6)*kgtoGg)</f>
        <v>47.847484974825178</v>
      </c>
      <c r="AS6" s="27">
        <f>IF(('Activity data'!AS7*EF!$H6)*kgtoGg=0,"NO",('Activity data'!AS7*EF!$H6)*kgtoGg)</f>
        <v>48.2474700313509</v>
      </c>
      <c r="AT6" s="27">
        <f>IF(('Activity data'!AT7*EF!$H6)*kgtoGg=0,"NO",('Activity data'!AT7*EF!$H6)*kgtoGg)</f>
        <v>48.5966004041803</v>
      </c>
      <c r="AU6" s="27">
        <f>IF(('Activity data'!AU7*EF!$H6)*kgtoGg=0,"NO",('Activity data'!AU7*EF!$H6)*kgtoGg)</f>
        <v>48.893112533223132</v>
      </c>
      <c r="AV6" s="27">
        <f>IF(('Activity data'!AV7*EF!$H6)*kgtoGg=0,"NO",('Activity data'!AV7*EF!$H6)*kgtoGg)</f>
        <v>49.135607790184835</v>
      </c>
      <c r="AW6" s="27">
        <f>IF(('Activity data'!AW7*EF!$H6)*kgtoGg=0,"NO",('Activity data'!AW7*EF!$H6)*kgtoGg)</f>
        <v>49.322615902412963</v>
      </c>
      <c r="AX6" s="27">
        <f>IF(('Activity data'!AX7*EF!$H6)*kgtoGg=0,"NO",('Activity data'!AX7*EF!$H6)*kgtoGg)</f>
        <v>49.453256675098231</v>
      </c>
      <c r="AY6" s="27">
        <f>IF(('Activity data'!AY7*EF!$H6)*kgtoGg=0,"NO",('Activity data'!AY7*EF!$H6)*kgtoGg)</f>
        <v>49.526685806237325</v>
      </c>
      <c r="AZ6" s="27">
        <f>IF(('Activity data'!AZ7*EF!$H6)*kgtoGg=0,"NO",('Activity data'!AZ7*EF!$H6)*kgtoGg)</f>
        <v>49.542087595463748</v>
      </c>
      <c r="BA6" s="27">
        <f>IF(('Activity data'!BA7*EF!$H6)*kgtoGg=0,"NO",('Activity data'!BA7*EF!$H6)*kgtoGg)</f>
        <v>49.499313080220467</v>
      </c>
      <c r="BB6" s="27">
        <f>IF(('Activity data'!BB7*EF!$H6)*kgtoGg=0,"NO",('Activity data'!BB7*EF!$H6)*kgtoGg)</f>
        <v>49.398605779622059</v>
      </c>
      <c r="BC6" s="27">
        <f>IF(('Activity data'!BC7*EF!$H6)*kgtoGg=0,"NO",('Activity data'!BC7*EF!$H6)*kgtoGg)</f>
        <v>15.628864648010964</v>
      </c>
      <c r="BD6" s="27">
        <f>IF(('Activity data'!BD7*EF!$H6)*kgtoGg=0,"NO",('Activity data'!BD7*EF!$H6)*kgtoGg)</f>
        <v>15.640273456922923</v>
      </c>
      <c r="BE6" s="27">
        <f>IF(('Activity data'!BE7*EF!$H6)*kgtoGg=0,"NO",('Activity data'!BE7*EF!$H6)*kgtoGg)</f>
        <v>15.650860984450333</v>
      </c>
      <c r="BF6" s="27">
        <f>IF(('Activity data'!BF7*EF!$H6)*kgtoGg=0,"NO",('Activity data'!BF7*EF!$H6)*kgtoGg)</f>
        <v>15.660698851570245</v>
      </c>
      <c r="BG6" s="27">
        <f>IF(('Activity data'!BG7*EF!$H6)*kgtoGg=0,"NO",('Activity data'!BG7*EF!$H6)*kgtoGg)</f>
        <v>15.669875280316276</v>
      </c>
      <c r="BH6" s="27">
        <f>IF(('Activity data'!BH7*EF!$H6)*kgtoGg=0,"NO",('Activity data'!BH7*EF!$H6)*kgtoGg)</f>
        <v>15.678102267167921</v>
      </c>
      <c r="BI6" s="27">
        <f>IF(('Activity data'!BI7*EF!$H6)*kgtoGg=0,"NO",('Activity data'!BI7*EF!$H6)*kgtoGg)</f>
        <v>15.685186406674521</v>
      </c>
      <c r="BJ6" s="27">
        <f>IF(('Activity data'!BJ7*EF!$H6)*kgtoGg=0,"NO",('Activity data'!BJ7*EF!$H6)*kgtoGg)</f>
        <v>15.691096683992601</v>
      </c>
      <c r="BK6" s="27">
        <f>IF(('Activity data'!BK7*EF!$H6)*kgtoGg=0,"NO",('Activity data'!BK7*EF!$H6)*kgtoGg)</f>
        <v>15.695613653325545</v>
      </c>
      <c r="BL6" s="27">
        <f>IF(('Activity data'!BL7*EF!$H6)*kgtoGg=0,"NO",('Activity data'!BL7*EF!$H6)*kgtoGg)</f>
        <v>15.698499065157048</v>
      </c>
      <c r="BM6" s="27">
        <f>IF(('Activity data'!BM7*EF!$H6)*kgtoGg=0,"NO",('Activity data'!BM7*EF!$H6)*kgtoGg)</f>
        <v>15.699723492348907</v>
      </c>
      <c r="BN6" s="27">
        <f>IF(('Activity data'!BN7*EF!$H6)*kgtoGg=0,"NO",('Activity data'!BN7*EF!$H6)*kgtoGg)</f>
        <v>15.699320775330669</v>
      </c>
      <c r="BO6" s="27">
        <f>IF(('Activity data'!BO7*EF!$H6)*kgtoGg=0,"NO",('Activity data'!BO7*EF!$H6)*kgtoGg)</f>
        <v>15.697314513897963</v>
      </c>
      <c r="BP6" s="27">
        <f>IF(('Activity data'!BP7*EF!$H6)*kgtoGg=0,"NO",('Activity data'!BP7*EF!$H6)*kgtoGg)</f>
        <v>15.693480621612418</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463.23498593143177</v>
      </c>
      <c r="AE7" s="27">
        <f>IF(('Activity data'!AE8*EF!$H7)*kgtoGg=0,"NO",('Activity data'!AE8*EF!$H7)*kgtoGg)</f>
        <v>459.21749683621613</v>
      </c>
      <c r="AF7" s="27">
        <f>IF(('Activity data'!AF8*EF!$H7)*kgtoGg=0,"NO",('Activity data'!AF8*EF!$H7)*kgtoGg)</f>
        <v>457.68816035731243</v>
      </c>
      <c r="AG7" s="27">
        <f>IF(('Activity data'!AG8*EF!$H7)*kgtoGg=0,"NO",('Activity data'!AG8*EF!$H7)*kgtoGg)</f>
        <v>451.57633407663542</v>
      </c>
      <c r="AH7" s="27">
        <f>IF(('Activity data'!AH8*EF!$H7)*kgtoGg=0,"NO",('Activity data'!AH8*EF!$H7)*kgtoGg)</f>
        <v>442.70486896910717</v>
      </c>
      <c r="AI7" s="27">
        <f>IF(('Activity data'!AI8*EF!$H7)*kgtoGg=0,"NO",('Activity data'!AI8*EF!$H7)*kgtoGg)</f>
        <v>431.25721304480419</v>
      </c>
      <c r="AJ7" s="27">
        <f>IF(('Activity data'!AJ8*EF!$H7)*kgtoGg=0,"NO",('Activity data'!AJ8*EF!$H7)*kgtoGg)</f>
        <v>422.22811200839209</v>
      </c>
      <c r="AK7" s="27">
        <f>IF(('Activity data'!AK8*EF!$H7)*kgtoGg=0,"NO",('Activity data'!AK8*EF!$H7)*kgtoGg)</f>
        <v>413.6855559628558</v>
      </c>
      <c r="AL7" s="27">
        <f>IF(('Activity data'!AL8*EF!$H7)*kgtoGg=0,"NO",('Activity data'!AL8*EF!$H7)*kgtoGg)</f>
        <v>369.96675064639845</v>
      </c>
      <c r="AM7" s="27">
        <f>IF(('Activity data'!AM8*EF!$H7)*kgtoGg=0,"NO",('Activity data'!AM8*EF!$H7)*kgtoGg)</f>
        <v>384.22044526495358</v>
      </c>
      <c r="AN7" s="27">
        <f>IF(('Activity data'!AN8*EF!$H7)*kgtoGg=0,"NO",('Activity data'!AN8*EF!$H7)*kgtoGg)</f>
        <v>1210.9459030996998</v>
      </c>
      <c r="AO7" s="27">
        <f>IF(('Activity data'!AO8*EF!$H7)*kgtoGg=0,"NO",('Activity data'!AO8*EF!$H7)*kgtoGg)</f>
        <v>1216.7867544029255</v>
      </c>
      <c r="AP7" s="27">
        <f>IF(('Activity data'!AP8*EF!$H7)*kgtoGg=0,"NO",('Activity data'!AP8*EF!$H7)*kgtoGg)</f>
        <v>1220.5248847970281</v>
      </c>
      <c r="AQ7" s="27">
        <f>IF(('Activity data'!AQ8*EF!$H7)*kgtoGg=0,"NO",('Activity data'!AQ8*EF!$H7)*kgtoGg)</f>
        <v>1222.1595328966084</v>
      </c>
      <c r="AR7" s="27">
        <f>IF(('Activity data'!AR8*EF!$H7)*kgtoGg=0,"NO",('Activity data'!AR8*EF!$H7)*kgtoGg)</f>
        <v>1221.7253267296187</v>
      </c>
      <c r="AS7" s="27">
        <f>IF(('Activity data'!AS8*EF!$H7)*kgtoGg=0,"NO",('Activity data'!AS8*EF!$H7)*kgtoGg)</f>
        <v>1219.2014537371233</v>
      </c>
      <c r="AT7" s="27">
        <f>IF(('Activity data'!AT8*EF!$H7)*kgtoGg=0,"NO",('Activity data'!AT8*EF!$H7)*kgtoGg)</f>
        <v>1214.5817314826613</v>
      </c>
      <c r="AU7" s="27">
        <f>IF(('Activity data'!AU8*EF!$H7)*kgtoGg=0,"NO",('Activity data'!AU8*EF!$H7)*kgtoGg)</f>
        <v>1207.8699823574666</v>
      </c>
      <c r="AV7" s="27">
        <f>IF(('Activity data'!AV8*EF!$H7)*kgtoGg=0,"NO",('Activity data'!AV8*EF!$H7)*kgtoGg)</f>
        <v>1199.081298415254</v>
      </c>
      <c r="AW7" s="27">
        <f>IF(('Activity data'!AW8*EF!$H7)*kgtoGg=0,"NO",('Activity data'!AW8*EF!$H7)*kgtoGg)</f>
        <v>1178.2591392805034</v>
      </c>
      <c r="AX7" s="27">
        <f>IF(('Activity data'!AX8*EF!$H7)*kgtoGg=0,"NO",('Activity data'!AX8*EF!$H7)*kgtoGg)</f>
        <v>1155.4756644581196</v>
      </c>
      <c r="AY7" s="27">
        <f>IF(('Activity data'!AY8*EF!$H7)*kgtoGg=0,"NO",('Activity data'!AY8*EF!$H7)*kgtoGg)</f>
        <v>1130.8332446231877</v>
      </c>
      <c r="AZ7" s="27">
        <f>IF(('Activity data'!AZ8*EF!$H7)*kgtoGg=0,"NO",('Activity data'!AZ8*EF!$H7)*kgtoGg)</f>
        <v>1104.4458826711734</v>
      </c>
      <c r="BA7" s="27">
        <f>IF(('Activity data'!BA8*EF!$H7)*kgtoGg=0,"NO",('Activity data'!BA8*EF!$H7)*kgtoGg)</f>
        <v>1076.4349444121476</v>
      </c>
      <c r="BB7" s="27">
        <f>IF(('Activity data'!BB8*EF!$H7)*kgtoGg=0,"NO",('Activity data'!BB8*EF!$H7)*kgtoGg)</f>
        <v>1046.9296670550386</v>
      </c>
      <c r="BC7" s="27">
        <f>IF(('Activity data'!BC8*EF!$H7)*kgtoGg=0,"NO",('Activity data'!BC8*EF!$H7)*kgtoGg)</f>
        <v>-80.836782317903939</v>
      </c>
      <c r="BD7" s="27">
        <f>IF(('Activity data'!BD8*EF!$H7)*kgtoGg=0,"NO",('Activity data'!BD8*EF!$H7)*kgtoGg)</f>
        <v>-78.890466200610106</v>
      </c>
      <c r="BE7" s="27">
        <f>IF(('Activity data'!BE8*EF!$H7)*kgtoGg=0,"NO",('Activity data'!BE8*EF!$H7)*kgtoGg)</f>
        <v>-76.96440050927697</v>
      </c>
      <c r="BF7" s="27">
        <f>IF(('Activity data'!BF8*EF!$H7)*kgtoGg=0,"NO",('Activity data'!BF8*EF!$H7)*kgtoGg)</f>
        <v>-75.058386316845628</v>
      </c>
      <c r="BG7" s="27">
        <f>IF(('Activity data'!BG8*EF!$H7)*kgtoGg=0,"NO",('Activity data'!BG8*EF!$H7)*kgtoGg)</f>
        <v>-73.545633197869449</v>
      </c>
      <c r="BH7" s="27">
        <f>IF(('Activity data'!BH8*EF!$H7)*kgtoGg=0,"NO",('Activity data'!BH8*EF!$H7)*kgtoGg)</f>
        <v>-72.047230196727966</v>
      </c>
      <c r="BI7" s="27">
        <f>IF(('Activity data'!BI8*EF!$H7)*kgtoGg=0,"NO",('Activity data'!BI8*EF!$H7)*kgtoGg)</f>
        <v>-70.562062843287677</v>
      </c>
      <c r="BJ7" s="27">
        <f>IF(('Activity data'!BJ8*EF!$H7)*kgtoGg=0,"NO",('Activity data'!BJ8*EF!$H7)*kgtoGg)</f>
        <v>-69.089763252231094</v>
      </c>
      <c r="BK7" s="27">
        <f>IF(('Activity data'!BK8*EF!$H7)*kgtoGg=0,"NO",('Activity data'!BK8*EF!$H7)*kgtoGg)</f>
        <v>-67.629255024927176</v>
      </c>
      <c r="BL7" s="27">
        <f>IF(('Activity data'!BL8*EF!$H7)*kgtoGg=0,"NO",('Activity data'!BL8*EF!$H7)*kgtoGg)</f>
        <v>-66.179484044667291</v>
      </c>
      <c r="BM7" s="27">
        <f>IF(('Activity data'!BM8*EF!$H7)*kgtoGg=0,"NO",('Activity data'!BM8*EF!$H7)*kgtoGg)</f>
        <v>-64.740281014136201</v>
      </c>
      <c r="BN7" s="27">
        <f>IF(('Activity data'!BN8*EF!$H7)*kgtoGg=0,"NO",('Activity data'!BN8*EF!$H7)*kgtoGg)</f>
        <v>-63.311734849146887</v>
      </c>
      <c r="BO7" s="27">
        <f>IF(('Activity data'!BO8*EF!$H7)*kgtoGg=0,"NO",('Activity data'!BO8*EF!$H7)*kgtoGg)</f>
        <v>-61.893900094857884</v>
      </c>
      <c r="BP7" s="27">
        <f>IF(('Activity data'!BP8*EF!$H7)*kgtoGg=0,"NO",('Activity data'!BP8*EF!$H7)*kgtoGg)</f>
        <v>-60.485962401496174</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326.20040935577731</v>
      </c>
      <c r="AE8" s="27">
        <f>IF(('Activity data'!AE9*EF!$H8)*kgtoGg=0,"NO",('Activity data'!AE9*EF!$H8)*kgtoGg)</f>
        <v>323.37137738012325</v>
      </c>
      <c r="AF8" s="27">
        <f>IF(('Activity data'!AF9*EF!$H8)*kgtoGg=0,"NO",('Activity data'!AF9*EF!$H8)*kgtoGg)</f>
        <v>322.29445054900742</v>
      </c>
      <c r="AG8" s="27">
        <f>IF(('Activity data'!AG9*EF!$H8)*kgtoGg=0,"NO",('Activity data'!AG9*EF!$H8)*kgtoGg)</f>
        <v>317.99063003627231</v>
      </c>
      <c r="AH8" s="27">
        <f>IF(('Activity data'!AH9*EF!$H8)*kgtoGg=0,"NO",('Activity data'!AH9*EF!$H8)*kgtoGg)</f>
        <v>311.74352945546792</v>
      </c>
      <c r="AI8" s="27">
        <f>IF(('Activity data'!AI9*EF!$H8)*kgtoGg=0,"NO",('Activity data'!AI9*EF!$H8)*kgtoGg)</f>
        <v>303.68232906672068</v>
      </c>
      <c r="AJ8" s="27">
        <f>IF(('Activity data'!AJ9*EF!$H8)*kgtoGg=0,"NO",('Activity data'!AJ9*EF!$H8)*kgtoGg)</f>
        <v>297.32422455466593</v>
      </c>
      <c r="AK8" s="27">
        <f>IF(('Activity data'!AK9*EF!$H8)*kgtoGg=0,"NO",('Activity data'!AK9*EF!$H8)*kgtoGg)</f>
        <v>291.30873487096767</v>
      </c>
      <c r="AL8" s="27">
        <f>IF(('Activity data'!AL9*EF!$H8)*kgtoGg=0,"NO",('Activity data'!AL9*EF!$H8)*kgtoGg)</f>
        <v>260.52286458075423</v>
      </c>
      <c r="AM8" s="27">
        <f>IF(('Activity data'!AM9*EF!$H8)*kgtoGg=0,"NO",('Activity data'!AM9*EF!$H8)*kgtoGg)</f>
        <v>270.56001885582697</v>
      </c>
      <c r="AN8" s="27">
        <f>IF(('Activity data'!AN9*EF!$H8)*kgtoGg=0,"NO",('Activity data'!AN9*EF!$H8)*kgtoGg)</f>
        <v>852.72283246173731</v>
      </c>
      <c r="AO8" s="27">
        <f>IF(('Activity data'!AO9*EF!$H8)*kgtoGg=0,"NO",('Activity data'!AO9*EF!$H8)*kgtoGg)</f>
        <v>856.83583805061244</v>
      </c>
      <c r="AP8" s="27">
        <f>IF(('Activity data'!AP9*EF!$H8)*kgtoGg=0,"NO",('Activity data'!AP9*EF!$H8)*kgtoGg)</f>
        <v>859.46815145917253</v>
      </c>
      <c r="AQ8" s="27">
        <f>IF(('Activity data'!AQ9*EF!$H8)*kgtoGg=0,"NO",('Activity data'!AQ9*EF!$H8)*kgtoGg)</f>
        <v>860.61923653571034</v>
      </c>
      <c r="AR8" s="27">
        <f>IF(('Activity data'!AR9*EF!$H8)*kgtoGg=0,"NO",('Activity data'!AR9*EF!$H8)*kgtoGg)</f>
        <v>860.31347761482039</v>
      </c>
      <c r="AS8" s="27">
        <f>IF(('Activity data'!AS9*EF!$H8)*kgtoGg=0,"NO",('Activity data'!AS9*EF!$H8)*kgtoGg)</f>
        <v>858.53621892685965</v>
      </c>
      <c r="AT8" s="27">
        <f>IF(('Activity data'!AT9*EF!$H8)*kgtoGg=0,"NO",('Activity data'!AT9*EF!$H8)*kgtoGg)</f>
        <v>855.28310692910031</v>
      </c>
      <c r="AU8" s="27">
        <f>IF(('Activity data'!AU9*EF!$H8)*kgtoGg=0,"NO",('Activity data'!AU9*EF!$H8)*kgtoGg)</f>
        <v>850.55683326967551</v>
      </c>
      <c r="AV8" s="27">
        <f>IF(('Activity data'!AV9*EF!$H8)*kgtoGg=0,"NO",('Activity data'!AV9*EF!$H8)*kgtoGg)</f>
        <v>844.36802545783894</v>
      </c>
      <c r="AW8" s="27">
        <f>IF(('Activity data'!AW9*EF!$H8)*kgtoGg=0,"NO",('Activity data'!AW9*EF!$H8)*kgtoGg)</f>
        <v>829.70549555464197</v>
      </c>
      <c r="AX8" s="27">
        <f>IF(('Activity data'!AX9*EF!$H8)*kgtoGg=0,"NO",('Activity data'!AX9*EF!$H8)*kgtoGg)</f>
        <v>813.66184807696902</v>
      </c>
      <c r="AY8" s="27">
        <f>IF(('Activity data'!AY9*EF!$H8)*kgtoGg=0,"NO",('Activity data'!AY9*EF!$H8)*kgtoGg)</f>
        <v>796.30917031773436</v>
      </c>
      <c r="AZ8" s="27">
        <f>IF(('Activity data'!AZ9*EF!$H8)*kgtoGg=0,"NO",('Activity data'!AZ9*EF!$H8)*kgtoGg)</f>
        <v>777.72774073667881</v>
      </c>
      <c r="BA8" s="27">
        <f>IF(('Activity data'!BA9*EF!$H8)*kgtoGg=0,"NO",('Activity data'!BA9*EF!$H8)*kgtoGg)</f>
        <v>758.0030226043441</v>
      </c>
      <c r="BB8" s="27">
        <f>IF(('Activity data'!BB9*EF!$H8)*kgtoGg=0,"NO",('Activity data'!BB9*EF!$H8)*kgtoGg)</f>
        <v>737.22602206606996</v>
      </c>
      <c r="BC8" s="27">
        <f>IF(('Activity data'!BC9*EF!$H8)*kgtoGg=0,"NO",('Activity data'!BC9*EF!$H8)*kgtoGg)</f>
        <v>-56.923575040610757</v>
      </c>
      <c r="BD8" s="27">
        <f>IF(('Activity data'!BD9*EF!$H8)*kgtoGg=0,"NO",('Activity data'!BD9*EF!$H8)*kgtoGg)</f>
        <v>-55.553019850526375</v>
      </c>
      <c r="BE8" s="27">
        <f>IF(('Activity data'!BE9*EF!$H8)*kgtoGg=0,"NO",('Activity data'!BE9*EF!$H8)*kgtoGg)</f>
        <v>-54.19672458777611</v>
      </c>
      <c r="BF8" s="27">
        <f>IF(('Activity data'!BF9*EF!$H8)*kgtoGg=0,"NO",('Activity data'!BF9*EF!$H8)*kgtoGg)</f>
        <v>-52.854549172076716</v>
      </c>
      <c r="BG8" s="27">
        <f>IF(('Activity data'!BG9*EF!$H8)*kgtoGg=0,"NO",('Activity data'!BG9*EF!$H8)*kgtoGg)</f>
        <v>-51.78929999692631</v>
      </c>
      <c r="BH8" s="27">
        <f>IF(('Activity data'!BH9*EF!$H8)*kgtoGg=0,"NO",('Activity data'!BH9*EF!$H8)*kgtoGg)</f>
        <v>-50.734155875267454</v>
      </c>
      <c r="BI8" s="27">
        <f>IF(('Activity data'!BI9*EF!$H8)*kgtoGg=0,"NO",('Activity data'!BI9*EF!$H8)*kgtoGg)</f>
        <v>-49.688332020491153</v>
      </c>
      <c r="BJ8" s="27">
        <f>IF(('Activity data'!BJ9*EF!$H8)*kgtoGg=0,"NO",('Activity data'!BJ9*EF!$H8)*kgtoGg)</f>
        <v>-48.651569375434605</v>
      </c>
      <c r="BK8" s="27">
        <f>IF(('Activity data'!BK9*EF!$H8)*kgtoGg=0,"NO",('Activity data'!BK9*EF!$H8)*kgtoGg)</f>
        <v>-47.623109962646353</v>
      </c>
      <c r="BL8" s="27">
        <f>IF(('Activity data'!BL9*EF!$H8)*kgtoGg=0,"NO",('Activity data'!BL9*EF!$H8)*kgtoGg)</f>
        <v>-46.60221149513962</v>
      </c>
      <c r="BM8" s="27">
        <f>IF(('Activity data'!BM9*EF!$H8)*kgtoGg=0,"NO",('Activity data'!BM9*EF!$H8)*kgtoGg)</f>
        <v>-45.588754757278259</v>
      </c>
      <c r="BN8" s="27">
        <f>IF(('Activity data'!BN9*EF!$H8)*kgtoGg=0,"NO",('Activity data'!BN9*EF!$H8)*kgtoGg)</f>
        <v>-44.582802361722123</v>
      </c>
      <c r="BO8" s="27">
        <f>IF(('Activity data'!BO9*EF!$H8)*kgtoGg=0,"NO",('Activity data'!BO9*EF!$H8)*kgtoGg)</f>
        <v>-43.584392718033477</v>
      </c>
      <c r="BP8" s="27">
        <f>IF(('Activity data'!BP9*EF!$H8)*kgtoGg=0,"NO",('Activity data'!BP9*EF!$H8)*kgtoGg)</f>
        <v>-42.59295237809765</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32.967337371253549</v>
      </c>
      <c r="AF9" s="27">
        <f>IF(('Activity data'!AF10*EF!$H9)*kgtoGg=0,"NO",('Activity data'!AF10*EF!$H9)*kgtoGg)</f>
        <v>34.243655078433662</v>
      </c>
      <c r="AG9" s="27">
        <f>IF(('Activity data'!AG10*EF!$H9)*kgtoGg=0,"NO",('Activity data'!AG10*EF!$H9)*kgtoGg)</f>
        <v>35.195504797614667</v>
      </c>
      <c r="AH9" s="27">
        <f>IF(('Activity data'!AH10*EF!$H9)*kgtoGg=0,"NO",('Activity data'!AH10*EF!$H9)*kgtoGg)</f>
        <v>35.929559405213332</v>
      </c>
      <c r="AI9" s="27">
        <f>IF(('Activity data'!AI10*EF!$H9)*kgtoGg=0,"NO",('Activity data'!AI10*EF!$H9)*kgtoGg)</f>
        <v>36.435327957872921</v>
      </c>
      <c r="AJ9" s="27">
        <f>IF(('Activity data'!AJ10*EF!$H9)*kgtoGg=0,"NO",('Activity data'!AJ10*EF!$H9)*kgtoGg)</f>
        <v>37.125912791560353</v>
      </c>
      <c r="AK9" s="27">
        <f>IF(('Activity data'!AK10*EF!$H9)*kgtoGg=0,"NO",('Activity data'!AK10*EF!$H9)*kgtoGg)</f>
        <v>37.849847328761314</v>
      </c>
      <c r="AL9" s="27">
        <f>IF(('Activity data'!AL10*EF!$H9)*kgtoGg=0,"NO",('Activity data'!AL10*EF!$H9)*kgtoGg)</f>
        <v>35.21788884404873</v>
      </c>
      <c r="AM9" s="27">
        <f>IF(('Activity data'!AM10*EF!$H9)*kgtoGg=0,"NO",('Activity data'!AM10*EF!$H9)*kgtoGg)</f>
        <v>37.455910775606171</v>
      </c>
      <c r="AN9" s="27">
        <f>IF(('Activity data'!AN10*EF!$H9)*kgtoGg=0,"NO",('Activity data'!AN10*EF!$H9)*kgtoGg)</f>
        <v>120.85470894098397</v>
      </c>
      <c r="AO9" s="27">
        <f>IF(('Activity data'!AO10*EF!$H9)*kgtoGg=0,"NO",('Activity data'!AO10*EF!$H9)*kgtoGg)</f>
        <v>124.28654564348025</v>
      </c>
      <c r="AP9" s="27">
        <f>IF(('Activity data'!AP10*EF!$H9)*kgtoGg=0,"NO",('Activity data'!AP10*EF!$H9)*kgtoGg)</f>
        <v>127.55864590441264</v>
      </c>
      <c r="AQ9" s="27">
        <f>IF(('Activity data'!AQ10*EF!$H9)*kgtoGg=0,"NO",('Activity data'!AQ10*EF!$H9)*kgtoGg)</f>
        <v>130.65843671178916</v>
      </c>
      <c r="AR9" s="27">
        <f>IF(('Activity data'!AR10*EF!$H9)*kgtoGg=0,"NO",('Activity data'!AR10*EF!$H9)*kgtoGg)</f>
        <v>133.57680599902966</v>
      </c>
      <c r="AS9" s="27">
        <f>IF(('Activity data'!AS10*EF!$H9)*kgtoGg=0,"NO",('Activity data'!AS10*EF!$H9)*kgtoGg)</f>
        <v>136.29836120715478</v>
      </c>
      <c r="AT9" s="27">
        <f>IF(('Activity data'!AT10*EF!$H9)*kgtoGg=0,"NO",('Activity data'!AT10*EF!$H9)*kgtoGg)</f>
        <v>138.8087353610496</v>
      </c>
      <c r="AU9" s="27">
        <f>IF(('Activity data'!AU10*EF!$H9)*kgtoGg=0,"NO",('Activity data'!AU10*EF!$H9)*kgtoGg)</f>
        <v>141.09420138271955</v>
      </c>
      <c r="AV9" s="27">
        <f>IF(('Activity data'!AV10*EF!$H9)*kgtoGg=0,"NO",('Activity data'!AV10*EF!$H9)*kgtoGg)</f>
        <v>143.14192494700313</v>
      </c>
      <c r="AW9" s="27">
        <f>IF(('Activity data'!AW10*EF!$H9)*kgtoGg=0,"NO",('Activity data'!AW10*EF!$H9)*kgtoGg)</f>
        <v>145.32079439837173</v>
      </c>
      <c r="AX9" s="27">
        <f>IF(('Activity data'!AX10*EF!$H9)*kgtoGg=0,"NO",('Activity data'!AX10*EF!$H9)*kgtoGg)</f>
        <v>147.24589460251983</v>
      </c>
      <c r="AY9" s="27">
        <f>IF(('Activity data'!AY10*EF!$H9)*kgtoGg=0,"NO",('Activity data'!AY10*EF!$H9)*kgtoGg)</f>
        <v>148.90595700146477</v>
      </c>
      <c r="AZ9" s="27">
        <f>IF(('Activity data'!AZ10*EF!$H9)*kgtoGg=0,"NO",('Activity data'!AZ10*EF!$H9)*kgtoGg)</f>
        <v>150.29119988084832</v>
      </c>
      <c r="BA9" s="27">
        <f>IF(('Activity data'!BA10*EF!$H9)*kgtoGg=0,"NO",('Activity data'!BA10*EF!$H9)*kgtoGg)</f>
        <v>151.39298806651198</v>
      </c>
      <c r="BB9" s="27">
        <f>IF(('Activity data'!BB10*EF!$H9)*kgtoGg=0,"NO",('Activity data'!BB10*EF!$H9)*kgtoGg)</f>
        <v>152.2040963869018</v>
      </c>
      <c r="BC9" s="27">
        <f>IF(('Activity data'!BC10*EF!$H9)*kgtoGg=0,"NO",('Activity data'!BC10*EF!$H9)*kgtoGg)</f>
        <v>-12.150089844770541</v>
      </c>
      <c r="BD9" s="27">
        <f>IF(('Activity data'!BD10*EF!$H9)*kgtoGg=0,"NO",('Activity data'!BD10*EF!$H9)*kgtoGg)</f>
        <v>-12.261292624366734</v>
      </c>
      <c r="BE9" s="27">
        <f>IF(('Activity data'!BE10*EF!$H9)*kgtoGg=0,"NO",('Activity data'!BE10*EF!$H9)*kgtoGg)</f>
        <v>-12.371760078813706</v>
      </c>
      <c r="BF9" s="27">
        <f>IF(('Activity data'!BF10*EF!$H9)*kgtoGg=0,"NO",('Activity data'!BF10*EF!$H9)*kgtoGg)</f>
        <v>-12.481547229069234</v>
      </c>
      <c r="BG9" s="27">
        <f>IF(('Activity data'!BG10*EF!$H9)*kgtoGg=0,"NO",('Activity data'!BG10*EF!$H9)*kgtoGg)</f>
        <v>-12.575061773814197</v>
      </c>
      <c r="BH9" s="27">
        <f>IF(('Activity data'!BH10*EF!$H9)*kgtoGg=0,"NO",('Activity data'!BH10*EF!$H9)*kgtoGg)</f>
        <v>-12.667641248223251</v>
      </c>
      <c r="BI9" s="27">
        <f>IF(('Activity data'!BI10*EF!$H9)*kgtoGg=0,"NO",('Activity data'!BI10*EF!$H9)*kgtoGg)</f>
        <v>-12.759143955764493</v>
      </c>
      <c r="BJ9" s="27">
        <f>IF(('Activity data'!BJ10*EF!$H9)*kgtoGg=0,"NO",('Activity data'!BJ10*EF!$H9)*kgtoGg)</f>
        <v>-12.849544731083009</v>
      </c>
      <c r="BK9" s="27">
        <f>IF(('Activity data'!BK10*EF!$H9)*kgtoGg=0,"NO",('Activity data'!BK10*EF!$H9)*kgtoGg)</f>
        <v>-12.938674897522816</v>
      </c>
      <c r="BL9" s="27">
        <f>IF(('Activity data'!BL10*EF!$H9)*kgtoGg=0,"NO",('Activity data'!BL10*EF!$H9)*kgtoGg)</f>
        <v>-13.02634616662869</v>
      </c>
      <c r="BM9" s="27">
        <f>IF(('Activity data'!BM10*EF!$H9)*kgtoGg=0,"NO",('Activity data'!BM10*EF!$H9)*kgtoGg)</f>
        <v>-13.112524146200343</v>
      </c>
      <c r="BN9" s="27">
        <f>IF(('Activity data'!BN10*EF!$H9)*kgtoGg=0,"NO",('Activity data'!BN10*EF!$H9)*kgtoGg)</f>
        <v>-13.197221864241371</v>
      </c>
      <c r="BO9" s="27">
        <f>IF(('Activity data'!BO10*EF!$H9)*kgtoGg=0,"NO",('Activity data'!BO10*EF!$H9)*kgtoGg)</f>
        <v>-13.28044453197926</v>
      </c>
      <c r="BP9" s="27">
        <f>IF(('Activity data'!BP10*EF!$H9)*kgtoGg=0,"NO",('Activity data'!BP10*EF!$H9)*kgtoGg)</f>
        <v>-13.362004258887673</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134.51556530099631</v>
      </c>
      <c r="AM10" s="27">
        <f>IF(('Activity data'!AM11*EF!$H10)*kgtoGg=0,"NO",('Activity data'!AM11*EF!$H10)*kgtoGg)</f>
        <v>134.60509112337468</v>
      </c>
      <c r="AN10" s="27">
        <f>IF(('Activity data'!AN11*EF!$H10)*kgtoGg=0,"NO",('Activity data'!AN11*EF!$H10)*kgtoGg)</f>
        <v>136.35833424652054</v>
      </c>
      <c r="AO10" s="27">
        <f>IF(('Activity data'!AO11*EF!$H10)*kgtoGg=0,"NO",('Activity data'!AO11*EF!$H10)*kgtoGg)</f>
        <v>136.40110324414033</v>
      </c>
      <c r="AP10" s="27">
        <f>IF(('Activity data'!AP11*EF!$H10)*kgtoGg=0,"NO",('Activity data'!AP11*EF!$H10)*kgtoGg)</f>
        <v>136.58404654274005</v>
      </c>
      <c r="AQ10" s="27">
        <f>IF(('Activity data'!AQ11*EF!$H10)*kgtoGg=0,"NO",('Activity data'!AQ11*EF!$H10)*kgtoGg)</f>
        <v>136.84849552124783</v>
      </c>
      <c r="AR10" s="27">
        <f>IF(('Activity data'!AR11*EF!$H10)*kgtoGg=0,"NO",('Activity data'!AR11*EF!$H10)*kgtoGg)</f>
        <v>137.09415955987274</v>
      </c>
      <c r="AS10" s="27">
        <f>IF(('Activity data'!AS11*EF!$H10)*kgtoGg=0,"NO",('Activity data'!AS11*EF!$H10)*kgtoGg)</f>
        <v>137.32408030952666</v>
      </c>
      <c r="AT10" s="27">
        <f>IF(('Activity data'!AT11*EF!$H10)*kgtoGg=0,"NO",('Activity data'!AT11*EF!$H10)*kgtoGg)</f>
        <v>137.53703172758449</v>
      </c>
      <c r="AU10" s="27">
        <f>IF(('Activity data'!AU11*EF!$H10)*kgtoGg=0,"NO",('Activity data'!AU11*EF!$H10)*kgtoGg)</f>
        <v>137.73493252382224</v>
      </c>
      <c r="AV10" s="27">
        <f>IF(('Activity data'!AV11*EF!$H10)*kgtoGg=0,"NO",('Activity data'!AV11*EF!$H10)*kgtoGg)</f>
        <v>137.92078465176073</v>
      </c>
      <c r="AW10" s="27">
        <f>IF(('Activity data'!AW11*EF!$H10)*kgtoGg=0,"NO",('Activity data'!AW11*EF!$H10)*kgtoGg)</f>
        <v>138.09441299579947</v>
      </c>
      <c r="AX10" s="27">
        <f>IF(('Activity data'!AX11*EF!$H10)*kgtoGg=0,"NO",('Activity data'!AX11*EF!$H10)*kgtoGg)</f>
        <v>138.25859465521103</v>
      </c>
      <c r="AY10" s="27">
        <f>IF(('Activity data'!AY11*EF!$H10)*kgtoGg=0,"NO",('Activity data'!AY11*EF!$H10)*kgtoGg)</f>
        <v>138.41372705764812</v>
      </c>
      <c r="AZ10" s="27">
        <f>IF(('Activity data'!AZ11*EF!$H10)*kgtoGg=0,"NO",('Activity data'!AZ11*EF!$H10)*kgtoGg)</f>
        <v>138.55768393469623</v>
      </c>
      <c r="BA10" s="27">
        <f>IF(('Activity data'!BA11*EF!$H10)*kgtoGg=0,"NO",('Activity data'!BA11*EF!$H10)*kgtoGg)</f>
        <v>138.69178217062699</v>
      </c>
      <c r="BB10" s="27">
        <f>IF(('Activity data'!BB11*EF!$H10)*kgtoGg=0,"NO",('Activity data'!BB11*EF!$H10)*kgtoGg)</f>
        <v>138.81816108295814</v>
      </c>
      <c r="BC10" s="27">
        <f>IF(('Activity data'!BC11*EF!$H10)*kgtoGg=0,"NO",('Activity data'!BC11*EF!$H10)*kgtoGg)</f>
        <v>135.77163521502163</v>
      </c>
      <c r="BD10" s="27">
        <f>IF(('Activity data'!BD11*EF!$H10)*kgtoGg=0,"NO",('Activity data'!BD11*EF!$H10)*kgtoGg)</f>
        <v>135.89648953385836</v>
      </c>
      <c r="BE10" s="27">
        <f>IF(('Activity data'!BE11*EF!$H10)*kgtoGg=0,"NO",('Activity data'!BE11*EF!$H10)*kgtoGg)</f>
        <v>136.01294647652736</v>
      </c>
      <c r="BF10" s="27">
        <f>IF(('Activity data'!BF11*EF!$H10)*kgtoGg=0,"NO",('Activity data'!BF11*EF!$H10)*kgtoGg)</f>
        <v>136.12171776801748</v>
      </c>
      <c r="BG10" s="27">
        <f>IF(('Activity data'!BG11*EF!$H10)*kgtoGg=0,"NO",('Activity data'!BG11*EF!$H10)*kgtoGg)</f>
        <v>136.22366859450332</v>
      </c>
      <c r="BH10" s="27">
        <f>IF(('Activity data'!BH11*EF!$H10)*kgtoGg=0,"NO",('Activity data'!BH11*EF!$H10)*kgtoGg)</f>
        <v>136.31611723482146</v>
      </c>
      <c r="BI10" s="27">
        <f>IF(('Activity data'!BI11*EF!$H10)*kgtoGg=0,"NO",('Activity data'!BI11*EF!$H10)*kgtoGg)</f>
        <v>136.39727280638544</v>
      </c>
      <c r="BJ10" s="27">
        <f>IF(('Activity data'!BJ11*EF!$H10)*kgtoGg=0,"NO",('Activity data'!BJ11*EF!$H10)*kgtoGg)</f>
        <v>136.46687299989276</v>
      </c>
      <c r="BK10" s="27">
        <f>IF(('Activity data'!BK11*EF!$H10)*kgtoGg=0,"NO",('Activity data'!BK11*EF!$H10)*kgtoGg)</f>
        <v>136.52287982045266</v>
      </c>
      <c r="BL10" s="27">
        <f>IF(('Activity data'!BL11*EF!$H10)*kgtoGg=0,"NO",('Activity data'!BL11*EF!$H10)*kgtoGg)</f>
        <v>136.56307802336653</v>
      </c>
      <c r="BM10" s="27">
        <f>IF(('Activity data'!BM11*EF!$H10)*kgtoGg=0,"NO",('Activity data'!BM11*EF!$H10)*kgtoGg)</f>
        <v>136.58721779491506</v>
      </c>
      <c r="BN10" s="27">
        <f>IF(('Activity data'!BN11*EF!$H10)*kgtoGg=0,"NO",('Activity data'!BN11*EF!$H10)*kgtoGg)</f>
        <v>136.59564346547165</v>
      </c>
      <c r="BO10" s="27">
        <f>IF(('Activity data'!BO11*EF!$H10)*kgtoGg=0,"NO",('Activity data'!BO11*EF!$H10)*kgtoGg)</f>
        <v>136.58860148831764</v>
      </c>
      <c r="BP10" s="27">
        <f>IF(('Activity data'!BP11*EF!$H10)*kgtoGg=0,"NO",('Activity data'!BP11*EF!$H10)*kgtoGg)</f>
        <v>136.56400681676968</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14.577965145623706</v>
      </c>
      <c r="AM11" s="27">
        <f>IF(('Activity data'!AM12*EF!$H11)*kgtoGg=0,"NO",('Activity data'!AM12*EF!$H11)*kgtoGg)</f>
        <v>14.587667400640397</v>
      </c>
      <c r="AN11" s="27">
        <f>IF(('Activity data'!AN12*EF!$H11)*kgtoGg=0,"NO",('Activity data'!AN12*EF!$H11)*kgtoGg)</f>
        <v>14.777673048565481</v>
      </c>
      <c r="AO11" s="27">
        <f>IF(('Activity data'!AO12*EF!$H11)*kgtoGg=0,"NO",('Activity data'!AO12*EF!$H11)*kgtoGg)</f>
        <v>14.782308088051206</v>
      </c>
      <c r="AP11" s="27">
        <f>IF(('Activity data'!AP12*EF!$H11)*kgtoGg=0,"NO",('Activity data'!AP12*EF!$H11)*kgtoGg)</f>
        <v>14.802134351462762</v>
      </c>
      <c r="AQ11" s="27">
        <f>IF(('Activity data'!AQ12*EF!$H11)*kgtoGg=0,"NO",('Activity data'!AQ12*EF!$H11)*kgtoGg)</f>
        <v>14.830793696445298</v>
      </c>
      <c r="AR11" s="27">
        <f>IF(('Activity data'!AR12*EF!$H11)*kgtoGg=0,"NO",('Activity data'!AR12*EF!$H11)*kgtoGg)</f>
        <v>14.857417245806248</v>
      </c>
      <c r="AS11" s="27">
        <f>IF(('Activity data'!AS12*EF!$H11)*kgtoGg=0,"NO",('Activity data'!AS12*EF!$H11)*kgtoGg)</f>
        <v>14.882334634862383</v>
      </c>
      <c r="AT11" s="27">
        <f>IF(('Activity data'!AT12*EF!$H11)*kgtoGg=0,"NO",('Activity data'!AT12*EF!$H11)*kgtoGg)</f>
        <v>14.905412992695631</v>
      </c>
      <c r="AU11" s="27">
        <f>IF(('Activity data'!AU12*EF!$H11)*kgtoGg=0,"NO",('Activity data'!AU12*EF!$H11)*kgtoGg)</f>
        <v>14.926860257206538</v>
      </c>
      <c r="AV11" s="27">
        <f>IF(('Activity data'!AV12*EF!$H11)*kgtoGg=0,"NO",('Activity data'!AV12*EF!$H11)*kgtoGg)</f>
        <v>14.947001761554121</v>
      </c>
      <c r="AW11" s="27">
        <f>IF(('Activity data'!AW12*EF!$H11)*kgtoGg=0,"NO",('Activity data'!AW12*EF!$H11)*kgtoGg)</f>
        <v>14.965818527792479</v>
      </c>
      <c r="AX11" s="27">
        <f>IF(('Activity data'!AX12*EF!$H11)*kgtoGg=0,"NO",('Activity data'!AX12*EF!$H11)*kgtoGg)</f>
        <v>14.983611520767653</v>
      </c>
      <c r="AY11" s="27">
        <f>IF(('Activity data'!AY12*EF!$H11)*kgtoGg=0,"NO",('Activity data'!AY12*EF!$H11)*kgtoGg)</f>
        <v>15.000423811231022</v>
      </c>
      <c r="AZ11" s="27">
        <f>IF(('Activity data'!AZ12*EF!$H11)*kgtoGg=0,"NO",('Activity data'!AZ12*EF!$H11)*kgtoGg)</f>
        <v>15.016024967360309</v>
      </c>
      <c r="BA11" s="27">
        <f>IF(('Activity data'!BA12*EF!$H11)*kgtoGg=0,"NO",('Activity data'!BA12*EF!$H11)*kgtoGg)</f>
        <v>15.030557704929484</v>
      </c>
      <c r="BB11" s="27">
        <f>IF(('Activity data'!BB12*EF!$H11)*kgtoGg=0,"NO",('Activity data'!BB12*EF!$H11)*kgtoGg)</f>
        <v>15.044253869941933</v>
      </c>
      <c r="BC11" s="27">
        <f>IF(('Activity data'!BC12*EF!$H11)*kgtoGg=0,"NO",('Activity data'!BC12*EF!$H11)*kgtoGg)</f>
        <v>14.714090235580054</v>
      </c>
      <c r="BD11" s="27">
        <f>IF(('Activity data'!BD12*EF!$H11)*kgtoGg=0,"NO",('Activity data'!BD12*EF!$H11)*kgtoGg)</f>
        <v>14.727621174577411</v>
      </c>
      <c r="BE11" s="27">
        <f>IF(('Activity data'!BE12*EF!$H11)*kgtoGg=0,"NO",('Activity data'!BE12*EF!$H11)*kgtoGg)</f>
        <v>14.740242057873667</v>
      </c>
      <c r="BF11" s="27">
        <f>IF(('Activity data'!BF12*EF!$H11)*kgtoGg=0,"NO",('Activity data'!BF12*EF!$H11)*kgtoGg)</f>
        <v>14.752030017821943</v>
      </c>
      <c r="BG11" s="27">
        <f>IF(('Activity data'!BG12*EF!$H11)*kgtoGg=0,"NO",('Activity data'!BG12*EF!$H11)*kgtoGg)</f>
        <v>14.763078817949665</v>
      </c>
      <c r="BH11" s="27">
        <f>IF(('Activity data'!BH12*EF!$H11)*kgtoGg=0,"NO",('Activity data'!BH12*EF!$H11)*kgtoGg)</f>
        <v>14.773097829900454</v>
      </c>
      <c r="BI11" s="27">
        <f>IF(('Activity data'!BI12*EF!$H11)*kgtoGg=0,"NO",('Activity data'!BI12*EF!$H11)*kgtoGg)</f>
        <v>14.781892968894116</v>
      </c>
      <c r="BJ11" s="27">
        <f>IF(('Activity data'!BJ12*EF!$H11)*kgtoGg=0,"NO",('Activity data'!BJ12*EF!$H11)*kgtoGg)</f>
        <v>14.789435807470511</v>
      </c>
      <c r="BK11" s="27">
        <f>IF(('Activity data'!BK12*EF!$H11)*kgtoGg=0,"NO",('Activity data'!BK12*EF!$H11)*kgtoGg)</f>
        <v>14.795505480346009</v>
      </c>
      <c r="BL11" s="27">
        <f>IF(('Activity data'!BL12*EF!$H11)*kgtoGg=0,"NO",('Activity data'!BL12*EF!$H11)*kgtoGg)</f>
        <v>14.799861912998866</v>
      </c>
      <c r="BM11" s="27">
        <f>IF(('Activity data'!BM12*EF!$H11)*kgtoGg=0,"NO",('Activity data'!BM12*EF!$H11)*kgtoGg)</f>
        <v>14.802478032162998</v>
      </c>
      <c r="BN11" s="27">
        <f>IF(('Activity data'!BN12*EF!$H11)*kgtoGg=0,"NO",('Activity data'!BN12*EF!$H11)*kgtoGg)</f>
        <v>14.803391154234989</v>
      </c>
      <c r="BO11" s="27">
        <f>IF(('Activity data'!BO12*EF!$H11)*kgtoGg=0,"NO",('Activity data'!BO12*EF!$H11)*kgtoGg)</f>
        <v>14.802627988297443</v>
      </c>
      <c r="BP11" s="27">
        <f>IF(('Activity data'!BP12*EF!$H11)*kgtoGg=0,"NO",('Activity data'!BP12*EF!$H11)*kgtoGg)</f>
        <v>14.799962569884396</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15.123414197798359</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15.545788610572222</v>
      </c>
      <c r="AK12" s="27">
        <f>IF(('Activity data'!AK13*EF!$H12)*kgtoGg=0,"NO",('Activity data'!AK13*EF!$H12)*kgtoGg)</f>
        <v>15.648067752449878</v>
      </c>
      <c r="AL12" s="27">
        <f>IF(('Activity data'!AL13*EF!$H12)*kgtoGg=0,"NO",('Activity data'!AL13*EF!$H12)*kgtoGg)</f>
        <v>15.609909908763072</v>
      </c>
      <c r="AM12" s="27">
        <f>IF(('Activity data'!AM13*EF!$H12)*kgtoGg=0,"NO",('Activity data'!AM13*EF!$H12)*kgtoGg)</f>
        <v>15.635455939498677</v>
      </c>
      <c r="AN12" s="27">
        <f>IF(('Activity data'!AN13*EF!$H12)*kgtoGg=0,"NO",('Activity data'!AN13*EF!$H12)*kgtoGg)</f>
        <v>15.95246888070791</v>
      </c>
      <c r="AO12" s="27">
        <f>IF(('Activity data'!AO13*EF!$H12)*kgtoGg=0,"NO",('Activity data'!AO13*EF!$H12)*kgtoGg)</f>
        <v>15.966791142533616</v>
      </c>
      <c r="AP12" s="27">
        <f>IF(('Activity data'!AP13*EF!$H12)*kgtoGg=0,"NO",('Activity data'!AP13*EF!$H12)*kgtoGg)</f>
        <v>16.004709527553434</v>
      </c>
      <c r="AQ12" s="27">
        <f>IF(('Activity data'!AQ13*EF!$H12)*kgtoGg=0,"NO",('Activity data'!AQ13*EF!$H12)*kgtoGg)</f>
        <v>16.055885293055152</v>
      </c>
      <c r="AR12" s="27">
        <f>IF(('Activity data'!AR13*EF!$H12)*kgtoGg=0,"NO",('Activity data'!AR13*EF!$H12)*kgtoGg)</f>
        <v>16.102820608505493</v>
      </c>
      <c r="AS12" s="27">
        <f>IF(('Activity data'!AS13*EF!$H12)*kgtoGg=0,"NO",('Activity data'!AS13*EF!$H12)*kgtoGg)</f>
        <v>16.146135876832972</v>
      </c>
      <c r="AT12" s="27">
        <f>IF(('Activity data'!AT13*EF!$H12)*kgtoGg=0,"NO",('Activity data'!AT13*EF!$H12)*kgtoGg)</f>
        <v>16.185698238107559</v>
      </c>
      <c r="AU12" s="27">
        <f>IF(('Activity data'!AU13*EF!$H12)*kgtoGg=0,"NO",('Activity data'!AU13*EF!$H12)*kgtoGg)</f>
        <v>16.22191395009931</v>
      </c>
      <c r="AV12" s="27">
        <f>IF(('Activity data'!AV13*EF!$H12)*kgtoGg=0,"NO",('Activity data'!AV13*EF!$H12)*kgtoGg)</f>
        <v>16.25536732746065</v>
      </c>
      <c r="AW12" s="27">
        <f>IF(('Activity data'!AW13*EF!$H12)*kgtoGg=0,"NO",('Activity data'!AW13*EF!$H12)*kgtoGg)</f>
        <v>16.286085323517181</v>
      </c>
      <c r="AX12" s="27">
        <f>IF(('Activity data'!AX13*EF!$H12)*kgtoGg=0,"NO",('Activity data'!AX13*EF!$H12)*kgtoGg)</f>
        <v>16.31459834375584</v>
      </c>
      <c r="AY12" s="27">
        <f>IF(('Activity data'!AY13*EF!$H12)*kgtoGg=0,"NO",('Activity data'!AY13*EF!$H12)*kgtoGg)</f>
        <v>16.341020303059434</v>
      </c>
      <c r="AZ12" s="27">
        <f>IF(('Activity data'!AZ13*EF!$H12)*kgtoGg=0,"NO",('Activity data'!AZ13*EF!$H12)*kgtoGg)</f>
        <v>16.365028601066268</v>
      </c>
      <c r="BA12" s="27">
        <f>IF(('Activity data'!BA13*EF!$H12)*kgtoGg=0,"NO",('Activity data'!BA13*EF!$H12)*kgtoGg)</f>
        <v>16.386889120844085</v>
      </c>
      <c r="BB12" s="27">
        <f>IF(('Activity data'!BB13*EF!$H12)*kgtoGg=0,"NO",('Activity data'!BB13*EF!$H12)*kgtoGg)</f>
        <v>16.407003513902541</v>
      </c>
      <c r="BC12" s="27">
        <f>IF(('Activity data'!BC13*EF!$H12)*kgtoGg=0,"NO",('Activity data'!BC13*EF!$H12)*kgtoGg)</f>
        <v>15.886156568564889</v>
      </c>
      <c r="BD12" s="27">
        <f>IF(('Activity data'!BD13*EF!$H12)*kgtoGg=0,"NO",('Activity data'!BD13*EF!$H12)*kgtoGg)</f>
        <v>15.906232465615583</v>
      </c>
      <c r="BE12" s="27">
        <f>IF(('Activity data'!BE13*EF!$H12)*kgtoGg=0,"NO",('Activity data'!BE13*EF!$H12)*kgtoGg)</f>
        <v>15.924511297002383</v>
      </c>
      <c r="BF12" s="27">
        <f>IF(('Activity data'!BF13*EF!$H12)*kgtoGg=0,"NO",('Activity data'!BF13*EF!$H12)*kgtoGg)</f>
        <v>15.941140997111155</v>
      </c>
      <c r="BG12" s="27">
        <f>IF(('Activity data'!BG13*EF!$H12)*kgtoGg=0,"NO",('Activity data'!BG13*EF!$H12)*kgtoGg)</f>
        <v>15.956292884471127</v>
      </c>
      <c r="BH12" s="27">
        <f>IF(('Activity data'!BH13*EF!$H12)*kgtoGg=0,"NO",('Activity data'!BH13*EF!$H12)*kgtoGg)</f>
        <v>15.969536826708435</v>
      </c>
      <c r="BI12" s="27">
        <f>IF(('Activity data'!BI13*EF!$H12)*kgtoGg=0,"NO",('Activity data'!BI13*EF!$H12)*kgtoGg)</f>
        <v>15.980594577453482</v>
      </c>
      <c r="BJ12" s="27">
        <f>IF(('Activity data'!BJ13*EF!$H12)*kgtoGg=0,"NO",('Activity data'!BJ13*EF!$H12)*kgtoGg)</f>
        <v>15.989445822984647</v>
      </c>
      <c r="BK12" s="27">
        <f>IF(('Activity data'!BK13*EF!$H12)*kgtoGg=0,"NO",('Activity data'!BK13*EF!$H12)*kgtoGg)</f>
        <v>15.995770985939464</v>
      </c>
      <c r="BL12" s="27">
        <f>IF(('Activity data'!BL13*EF!$H12)*kgtoGg=0,"NO",('Activity data'!BL13*EF!$H12)*kgtoGg)</f>
        <v>15.999221862064399</v>
      </c>
      <c r="BM12" s="27">
        <f>IF(('Activity data'!BM13*EF!$H12)*kgtoGg=0,"NO",('Activity data'!BM13*EF!$H12)*kgtoGg)</f>
        <v>15.999780644603296</v>
      </c>
      <c r="BN12" s="27">
        <f>IF(('Activity data'!BN13*EF!$H12)*kgtoGg=0,"NO",('Activity data'!BN13*EF!$H12)*kgtoGg)</f>
        <v>15.99752803776004</v>
      </c>
      <c r="BO12" s="27">
        <f>IF(('Activity data'!BO13*EF!$H12)*kgtoGg=0,"NO",('Activity data'!BO13*EF!$H12)*kgtoGg)</f>
        <v>15.992527037206958</v>
      </c>
      <c r="BP12" s="27">
        <f>IF(('Activity data'!BP13*EF!$H12)*kgtoGg=0,"NO",('Activity data'!BP13*EF!$H12)*kgtoGg)</f>
        <v>15.984450939829935</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22.381101687842744</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23.101065436464115</v>
      </c>
      <c r="AM13" s="27">
        <f>IF(('Activity data'!AM14*EF!$H13)*kgtoGg=0,"NO",('Activity data'!AM14*EF!$H13)*kgtoGg)</f>
        <v>23.138870941499981</v>
      </c>
      <c r="AN13" s="27">
        <f>IF(('Activity data'!AN14*EF!$H13)*kgtoGg=0,"NO",('Activity data'!AN14*EF!$H13)*kgtoGg)</f>
        <v>23.608017576034321</v>
      </c>
      <c r="AO13" s="27">
        <f>IF(('Activity data'!AO14*EF!$H13)*kgtoGg=0,"NO",('Activity data'!AO14*EF!$H13)*kgtoGg)</f>
        <v>23.62921305439183</v>
      </c>
      <c r="AP13" s="27">
        <f>IF(('Activity data'!AP14*EF!$H13)*kgtoGg=0,"NO",('Activity data'!AP14*EF!$H13)*kgtoGg)</f>
        <v>23.685328374640804</v>
      </c>
      <c r="AQ13" s="27">
        <f>IF(('Activity data'!AQ14*EF!$H13)*kgtoGg=0,"NO",('Activity data'!AQ14*EF!$H13)*kgtoGg)</f>
        <v>23.761063258091507</v>
      </c>
      <c r="AR13" s="27">
        <f>IF(('Activity data'!AR14*EF!$H13)*kgtoGg=0,"NO",('Activity data'!AR14*EF!$H13)*kgtoGg)</f>
        <v>23.830522710441766</v>
      </c>
      <c r="AS13" s="27">
        <f>IF(('Activity data'!AS14*EF!$H13)*kgtoGg=0,"NO",('Activity data'!AS14*EF!$H13)*kgtoGg)</f>
        <v>23.894624864386248</v>
      </c>
      <c r="AT13" s="27">
        <f>IF(('Activity data'!AT14*EF!$H13)*kgtoGg=0,"NO",('Activity data'!AT14*EF!$H13)*kgtoGg)</f>
        <v>23.953173100856997</v>
      </c>
      <c r="AU13" s="27">
        <f>IF(('Activity data'!AU14*EF!$H13)*kgtoGg=0,"NO",('Activity data'!AU14*EF!$H13)*kgtoGg)</f>
        <v>24.006768639680701</v>
      </c>
      <c r="AV13" s="27">
        <f>IF(('Activity data'!AV14*EF!$H13)*kgtoGg=0,"NO",('Activity data'!AV14*EF!$H13)*kgtoGg)</f>
        <v>24.0562762066053</v>
      </c>
      <c r="AW13" s="27">
        <f>IF(('Activity data'!AW14*EF!$H13)*kgtoGg=0,"NO",('Activity data'!AW14*EF!$H13)*kgtoGg)</f>
        <v>24.101735689787876</v>
      </c>
      <c r="AX13" s="27">
        <f>IF(('Activity data'!AX14*EF!$H13)*kgtoGg=0,"NO",('Activity data'!AX14*EF!$H13)*kgtoGg)</f>
        <v>24.143932034941329</v>
      </c>
      <c r="AY13" s="27">
        <f>IF(('Activity data'!AY14*EF!$H13)*kgtoGg=0,"NO",('Activity data'!AY14*EF!$H13)*kgtoGg)</f>
        <v>24.183033824407083</v>
      </c>
      <c r="AZ13" s="27">
        <f>IF(('Activity data'!AZ14*EF!$H13)*kgtoGg=0,"NO",('Activity data'!AZ14*EF!$H13)*kgtoGg)</f>
        <v>24.218563642741437</v>
      </c>
      <c r="BA13" s="27">
        <f>IF(('Activity data'!BA14*EF!$H13)*kgtoGg=0,"NO",('Activity data'!BA14*EF!$H13)*kgtoGg)</f>
        <v>24.250914969610982</v>
      </c>
      <c r="BB13" s="27">
        <f>IF(('Activity data'!BB14*EF!$H13)*kgtoGg=0,"NO",('Activity data'!BB14*EF!$H13)*kgtoGg)</f>
        <v>24.280682208049512</v>
      </c>
      <c r="BC13" s="27">
        <f>IF(('Activity data'!BC14*EF!$H13)*kgtoGg=0,"NO",('Activity data'!BC14*EF!$H13)*kgtoGg)</f>
        <v>23.509882156226475</v>
      </c>
      <c r="BD13" s="27">
        <f>IF(('Activity data'!BD14*EF!$H13)*kgtoGg=0,"NO",('Activity data'!BD14*EF!$H13)*kgtoGg)</f>
        <v>23.53959242452235</v>
      </c>
      <c r="BE13" s="27">
        <f>IF(('Activity data'!BE14*EF!$H13)*kgtoGg=0,"NO",('Activity data'!BE14*EF!$H13)*kgtoGg)</f>
        <v>23.566643219974505</v>
      </c>
      <c r="BF13" s="27">
        <f>IF(('Activity data'!BF14*EF!$H13)*kgtoGg=0,"NO",('Activity data'!BF14*EF!$H13)*kgtoGg)</f>
        <v>23.591253470299264</v>
      </c>
      <c r="BG13" s="27">
        <f>IF(('Activity data'!BG14*EF!$H13)*kgtoGg=0,"NO",('Activity data'!BG14*EF!$H13)*kgtoGg)</f>
        <v>23.613676709346407</v>
      </c>
      <c r="BH13" s="27">
        <f>IF(('Activity data'!BH14*EF!$H13)*kgtoGg=0,"NO",('Activity data'!BH14*EF!$H13)*kgtoGg)</f>
        <v>23.633276385324617</v>
      </c>
      <c r="BI13" s="27">
        <f>IF(('Activity data'!BI14*EF!$H13)*kgtoGg=0,"NO",('Activity data'!BI14*EF!$H13)*kgtoGg)</f>
        <v>23.649640722148757</v>
      </c>
      <c r="BJ13" s="27">
        <f>IF(('Activity data'!BJ14*EF!$H13)*kgtoGg=0,"NO",('Activity data'!BJ14*EF!$H13)*kgtoGg)</f>
        <v>23.662739657594557</v>
      </c>
      <c r="BK13" s="27">
        <f>IF(('Activity data'!BK14*EF!$H13)*kgtoGg=0,"NO",('Activity data'!BK14*EF!$H13)*kgtoGg)</f>
        <v>23.672100249947082</v>
      </c>
      <c r="BL13" s="27">
        <f>IF(('Activity data'!BL14*EF!$H13)*kgtoGg=0,"NO",('Activity data'!BL14*EF!$H13)*kgtoGg)</f>
        <v>23.67720719262908</v>
      </c>
      <c r="BM13" s="27">
        <f>IF(('Activity data'!BM14*EF!$H13)*kgtoGg=0,"NO",('Activity data'!BM14*EF!$H13)*kgtoGg)</f>
        <v>23.678034133468028</v>
      </c>
      <c r="BN13" s="27">
        <f>IF(('Activity data'!BN14*EF!$H13)*kgtoGg=0,"NO",('Activity data'!BN14*EF!$H13)*kgtoGg)</f>
        <v>23.674700506407216</v>
      </c>
      <c r="BO13" s="27">
        <f>IF(('Activity data'!BO14*EF!$H13)*kgtoGg=0,"NO",('Activity data'!BO14*EF!$H13)*kgtoGg)</f>
        <v>23.667299538579741</v>
      </c>
      <c r="BP13" s="27">
        <f>IF(('Activity data'!BP14*EF!$H13)*kgtoGg=0,"NO",('Activity data'!BP14*EF!$H13)*kgtoGg)</f>
        <v>23.655347742889163</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5.5526214800767901</v>
      </c>
      <c r="AE14" s="27">
        <f>IF(('Activity data'!AE15*EF!$H14)*kgtoGg=0,"NO",('Activity data'!AE15*EF!$H14)*kgtoGg)</f>
        <v>5.5795235710196529</v>
      </c>
      <c r="AF14" s="27">
        <f>IF(('Activity data'!AF15*EF!$H14)*kgtoGg=0,"NO",('Activity data'!AF15*EF!$H14)*kgtoGg)</f>
        <v>5.6203482259438022</v>
      </c>
      <c r="AG14" s="27">
        <f>IF(('Activity data'!AG15*EF!$H14)*kgtoGg=0,"NO",('Activity data'!AG15*EF!$H14)*kgtoGg)</f>
        <v>5.6290756550083767</v>
      </c>
      <c r="AH14" s="27">
        <f>IF(('Activity data'!AH15*EF!$H14)*kgtoGg=0,"NO",('Activity data'!AH15*EF!$H14)*kgtoGg)</f>
        <v>5.6165815405282284</v>
      </c>
      <c r="AI14" s="27">
        <f>IF(('Activity data'!AI15*EF!$H14)*kgtoGg=0,"NO",('Activity data'!AI15*EF!$H14)*kgtoGg)</f>
        <v>5.5833231296706112</v>
      </c>
      <c r="AJ14" s="27">
        <f>IF(('Activity data'!AJ15*EF!$H14)*kgtoGg=0,"NO",('Activity data'!AJ15*EF!$H14)*kgtoGg)</f>
        <v>5.5648827699457364</v>
      </c>
      <c r="AK14" s="27">
        <f>IF(('Activity data'!AK15*EF!$H14)*kgtoGg=0,"NO",('Activity data'!AK15*EF!$H14)*kgtoGg)</f>
        <v>5.5483103177944031</v>
      </c>
      <c r="AL14" s="27">
        <f>IF(('Activity data'!AL15*EF!$H14)*kgtoGg=0,"NO",('Activity data'!AL15*EF!$H14)*kgtoGg)</f>
        <v>5.301317756839599</v>
      </c>
      <c r="AM14" s="27">
        <f>IF(('Activity data'!AM15*EF!$H14)*kgtoGg=0,"NO",('Activity data'!AM15*EF!$H14)*kgtoGg)</f>
        <v>5.4334519326298842</v>
      </c>
      <c r="AN14" s="27">
        <f>IF(('Activity data'!AN15*EF!$H14)*kgtoGg=0,"NO",('Activity data'!AN15*EF!$H14)*kgtoGg)</f>
        <v>11.663279711908721</v>
      </c>
      <c r="AO14" s="27">
        <f>IF(('Activity data'!AO15*EF!$H14)*kgtoGg=0,"NO",('Activity data'!AO15*EF!$H14)*kgtoGg)</f>
        <v>11.812653235838557</v>
      </c>
      <c r="AP14" s="27">
        <f>IF(('Activity data'!AP15*EF!$H14)*kgtoGg=0,"NO",('Activity data'!AP15*EF!$H14)*kgtoGg)</f>
        <v>11.932954790442608</v>
      </c>
      <c r="AQ14" s="27">
        <f>IF(('Activity data'!AQ15*EF!$H14)*kgtoGg=0,"NO",('Activity data'!AQ15*EF!$H14)*kgtoGg)</f>
        <v>12.029772886609605</v>
      </c>
      <c r="AR14" s="27">
        <f>IF(('Activity data'!AR15*EF!$H14)*kgtoGg=0,"NO",('Activity data'!AR15*EF!$H14)*kgtoGg)</f>
        <v>12.113873667726716</v>
      </c>
      <c r="AS14" s="27">
        <f>IF(('Activity data'!AS15*EF!$H14)*kgtoGg=0,"NO",('Activity data'!AS15*EF!$H14)*kgtoGg)</f>
        <v>12.184301808011908</v>
      </c>
      <c r="AT14" s="27">
        <f>IF(('Activity data'!AT15*EF!$H14)*kgtoGg=0,"NO",('Activity data'!AT15*EF!$H14)*kgtoGg)</f>
        <v>12.240662308750712</v>
      </c>
      <c r="AU14" s="27">
        <f>IF(('Activity data'!AU15*EF!$H14)*kgtoGg=0,"NO",('Activity data'!AU15*EF!$H14)*kgtoGg)</f>
        <v>12.282268429354316</v>
      </c>
      <c r="AV14" s="27">
        <f>IF(('Activity data'!AV15*EF!$H14)*kgtoGg=0,"NO",('Activity data'!AV15*EF!$H14)*kgtoGg)</f>
        <v>12.308384588149881</v>
      </c>
      <c r="AW14" s="27">
        <f>IF(('Activity data'!AW15*EF!$H14)*kgtoGg=0,"NO",('Activity data'!AW15*EF!$H14)*kgtoGg)</f>
        <v>12.31872545788376</v>
      </c>
      <c r="AX14" s="27">
        <f>IF(('Activity data'!AX15*EF!$H14)*kgtoGg=0,"NO",('Activity data'!AX15*EF!$H14)*kgtoGg)</f>
        <v>12.312750989800492</v>
      </c>
      <c r="AY14" s="27">
        <f>IF(('Activity data'!AY15*EF!$H14)*kgtoGg=0,"NO",('Activity data'!AY15*EF!$H14)*kgtoGg)</f>
        <v>12.290286651516004</v>
      </c>
      <c r="AZ14" s="27">
        <f>IF(('Activity data'!AZ15*EF!$H14)*kgtoGg=0,"NO",('Activity data'!AZ15*EF!$H14)*kgtoGg)</f>
        <v>12.251535501678408</v>
      </c>
      <c r="BA14" s="27">
        <f>IF(('Activity data'!BA15*EF!$H14)*kgtoGg=0,"NO",('Activity data'!BA15*EF!$H14)*kgtoGg)</f>
        <v>12.196396092630039</v>
      </c>
      <c r="BB14" s="27">
        <f>IF(('Activity data'!BB15*EF!$H14)*kgtoGg=0,"NO",('Activity data'!BB15*EF!$H14)*kgtoGg)</f>
        <v>12.124769930026071</v>
      </c>
      <c r="BC14" s="27">
        <f>IF(('Activity data'!BC15*EF!$H14)*kgtoGg=0,"NO",('Activity data'!BC15*EF!$H14)*kgtoGg)</f>
        <v>1.7851056965565462</v>
      </c>
      <c r="BD14" s="27">
        <f>IF(('Activity data'!BD15*EF!$H14)*kgtoGg=0,"NO",('Activity data'!BD15*EF!$H14)*kgtoGg)</f>
        <v>1.7851056965565462</v>
      </c>
      <c r="BE14" s="27">
        <f>IF(('Activity data'!BE15*EF!$H14)*kgtoGg=0,"NO",('Activity data'!BE15*EF!$H14)*kgtoGg)</f>
        <v>1.7851056965565462</v>
      </c>
      <c r="BF14" s="27">
        <f>IF(('Activity data'!BF15*EF!$H14)*kgtoGg=0,"NO",('Activity data'!BF15*EF!$H14)*kgtoGg)</f>
        <v>1.7851056965565462</v>
      </c>
      <c r="BG14" s="27">
        <f>IF(('Activity data'!BG15*EF!$H14)*kgtoGg=0,"NO",('Activity data'!BG15*EF!$H14)*kgtoGg)</f>
        <v>1.7851056965565462</v>
      </c>
      <c r="BH14" s="27">
        <f>IF(('Activity data'!BH15*EF!$H14)*kgtoGg=0,"NO",('Activity data'!BH15*EF!$H14)*kgtoGg)</f>
        <v>1.7851056965565462</v>
      </c>
      <c r="BI14" s="27">
        <f>IF(('Activity data'!BI15*EF!$H14)*kgtoGg=0,"NO",('Activity data'!BI15*EF!$H14)*kgtoGg)</f>
        <v>1.7851056965565462</v>
      </c>
      <c r="BJ14" s="27">
        <f>IF(('Activity data'!BJ15*EF!$H14)*kgtoGg=0,"NO",('Activity data'!BJ15*EF!$H14)*kgtoGg)</f>
        <v>1.7851056965565462</v>
      </c>
      <c r="BK14" s="27">
        <f>IF(('Activity data'!BK15*EF!$H14)*kgtoGg=0,"NO",('Activity data'!BK15*EF!$H14)*kgtoGg)</f>
        <v>1.7851056965565462</v>
      </c>
      <c r="BL14" s="27">
        <f>IF(('Activity data'!BL15*EF!$H14)*kgtoGg=0,"NO",('Activity data'!BL15*EF!$H14)*kgtoGg)</f>
        <v>1.7851056965565462</v>
      </c>
      <c r="BM14" s="27">
        <f>IF(('Activity data'!BM15*EF!$H14)*kgtoGg=0,"NO",('Activity data'!BM15*EF!$H14)*kgtoGg)</f>
        <v>1.7851056965565462</v>
      </c>
      <c r="BN14" s="27">
        <f>IF(('Activity data'!BN15*EF!$H14)*kgtoGg=0,"NO",('Activity data'!BN15*EF!$H14)*kgtoGg)</f>
        <v>1.7851056965565462</v>
      </c>
      <c r="BO14" s="27">
        <f>IF(('Activity data'!BO15*EF!$H14)*kgtoGg=0,"NO",('Activity data'!BO15*EF!$H14)*kgtoGg)</f>
        <v>1.7851056965565462</v>
      </c>
      <c r="BP14" s="27">
        <f>IF(('Activity data'!BP15*EF!$H14)*kgtoGg=0,"NO",('Activity data'!BP15*EF!$H14)*kgtoGg)</f>
        <v>1.7851056965565462</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1.8400999552016302</v>
      </c>
      <c r="AE16" s="27">
        <f>IF(('Activity data'!AE17*EF!$H16)*kgtoGg=0,"NO",('Activity data'!AE17*EF!$H16)*kgtoGg)</f>
        <v>1.8300977880312248</v>
      </c>
      <c r="AF16" s="27">
        <f>IF(('Activity data'!AF17*EF!$H16)*kgtoGg=0,"NO",('Activity data'!AF17*EF!$H16)*kgtoGg)</f>
        <v>1.8309187348828151</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1.7489975228040082</v>
      </c>
      <c r="AJ16" s="27">
        <f>IF(('Activity data'!AJ17*EF!$H16)*kgtoGg=0,"NO",('Activity data'!AJ17*EF!$H16)*kgtoGg)</f>
        <v>1.721653192801009</v>
      </c>
      <c r="AK16" s="27">
        <f>IF(('Activity data'!AK17*EF!$H16)*kgtoGg=0,"NO",('Activity data'!AK17*EF!$H16)*kgtoGg)</f>
        <v>1.6967284692901872</v>
      </c>
      <c r="AL16" s="27">
        <f>IF(('Activity data'!AL17*EF!$H16)*kgtoGg=0,"NO",('Activity data'!AL17*EF!$H16)*kgtoGg)</f>
        <v>1.5265878305982445</v>
      </c>
      <c r="AM16" s="27">
        <f>IF(('Activity data'!AM17*EF!$H16)*kgtoGg=0,"NO",('Activity data'!AM17*EF!$H16)*kgtoGg)</f>
        <v>1.5810995176609606</v>
      </c>
      <c r="AN16" s="27">
        <f>IF(('Activity data'!AN17*EF!$H16)*kgtoGg=0,"NO",('Activity data'!AN17*EF!$H16)*kgtoGg)</f>
        <v>5.0540136125986557</v>
      </c>
      <c r="AO16" s="27">
        <f>IF(('Activity data'!AO17*EF!$H16)*kgtoGg=0,"NO",('Activity data'!AO17*EF!$H16)*kgtoGg)</f>
        <v>5.0678679159640359</v>
      </c>
      <c r="AP16" s="27">
        <f>IF(('Activity data'!AP17*EF!$H16)*kgtoGg=0,"NO",('Activity data'!AP17*EF!$H16)*kgtoGg)</f>
        <v>5.0729847165704873</v>
      </c>
      <c r="AQ16" s="27">
        <f>IF(('Activity data'!AQ17*EF!$H16)*kgtoGg=0,"NO",('Activity data'!AQ17*EF!$H16)*kgtoGg)</f>
        <v>5.0695948867136602</v>
      </c>
      <c r="AR16" s="27">
        <f>IF(('Activity data'!AR17*EF!$H16)*kgtoGg=0,"NO",('Activity data'!AR17*EF!$H16)*kgtoGg)</f>
        <v>5.0582098272592386</v>
      </c>
      <c r="AS16" s="27">
        <f>IF(('Activity data'!AS17*EF!$H16)*kgtoGg=0,"NO",('Activity data'!AS17*EF!$H16)*kgtoGg)</f>
        <v>5.0387249592432335</v>
      </c>
      <c r="AT16" s="27">
        <f>IF(('Activity data'!AT17*EF!$H16)*kgtoGg=0,"NO",('Activity data'!AT17*EF!$H16)*kgtoGg)</f>
        <v>5.0111122815709459</v>
      </c>
      <c r="AU16" s="27">
        <f>IF(('Activity data'!AU17*EF!$H16)*kgtoGg=0,"NO",('Activity data'!AU17*EF!$H16)*kgtoGg)</f>
        <v>4.9753743834920021</v>
      </c>
      <c r="AV16" s="27">
        <f>IF(('Activity data'!AV17*EF!$H16)*kgtoGg=0,"NO",('Activity data'!AV17*EF!$H16)*kgtoGg)</f>
        <v>4.9315571021349269</v>
      </c>
      <c r="AW16" s="27">
        <f>IF(('Activity data'!AW17*EF!$H16)*kgtoGg=0,"NO",('Activity data'!AW17*EF!$H16)*kgtoGg)</f>
        <v>4.8797732145240138</v>
      </c>
      <c r="AX16" s="27">
        <f>IF(('Activity data'!AX17*EF!$H16)*kgtoGg=0,"NO",('Activity data'!AX17*EF!$H16)*kgtoGg)</f>
        <v>4.8201653478957827</v>
      </c>
      <c r="AY16" s="27">
        <f>IF(('Activity data'!AY17*EF!$H16)*kgtoGg=0,"NO",('Activity data'!AY17*EF!$H16)*kgtoGg)</f>
        <v>4.7529350466048701</v>
      </c>
      <c r="AZ16" s="27">
        <f>IF(('Activity data'!AZ17*EF!$H16)*kgtoGg=0,"NO",('Activity data'!AZ17*EF!$H16)*kgtoGg)</f>
        <v>4.6783405786979539</v>
      </c>
      <c r="BA16" s="27">
        <f>IF(('Activity data'!BA17*EF!$H16)*kgtoGg=0,"NO",('Activity data'!BA17*EF!$H16)*kgtoGg)</f>
        <v>4.5966617003060959</v>
      </c>
      <c r="BB16" s="27">
        <f>IF(('Activity data'!BB17*EF!$H16)*kgtoGg=0,"NO",('Activity data'!BB17*EF!$H16)*kgtoGg)</f>
        <v>4.5082123470458679</v>
      </c>
      <c r="BC16" s="27">
        <f>IF(('Activity data'!BC17*EF!$H16)*kgtoGg=0,"NO",('Activity data'!BC17*EF!$H16)*kgtoGg)</f>
        <v>-0.42008552544106242</v>
      </c>
      <c r="BD16" s="27">
        <f>IF(('Activity data'!BD17*EF!$H16)*kgtoGg=0,"NO",('Activity data'!BD17*EF!$H16)*kgtoGg)</f>
        <v>-0.41553771612775497</v>
      </c>
      <c r="BE16" s="27">
        <f>IF(('Activity data'!BE17*EF!$H16)*kgtoGg=0,"NO",('Activity data'!BE17*EF!$H16)*kgtoGg)</f>
        <v>-0.41097379422953517</v>
      </c>
      <c r="BF16" s="27">
        <f>IF(('Activity data'!BF17*EF!$H16)*kgtoGg=0,"NO",('Activity data'!BF17*EF!$H16)*kgtoGg)</f>
        <v>-0.40639849459231969</v>
      </c>
      <c r="BG16" s="27">
        <f>IF(('Activity data'!BG17*EF!$H16)*kgtoGg=0,"NO",('Activity data'!BG17*EF!$H16)*kgtoGg)</f>
        <v>-0.40181705013442426</v>
      </c>
      <c r="BH16" s="27">
        <f>IF(('Activity data'!BH17*EF!$H16)*kgtoGg=0,"NO",('Activity data'!BH17*EF!$H16)*kgtoGg)</f>
        <v>-0.39721731633182522</v>
      </c>
      <c r="BI16" s="27">
        <f>IF(('Activity data'!BI17*EF!$H16)*kgtoGg=0,"NO",('Activity data'!BI17*EF!$H16)*kgtoGg)</f>
        <v>-0.39259212331291987</v>
      </c>
      <c r="BJ16" s="27">
        <f>IF(('Activity data'!BJ17*EF!$H16)*kgtoGg=0,"NO",('Activity data'!BJ17*EF!$H16)*kgtoGg)</f>
        <v>-0.38794191787285037</v>
      </c>
      <c r="BK16" s="27">
        <f>IF(('Activity data'!BK17*EF!$H16)*kgtoGg=0,"NO",('Activity data'!BK17*EF!$H16)*kgtoGg)</f>
        <v>-0.38325899383328277</v>
      </c>
      <c r="BL16" s="27">
        <f>IF(('Activity data'!BL17*EF!$H16)*kgtoGg=0,"NO",('Activity data'!BL17*EF!$H16)*kgtoGg)</f>
        <v>-0.37853535700522173</v>
      </c>
      <c r="BM16" s="27">
        <f>IF(('Activity data'!BM17*EF!$H16)*kgtoGg=0,"NO",('Activity data'!BM17*EF!$H16)*kgtoGg)</f>
        <v>-0.37377234804073223</v>
      </c>
      <c r="BN16" s="27">
        <f>IF(('Activity data'!BN17*EF!$H16)*kgtoGg=0,"NO",('Activity data'!BN17*EF!$H16)*kgtoGg)</f>
        <v>-0.36897393039459231</v>
      </c>
      <c r="BO16" s="27">
        <f>IF(('Activity data'!BO17*EF!$H16)*kgtoGg=0,"NO",('Activity data'!BO17*EF!$H16)*kgtoGg)</f>
        <v>-0.36414349435249727</v>
      </c>
      <c r="BP16" s="27">
        <f>IF(('Activity data'!BP17*EF!$H16)*kgtoGg=0,"NO",('Activity data'!BP17*EF!$H16)*kgtoGg)</f>
        <v>-0.35927435241905337</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0.25496723934882604</v>
      </c>
      <c r="AE17" s="27">
        <f>IF(('Activity data'!AE18*EF!$H17)*kgtoGg=0,"NO",('Activity data'!AE18*EF!$H17)*kgtoGg)</f>
        <v>0.25358132281546891</v>
      </c>
      <c r="AF17" s="27">
        <f>IF(('Activity data'!AF18*EF!$H17)*kgtoGg=0,"NO",('Activity data'!AF18*EF!$H17)*kgtoGg)</f>
        <v>0.25369507454499335</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0.24234393830437845</v>
      </c>
      <c r="AJ17" s="27">
        <f>IF(('Activity data'!AJ18*EF!$H17)*kgtoGg=0,"NO",('Activity data'!AJ18*EF!$H17)*kgtoGg)</f>
        <v>0.23855506351363695</v>
      </c>
      <c r="AK17" s="27">
        <f>IF(('Activity data'!AK18*EF!$H17)*kgtoGg=0,"NO",('Activity data'!AK18*EF!$H17)*kgtoGg)</f>
        <v>0.23510145332951485</v>
      </c>
      <c r="AL17" s="27">
        <f>IF(('Activity data'!AL18*EF!$H17)*kgtoGg=0,"NO",('Activity data'!AL18*EF!$H17)*kgtoGg)</f>
        <v>0.21152649000988519</v>
      </c>
      <c r="AM17" s="27">
        <f>IF(('Activity data'!AM18*EF!$H17)*kgtoGg=0,"NO",('Activity data'!AM18*EF!$H17)*kgtoGg)</f>
        <v>0.21907971793282416</v>
      </c>
      <c r="AN17" s="27">
        <f>IF(('Activity data'!AN18*EF!$H17)*kgtoGg=0,"NO",('Activity data'!AN18*EF!$H17)*kgtoGg)</f>
        <v>0.70029233726842122</v>
      </c>
      <c r="AO17" s="27">
        <f>IF(('Activity data'!AO18*EF!$H17)*kgtoGg=0,"NO",('Activity data'!AO18*EF!$H17)*kgtoGg)</f>
        <v>0.70221201205140604</v>
      </c>
      <c r="AP17" s="27">
        <f>IF(('Activity data'!AP18*EF!$H17)*kgtoGg=0,"NO",('Activity data'!AP18*EF!$H17)*kgtoGg)</f>
        <v>0.7029210042565508</v>
      </c>
      <c r="AQ17" s="27">
        <f>IF(('Activity data'!AQ18*EF!$H17)*kgtoGg=0,"NO",('Activity data'!AQ18*EF!$H17)*kgtoGg)</f>
        <v>0.70245130392423227</v>
      </c>
      <c r="AR17" s="27">
        <f>IF(('Activity data'!AR18*EF!$H17)*kgtoGg=0,"NO",('Activity data'!AR18*EF!$H17)*kgtoGg)</f>
        <v>0.70087377158925745</v>
      </c>
      <c r="AS17" s="27">
        <f>IF(('Activity data'!AS18*EF!$H17)*kgtoGg=0,"NO",('Activity data'!AS18*EF!$H17)*kgtoGg)</f>
        <v>0.6981739166204699</v>
      </c>
      <c r="AT17" s="27">
        <f>IF(('Activity data'!AT18*EF!$H17)*kgtoGg=0,"NO",('Activity data'!AT18*EF!$H17)*kgtoGg)</f>
        <v>0.69434785914069519</v>
      </c>
      <c r="AU17" s="27">
        <f>IF(('Activity data'!AU18*EF!$H17)*kgtoGg=0,"NO",('Activity data'!AU18*EF!$H17)*kgtoGg)</f>
        <v>0.68939595792056851</v>
      </c>
      <c r="AV17" s="27">
        <f>IF(('Activity data'!AV18*EF!$H17)*kgtoGg=0,"NO",('Activity data'!AV18*EF!$H17)*kgtoGg)</f>
        <v>0.68332456422708854</v>
      </c>
      <c r="AW17" s="27">
        <f>IF(('Activity data'!AW18*EF!$H17)*kgtoGg=0,"NO",('Activity data'!AW18*EF!$H17)*kgtoGg)</f>
        <v>0.67614930462796652</v>
      </c>
      <c r="AX17" s="27">
        <f>IF(('Activity data'!AX18*EF!$H17)*kgtoGg=0,"NO",('Activity data'!AX18*EF!$H17)*kgtoGg)</f>
        <v>0.66788994178481698</v>
      </c>
      <c r="AY17" s="27">
        <f>IF(('Activity data'!AY18*EF!$H17)*kgtoGg=0,"NO",('Activity data'!AY18*EF!$H17)*kgtoGg)</f>
        <v>0.65857440201086193</v>
      </c>
      <c r="AZ17" s="27">
        <f>IF(('Activity data'!AZ18*EF!$H17)*kgtoGg=0,"NO",('Activity data'!AZ18*EF!$H17)*kgtoGg)</f>
        <v>0.64823847134624946</v>
      </c>
      <c r="BA17" s="27">
        <f>IF(('Activity data'!BA18*EF!$H17)*kgtoGg=0,"NO",('Activity data'!BA18*EF!$H17)*kgtoGg)</f>
        <v>0.63692091325501032</v>
      </c>
      <c r="BB17" s="27">
        <f>IF(('Activity data'!BB18*EF!$H17)*kgtoGg=0,"NO",('Activity data'!BB18*EF!$H17)*kgtoGg)</f>
        <v>0.62466522716621964</v>
      </c>
      <c r="BC17" s="27">
        <f>IF(('Activity data'!BC18*EF!$H17)*kgtoGg=0,"NO",('Activity data'!BC18*EF!$H17)*kgtoGg)</f>
        <v>-5.8207732905668316E-2</v>
      </c>
      <c r="BD17" s="27">
        <f>IF(('Activity data'!BD18*EF!$H17)*kgtoGg=0,"NO",('Activity data'!BD18*EF!$H17)*kgtoGg)</f>
        <v>-5.7577581058524868E-2</v>
      </c>
      <c r="BE17" s="27">
        <f>IF(('Activity data'!BE18*EF!$H17)*kgtoGg=0,"NO",('Activity data'!BE18*EF!$H17)*kgtoGg)</f>
        <v>-5.6945196625438323E-2</v>
      </c>
      <c r="BF17" s="27">
        <f>IF(('Activity data'!BF18*EF!$H17)*kgtoGg=0,"NO",('Activity data'!BF18*EF!$H17)*kgtoGg)</f>
        <v>-5.6311235674351458E-2</v>
      </c>
      <c r="BG17" s="27">
        <f>IF(('Activity data'!BG18*EF!$H17)*kgtoGg=0,"NO",('Activity data'!BG18*EF!$H17)*kgtoGg)</f>
        <v>-5.5676423286927873E-2</v>
      </c>
      <c r="BH17" s="27">
        <f>IF(('Activity data'!BH18*EF!$H17)*kgtoGg=0,"NO",('Activity data'!BH18*EF!$H17)*kgtoGg)</f>
        <v>-5.5039076698188007E-2</v>
      </c>
      <c r="BI17" s="27">
        <f>IF(('Activity data'!BI18*EF!$H17)*kgtoGg=0,"NO",('Activity data'!BI18*EF!$H17)*kgtoGg)</f>
        <v>-5.4398202439073888E-2</v>
      </c>
      <c r="BJ17" s="27">
        <f>IF(('Activity data'!BJ18*EF!$H17)*kgtoGg=0,"NO",('Activity data'!BJ18*EF!$H17)*kgtoGg)</f>
        <v>-5.3753862418246326E-2</v>
      </c>
      <c r="BK17" s="27">
        <f>IF(('Activity data'!BK18*EF!$H17)*kgtoGg=0,"NO",('Activity data'!BK18*EF!$H17)*kgtoGg)</f>
        <v>-5.3104988855115366E-2</v>
      </c>
      <c r="BL17" s="27">
        <f>IF(('Activity data'!BL18*EF!$H17)*kgtoGg=0,"NO",('Activity data'!BL18*EF!$H17)*kgtoGg)</f>
        <v>-5.2450474061865898E-2</v>
      </c>
      <c r="BM17" s="27">
        <f>IF(('Activity data'!BM18*EF!$H17)*kgtoGg=0,"NO",('Activity data'!BM18*EF!$H17)*kgtoGg)</f>
        <v>-5.1790503801426135E-2</v>
      </c>
      <c r="BN17" s="27">
        <f>IF(('Activity data'!BN18*EF!$H17)*kgtoGg=0,"NO",('Activity data'!BN18*EF!$H17)*kgtoGg)</f>
        <v>-5.1125627256529457E-2</v>
      </c>
      <c r="BO17" s="27">
        <f>IF(('Activity data'!BO18*EF!$H17)*kgtoGg=0,"NO",('Activity data'!BO18*EF!$H17)*kgtoGg)</f>
        <v>-5.0456314190669899E-2</v>
      </c>
      <c r="BP17" s="27">
        <f>IF(('Activity data'!BP18*EF!$H17)*kgtoGg=0,"NO",('Activity data'!BP18*EF!$H17)*kgtoGg)</f>
        <v>-4.9781637973620729E-2</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7.3924283487896005</v>
      </c>
      <c r="AF18" s="27">
        <f>IF(('Activity data'!AF5*EF!$H18)*kgtoGg=0,"NO",('Activity data'!AF5*EF!$H18)*kgtoGg)</f>
        <v>7.4507389435191715</v>
      </c>
      <c r="AG18" s="27">
        <f>IF(('Activity data'!AG5*EF!$H18)*kgtoGg=0,"NO",('Activity data'!AG5*EF!$H18)*kgtoGg)</f>
        <v>7.4882097119910753</v>
      </c>
      <c r="AH18" s="27">
        <f>IF(('Activity data'!AH5*EF!$H18)*kgtoGg=0,"NO",('Activity data'!AH5*EF!$H18)*kgtoGg)</f>
        <v>7.5131092090175455</v>
      </c>
      <c r="AI18" s="27">
        <f>IF(('Activity data'!AI5*EF!$H18)*kgtoGg=0,"NO",('Activity data'!AI5*EF!$H18)*kgtoGg)</f>
        <v>7.5251923679492423</v>
      </c>
      <c r="AJ18" s="27">
        <f>IF(('Activity data'!AJ5*EF!$H18)*kgtoGg=0,"NO",('Activity data'!AJ5*EF!$H18)*kgtoGg)</f>
        <v>7.5518885629203734</v>
      </c>
      <c r="AK18" s="27">
        <f>IF(('Activity data'!AK5*EF!$H18)*kgtoGg=0,"NO",('Activity data'!AK5*EF!$H18)*kgtoGg)</f>
        <v>7.5825135825669054</v>
      </c>
      <c r="AL18" s="27">
        <f>IF(('Activity data'!AL5*EF!$H18)*kgtoGg=0,"NO",('Activity data'!AL5*EF!$H18)*kgtoGg)</f>
        <v>7.3670594492211752</v>
      </c>
      <c r="AM18" s="27">
        <f>IF(('Activity data'!AM5*EF!$H18)*kgtoGg=0,"NO",('Activity data'!AM5*EF!$H18)*kgtoGg)</f>
        <v>7.4938201403917679</v>
      </c>
      <c r="AN18" s="27">
        <f>IF(('Activity data'!AN5*EF!$H18)*kgtoGg=0,"NO",('Activity data'!AN5*EF!$H18)*kgtoGg)</f>
        <v>12.893716848831154</v>
      </c>
      <c r="AO18" s="27">
        <f>IF(('Activity data'!AO5*EF!$H18)*kgtoGg=0,"NO",('Activity data'!AO5*EF!$H18)*kgtoGg)</f>
        <v>13.049144587269693</v>
      </c>
      <c r="AP18" s="27">
        <f>IF(('Activity data'!AP5*EF!$H18)*kgtoGg=0,"NO",('Activity data'!AP5*EF!$H18)*kgtoGg)</f>
        <v>13.19775488481636</v>
      </c>
      <c r="AQ18" s="27">
        <f>IF(('Activity data'!AQ5*EF!$H18)*kgtoGg=0,"NO",('Activity data'!AQ5*EF!$H18)*kgtoGg)</f>
        <v>13.337019913111025</v>
      </c>
      <c r="AR18" s="27">
        <f>IF(('Activity data'!AR5*EF!$H18)*kgtoGg=0,"NO",('Activity data'!AR5*EF!$H18)*kgtoGg)</f>
        <v>13.463220566952655</v>
      </c>
      <c r="AS18" s="27">
        <f>IF(('Activity data'!AS5*EF!$H18)*kgtoGg=0,"NO",('Activity data'!AS5*EF!$H18)*kgtoGg)</f>
        <v>13.575767486447466</v>
      </c>
      <c r="AT18" s="27">
        <f>IF(('Activity data'!AT5*EF!$H18)*kgtoGg=0,"NO",('Activity data'!AT5*EF!$H18)*kgtoGg)</f>
        <v>13.674005026382902</v>
      </c>
      <c r="AU18" s="27">
        <f>IF(('Activity data'!AU5*EF!$H18)*kgtoGg=0,"NO",('Activity data'!AU5*EF!$H18)*kgtoGg)</f>
        <v>13.757436960081838</v>
      </c>
      <c r="AV18" s="27">
        <f>IF(('Activity data'!AV5*EF!$H18)*kgtoGg=0,"NO",('Activity data'!AV5*EF!$H18)*kgtoGg)</f>
        <v>13.825669744576842</v>
      </c>
      <c r="AW18" s="27">
        <f>IF(('Activity data'!AW5*EF!$H18)*kgtoGg=0,"NO",('Activity data'!AW5*EF!$H18)*kgtoGg)</f>
        <v>13.878289677767924</v>
      </c>
      <c r="AX18" s="27">
        <f>IF(('Activity data'!AX5*EF!$H18)*kgtoGg=0,"NO",('Activity data'!AX5*EF!$H18)*kgtoGg)</f>
        <v>13.915049092366717</v>
      </c>
      <c r="AY18" s="27">
        <f>IF(('Activity data'!AY5*EF!$H18)*kgtoGg=0,"NO",('Activity data'!AY5*EF!$H18)*kgtoGg)</f>
        <v>13.935710420523995</v>
      </c>
      <c r="AZ18" s="27">
        <f>IF(('Activity data'!AZ5*EF!$H18)*kgtoGg=0,"NO",('Activity data'!AZ5*EF!$H18)*kgtoGg)</f>
        <v>13.940044142256493</v>
      </c>
      <c r="BA18" s="27">
        <f>IF(('Activity data'!BA5*EF!$H18)*kgtoGg=0,"NO",('Activity data'!BA5*EF!$H18)*kgtoGg)</f>
        <v>13.928008342806061</v>
      </c>
      <c r="BB18" s="27">
        <f>IF(('Activity data'!BB5*EF!$H18)*kgtoGg=0,"NO",('Activity data'!BB5*EF!$H18)*kgtoGg)</f>
        <v>13.899671543047996</v>
      </c>
      <c r="BC18" s="27">
        <f>IF(('Activity data'!BC5*EF!$H18)*kgtoGg=0,"NO",('Activity data'!BC5*EF!$H18)*kgtoGg)</f>
        <v>4.3976157174808597</v>
      </c>
      <c r="BD18" s="27">
        <f>IF(('Activity data'!BD5*EF!$H18)*kgtoGg=0,"NO",('Activity data'!BD5*EF!$H18)*kgtoGg)</f>
        <v>4.4008259031545416</v>
      </c>
      <c r="BE18" s="27">
        <f>IF(('Activity data'!BE5*EF!$H18)*kgtoGg=0,"NO",('Activity data'!BE5*EF!$H18)*kgtoGg)</f>
        <v>4.403804998470318</v>
      </c>
      <c r="BF18" s="27">
        <f>IF(('Activity data'!BF5*EF!$H18)*kgtoGg=0,"NO",('Activity data'!BF5*EF!$H18)*kgtoGg)</f>
        <v>4.4065731559819081</v>
      </c>
      <c r="BG18" s="27">
        <f>IF(('Activity data'!BG5*EF!$H18)*kgtoGg=0,"NO",('Activity data'!BG5*EF!$H18)*kgtoGg)</f>
        <v>4.4091551994119804</v>
      </c>
      <c r="BH18" s="27">
        <f>IF(('Activity data'!BH5*EF!$H18)*kgtoGg=0,"NO",('Activity data'!BH5*EF!$H18)*kgtoGg)</f>
        <v>4.4114700909604787</v>
      </c>
      <c r="BI18" s="27">
        <f>IF(('Activity data'!BI5*EF!$H18)*kgtoGg=0,"NO",('Activity data'!BI5*EF!$H18)*kgtoGg)</f>
        <v>4.4134634106251305</v>
      </c>
      <c r="BJ18" s="27">
        <f>IF(('Activity data'!BJ5*EF!$H18)*kgtoGg=0,"NO",('Activity data'!BJ5*EF!$H18)*kgtoGg)</f>
        <v>4.4151264315171801</v>
      </c>
      <c r="BK18" s="27">
        <f>IF(('Activity data'!BK5*EF!$H18)*kgtoGg=0,"NO",('Activity data'!BK5*EF!$H18)*kgtoGg)</f>
        <v>4.4163974064588221</v>
      </c>
      <c r="BL18" s="27">
        <f>IF(('Activity data'!BL5*EF!$H18)*kgtoGg=0,"NO",('Activity data'!BL5*EF!$H18)*kgtoGg)</f>
        <v>4.4172092973227706</v>
      </c>
      <c r="BM18" s="27">
        <f>IF(('Activity data'!BM5*EF!$H18)*kgtoGg=0,"NO",('Activity data'!BM5*EF!$H18)*kgtoGg)</f>
        <v>4.4175538239653074</v>
      </c>
      <c r="BN18" s="27">
        <f>IF(('Activity data'!BN5*EF!$H18)*kgtoGg=0,"NO",('Activity data'!BN5*EF!$H18)*kgtoGg)</f>
        <v>4.4174405083324073</v>
      </c>
      <c r="BO18" s="27">
        <f>IF(('Activity data'!BO5*EF!$H18)*kgtoGg=0,"NO",('Activity data'!BO5*EF!$H18)*kgtoGg)</f>
        <v>4.4168759908828958</v>
      </c>
      <c r="BP18" s="27">
        <f>IF(('Activity data'!BP5*EF!$H18)*kgtoGg=0,"NO",('Activity data'!BP5*EF!$H18)*kgtoGg)</f>
        <v>4.4157972186653511</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2.1061581299686476</v>
      </c>
      <c r="AF19" s="27">
        <f>IF(('Activity data'!AF6*EF!$H19)*kgtoGg=0,"NO",('Activity data'!AF6*EF!$H19)*kgtoGg)</f>
        <v>2.1227712545548472</v>
      </c>
      <c r="AG19" s="27">
        <f>IF(('Activity data'!AG6*EF!$H19)*kgtoGg=0,"NO",('Activity data'!AG6*EF!$H19)*kgtoGg)</f>
        <v>2.1334469567638776</v>
      </c>
      <c r="AH19" s="27">
        <f>IF(('Activity data'!AH6*EF!$H19)*kgtoGg=0,"NO",('Activity data'!AH6*EF!$H19)*kgtoGg)</f>
        <v>2.1405410097083362</v>
      </c>
      <c r="AI19" s="27">
        <f>IF(('Activity data'!AI6*EF!$H19)*kgtoGg=0,"NO",('Activity data'!AI6*EF!$H19)*kgtoGg)</f>
        <v>2.1439835920667925</v>
      </c>
      <c r="AJ19" s="27">
        <f>IF(('Activity data'!AJ6*EF!$H19)*kgtoGg=0,"NO",('Activity data'!AJ6*EF!$H19)*kgtoGg)</f>
        <v>2.151589537694508</v>
      </c>
      <c r="AK19" s="27">
        <f>IF(('Activity data'!AK6*EF!$H19)*kgtoGg=0,"NO",('Activity data'!AK6*EF!$H19)*kgtoGg)</f>
        <v>2.1603148348588097</v>
      </c>
      <c r="AL19" s="27">
        <f>IF(('Activity data'!AL6*EF!$H19)*kgtoGg=0,"NO",('Activity data'!AL6*EF!$H19)*kgtoGg)</f>
        <v>2.0989303407289799</v>
      </c>
      <c r="AM19" s="27">
        <f>IF(('Activity data'!AM6*EF!$H19)*kgtoGg=0,"NO",('Activity data'!AM6*EF!$H19)*kgtoGg)</f>
        <v>2.1350454097797478</v>
      </c>
      <c r="AN19" s="27">
        <f>IF(('Activity data'!AN6*EF!$H19)*kgtoGg=0,"NO",('Activity data'!AN6*EF!$H19)*kgtoGg)</f>
        <v>3.6735163718057389</v>
      </c>
      <c r="AO19" s="27">
        <f>IF(('Activity data'!AO6*EF!$H19)*kgtoGg=0,"NO",('Activity data'!AO6*EF!$H19)*kgtoGg)</f>
        <v>3.7177988970450366</v>
      </c>
      <c r="AP19" s="27">
        <f>IF(('Activity data'!AP6*EF!$H19)*kgtoGg=0,"NO",('Activity data'!AP6*EF!$H19)*kgtoGg)</f>
        <v>3.7601390823815941</v>
      </c>
      <c r="AQ19" s="27">
        <f>IF(('Activity data'!AQ6*EF!$H19)*kgtoGg=0,"NO",('Activity data'!AQ6*EF!$H19)*kgtoGg)</f>
        <v>3.7998167306081263</v>
      </c>
      <c r="AR19" s="27">
        <f>IF(('Activity data'!AR6*EF!$H19)*kgtoGg=0,"NO",('Activity data'!AR6*EF!$H19)*kgtoGg)</f>
        <v>3.8357722408349422</v>
      </c>
      <c r="AS19" s="27">
        <f>IF(('Activity data'!AS6*EF!$H19)*kgtoGg=0,"NO",('Activity data'!AS6*EF!$H19)*kgtoGg)</f>
        <v>3.8678377000200475</v>
      </c>
      <c r="AT19" s="27">
        <f>IF(('Activity data'!AT6*EF!$H19)*kgtoGg=0,"NO",('Activity data'!AT6*EF!$H19)*kgtoGg)</f>
        <v>3.8958263099383315</v>
      </c>
      <c r="AU19" s="27">
        <f>IF(('Activity data'!AU6*EF!$H19)*kgtoGg=0,"NO",('Activity data'!AU6*EF!$H19)*kgtoGg)</f>
        <v>3.919596691897838</v>
      </c>
      <c r="AV19" s="27">
        <f>IF(('Activity data'!AV6*EF!$H19)*kgtoGg=0,"NO",('Activity data'!AV6*EF!$H19)*kgtoGg)</f>
        <v>3.9390367225635514</v>
      </c>
      <c r="AW19" s="27">
        <f>IF(('Activity data'!AW6*EF!$H19)*kgtoGg=0,"NO",('Activity data'!AW6*EF!$H19)*kgtoGg)</f>
        <v>3.9540285351128004</v>
      </c>
      <c r="AX19" s="27">
        <f>IF(('Activity data'!AX6*EF!$H19)*kgtoGg=0,"NO",('Activity data'!AX6*EF!$H19)*kgtoGg)</f>
        <v>3.9645015672826429</v>
      </c>
      <c r="AY19" s="27">
        <f>IF(('Activity data'!AY6*EF!$H19)*kgtoGg=0,"NO",('Activity data'!AY6*EF!$H19)*kgtoGg)</f>
        <v>3.9703881342158924</v>
      </c>
      <c r="AZ19" s="27">
        <f>IF(('Activity data'!AZ6*EF!$H19)*kgtoGg=0,"NO",('Activity data'!AZ6*EF!$H19)*kgtoGg)</f>
        <v>3.9716228439525687</v>
      </c>
      <c r="BA19" s="27">
        <f>IF(('Activity data'!BA6*EF!$H19)*kgtoGg=0,"NO",('Activity data'!BA6*EF!$H19)*kgtoGg)</f>
        <v>3.9681937546645596</v>
      </c>
      <c r="BB19" s="27">
        <f>IF(('Activity data'!BB6*EF!$H19)*kgtoGg=0,"NO",('Activity data'!BB6*EF!$H19)*kgtoGg)</f>
        <v>3.9601203884617591</v>
      </c>
      <c r="BC19" s="27">
        <f>IF(('Activity data'!BC6*EF!$H19)*kgtoGg=0,"NO",('Activity data'!BC6*EF!$H19)*kgtoGg)</f>
        <v>1.2529136109065901</v>
      </c>
      <c r="BD19" s="27">
        <f>IF(('Activity data'!BD6*EF!$H19)*kgtoGg=0,"NO",('Activity data'!BD6*EF!$H19)*kgtoGg)</f>
        <v>1.2538282168163573</v>
      </c>
      <c r="BE19" s="27">
        <f>IF(('Activity data'!BE6*EF!$H19)*kgtoGg=0,"NO",('Activity data'!BE6*EF!$H19)*kgtoGg)</f>
        <v>1.2546769833546632</v>
      </c>
      <c r="BF19" s="27">
        <f>IF(('Activity data'!BF6*EF!$H19)*kgtoGg=0,"NO",('Activity data'!BF6*EF!$H19)*kgtoGg)</f>
        <v>1.2554656521347973</v>
      </c>
      <c r="BG19" s="27">
        <f>IF(('Activity data'!BG6*EF!$H19)*kgtoGg=0,"NO",('Activity data'!BG6*EF!$H19)*kgtoGg)</f>
        <v>1.2562012956210231</v>
      </c>
      <c r="BH19" s="27">
        <f>IF(('Activity data'!BH6*EF!$H19)*kgtoGg=0,"NO",('Activity data'!BH6*EF!$H19)*kgtoGg)</f>
        <v>1.2568608255379636</v>
      </c>
      <c r="BI19" s="27">
        <f>IF(('Activity data'!BI6*EF!$H19)*kgtoGg=0,"NO",('Activity data'!BI6*EF!$H19)*kgtoGg)</f>
        <v>1.2574287372199238</v>
      </c>
      <c r="BJ19" s="27">
        <f>IF(('Activity data'!BJ6*EF!$H19)*kgtoGg=0,"NO",('Activity data'!BJ6*EF!$H19)*kgtoGg)</f>
        <v>1.257902544311023</v>
      </c>
      <c r="BK19" s="27">
        <f>IF(('Activity data'!BK6*EF!$H19)*kgtoGg=0,"NO",('Activity data'!BK6*EF!$H19)*kgtoGg)</f>
        <v>1.2582646545784513</v>
      </c>
      <c r="BL19" s="27">
        <f>IF(('Activity data'!BL6*EF!$H19)*kgtoGg=0,"NO",('Activity data'!BL6*EF!$H19)*kgtoGg)</f>
        <v>1.2584959683583183</v>
      </c>
      <c r="BM19" s="27">
        <f>IF(('Activity data'!BM6*EF!$H19)*kgtoGg=0,"NO",('Activity data'!BM6*EF!$H19)*kgtoGg)</f>
        <v>1.2585941265757443</v>
      </c>
      <c r="BN19" s="27">
        <f>IF(('Activity data'!BN6*EF!$H19)*kgtoGg=0,"NO",('Activity data'!BN6*EF!$H19)*kgtoGg)</f>
        <v>1.2585618421043605</v>
      </c>
      <c r="BO19" s="27">
        <f>IF(('Activity data'!BO6*EF!$H19)*kgtoGg=0,"NO",('Activity data'!BO6*EF!$H19)*kgtoGg)</f>
        <v>1.2584010068605544</v>
      </c>
      <c r="BP19" s="27">
        <f>IF(('Activity data'!BP6*EF!$H19)*kgtoGg=0,"NO",('Activity data'!BP6*EF!$H19)*kgtoGg)</f>
        <v>1.2580936565868464</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0.43500213637199753</v>
      </c>
      <c r="AF20" s="27">
        <f>IF(('Activity data'!AF7*EF!$H20)*kgtoGg=0,"NO",('Activity data'!AF7*EF!$H20)*kgtoGg)</f>
        <v>0.43843338143569016</v>
      </c>
      <c r="AG20" s="27">
        <f>IF(('Activity data'!AG7*EF!$H20)*kgtoGg=0,"NO",('Activity data'!AG7*EF!$H20)*kgtoGg)</f>
        <v>0.44063832189202168</v>
      </c>
      <c r="AH20" s="27">
        <f>IF(('Activity data'!AH7*EF!$H20)*kgtoGg=0,"NO",('Activity data'!AH7*EF!$H20)*kgtoGg)</f>
        <v>0.44210351490980404</v>
      </c>
      <c r="AI20" s="27">
        <f>IF(('Activity data'!AI7*EF!$H20)*kgtoGg=0,"NO",('Activity data'!AI7*EF!$H20)*kgtoGg)</f>
        <v>0.44281453971808249</v>
      </c>
      <c r="AJ20" s="27">
        <f>IF(('Activity data'!AJ7*EF!$H20)*kgtoGg=0,"NO",('Activity data'!AJ7*EF!$H20)*kgtoGg)</f>
        <v>0.44438545813589125</v>
      </c>
      <c r="AK20" s="27">
        <f>IF(('Activity data'!AK7*EF!$H20)*kgtoGg=0,"NO",('Activity data'!AK7*EF!$H20)*kgtoGg)</f>
        <v>0.44618756541973903</v>
      </c>
      <c r="AL20" s="27">
        <f>IF(('Activity data'!AL7*EF!$H20)*kgtoGg=0,"NO",('Activity data'!AL7*EF!$H20)*kgtoGg)</f>
        <v>0.43350932169879508</v>
      </c>
      <c r="AM20" s="27">
        <f>IF(('Activity data'!AM7*EF!$H20)*kgtoGg=0,"NO",('Activity data'!AM7*EF!$H20)*kgtoGg)</f>
        <v>0.44096846352141772</v>
      </c>
      <c r="AN20" s="27">
        <f>IF(('Activity data'!AN7*EF!$H20)*kgtoGg=0,"NO",('Activity data'!AN7*EF!$H20)*kgtoGg)</f>
        <v>0.75872150670699801</v>
      </c>
      <c r="AO20" s="27">
        <f>IF(('Activity data'!AO7*EF!$H20)*kgtoGg=0,"NO",('Activity data'!AO7*EF!$H20)*kgtoGg)</f>
        <v>0.76786754033521754</v>
      </c>
      <c r="AP20" s="27">
        <f>IF(('Activity data'!AP7*EF!$H20)*kgtoGg=0,"NO",('Activity data'!AP7*EF!$H20)*kgtoGg)</f>
        <v>0.77661240655096708</v>
      </c>
      <c r="AQ20" s="27">
        <f>IF(('Activity data'!AQ7*EF!$H20)*kgtoGg=0,"NO",('Activity data'!AQ7*EF!$H20)*kgtoGg)</f>
        <v>0.78480735711007588</v>
      </c>
      <c r="AR20" s="27">
        <f>IF(('Activity data'!AR7*EF!$H20)*kgtoGg=0,"NO",('Activity data'!AR7*EF!$H20)*kgtoGg)</f>
        <v>0.79223354393833789</v>
      </c>
      <c r="AS20" s="27">
        <f>IF(('Activity data'!AS7*EF!$H20)*kgtoGg=0,"NO",('Activity data'!AS7*EF!$H20)*kgtoGg)</f>
        <v>0.79885628657612706</v>
      </c>
      <c r="AT20" s="27">
        <f>IF(('Activity data'!AT7*EF!$H20)*kgtoGg=0,"NO",('Activity data'!AT7*EF!$H20)*kgtoGg)</f>
        <v>0.80463700405184546</v>
      </c>
      <c r="AU20" s="27">
        <f>IF(('Activity data'!AU7*EF!$H20)*kgtoGg=0,"NO",('Activity data'!AU7*EF!$H20)*kgtoGg)</f>
        <v>0.80954649626310582</v>
      </c>
      <c r="AV20" s="27">
        <f>IF(('Activity data'!AV7*EF!$H20)*kgtoGg=0,"NO",('Activity data'!AV7*EF!$H20)*kgtoGg)</f>
        <v>0.81356160545666301</v>
      </c>
      <c r="AW20" s="27">
        <f>IF(('Activity data'!AW7*EF!$H20)*kgtoGg=0,"NO",('Activity data'!AW7*EF!$H20)*kgtoGg)</f>
        <v>0.81665798762959563</v>
      </c>
      <c r="AX20" s="27">
        <f>IF(('Activity data'!AX7*EF!$H20)*kgtoGg=0,"NO",('Activity data'!AX7*EF!$H20)*kgtoGg)</f>
        <v>0.81882106897821283</v>
      </c>
      <c r="AY20" s="27">
        <f>IF(('Activity data'!AY7*EF!$H20)*kgtoGg=0,"NO",('Activity data'!AY7*EF!$H20)*kgtoGg)</f>
        <v>0.82003686999306757</v>
      </c>
      <c r="AZ20" s="27">
        <f>IF(('Activity data'!AZ7*EF!$H20)*kgtoGg=0,"NO",('Activity data'!AZ7*EF!$H20)*kgtoGg)</f>
        <v>0.82029188473560344</v>
      </c>
      <c r="BA20" s="27">
        <f>IF(('Activity data'!BA7*EF!$H20)*kgtoGg=0,"NO",('Activity data'!BA7*EF!$H20)*kgtoGg)</f>
        <v>0.81958364676198259</v>
      </c>
      <c r="BB20" s="27">
        <f>IF(('Activity data'!BB7*EF!$H20)*kgtoGg=0,"NO",('Activity data'!BB7*EF!$H20)*kgtoGg)</f>
        <v>0.81791618813389544</v>
      </c>
      <c r="BC20" s="27">
        <f>IF(('Activity data'!BC7*EF!$H20)*kgtoGg=0,"NO",('Activity data'!BC7*EF!$H20)*kgtoGg)</f>
        <v>0.2587745381881813</v>
      </c>
      <c r="BD20" s="27">
        <f>IF(('Activity data'!BD7*EF!$H20)*kgtoGg=0,"NO",('Activity data'!BD7*EF!$H20)*kgtoGg)</f>
        <v>0.25896343925834608</v>
      </c>
      <c r="BE20" s="27">
        <f>IF(('Activity data'!BE7*EF!$H20)*kgtoGg=0,"NO",('Activity data'!BE7*EF!$H20)*kgtoGg)</f>
        <v>0.25913874198238679</v>
      </c>
      <c r="BF20" s="27">
        <f>IF(('Activity data'!BF7*EF!$H20)*kgtoGg=0,"NO",('Activity data'!BF7*EF!$H20)*kgtoGg)</f>
        <v>0.25930163222285196</v>
      </c>
      <c r="BG20" s="27">
        <f>IF(('Activity data'!BG7*EF!$H20)*kgtoGg=0,"NO",('Activity data'!BG7*EF!$H20)*kgtoGg)</f>
        <v>0.25945357071387171</v>
      </c>
      <c r="BH20" s="27">
        <f>IF(('Activity data'!BH7*EF!$H20)*kgtoGg=0,"NO",('Activity data'!BH7*EF!$H20)*kgtoGg)</f>
        <v>0.25958978884430933</v>
      </c>
      <c r="BI20" s="27">
        <f>IF(('Activity data'!BI7*EF!$H20)*kgtoGg=0,"NO",('Activity data'!BI7*EF!$H20)*kgtoGg)</f>
        <v>0.25970708430821976</v>
      </c>
      <c r="BJ20" s="27">
        <f>IF(('Activity data'!BJ7*EF!$H20)*kgtoGg=0,"NO",('Activity data'!BJ7*EF!$H20)*kgtoGg)</f>
        <v>0.25980494357810247</v>
      </c>
      <c r="BK20" s="27">
        <f>IF(('Activity data'!BK7*EF!$H20)*kgtoGg=0,"NO",('Activity data'!BK7*EF!$H20)*kgtoGg)</f>
        <v>0.25987973318563101</v>
      </c>
      <c r="BL20" s="27">
        <f>IF(('Activity data'!BL7*EF!$H20)*kgtoGg=0,"NO",('Activity data'!BL7*EF!$H20)*kgtoGg)</f>
        <v>0.25992750832035744</v>
      </c>
      <c r="BM20" s="27">
        <f>IF(('Activity data'!BM7*EF!$H20)*kgtoGg=0,"NO",('Activity data'!BM7*EF!$H20)*kgtoGg)</f>
        <v>0.2599477817431719</v>
      </c>
      <c r="BN20" s="27">
        <f>IF(('Activity data'!BN7*EF!$H20)*kgtoGg=0,"NO",('Activity data'!BN7*EF!$H20)*kgtoGg)</f>
        <v>0.25994111376614593</v>
      </c>
      <c r="BO20" s="27">
        <f>IF(('Activity data'!BO7*EF!$H20)*kgtoGg=0,"NO",('Activity data'!BO7*EF!$H20)*kgtoGg)</f>
        <v>0.25990789514230944</v>
      </c>
      <c r="BP20" s="27">
        <f>IF(('Activity data'!BP7*EF!$H20)*kgtoGg=0,"NO",('Activity data'!BP7*EF!$H20)*kgtoGg)</f>
        <v>0.2598444155660255</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9.4871637196006525E-2</v>
      </c>
      <c r="AE21" s="27">
        <f>IF(('Activity data'!AE8*EF!$H21)*kgtoGg=0,"NO",('Activity data'!AE8*EF!$H21)*kgtoGg)</f>
        <v>9.4048845784615531E-2</v>
      </c>
      <c r="AF21" s="27">
        <f>IF(('Activity data'!AF8*EF!$H21)*kgtoGg=0,"NO",('Activity data'!AF8*EF!$H21)*kgtoGg)</f>
        <v>9.3735634002294232E-2</v>
      </c>
      <c r="AG21" s="27">
        <f>IF(('Activity data'!AG8*EF!$H21)*kgtoGg=0,"NO",('Activity data'!AG8*EF!$H21)*kgtoGg)</f>
        <v>9.2483917307495112E-2</v>
      </c>
      <c r="AH21" s="27">
        <f>IF(('Activity data'!AH8*EF!$H21)*kgtoGg=0,"NO",('Activity data'!AH8*EF!$H21)*kgtoGg)</f>
        <v>9.0667019955957343E-2</v>
      </c>
      <c r="AI21" s="27">
        <f>IF(('Activity data'!AI8*EF!$H21)*kgtoGg=0,"NO",('Activity data'!AI8*EF!$H21)*kgtoGg)</f>
        <v>8.8322512540543879E-2</v>
      </c>
      <c r="AJ21" s="27">
        <f>IF(('Activity data'!AJ8*EF!$H21)*kgtoGg=0,"NO",('Activity data'!AJ8*EF!$H21)*kgtoGg)</f>
        <v>8.6473330972337878E-2</v>
      </c>
      <c r="AK21" s="27">
        <f>IF(('Activity data'!AK8*EF!$H21)*kgtoGg=0,"NO",('Activity data'!AK8*EF!$H21)*kgtoGg)</f>
        <v>8.4723794986300269E-2</v>
      </c>
      <c r="AL21" s="27">
        <f>IF(('Activity data'!AL8*EF!$H21)*kgtoGg=0,"NO",('Activity data'!AL8*EF!$H21)*kgtoGg)</f>
        <v>7.5770078702790261E-2</v>
      </c>
      <c r="AM21" s="27">
        <f>IF(('Activity data'!AM8*EF!$H21)*kgtoGg=0,"NO",('Activity data'!AM8*EF!$H21)*kgtoGg)</f>
        <v>7.8689269579177143E-2</v>
      </c>
      <c r="AN21" s="27">
        <f>IF(('Activity data'!AN8*EF!$H21)*kgtoGg=0,"NO",('Activity data'!AN8*EF!$H21)*kgtoGg)</f>
        <v>0.24800462804394147</v>
      </c>
      <c r="AO21" s="27">
        <f>IF(('Activity data'!AO8*EF!$H21)*kgtoGg=0,"NO",('Activity data'!AO8*EF!$H21)*kgtoGg)</f>
        <v>0.24920084841283532</v>
      </c>
      <c r="AP21" s="27">
        <f>IF(('Activity data'!AP8*EF!$H21)*kgtoGg=0,"NO",('Activity data'!AP8*EF!$H21)*kgtoGg)</f>
        <v>0.24996642649158854</v>
      </c>
      <c r="AQ21" s="27">
        <f>IF(('Activity data'!AQ8*EF!$H21)*kgtoGg=0,"NO",('Activity data'!AQ8*EF!$H21)*kgtoGg)</f>
        <v>0.2503012063466436</v>
      </c>
      <c r="AR21" s="27">
        <f>IF(('Activity data'!AR8*EF!$H21)*kgtoGg=0,"NO",('Activity data'!AR8*EF!$H21)*kgtoGg)</f>
        <v>0.25021227988125561</v>
      </c>
      <c r="AS21" s="27">
        <f>IF(('Activity data'!AS8*EF!$H21)*kgtoGg=0,"NO",('Activity data'!AS8*EF!$H21)*kgtoGg)</f>
        <v>0.2496953846333905</v>
      </c>
      <c r="AT21" s="27">
        <f>IF(('Activity data'!AT8*EF!$H21)*kgtoGg=0,"NO",('Activity data'!AT8*EF!$H21)*kgtoGg)</f>
        <v>0.24874925442521903</v>
      </c>
      <c r="AU21" s="27">
        <f>IF(('Activity data'!AU8*EF!$H21)*kgtoGg=0,"NO",('Activity data'!AU8*EF!$H21)*kgtoGg)</f>
        <v>0.24737467209164213</v>
      </c>
      <c r="AV21" s="27">
        <f>IF(('Activity data'!AV8*EF!$H21)*kgtoGg=0,"NO",('Activity data'!AV8*EF!$H21)*kgtoGg)</f>
        <v>0.24557472852149176</v>
      </c>
      <c r="AW21" s="27">
        <f>IF(('Activity data'!AW8*EF!$H21)*kgtoGg=0,"NO",('Activity data'!AW8*EF!$H21)*kgtoGg)</f>
        <v>0.24131030034343104</v>
      </c>
      <c r="AX21" s="27">
        <f>IF(('Activity data'!AX8*EF!$H21)*kgtoGg=0,"NO",('Activity data'!AX8*EF!$H21)*kgtoGg)</f>
        <v>0.23664419000405892</v>
      </c>
      <c r="AY21" s="27">
        <f>IF(('Activity data'!AY8*EF!$H21)*kgtoGg=0,"NO",('Activity data'!AY8*EF!$H21)*kgtoGg)</f>
        <v>0.23159736326339173</v>
      </c>
      <c r="AZ21" s="27">
        <f>IF(('Activity data'!AZ8*EF!$H21)*kgtoGg=0,"NO",('Activity data'!AZ8*EF!$H21)*kgtoGg)</f>
        <v>0.22619316818810492</v>
      </c>
      <c r="BA21" s="27">
        <f>IF(('Activity data'!BA8*EF!$H21)*kgtoGg=0,"NO",('Activity data'!BA8*EF!$H21)*kgtoGg)</f>
        <v>0.22045646078746098</v>
      </c>
      <c r="BB21" s="27">
        <f>IF(('Activity data'!BB8*EF!$H21)*kgtoGg=0,"NO",('Activity data'!BB8*EF!$H21)*kgtoGg)</f>
        <v>0.21441370915210514</v>
      </c>
      <c r="BC21" s="27">
        <f>IF(('Activity data'!BC8*EF!$H21)*kgtoGg=0,"NO",('Activity data'!BC8*EF!$H21)*kgtoGg)</f>
        <v>-1.6555567081653722E-2</v>
      </c>
      <c r="BD21" s="27">
        <f>IF(('Activity data'!BD8*EF!$H21)*kgtoGg=0,"NO",('Activity data'!BD8*EF!$H21)*kgtoGg)</f>
        <v>-1.6156956868356984E-2</v>
      </c>
      <c r="BE21" s="27">
        <f>IF(('Activity data'!BE8*EF!$H21)*kgtoGg=0,"NO",('Activity data'!BE8*EF!$H21)*kgtoGg)</f>
        <v>-1.5762493990911713E-2</v>
      </c>
      <c r="BF21" s="27">
        <f>IF(('Activity data'!BF8*EF!$H21)*kgtoGg=0,"NO",('Activity data'!BF8*EF!$H21)*kgtoGg)</f>
        <v>-1.5372137708578686E-2</v>
      </c>
      <c r="BG21" s="27">
        <f>IF(('Activity data'!BG8*EF!$H21)*kgtoGg=0,"NO",('Activity data'!BG8*EF!$H21)*kgtoGg)</f>
        <v>-1.5062322238181812E-2</v>
      </c>
      <c r="BH21" s="27">
        <f>IF(('Activity data'!BH8*EF!$H21)*kgtoGg=0,"NO",('Activity data'!BH8*EF!$H21)*kgtoGg)</f>
        <v>-1.4755445706367474E-2</v>
      </c>
      <c r="BI21" s="27">
        <f>IF(('Activity data'!BI8*EF!$H21)*kgtoGg=0,"NO",('Activity data'!BI8*EF!$H21)*kgtoGg)</f>
        <v>-1.4451279866976845E-2</v>
      </c>
      <c r="BJ21" s="27">
        <f>IF(('Activity data'!BJ8*EF!$H21)*kgtoGg=0,"NO",('Activity data'!BJ8*EF!$H21)*kgtoGg)</f>
        <v>-1.4149749376213728E-2</v>
      </c>
      <c r="BK21" s="27">
        <f>IF(('Activity data'!BK8*EF!$H21)*kgtoGg=0,"NO",('Activity data'!BK8*EF!$H21)*kgtoGg)</f>
        <v>-1.3850633785054411E-2</v>
      </c>
      <c r="BL21" s="27">
        <f>IF(('Activity data'!BL8*EF!$H21)*kgtoGg=0,"NO",('Activity data'!BL8*EF!$H21)*kgtoGg)</f>
        <v>-1.3553717207866358E-2</v>
      </c>
      <c r="BM21" s="27">
        <f>IF(('Activity data'!BM8*EF!$H21)*kgtoGg=0,"NO",('Activity data'!BM8*EF!$H21)*kgtoGg)</f>
        <v>-1.3258964972152997E-2</v>
      </c>
      <c r="BN21" s="27">
        <f>IF(('Activity data'!BN8*EF!$H21)*kgtoGg=0,"NO",('Activity data'!BN8*EF!$H21)*kgtoGg)</f>
        <v>-1.296639528808627E-2</v>
      </c>
      <c r="BO21" s="27">
        <f>IF(('Activity data'!BO8*EF!$H21)*kgtoGg=0,"NO",('Activity data'!BO8*EF!$H21)*kgtoGg)</f>
        <v>-1.26760193266456E-2</v>
      </c>
      <c r="BP21" s="27">
        <f>IF(('Activity data'!BP8*EF!$H21)*kgtoGg=0,"NO",('Activity data'!BP8*EF!$H21)*kgtoGg)</f>
        <v>-1.2387670307042478E-2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6.968944973410629E-2</v>
      </c>
      <c r="AE22" s="27">
        <f>IF(('Activity data'!AE9*EF!$H22)*kgtoGg=0,"NO",('Activity data'!AE9*EF!$H22)*kgtoGg)</f>
        <v>6.908505539244103E-2</v>
      </c>
      <c r="AF22" s="27">
        <f>IF(('Activity data'!AF9*EF!$H22)*kgtoGg=0,"NO",('Activity data'!AF9*EF!$H22)*kgtoGg)</f>
        <v>6.8854980763127779E-2</v>
      </c>
      <c r="AG22" s="27">
        <f>IF(('Activity data'!AG9*EF!$H22)*kgtoGg=0,"NO",('Activity data'!AG9*EF!$H22)*kgtoGg)</f>
        <v>6.7935512624264296E-2</v>
      </c>
      <c r="AH22" s="27">
        <f>IF(('Activity data'!AH9*EF!$H22)*kgtoGg=0,"NO",('Activity data'!AH9*EF!$H22)*kgtoGg)</f>
        <v>6.660088216573827E-2</v>
      </c>
      <c r="AI22" s="27">
        <f>IF(('Activity data'!AI9*EF!$H22)*kgtoGg=0,"NO",('Activity data'!AI9*EF!$H22)*kgtoGg)</f>
        <v>6.487868745605771E-2</v>
      </c>
      <c r="AJ22" s="27">
        <f>IF(('Activity data'!AJ9*EF!$H22)*kgtoGg=0,"NO",('Activity data'!AJ9*EF!$H22)*kgtoGg)</f>
        <v>6.3520342119606055E-2</v>
      </c>
      <c r="AK22" s="27">
        <f>IF(('Activity data'!AK9*EF!$H22)*kgtoGg=0,"NO",('Activity data'!AK9*EF!$H22)*kgtoGg)</f>
        <v>6.2235193009075984E-2</v>
      </c>
      <c r="AL22" s="27">
        <f>IF(('Activity data'!AL9*EF!$H22)*kgtoGg=0,"NO",('Activity data'!AL9*EF!$H22)*kgtoGg)</f>
        <v>5.5658100220174651E-2</v>
      </c>
      <c r="AM22" s="27">
        <f>IF(('Activity data'!AM9*EF!$H22)*kgtoGg=0,"NO",('Activity data'!AM9*EF!$H22)*kgtoGg)</f>
        <v>5.7802437683476982E-2</v>
      </c>
      <c r="AN22" s="27">
        <f>IF(('Activity data'!AN9*EF!$H22)*kgtoGg=0,"NO",('Activity data'!AN9*EF!$H22)*kgtoGg)</f>
        <v>0.182175690972702</v>
      </c>
      <c r="AO22" s="27">
        <f>IF(('Activity data'!AO9*EF!$H22)*kgtoGg=0,"NO",('Activity data'!AO9*EF!$H22)*kgtoGg)</f>
        <v>0.18305439341457844</v>
      </c>
      <c r="AP22" s="27">
        <f>IF(('Activity data'!AP9*EF!$H22)*kgtoGg=0,"NO",('Activity data'!AP9*EF!$H22)*kgtoGg)</f>
        <v>0.18361676080501965</v>
      </c>
      <c r="AQ22" s="27">
        <f>IF(('Activity data'!AQ9*EF!$H22)*kgtoGg=0,"NO",('Activity data'!AQ9*EF!$H22)*kgtoGg)</f>
        <v>0.18386267860058431</v>
      </c>
      <c r="AR22" s="27">
        <f>IF(('Activity data'!AR9*EF!$H22)*kgtoGg=0,"NO",('Activity data'!AR9*EF!$H22)*kgtoGg)</f>
        <v>0.18379735627008756</v>
      </c>
      <c r="AS22" s="27">
        <f>IF(('Activity data'!AS9*EF!$H22)*kgtoGg=0,"NO",('Activity data'!AS9*EF!$H22)*kgtoGg)</f>
        <v>0.18341766275515989</v>
      </c>
      <c r="AT22" s="27">
        <f>IF(('Activity data'!AT9*EF!$H22)*kgtoGg=0,"NO",('Activity data'!AT9*EF!$H22)*kgtoGg)</f>
        <v>0.18272266796500922</v>
      </c>
      <c r="AU22" s="27">
        <f>IF(('Activity data'!AU9*EF!$H22)*kgtoGg=0,"NO",('Activity data'!AU9*EF!$H22)*kgtoGg)</f>
        <v>0.18171294694329559</v>
      </c>
      <c r="AV22" s="27">
        <f>IF(('Activity data'!AV9*EF!$H22)*kgtoGg=0,"NO",('Activity data'!AV9*EF!$H22)*kgtoGg)</f>
        <v>0.1803907701509096</v>
      </c>
      <c r="AW22" s="27">
        <f>IF(('Activity data'!AW9*EF!$H22)*kgtoGg=0,"NO",('Activity data'!AW9*EF!$H22)*kgtoGg)</f>
        <v>0.17725826751953122</v>
      </c>
      <c r="AX22" s="27">
        <f>IF(('Activity data'!AX9*EF!$H22)*kgtoGg=0,"NO",('Activity data'!AX9*EF!$H22)*kgtoGg)</f>
        <v>0.17383070295376282</v>
      </c>
      <c r="AY22" s="27">
        <f>IF(('Activity data'!AY9*EF!$H22)*kgtoGg=0,"NO",('Activity data'!AY9*EF!$H22)*kgtoGg)</f>
        <v>0.17012347718159837</v>
      </c>
      <c r="AZ22" s="27">
        <f>IF(('Activity data'!AZ9*EF!$H22)*kgtoGg=0,"NO",('Activity data'!AZ9*EF!$H22)*kgtoGg)</f>
        <v>0.16615374089176904</v>
      </c>
      <c r="BA22" s="27">
        <f>IF(('Activity data'!BA9*EF!$H22)*kgtoGg=0,"NO",('Activity data'!BA9*EF!$H22)*kgtoGg)</f>
        <v>0.16193975245589462</v>
      </c>
      <c r="BB22" s="27">
        <f>IF(('Activity data'!BB9*EF!$H22)*kgtoGg=0,"NO",('Activity data'!BB9*EF!$H22)*kgtoGg)</f>
        <v>0.1575009544252694</v>
      </c>
      <c r="BC22" s="27">
        <f>IF(('Activity data'!BC9*EF!$H22)*kgtoGg=0,"NO",('Activity data'!BC9*EF!$H22)*kgtoGg)</f>
        <v>-1.2161151573392443E-2</v>
      </c>
      <c r="BD22" s="27">
        <f>IF(('Activity data'!BD9*EF!$H22)*kgtoGg=0,"NO",('Activity data'!BD9*EF!$H22)*kgtoGg)</f>
        <v>-1.1868346186618603E-2</v>
      </c>
      <c r="BE22" s="27">
        <f>IF(('Activity data'!BE9*EF!$H22)*kgtoGg=0,"NO",('Activity data'!BE9*EF!$H22)*kgtoGg)</f>
        <v>-1.1578587290470338E-2</v>
      </c>
      <c r="BF22" s="27">
        <f>IF(('Activity data'!BF9*EF!$H22)*kgtoGg=0,"NO",('Activity data'!BF9*EF!$H22)*kgtoGg)</f>
        <v>-1.1291844958198401E-2</v>
      </c>
      <c r="BG22" s="27">
        <f>IF(('Activity data'!BG9*EF!$H22)*kgtoGg=0,"NO",('Activity data'!BG9*EF!$H22)*kgtoGg)</f>
        <v>-1.1064265143100825E-2</v>
      </c>
      <c r="BH22" s="27">
        <f>IF(('Activity data'!BH9*EF!$H22)*kgtoGg=0,"NO",('Activity data'!BH9*EF!$H22)*kgtoGg)</f>
        <v>-1.0838844171453966E-2</v>
      </c>
      <c r="BI22" s="27">
        <f>IF(('Activity data'!BI9*EF!$H22)*kgtoGg=0,"NO",('Activity data'!BI9*EF!$H22)*kgtoGg)</f>
        <v>-1.0615414381460443E-2</v>
      </c>
      <c r="BJ22" s="27">
        <f>IF(('Activity data'!BJ9*EF!$H22)*kgtoGg=0,"NO",('Activity data'!BJ9*EF!$H22)*kgtoGg)</f>
        <v>-1.039392042815254E-2</v>
      </c>
      <c r="BK22" s="27">
        <f>IF(('Activity data'!BK9*EF!$H22)*kgtoGg=0,"NO",('Activity data'!BK9*EF!$H22)*kgtoGg)</f>
        <v>-1.017420037724082E-2</v>
      </c>
      <c r="BL22" s="27">
        <f>IF(('Activity data'!BL9*EF!$H22)*kgtoGg=0,"NO",('Activity data'!BL9*EF!$H22)*kgtoGg)</f>
        <v>-9.956095646546443E-3</v>
      </c>
      <c r="BM22" s="27">
        <f>IF(('Activity data'!BM9*EF!$H22)*kgtoGg=0,"NO",('Activity data'!BM9*EF!$H22)*kgtoGg)</f>
        <v>-9.739580766843E-3</v>
      </c>
      <c r="BN22" s="27">
        <f>IF(('Activity data'!BN9*EF!$H22)*kgtoGg=0,"NO",('Activity data'!BN9*EF!$H22)*kgtoGg)</f>
        <v>-9.5246691146980388E-3</v>
      </c>
      <c r="BO22" s="27">
        <f>IF(('Activity data'!BO9*EF!$H22)*kgtoGg=0,"NO",('Activity data'!BO9*EF!$H22)*kgtoGg)</f>
        <v>-9.3113688959297666E-3</v>
      </c>
      <c r="BP22" s="27">
        <f>IF(('Activity data'!BP9*EF!$H22)*kgtoGg=0,"NO",('Activity data'!BP9*EF!$H22)*kgtoGg)</f>
        <v>-9.0995575990930264E-3</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0.48695387967725956</v>
      </c>
      <c r="AF23" s="27">
        <f>IF(('Activity data'!AF10*EF!$H23)*kgtoGg=0,"NO",('Activity data'!AF10*EF!$H23)*kgtoGg)</f>
        <v>0.50580611066616787</v>
      </c>
      <c r="AG23" s="27">
        <f>IF(('Activity data'!AG10*EF!$H23)*kgtoGg=0,"NO",('Activity data'!AG10*EF!$H23)*kgtoGg)</f>
        <v>0.51986569055899423</v>
      </c>
      <c r="AH23" s="27">
        <f>IF(('Activity data'!AH10*EF!$H23)*kgtoGg=0,"NO",('Activity data'!AH10*EF!$H23)*kgtoGg)</f>
        <v>0.5307082628613855</v>
      </c>
      <c r="AI23" s="27">
        <f>IF(('Activity data'!AI10*EF!$H23)*kgtoGg=0,"NO",('Activity data'!AI10*EF!$H23)*kgtoGg)</f>
        <v>0.53817886796858139</v>
      </c>
      <c r="AJ23" s="27">
        <f>IF(('Activity data'!AJ10*EF!$H23)*kgtoGg=0,"NO",('Activity data'!AJ10*EF!$H23)*kgtoGg)</f>
        <v>0.54837935702304763</v>
      </c>
      <c r="AK23" s="27">
        <f>IF(('Activity data'!AK10*EF!$H23)*kgtoGg=0,"NO",('Activity data'!AK10*EF!$H23)*kgtoGg)</f>
        <v>0.55907244781022658</v>
      </c>
      <c r="AL23" s="27">
        <f>IF(('Activity data'!AL10*EF!$H23)*kgtoGg=0,"NO",('Activity data'!AL10*EF!$H23)*kgtoGg)</f>
        <v>0.52019632078645839</v>
      </c>
      <c r="AM23" s="27">
        <f>IF(('Activity data'!AM10*EF!$H23)*kgtoGg=0,"NO",('Activity data'!AM10*EF!$H23)*kgtoGg)</f>
        <v>0.55325369057346974</v>
      </c>
      <c r="AN23" s="27">
        <f>IF(('Activity data'!AN10*EF!$H23)*kgtoGg=0,"NO",('Activity data'!AN10*EF!$H23)*kgtoGg)</f>
        <v>1.7851204886019707</v>
      </c>
      <c r="AO23" s="27">
        <f>IF(('Activity data'!AO10*EF!$H23)*kgtoGg=0,"NO",('Activity data'!AO10*EF!$H23)*kgtoGg)</f>
        <v>1.8358114551753451</v>
      </c>
      <c r="AP23" s="27">
        <f>IF(('Activity data'!AP10*EF!$H23)*kgtoGg=0,"NO",('Activity data'!AP10*EF!$H23)*kgtoGg)</f>
        <v>1.8841429870431068</v>
      </c>
      <c r="AQ23" s="27">
        <f>IF(('Activity data'!AQ10*EF!$H23)*kgtoGg=0,"NO",('Activity data'!AQ10*EF!$H23)*kgtoGg)</f>
        <v>1.9299293707853407</v>
      </c>
      <c r="AR23" s="27">
        <f>IF(('Activity data'!AR10*EF!$H23)*kgtoGg=0,"NO",('Activity data'!AR10*EF!$H23)*kgtoGg)</f>
        <v>1.9730360139075687</v>
      </c>
      <c r="AS23" s="27">
        <f>IF(('Activity data'!AS10*EF!$H23)*kgtoGg=0,"NO",('Activity data'!AS10*EF!$H23)*kgtoGg)</f>
        <v>2.0132355560309785</v>
      </c>
      <c r="AT23" s="27">
        <f>IF(('Activity data'!AT10*EF!$H23)*kgtoGg=0,"NO",('Activity data'!AT10*EF!$H23)*kgtoGg)</f>
        <v>2.0503157854688139</v>
      </c>
      <c r="AU23" s="27">
        <f>IF(('Activity data'!AU10*EF!$H23)*kgtoGg=0,"NO",('Activity data'!AU10*EF!$H23)*kgtoGg)</f>
        <v>2.0840739423253991</v>
      </c>
      <c r="AV23" s="27">
        <f>IF(('Activity data'!AV10*EF!$H23)*kgtoGg=0,"NO",('Activity data'!AV10*EF!$H23)*kgtoGg)</f>
        <v>2.1143204533767861</v>
      </c>
      <c r="AW23" s="27">
        <f>IF(('Activity data'!AW10*EF!$H23)*kgtoGg=0,"NO",('Activity data'!AW10*EF!$H23)*kgtoGg)</f>
        <v>2.1465040938299391</v>
      </c>
      <c r="AX23" s="27">
        <f>IF(('Activity data'!AX10*EF!$H23)*kgtoGg=0,"NO",('Activity data'!AX10*EF!$H23)*kgtoGg)</f>
        <v>2.1749393600032643</v>
      </c>
      <c r="AY23" s="27">
        <f>IF(('Activity data'!AY10*EF!$H23)*kgtoGg=0,"NO",('Activity data'!AY10*EF!$H23)*kgtoGg)</f>
        <v>2.1994598063034698</v>
      </c>
      <c r="AZ23" s="27">
        <f>IF(('Activity data'!AZ10*EF!$H23)*kgtoGg=0,"NO",('Activity data'!AZ10*EF!$H23)*kgtoGg)</f>
        <v>2.2199209490040412</v>
      </c>
      <c r="BA23" s="27">
        <f>IF(('Activity data'!BA10*EF!$H23)*kgtoGg=0,"NO",('Activity data'!BA10*EF!$H23)*kgtoGg)</f>
        <v>2.2361952396921123</v>
      </c>
      <c r="BB23" s="27">
        <f>IF(('Activity data'!BB10*EF!$H23)*kgtoGg=0,"NO",('Activity data'!BB10*EF!$H23)*kgtoGg)</f>
        <v>2.2481759568184136</v>
      </c>
      <c r="BC23" s="27">
        <f>IF(('Activity data'!BC10*EF!$H23)*kgtoGg=0,"NO",('Activity data'!BC10*EF!$H23)*kgtoGg)</f>
        <v>-0.17946652232513363</v>
      </c>
      <c r="BD23" s="27">
        <f>IF(('Activity data'!BD10*EF!$H23)*kgtoGg=0,"NO",('Activity data'!BD10*EF!$H23)*kgtoGg)</f>
        <v>-0.18110907611543389</v>
      </c>
      <c r="BE23" s="27">
        <f>IF(('Activity data'!BE10*EF!$H23)*kgtoGg=0,"NO",('Activity data'!BE10*EF!$H23)*kgtoGg)</f>
        <v>-0.18274076856651822</v>
      </c>
      <c r="BF23" s="27">
        <f>IF(('Activity data'!BF10*EF!$H23)*kgtoGg=0,"NO",('Activity data'!BF10*EF!$H23)*kgtoGg)</f>
        <v>-0.18436241238183759</v>
      </c>
      <c r="BG23" s="27">
        <f>IF(('Activity data'!BG10*EF!$H23)*kgtoGg=0,"NO",('Activity data'!BG10*EF!$H23)*kgtoGg)</f>
        <v>-0.18574369682883446</v>
      </c>
      <c r="BH23" s="27">
        <f>IF(('Activity data'!BH10*EF!$H23)*kgtoGg=0,"NO",('Activity data'!BH10*EF!$H23)*kgtoGg)</f>
        <v>-0.18711116954081883</v>
      </c>
      <c r="BI23" s="27">
        <f>IF(('Activity data'!BI10*EF!$H23)*kgtoGg=0,"NO",('Activity data'!BI10*EF!$H23)*kgtoGg)</f>
        <v>-0.18846273754694579</v>
      </c>
      <c r="BJ23" s="27">
        <f>IF(('Activity data'!BJ10*EF!$H23)*kgtoGg=0,"NO",('Activity data'!BJ10*EF!$H23)*kgtoGg)</f>
        <v>-0.18979802913484242</v>
      </c>
      <c r="BK23" s="27">
        <f>IF(('Activity data'!BK10*EF!$H23)*kgtoGg=0,"NO",('Activity data'!BK10*EF!$H23)*kgtoGg)</f>
        <v>-0.19111455281570203</v>
      </c>
      <c r="BL23" s="27">
        <f>IF(('Activity data'!BL10*EF!$H23)*kgtoGg=0,"NO",('Activity data'!BL10*EF!$H23)*kgtoGg)</f>
        <v>-0.19240952741879389</v>
      </c>
      <c r="BM23" s="27">
        <f>IF(('Activity data'!BM10*EF!$H23)*kgtoGg=0,"NO",('Activity data'!BM10*EF!$H23)*kgtoGg)</f>
        <v>-0.19368244494387601</v>
      </c>
      <c r="BN23" s="27">
        <f>IF(('Activity data'!BN10*EF!$H23)*kgtoGg=0,"NO",('Activity data'!BN10*EF!$H23)*kgtoGg)</f>
        <v>-0.19493349782495742</v>
      </c>
      <c r="BO23" s="27">
        <f>IF(('Activity data'!BO10*EF!$H23)*kgtoGg=0,"NO",('Activity data'!BO10*EF!$H23)*kgtoGg)</f>
        <v>-0.19616276303602645</v>
      </c>
      <c r="BP23" s="27">
        <f>IF(('Activity data'!BP10*EF!$H23)*kgtoGg=0,"NO",('Activity data'!BP10*EF!$H23)*kgtoGg)</f>
        <v>-0.19736746528407936</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3.6578192116978575E-2</v>
      </c>
      <c r="AM24" s="27">
        <f>IF(('Activity data'!AM11*EF!$H24)*kgtoGg=0,"NO",('Activity data'!AM11*EF!$H24)*kgtoGg)</f>
        <v>3.6602536457524273E-2</v>
      </c>
      <c r="AN24" s="27">
        <f>IF(('Activity data'!AN11*EF!$H24)*kgtoGg=0,"NO",('Activity data'!AN11*EF!$H24)*kgtoGg)</f>
        <v>3.7079287706665597E-2</v>
      </c>
      <c r="AO24" s="27">
        <f>IF(('Activity data'!AO11*EF!$H24)*kgtoGg=0,"NO",('Activity data'!AO11*EF!$H24)*kgtoGg)</f>
        <v>3.7090917681294085E-2</v>
      </c>
      <c r="AP24" s="27">
        <f>IF(('Activity data'!AP11*EF!$H24)*kgtoGg=0,"NO",('Activity data'!AP11*EF!$H24)*kgtoGg)</f>
        <v>3.7140664601717173E-2</v>
      </c>
      <c r="AQ24" s="27">
        <f>IF(('Activity data'!AQ11*EF!$H24)*kgtoGg=0,"NO",('Activity data'!AQ11*EF!$H24)*kgtoGg)</f>
        <v>3.7212574982641126E-2</v>
      </c>
      <c r="AR24" s="27">
        <f>IF(('Activity data'!AR11*EF!$H24)*kgtoGg=0,"NO",('Activity data'!AR11*EF!$H24)*kgtoGg)</f>
        <v>3.7279377262220796E-2</v>
      </c>
      <c r="AS24" s="27">
        <f>IF(('Activity data'!AS11*EF!$H24)*kgtoGg=0,"NO",('Activity data'!AS11*EF!$H24)*kgtoGg)</f>
        <v>3.7341898542443672E-2</v>
      </c>
      <c r="AT24" s="27">
        <f>IF(('Activity data'!AT11*EF!$H24)*kgtoGg=0,"NO",('Activity data'!AT11*EF!$H24)*kgtoGg)</f>
        <v>3.7399805431240309E-2</v>
      </c>
      <c r="AU24" s="27">
        <f>IF(('Activity data'!AU11*EF!$H24)*kgtoGg=0,"NO",('Activity data'!AU11*EF!$H24)*kgtoGg)</f>
        <v>3.7453619674437284E-2</v>
      </c>
      <c r="AV24" s="27">
        <f>IF(('Activity data'!AV11*EF!$H24)*kgtoGg=0,"NO",('Activity data'!AV11*EF!$H24)*kgtoGg)</f>
        <v>3.7504157579295157E-2</v>
      </c>
      <c r="AW24" s="27">
        <f>IF(('Activity data'!AW11*EF!$H24)*kgtoGg=0,"NO",('Activity data'!AW11*EF!$H24)*kgtoGg)</f>
        <v>3.755137152744302E-2</v>
      </c>
      <c r="AX24" s="27">
        <f>IF(('Activity data'!AX11*EF!$H24)*kgtoGg=0,"NO",('Activity data'!AX11*EF!$H24)*kgtoGg)</f>
        <v>3.7596016682571363E-2</v>
      </c>
      <c r="AY24" s="27">
        <f>IF(('Activity data'!AY11*EF!$H24)*kgtoGg=0,"NO",('Activity data'!AY11*EF!$H24)*kgtoGg)</f>
        <v>3.7638201115333593E-2</v>
      </c>
      <c r="AZ24" s="27">
        <f>IF(('Activity data'!AZ11*EF!$H24)*kgtoGg=0,"NO",('Activity data'!AZ11*EF!$H24)*kgtoGg)</f>
        <v>3.7677346639447794E-2</v>
      </c>
      <c r="BA24" s="27">
        <f>IF(('Activity data'!BA11*EF!$H24)*kgtoGg=0,"NO",('Activity data'!BA11*EF!$H24)*kgtoGg)</f>
        <v>3.7713811349129885E-2</v>
      </c>
      <c r="BB24" s="27">
        <f>IF(('Activity data'!BB11*EF!$H24)*kgtoGg=0,"NO",('Activity data'!BB11*EF!$H24)*kgtoGg)</f>
        <v>3.7748176979043722E-2</v>
      </c>
      <c r="BC24" s="27">
        <f>IF(('Activity data'!BC11*EF!$H24)*kgtoGg=0,"NO",('Activity data'!BC11*EF!$H24)*kgtoGg)</f>
        <v>3.6919749367433322E-2</v>
      </c>
      <c r="BD24" s="27">
        <f>IF(('Activity data'!BD11*EF!$H24)*kgtoGg=0,"NO",('Activity data'!BD11*EF!$H24)*kgtoGg)</f>
        <v>3.6953700421728228E-2</v>
      </c>
      <c r="BE24" s="27">
        <f>IF(('Activity data'!BE11*EF!$H24)*kgtoGg=0,"NO",('Activity data'!BE11*EF!$H24)*kgtoGg)</f>
        <v>3.6985368016573254E-2</v>
      </c>
      <c r="BF24" s="27">
        <f>IF(('Activity data'!BF11*EF!$H24)*kgtoGg=0,"NO",('Activity data'!BF11*EF!$H24)*kgtoGg)</f>
        <v>3.7014945688034803E-2</v>
      </c>
      <c r="BG24" s="27">
        <f>IF(('Activity data'!BG11*EF!$H24)*kgtoGg=0,"NO",('Activity data'!BG11*EF!$H24)*kgtoGg)</f>
        <v>3.7042668702165847E-2</v>
      </c>
      <c r="BH24" s="27">
        <f>IF(('Activity data'!BH11*EF!$H24)*kgtoGg=0,"NO",('Activity data'!BH11*EF!$H24)*kgtoGg)</f>
        <v>3.7067807831001554E-2</v>
      </c>
      <c r="BI24" s="27">
        <f>IF(('Activity data'!BI11*EF!$H24)*kgtoGg=0,"NO",('Activity data'!BI11*EF!$H24)*kgtoGg)</f>
        <v>3.7089876088168584E-2</v>
      </c>
      <c r="BJ24" s="27">
        <f>IF(('Activity data'!BJ11*EF!$H24)*kgtoGg=0,"NO",('Activity data'!BJ11*EF!$H24)*kgtoGg)</f>
        <v>3.710880214511815E-2</v>
      </c>
      <c r="BK24" s="27">
        <f>IF(('Activity data'!BK11*EF!$H24)*kgtoGg=0,"NO",('Activity data'!BK11*EF!$H24)*kgtoGg)</f>
        <v>3.7124031819377158E-2</v>
      </c>
      <c r="BL24" s="27">
        <f>IF(('Activity data'!BL11*EF!$H24)*kgtoGg=0,"NO",('Activity data'!BL11*EF!$H24)*kgtoGg)</f>
        <v>3.7134962729756575E-2</v>
      </c>
      <c r="BM24" s="27">
        <f>IF(('Activity data'!BM11*EF!$H24)*kgtoGg=0,"NO",('Activity data'!BM11*EF!$H24)*kgtoGg)</f>
        <v>3.7141526945573433E-2</v>
      </c>
      <c r="BN24" s="27">
        <f>IF(('Activity data'!BN11*EF!$H24)*kgtoGg=0,"NO",('Activity data'!BN11*EF!$H24)*kgtoGg)</f>
        <v>3.7143818098984892E-2</v>
      </c>
      <c r="BO24" s="27">
        <f>IF(('Activity data'!BO11*EF!$H24)*kgtoGg=0,"NO",('Activity data'!BO11*EF!$H24)*kgtoGg)</f>
        <v>3.7141903206885624E-2</v>
      </c>
      <c r="BP24" s="27">
        <f>IF(('Activity data'!BP11*EF!$H24)*kgtoGg=0,"NO",('Activity data'!BP11*EF!$H24)*kgtoGg)</f>
        <v>3.7135215292227401E-2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4.1774038907199012E-3</v>
      </c>
      <c r="AM25" s="27">
        <f>IF(('Activity data'!AM12*EF!$H25)*kgtoGg=0,"NO",('Activity data'!AM12*EF!$H25)*kgtoGg)</f>
        <v>4.1801841304481904E-3</v>
      </c>
      <c r="AN25" s="27">
        <f>IF(('Activity data'!AN12*EF!$H25)*kgtoGg=0,"NO",('Activity data'!AN12*EF!$H25)*kgtoGg)</f>
        <v>4.2346313955480986E-3</v>
      </c>
      <c r="AO25" s="27">
        <f>IF(('Activity data'!AO12*EF!$H25)*kgtoGg=0,"NO",('Activity data'!AO12*EF!$H25)*kgtoGg)</f>
        <v>4.2359595940852672E-3</v>
      </c>
      <c r="AP25" s="27">
        <f>IF(('Activity data'!AP12*EF!$H25)*kgtoGg=0,"NO",('Activity data'!AP12*EF!$H25)*kgtoGg)</f>
        <v>4.24164092951765E-3</v>
      </c>
      <c r="AQ25" s="27">
        <f>IF(('Activity data'!AQ12*EF!$H25)*kgtoGg=0,"NO",('Activity data'!AQ12*EF!$H25)*kgtoGg)</f>
        <v>4.2498534377819787E-3</v>
      </c>
      <c r="AR25" s="27">
        <f>IF(('Activity data'!AR12*EF!$H25)*kgtoGg=0,"NO",('Activity data'!AR12*EF!$H25)*kgtoGg)</f>
        <v>4.2574825765248842E-3</v>
      </c>
      <c r="AS25" s="27">
        <f>IF(('Activity data'!AS12*EF!$H25)*kgtoGg=0,"NO",('Activity data'!AS12*EF!$H25)*kgtoGg)</f>
        <v>4.2646228047357425E-3</v>
      </c>
      <c r="AT25" s="27">
        <f>IF(('Activity data'!AT12*EF!$H25)*kgtoGg=0,"NO",('Activity data'!AT12*EF!$H25)*kgtoGg)</f>
        <v>4.2712360474510998E-3</v>
      </c>
      <c r="AU25" s="27">
        <f>IF(('Activity data'!AU12*EF!$H25)*kgtoGg=0,"NO",('Activity data'!AU12*EF!$H25)*kgtoGg)</f>
        <v>4.2773818905312679E-3</v>
      </c>
      <c r="AV25" s="27">
        <f>IF(('Activity data'!AV12*EF!$H25)*kgtoGg=0,"NO",('Activity data'!AV12*EF!$H25)*kgtoGg)</f>
        <v>4.2831535601563532E-3</v>
      </c>
      <c r="AW25" s="27">
        <f>IF(('Activity data'!AW12*EF!$H25)*kgtoGg=0,"NO",('Activity data'!AW12*EF!$H25)*kgtoGg)</f>
        <v>4.2885456180814241E-3</v>
      </c>
      <c r="AX25" s="27">
        <f>IF(('Activity data'!AX12*EF!$H25)*kgtoGg=0,"NO",('Activity data'!AX12*EF!$H25)*kgtoGg)</f>
        <v>4.2936443075994434E-3</v>
      </c>
      <c r="AY25" s="27">
        <f>IF(('Activity data'!AY12*EF!$H25)*kgtoGg=0,"NO",('Activity data'!AY12*EF!$H25)*kgtoGg)</f>
        <v>4.2984619708941515E-3</v>
      </c>
      <c r="AZ25" s="27">
        <f>IF(('Activity data'!AZ12*EF!$H25)*kgtoGg=0,"NO",('Activity data'!AZ12*EF!$H25)*kgtoGg)</f>
        <v>4.3029325763362138E-3</v>
      </c>
      <c r="BA25" s="27">
        <f>IF(('Activity data'!BA12*EF!$H25)*kgtoGg=0,"NO",('Activity data'!BA12*EF!$H25)*kgtoGg)</f>
        <v>4.3070970199919519E-3</v>
      </c>
      <c r="BB25" s="27">
        <f>IF(('Activity data'!BB12*EF!$H25)*kgtoGg=0,"NO",('Activity data'!BB12*EF!$H25)*kgtoGg)</f>
        <v>4.3110217387328335E-3</v>
      </c>
      <c r="BC25" s="27">
        <f>IF(('Activity data'!BC12*EF!$H25)*kgtoGg=0,"NO",('Activity data'!BC12*EF!$H25)*kgtoGg)</f>
        <v>4.2164113567638812E-3</v>
      </c>
      <c r="BD25" s="27">
        <f>IF(('Activity data'!BD12*EF!$H25)*kgtoGg=0,"NO",('Activity data'!BD12*EF!$H25)*kgtoGg)</f>
        <v>4.2202887289929962E-3</v>
      </c>
      <c r="BE25" s="27">
        <f>IF(('Activity data'!BE12*EF!$H25)*kgtoGg=0,"NO",('Activity data'!BE12*EF!$H25)*kgtoGg)</f>
        <v>4.2239053192687616E-3</v>
      </c>
      <c r="BF25" s="27">
        <f>IF(('Activity data'!BF12*EF!$H25)*kgtoGg=0,"NO",('Activity data'!BF12*EF!$H25)*kgtoGg)</f>
        <v>4.2272832303324572E-3</v>
      </c>
      <c r="BG25" s="27">
        <f>IF(('Activity data'!BG12*EF!$H25)*kgtoGg=0,"NO",('Activity data'!BG12*EF!$H25)*kgtoGg)</f>
        <v>4.2304493306887332E-3</v>
      </c>
      <c r="BH25" s="27">
        <f>IF(('Activity data'!BH12*EF!$H25)*kgtoGg=0,"NO",('Activity data'!BH12*EF!$H25)*kgtoGg)</f>
        <v>4.2333203390281212E-3</v>
      </c>
      <c r="BI25" s="27">
        <f>IF(('Activity data'!BI12*EF!$H25)*kgtoGg=0,"NO",('Activity data'!BI12*EF!$H25)*kgtoGg)</f>
        <v>4.235840639185552E-3</v>
      </c>
      <c r="BJ25" s="27">
        <f>IF(('Activity data'!BJ12*EF!$H25)*kgtoGg=0,"NO",('Activity data'!BJ12*EF!$H25)*kgtoGg)</f>
        <v>4.2380020851007644E-3</v>
      </c>
      <c r="BK25" s="27">
        <f>IF(('Activity data'!BK12*EF!$H25)*kgtoGg=0,"NO",('Activity data'!BK12*EF!$H25)*kgtoGg)</f>
        <v>4.2397413864938057E-3</v>
      </c>
      <c r="BL25" s="27">
        <f>IF(('Activity data'!BL12*EF!$H25)*kgtoGg=0,"NO",('Activity data'!BL12*EF!$H25)*kgtoGg)</f>
        <v>4.2409897485616204E-3</v>
      </c>
      <c r="BM25" s="27">
        <f>IF(('Activity data'!BM12*EF!$H25)*kgtoGg=0,"NO",('Activity data'!BM12*EF!$H25)*kgtoGg)</f>
        <v>4.241739413296421E-3</v>
      </c>
      <c r="BN25" s="27">
        <f>IF(('Activity data'!BN12*EF!$H25)*kgtoGg=0,"NO",('Activity data'!BN12*EF!$H25)*kgtoGg)</f>
        <v>4.2420010739368554E-3</v>
      </c>
      <c r="BO25" s="27">
        <f>IF(('Activity data'!BO12*EF!$H25)*kgtoGg=0,"NO",('Activity data'!BO12*EF!$H25)*kgtoGg)</f>
        <v>4.2417823841317337E-3</v>
      </c>
      <c r="BP25" s="27">
        <f>IF(('Activity data'!BP12*EF!$H25)*kgtoGg=0,"NO",('Activity data'!BP12*EF!$H25)*kgtoGg)</f>
        <v>4.2410185923996346E-3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1.5789672763163301E-2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1.6230654784419023E-2</v>
      </c>
      <c r="AK26" s="27">
        <f>IF(('Activity data'!AK13*EF!$H26)*kgtoGg=0,"NO",('Activity data'!AK13*EF!$H26)*kgtoGg)</f>
        <v>1.6337439810579345E-2</v>
      </c>
      <c r="AL26" s="27">
        <f>IF(('Activity data'!AL13*EF!$H26)*kgtoGg=0,"NO",('Activity data'!AL13*EF!$H26)*kgtoGg)</f>
        <v>1.6297600931786334E-2</v>
      </c>
      <c r="AM26" s="27">
        <f>IF(('Activity data'!AM13*EF!$H26)*kgtoGg=0,"NO",('Activity data'!AM13*EF!$H26)*kgtoGg)</f>
        <v>1.6324272387083224E-2</v>
      </c>
      <c r="AN26" s="27">
        <f>IF(('Activity data'!AN13*EF!$H26)*kgtoGg=0,"NO",('Activity data'!AN13*EF!$H26)*kgtoGg)</f>
        <v>1.6655251261159847E-2</v>
      </c>
      <c r="AO26" s="27">
        <f>IF(('Activity data'!AO13*EF!$H26)*kgtoGg=0,"NO",('Activity data'!AO13*EF!$H26)*kgtoGg)</f>
        <v>1.6670204486965774E-2</v>
      </c>
      <c r="AP26" s="27">
        <f>IF(('Activity data'!AP13*EF!$H26)*kgtoGg=0,"NO",('Activity data'!AP13*EF!$H26)*kgtoGg)</f>
        <v>1.6709793357794805E-2</v>
      </c>
      <c r="AQ26" s="27">
        <f>IF(('Activity data'!AQ13*EF!$H26)*kgtoGg=0,"NO",('Activity data'!AQ13*EF!$H26)*kgtoGg)</f>
        <v>1.6763223659981074E-2</v>
      </c>
      <c r="AR26" s="27">
        <f>IF(('Activity data'!AR13*EF!$H26)*kgtoGg=0,"NO",('Activity data'!AR13*EF!$H26)*kgtoGg)</f>
        <v>1.6812226700055496E-2</v>
      </c>
      <c r="AS26" s="27">
        <f>IF(('Activity data'!AS13*EF!$H26)*kgtoGg=0,"NO",('Activity data'!AS13*EF!$H26)*kgtoGg)</f>
        <v>1.6857450212656173E-2</v>
      </c>
      <c r="AT26" s="27">
        <f>IF(('Activity data'!AT13*EF!$H26)*kgtoGg=0,"NO",('Activity data'!AT13*EF!$H26)*kgtoGg)</f>
        <v>1.6898755484739163E-2</v>
      </c>
      <c r="AU26" s="27">
        <f>IF(('Activity data'!AU13*EF!$H26)*kgtoGg=0,"NO",('Activity data'!AU13*EF!$H26)*kgtoGg)</f>
        <v>1.6936566671667971E-2</v>
      </c>
      <c r="AV26" s="27">
        <f>IF(('Activity data'!AV13*EF!$H26)*kgtoGg=0,"NO",('Activity data'!AV13*EF!$H26)*kgtoGg)</f>
        <v>1.697149382994385E-2</v>
      </c>
      <c r="AW26" s="27">
        <f>IF(('Activity data'!AW13*EF!$H26)*kgtoGg=0,"NO",('Activity data'!AW13*EF!$H26)*kgtoGg)</f>
        <v>1.7003565100315018E-2</v>
      </c>
      <c r="AX26" s="27">
        <f>IF(('Activity data'!AX13*EF!$H26)*kgtoGg=0,"NO",('Activity data'!AX13*EF!$H26)*kgtoGg)</f>
        <v>1.7033334255161247E-2</v>
      </c>
      <c r="AY26" s="27">
        <f>IF(('Activity data'!AY13*EF!$H26)*kgtoGg=0,"NO",('Activity data'!AY13*EF!$H26)*kgtoGg)</f>
        <v>1.7060920227859537E-2</v>
      </c>
      <c r="AZ26" s="27">
        <f>IF(('Activity data'!AZ13*EF!$H26)*kgtoGg=0,"NO",('Activity data'!AZ13*EF!$H26)*kgtoGg)</f>
        <v>1.7085986205962782E-2</v>
      </c>
      <c r="BA26" s="27">
        <f>IF(('Activity data'!BA13*EF!$H26)*kgtoGg=0,"NO",('Activity data'!BA13*EF!$H26)*kgtoGg)</f>
        <v>1.7108809785956688E-2</v>
      </c>
      <c r="BB26" s="27">
        <f>IF(('Activity data'!BB13*EF!$H26)*kgtoGg=0,"NO",('Activity data'!BB13*EF!$H26)*kgtoGg)</f>
        <v>1.712981031401661E-2</v>
      </c>
      <c r="BC26" s="27">
        <f>IF(('Activity data'!BC13*EF!$H26)*kgtoGg=0,"NO",('Activity data'!BC13*EF!$H26)*kgtoGg)</f>
        <v>1.6586017575220102E-2</v>
      </c>
      <c r="BD26" s="27">
        <f>IF(('Activity data'!BD13*EF!$H26)*kgtoGg=0,"NO",('Activity data'!BD13*EF!$H26)*kgtoGg)</f>
        <v>1.6606977911339412E-2</v>
      </c>
      <c r="BE26" s="27">
        <f>IF(('Activity data'!BE13*EF!$H26)*kgtoGg=0,"NO",('Activity data'!BE13*EF!$H26)*kgtoGg)</f>
        <v>1.6626062012476617E-2</v>
      </c>
      <c r="BF26" s="27">
        <f>IF(('Activity data'!BF13*EF!$H26)*kgtoGg=0,"NO",('Activity data'!BF13*EF!$H26)*kgtoGg)</f>
        <v>1.664342433023323E-2</v>
      </c>
      <c r="BG26" s="27">
        <f>IF(('Activity data'!BG13*EF!$H26)*kgtoGg=0,"NO",('Activity data'!BG13*EF!$H26)*kgtoGg)</f>
        <v>1.6659243730537236E-2</v>
      </c>
      <c r="BH26" s="27">
        <f>IF(('Activity data'!BH13*EF!$H26)*kgtoGg=0,"NO",('Activity data'!BH13*EF!$H26)*kgtoGg)</f>
        <v>1.6673071131631082E-2</v>
      </c>
      <c r="BI26" s="27">
        <f>IF(('Activity data'!BI13*EF!$H26)*kgtoGg=0,"NO",('Activity data'!BI13*EF!$H26)*kgtoGg)</f>
        <v>1.6684616029064781E-2</v>
      </c>
      <c r="BJ26" s="27">
        <f>IF(('Activity data'!BJ13*EF!$H26)*kgtoGg=0,"NO",('Activity data'!BJ13*EF!$H26)*kgtoGg)</f>
        <v>1.6693857214200334E-2</v>
      </c>
      <c r="BK26" s="27">
        <f>IF(('Activity data'!BK13*EF!$H26)*kgtoGg=0,"NO",('Activity data'!BK13*EF!$H26)*kgtoGg)</f>
        <v>1.6700461030767416E-2</v>
      </c>
      <c r="BL26" s="27">
        <f>IF(('Activity data'!BL13*EF!$H26)*kgtoGg=0,"NO",('Activity data'!BL13*EF!$H26)*kgtoGg)</f>
        <v>1.6704063934453468E-2</v>
      </c>
      <c r="BM26" s="27">
        <f>IF(('Activity data'!BM13*EF!$H26)*kgtoGg=0,"NO",('Activity data'!BM13*EF!$H26)*kgtoGg)</f>
        <v>1.6704647334029751E-2</v>
      </c>
      <c r="BN26" s="27">
        <f>IF(('Activity data'!BN13*EF!$H26)*kgtoGg=0,"NO",('Activity data'!BN13*EF!$H26)*kgtoGg)</f>
        <v>1.6702295489105456E-2</v>
      </c>
      <c r="BO26" s="27">
        <f>IF(('Activity data'!BO13*EF!$H26)*kgtoGg=0,"NO",('Activity data'!BO13*EF!$H26)*kgtoGg)</f>
        <v>1.6697074170612902E-2</v>
      </c>
      <c r="BP26" s="27">
        <f>IF(('Activity data'!BP13*EF!$H26)*kgtoGg=0,"NO",('Activity data'!BP13*EF!$H26)*kgtoGg)</f>
        <v>1.668864228260674E-2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2.6592218800664803E-2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2.7009694315810229E-2</v>
      </c>
      <c r="AI27" s="27">
        <f>IF(('Activity data'!AI14*EF!$H27)*kgtoGg=0,"NO",('Activity data'!AI14*EF!$H27)*kgtoGg)</f>
        <v>2.7166328132291764E-2</v>
      </c>
      <c r="AJ27" s="27">
        <f>IF(('Activity data'!AJ14*EF!$H27)*kgtoGg=0,"NO",('Activity data'!AJ14*EF!$H27)*kgtoGg)</f>
        <v>2.7334899828466052E-2</v>
      </c>
      <c r="AK27" s="27">
        <f>IF(('Activity data'!AK14*EF!$H27)*kgtoGg=0,"NO",('Activity data'!AK14*EF!$H27)*kgtoGg)</f>
        <v>2.7514742110372921E-2</v>
      </c>
      <c r="AL27" s="27">
        <f>IF(('Activity data'!AL14*EF!$H27)*kgtoGg=0,"NO",('Activity data'!AL14*EF!$H27)*kgtoGg)</f>
        <v>2.7447647358155608E-2</v>
      </c>
      <c r="AM27" s="27">
        <f>IF(('Activity data'!AM14*EF!$H27)*kgtoGg=0,"NO",('Activity data'!AM14*EF!$H27)*kgtoGg)</f>
        <v>2.7492566159553547E-2</v>
      </c>
      <c r="AN27" s="27">
        <f>IF(('Activity data'!AN14*EF!$H27)*kgtoGg=0,"NO",('Activity data'!AN14*EF!$H27)*kgtoGg)</f>
        <v>2.8049985098492974E-2</v>
      </c>
      <c r="AO27" s="27">
        <f>IF(('Activity data'!AO14*EF!$H27)*kgtoGg=0,"NO",('Activity data'!AO14*EF!$H27)*kgtoGg)</f>
        <v>2.80751686129566E-2</v>
      </c>
      <c r="AP27" s="27">
        <f>IF(('Activity data'!AP14*EF!$H27)*kgtoGg=0,"NO",('Activity data'!AP14*EF!$H27)*kgtoGg)</f>
        <v>2.81418423136056E-2</v>
      </c>
      <c r="AQ27" s="27">
        <f>IF(('Activity data'!AQ14*EF!$H27)*kgtoGg=0,"NO",('Activity data'!AQ14*EF!$H27)*kgtoGg)</f>
        <v>2.8231827097181202E-2</v>
      </c>
      <c r="AR27" s="27">
        <f>IF(('Activity data'!AR14*EF!$H27)*kgtoGg=0,"NO",('Activity data'!AR14*EF!$H27)*kgtoGg)</f>
        <v>2.8314355695658353E-2</v>
      </c>
      <c r="AS27" s="27">
        <f>IF(('Activity data'!AS14*EF!$H27)*kgtoGg=0,"NO",('Activity data'!AS14*EF!$H27)*kgtoGg)</f>
        <v>2.8390518993026845E-2</v>
      </c>
      <c r="AT27" s="27">
        <f>IF(('Activity data'!AT14*EF!$H27)*kgtoGg=0,"NO",('Activity data'!AT14*EF!$H27)*kgtoGg)</f>
        <v>2.8460083375349849E-2</v>
      </c>
      <c r="AU27" s="27">
        <f>IF(('Activity data'!AU14*EF!$H27)*kgtoGg=0,"NO",('Activity data'!AU14*EF!$H27)*kgtoGg)</f>
        <v>2.8523763184995402E-2</v>
      </c>
      <c r="AV27" s="27">
        <f>IF(('Activity data'!AV14*EF!$H27)*kgtoGg=0,"NO",('Activity data'!AV14*EF!$H27)*kgtoGg)</f>
        <v>2.8582585850220259E-2</v>
      </c>
      <c r="AW27" s="27">
        <f>IF(('Activity data'!AW14*EF!$H27)*kgtoGg=0,"NO",('Activity data'!AW14*EF!$H27)*kgtoGg)</f>
        <v>2.8636598764339351E-2</v>
      </c>
      <c r="AX27" s="27">
        <f>IF(('Activity data'!AX14*EF!$H27)*kgtoGg=0,"NO",('Activity data'!AX14*EF!$H27)*kgtoGg)</f>
        <v>2.8686734564558631E-2</v>
      </c>
      <c r="AY27" s="27">
        <f>IF(('Activity data'!AY14*EF!$H27)*kgtoGg=0,"NO",('Activity data'!AY14*EF!$H27)*kgtoGg)</f>
        <v>2.873319355283693E-2</v>
      </c>
      <c r="AZ27" s="27">
        <f>IF(('Activity data'!AZ14*EF!$H27)*kgtoGg=0,"NO",('Activity data'!AZ14*EF!$H27)*kgtoGg)</f>
        <v>2.8775408485608011E-2</v>
      </c>
      <c r="BA27" s="27">
        <f>IF(('Activity data'!BA14*EF!$H27)*kgtoGg=0,"NO",('Activity data'!BA14*EF!$H27)*kgtoGg)</f>
        <v>2.8813846877721389E-2</v>
      </c>
      <c r="BB27" s="27">
        <f>IF(('Activity data'!BB14*EF!$H27)*kgtoGg=0,"NO",('Activity data'!BB14*EF!$H27)*kgtoGg)</f>
        <v>2.884921497213825E-2</v>
      </c>
      <c r="BC27" s="27">
        <f>IF(('Activity data'!BC14*EF!$H27)*kgtoGg=0,"NO",('Activity data'!BC14*EF!$H27)*kgtoGg)</f>
        <v>2.7933385004716402E-2</v>
      </c>
      <c r="BD27" s="27">
        <f>IF(('Activity data'!BD14*EF!$H27)*kgtoGg=0,"NO",('Activity data'!BD14*EF!$H27)*kgtoGg)</f>
        <v>2.7968685409771071E-2</v>
      </c>
      <c r="BE27" s="27">
        <f>IF(('Activity data'!BE14*EF!$H27)*kgtoGg=0,"NO",('Activity data'!BE14*EF!$H27)*kgtoGg)</f>
        <v>2.8000825948759214E-2</v>
      </c>
      <c r="BF27" s="27">
        <f>IF(('Activity data'!BF14*EF!$H27)*kgtoGg=0,"NO",('Activity data'!BF14*EF!$H27)*kgtoGg)</f>
        <v>2.8030066741750678E-2</v>
      </c>
      <c r="BG27" s="27">
        <f>IF(('Activity data'!BG14*EF!$H27)*kgtoGg=0,"NO",('Activity data'!BG14*EF!$H27)*kgtoGg)</f>
        <v>2.8056709026267227E-2</v>
      </c>
      <c r="BH27" s="27">
        <f>IF(('Activity data'!BH14*EF!$H27)*kgtoGg=0,"NO",('Activity data'!BH14*EF!$H27)*kgtoGg)</f>
        <v>2.8079996480088933E-2</v>
      </c>
      <c r="BI27" s="27">
        <f>IF(('Activity data'!BI14*EF!$H27)*kgtoGg=0,"NO",('Activity data'!BI14*EF!$H27)*kgtoGg)</f>
        <v>2.8099439849384365E-2</v>
      </c>
      <c r="BJ27" s="27">
        <f>IF(('Activity data'!BJ14*EF!$H27)*kgtoGg=0,"NO",('Activity data'!BJ14*EF!$H27)*kgtoGg)</f>
        <v>2.8115003415570192E-2</v>
      </c>
      <c r="BK27" s="27">
        <f>IF(('Activity data'!BK14*EF!$H27)*kgtoGg=0,"NO",('Activity data'!BK14*EF!$H27)*kgtoGg)</f>
        <v>2.8126125250563565E-2</v>
      </c>
      <c r="BL27" s="27">
        <f>IF(('Activity data'!BL14*EF!$H27)*kgtoGg=0,"NO",('Activity data'!BL14*EF!$H27)*kgtoGg)</f>
        <v>2.8132193090256906E-2</v>
      </c>
      <c r="BM27" s="27">
        <f>IF(('Activity data'!BM14*EF!$H27)*kgtoGg=0,"NO",('Activity data'!BM14*EF!$H27)*kgtoGg)</f>
        <v>2.8133175624183573E-2</v>
      </c>
      <c r="BN27" s="27">
        <f>IF(('Activity data'!BN14*EF!$H27)*kgtoGg=0,"NO",('Activity data'!BN14*EF!$H27)*kgtoGg)</f>
        <v>2.8129214758385396E-2</v>
      </c>
      <c r="BO27" s="27">
        <f>IF(('Activity data'!BO14*EF!$H27)*kgtoGg=0,"NO",('Activity data'!BO14*EF!$H27)*kgtoGg)</f>
        <v>2.8120421261150549E-2</v>
      </c>
      <c r="BP27" s="27">
        <f>IF(('Activity data'!BP14*EF!$H27)*kgtoGg=0,"NO",('Activity data'!BP14*EF!$H27)*kgtoGg)</f>
        <v>2.8106220674847984E-2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4.1336182129460552E-3</v>
      </c>
      <c r="AE28" s="27">
        <f>IF(('Activity data'!AE15*EF!$H28)*kgtoGg=0,"NO",('Activity data'!AE15*EF!$H28)*kgtoGg)</f>
        <v>4.1536453250924088E-3</v>
      </c>
      <c r="AF28" s="27">
        <f>IF(('Activity data'!AF15*EF!$H28)*kgtoGg=0,"NO",('Activity data'!AF15*EF!$H28)*kgtoGg)</f>
        <v>4.1840370126470534E-3</v>
      </c>
      <c r="AG28" s="27">
        <f>IF(('Activity data'!AG15*EF!$H28)*kgtoGg=0,"NO",('Activity data'!AG15*EF!$H28)*kgtoGg)</f>
        <v>4.1905340987284578E-3</v>
      </c>
      <c r="AH28" s="27">
        <f>IF(('Activity data'!AH15*EF!$H28)*kgtoGg=0,"NO",('Activity data'!AH15*EF!$H28)*kgtoGg)</f>
        <v>4.1812329246154597E-3</v>
      </c>
      <c r="AI28" s="27">
        <f>IF(('Activity data'!AI15*EF!$H28)*kgtoGg=0,"NO",('Activity data'!AI15*EF!$H28)*kgtoGg)</f>
        <v>4.1564738854214557E-3</v>
      </c>
      <c r="AJ28" s="27">
        <f>IF(('Activity data'!AJ15*EF!$H28)*kgtoGg=0,"NO",('Activity data'!AJ15*EF!$H28)*kgtoGg)</f>
        <v>4.142746062070715E-3</v>
      </c>
      <c r="AK28" s="27">
        <f>IF(('Activity data'!AK15*EF!$H28)*kgtoGg=0,"NO",('Activity data'!AK15*EF!$H28)*kgtoGg)</f>
        <v>4.130408792135833E-3</v>
      </c>
      <c r="AL28" s="27">
        <f>IF(('Activity data'!AL15*EF!$H28)*kgtoGg=0,"NO",('Activity data'!AL15*EF!$H28)*kgtoGg)</f>
        <v>3.9465365523139234E-3</v>
      </c>
      <c r="AM28" s="27">
        <f>IF(('Activity data'!AM15*EF!$H28)*kgtoGg=0,"NO",('Activity data'!AM15*EF!$H28)*kgtoGg)</f>
        <v>4.0449031054022467E-3</v>
      </c>
      <c r="AN28" s="27">
        <f>IF(('Activity data'!AN15*EF!$H28)*kgtoGg=0,"NO",('Activity data'!AN15*EF!$H28)*kgtoGg)</f>
        <v>8.6826637855320493E-3</v>
      </c>
      <c r="AO28" s="27">
        <f>IF(('Activity data'!AO15*EF!$H28)*kgtoGg=0,"NO",('Activity data'!AO15*EF!$H28)*kgtoGg)</f>
        <v>8.7938640755687025E-3</v>
      </c>
      <c r="AP28" s="27">
        <f>IF(('Activity data'!AP15*EF!$H28)*kgtoGg=0,"NO",('Activity data'!AP15*EF!$H28)*kgtoGg)</f>
        <v>8.8834218995517203E-3</v>
      </c>
      <c r="AQ28" s="27">
        <f>IF(('Activity data'!AQ15*EF!$H28)*kgtoGg=0,"NO",('Activity data'!AQ15*EF!$H28)*kgtoGg)</f>
        <v>8.9554975933649264E-3</v>
      </c>
      <c r="AR28" s="27">
        <f>IF(('Activity data'!AR15*EF!$H28)*kgtoGg=0,"NO",('Activity data'!AR15*EF!$H28)*kgtoGg)</f>
        <v>9.018105952641001E-3</v>
      </c>
      <c r="AS28" s="27">
        <f>IF(('Activity data'!AS15*EF!$H28)*kgtoGg=0,"NO",('Activity data'!AS15*EF!$H28)*kgtoGg)</f>
        <v>9.0705357904088645E-3</v>
      </c>
      <c r="AT28" s="27">
        <f>IF(('Activity data'!AT15*EF!$H28)*kgtoGg=0,"NO",('Activity data'!AT15*EF!$H28)*kgtoGg)</f>
        <v>9.1124930520699761E-3</v>
      </c>
      <c r="AU28" s="27">
        <f>IF(('Activity data'!AU15*EF!$H28)*kgtoGg=0,"NO",('Activity data'!AU15*EF!$H28)*kgtoGg)</f>
        <v>9.143466497408213E-3</v>
      </c>
      <c r="AV28" s="27">
        <f>IF(('Activity data'!AV15*EF!$H28)*kgtoGg=0,"NO",('Activity data'!AV15*EF!$H28)*kgtoGg)</f>
        <v>9.1629085267338015E-3</v>
      </c>
      <c r="AW28" s="27">
        <f>IF(('Activity data'!AW15*EF!$H28)*kgtoGg=0,"NO",('Activity data'!AW15*EF!$H28)*kgtoGg)</f>
        <v>9.1706067297579116E-3</v>
      </c>
      <c r="AX28" s="27">
        <f>IF(('Activity data'!AX15*EF!$H28)*kgtoGg=0,"NO",('Activity data'!AX15*EF!$H28)*kgtoGg)</f>
        <v>9.1661590701848112E-3</v>
      </c>
      <c r="AY28" s="27">
        <f>IF(('Activity data'!AY15*EF!$H28)*kgtoGg=0,"NO",('Activity data'!AY15*EF!$H28)*kgtoGg)</f>
        <v>9.149435618350802E-3</v>
      </c>
      <c r="AZ28" s="27">
        <f>IF(('Activity data'!AZ15*EF!$H28)*kgtoGg=0,"NO",('Activity data'!AZ15*EF!$H28)*kgtoGg)</f>
        <v>9.120587540138371E-3</v>
      </c>
      <c r="BA28" s="27">
        <f>IF(('Activity data'!BA15*EF!$H28)*kgtoGg=0,"NO",('Activity data'!BA15*EF!$H28)*kgtoGg)</f>
        <v>9.0795393134023624E-3</v>
      </c>
      <c r="BB28" s="27">
        <f>IF(('Activity data'!BB15*EF!$H28)*kgtoGg=0,"NO",('Activity data'!BB15*EF!$H28)*kgtoGg)</f>
        <v>9.0262176145749634E-3</v>
      </c>
      <c r="BC28" s="27">
        <f>IF(('Activity data'!BC15*EF!$H28)*kgtoGg=0,"NO",('Activity data'!BC15*EF!$H28)*kgtoGg)</f>
        <v>1.3289120185476511E-3</v>
      </c>
      <c r="BD28" s="27">
        <f>IF(('Activity data'!BD15*EF!$H28)*kgtoGg=0,"NO",('Activity data'!BD15*EF!$H28)*kgtoGg)</f>
        <v>1.3289120185476511E-3</v>
      </c>
      <c r="BE28" s="27">
        <f>IF(('Activity data'!BE15*EF!$H28)*kgtoGg=0,"NO",('Activity data'!BE15*EF!$H28)*kgtoGg)</f>
        <v>1.3289120185476511E-3</v>
      </c>
      <c r="BF28" s="27">
        <f>IF(('Activity data'!BF15*EF!$H28)*kgtoGg=0,"NO",('Activity data'!BF15*EF!$H28)*kgtoGg)</f>
        <v>1.3289120185476511E-3</v>
      </c>
      <c r="BG28" s="27">
        <f>IF(('Activity data'!BG15*EF!$H28)*kgtoGg=0,"NO",('Activity data'!BG15*EF!$H28)*kgtoGg)</f>
        <v>1.3289120185476511E-3</v>
      </c>
      <c r="BH28" s="27">
        <f>IF(('Activity data'!BH15*EF!$H28)*kgtoGg=0,"NO",('Activity data'!BH15*EF!$H28)*kgtoGg)</f>
        <v>1.3289120185476511E-3</v>
      </c>
      <c r="BI28" s="27">
        <f>IF(('Activity data'!BI15*EF!$H28)*kgtoGg=0,"NO",('Activity data'!BI15*EF!$H28)*kgtoGg)</f>
        <v>1.3289120185476511E-3</v>
      </c>
      <c r="BJ28" s="27">
        <f>IF(('Activity data'!BJ15*EF!$H28)*kgtoGg=0,"NO",('Activity data'!BJ15*EF!$H28)*kgtoGg)</f>
        <v>1.3289120185476511E-3</v>
      </c>
      <c r="BK28" s="27">
        <f>IF(('Activity data'!BK15*EF!$H28)*kgtoGg=0,"NO",('Activity data'!BK15*EF!$H28)*kgtoGg)</f>
        <v>1.3289120185476511E-3</v>
      </c>
      <c r="BL28" s="27">
        <f>IF(('Activity data'!BL15*EF!$H28)*kgtoGg=0,"NO",('Activity data'!BL15*EF!$H28)*kgtoGg)</f>
        <v>1.3289120185476511E-3</v>
      </c>
      <c r="BM28" s="27">
        <f>IF(('Activity data'!BM15*EF!$H28)*kgtoGg=0,"NO",('Activity data'!BM15*EF!$H28)*kgtoGg)</f>
        <v>1.3289120185476511E-3</v>
      </c>
      <c r="BN28" s="27">
        <f>IF(('Activity data'!BN15*EF!$H28)*kgtoGg=0,"NO",('Activity data'!BN15*EF!$H28)*kgtoGg)</f>
        <v>1.3289120185476511E-3</v>
      </c>
      <c r="BO28" s="27">
        <f>IF(('Activity data'!BO15*EF!$H28)*kgtoGg=0,"NO",('Activity data'!BO15*EF!$H28)*kgtoGg)</f>
        <v>1.3289120185476511E-3</v>
      </c>
      <c r="BP28" s="27">
        <f>IF(('Activity data'!BP15*EF!$H28)*kgtoGg=0,"NO",('Activity data'!BP15*EF!$H28)*kgtoGg)</f>
        <v>1.3289120185476511E-3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23.279067868377393</v>
      </c>
      <c r="AE30" s="27">
        <f>IF(('Activity data'!AE17*EF!$H30)*kgtoGg=0,"NO",('Activity data'!AE17*EF!$H30)*kgtoGg)</f>
        <v>23.152530650802596</v>
      </c>
      <c r="AF30" s="27">
        <f>IF(('Activity data'!AF17*EF!$H30)*kgtoGg=0,"NO",('Activity data'!AF17*EF!$H30)*kgtoGg)</f>
        <v>23.162916433064304</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22.12653281137495</v>
      </c>
      <c r="AJ30" s="27">
        <f>IF(('Activity data'!AJ17*EF!$H30)*kgtoGg=0,"NO",('Activity data'!AJ17*EF!$H30)*kgtoGg)</f>
        <v>21.780600237355962</v>
      </c>
      <c r="AK30" s="27">
        <f>IF(('Activity data'!AK17*EF!$H30)*kgtoGg=0,"NO",('Activity data'!AK17*EF!$H30)*kgtoGg)</f>
        <v>21.465278056857681</v>
      </c>
      <c r="AL30" s="27">
        <f>IF(('Activity data'!AL17*EF!$H30)*kgtoGg=0,"NO",('Activity data'!AL17*EF!$H30)*kgtoGg)</f>
        <v>19.312832226900145</v>
      </c>
      <c r="AM30" s="27">
        <f>IF(('Activity data'!AM17*EF!$H30)*kgtoGg=0,"NO",('Activity data'!AM17*EF!$H30)*kgtoGg)</f>
        <v>20.002458493758922</v>
      </c>
      <c r="AN30" s="27">
        <f>IF(('Activity data'!AN17*EF!$H30)*kgtoGg=0,"NO",('Activity data'!AN17*EF!$H30)*kgtoGg)</f>
        <v>63.938225509328625</v>
      </c>
      <c r="AO30" s="27">
        <f>IF(('Activity data'!AO17*EF!$H30)*kgtoGg=0,"NO",('Activity data'!AO17*EF!$H30)*kgtoGg)</f>
        <v>64.113496025150383</v>
      </c>
      <c r="AP30" s="27">
        <f>IF(('Activity data'!AP17*EF!$H30)*kgtoGg=0,"NO",('Activity data'!AP17*EF!$H30)*kgtoGg)</f>
        <v>64.178228567667873</v>
      </c>
      <c r="AQ30" s="27">
        <f>IF(('Activity data'!AQ17*EF!$H30)*kgtoGg=0,"NO",('Activity data'!AQ17*EF!$H30)*kgtoGg)</f>
        <v>64.135343897693133</v>
      </c>
      <c r="AR30" s="27">
        <f>IF(('Activity data'!AR17*EF!$H30)*kgtoGg=0,"NO",('Activity data'!AR17*EF!$H30)*kgtoGg)</f>
        <v>63.991311737388052</v>
      </c>
      <c r="AS30" s="27">
        <f>IF(('Activity data'!AS17*EF!$H30)*kgtoGg=0,"NO",('Activity data'!AS17*EF!$H30)*kgtoGg)</f>
        <v>63.744809060362954</v>
      </c>
      <c r="AT30" s="27">
        <f>IF(('Activity data'!AT17*EF!$H30)*kgtoGg=0,"NO",('Activity data'!AT17*EF!$H30)*kgtoGg)</f>
        <v>63.395481625326759</v>
      </c>
      <c r="AU30" s="27">
        <f>IF(('Activity data'!AU17*EF!$H30)*kgtoGg=0,"NO",('Activity data'!AU17*EF!$H30)*kgtoGg)</f>
        <v>62.943362188824892</v>
      </c>
      <c r="AV30" s="27">
        <f>IF(('Activity data'!AV17*EF!$H30)*kgtoGg=0,"NO",('Activity data'!AV17*EF!$H30)*kgtoGg)</f>
        <v>62.389030635456976</v>
      </c>
      <c r="AW30" s="27">
        <f>IF(('Activity data'!AW17*EF!$H30)*kgtoGg=0,"NO",('Activity data'!AW17*EF!$H30)*kgtoGg)</f>
        <v>61.733913705110233</v>
      </c>
      <c r="AX30" s="27">
        <f>IF(('Activity data'!AX17*EF!$H30)*kgtoGg=0,"NO",('Activity data'!AX17*EF!$H30)*kgtoGg)</f>
        <v>60.979815772111941</v>
      </c>
      <c r="AY30" s="27">
        <f>IF(('Activity data'!AY17*EF!$H30)*kgtoGg=0,"NO",('Activity data'!AY17*EF!$H30)*kgtoGg)</f>
        <v>60.129286570076758</v>
      </c>
      <c r="AZ30" s="27">
        <f>IF(('Activity data'!AZ17*EF!$H30)*kgtoGg=0,"NO",('Activity data'!AZ17*EF!$H30)*kgtoGg)</f>
        <v>59.185593442917096</v>
      </c>
      <c r="BA30" s="27">
        <f>IF(('Activity data'!BA17*EF!$H30)*kgtoGg=0,"NO",('Activity data'!BA17*EF!$H30)*kgtoGg)</f>
        <v>58.152275579872715</v>
      </c>
      <c r="BB30" s="27">
        <f>IF(('Activity data'!BB17*EF!$H30)*kgtoGg=0,"NO",('Activity data'!BB17*EF!$H30)*kgtoGg)</f>
        <v>57.033304574173563</v>
      </c>
      <c r="BC30" s="27">
        <f>IF(('Activity data'!BC17*EF!$H30)*kgtoGg=0,"NO",('Activity data'!BC17*EF!$H30)*kgtoGg)</f>
        <v>-5.3144936119483299</v>
      </c>
      <c r="BD30" s="27">
        <f>IF(('Activity data'!BD17*EF!$H30)*kgtoGg=0,"NO",('Activity data'!BD17*EF!$H30)*kgtoGg)</f>
        <v>-5.2569593669429695</v>
      </c>
      <c r="BE30" s="27">
        <f>IF(('Activity data'!BE17*EF!$H30)*kgtoGg=0,"NO",('Activity data'!BE17*EF!$H30)*kgtoGg)</f>
        <v>-5.1992212819469339</v>
      </c>
      <c r="BF30" s="27">
        <f>IF(('Activity data'!BF17*EF!$H30)*kgtoGg=0,"NO",('Activity data'!BF17*EF!$H30)*kgtoGg)</f>
        <v>-5.1413392574015706</v>
      </c>
      <c r="BG30" s="27">
        <f>IF(('Activity data'!BG17*EF!$H30)*kgtoGg=0,"NO",('Activity data'!BG17*EF!$H30)*kgtoGg)</f>
        <v>-5.0833794948522248</v>
      </c>
      <c r="BH30" s="27">
        <f>IF(('Activity data'!BH17*EF!$H30)*kgtoGg=0,"NO",('Activity data'!BH17*EF!$H30)*kgtoGg)</f>
        <v>-5.0251883541674571</v>
      </c>
      <c r="BI30" s="27">
        <f>IF(('Activity data'!BI17*EF!$H30)*kgtoGg=0,"NO",('Activity data'!BI17*EF!$H30)*kgtoGg)</f>
        <v>-4.9666751294444857</v>
      </c>
      <c r="BJ30" s="27">
        <f>IF(('Activity data'!BJ17*EF!$H30)*kgtoGg=0,"NO",('Activity data'!BJ17*EF!$H30)*kgtoGg)</f>
        <v>-4.9078454730797514</v>
      </c>
      <c r="BK30" s="27">
        <f>IF(('Activity data'!BK17*EF!$H30)*kgtoGg=0,"NO",('Activity data'!BK17*EF!$H30)*kgtoGg)</f>
        <v>-4.8486018943647</v>
      </c>
      <c r="BL30" s="27">
        <f>IF(('Activity data'!BL17*EF!$H30)*kgtoGg=0,"NO",('Activity data'!BL17*EF!$H30)*kgtoGg)</f>
        <v>-4.7888432589736398</v>
      </c>
      <c r="BM30" s="27">
        <f>IF(('Activity data'!BM17*EF!$H30)*kgtoGg=0,"NO",('Activity data'!BM17*EF!$H30)*kgtoGg)</f>
        <v>-4.7285865274691332</v>
      </c>
      <c r="BN30" s="27">
        <f>IF(('Activity data'!BN17*EF!$H30)*kgtoGg=0,"NO",('Activity data'!BN17*EF!$H30)*kgtoGg)</f>
        <v>-4.667881841438601</v>
      </c>
      <c r="BO30" s="27">
        <f>IF(('Activity data'!BO17*EF!$H30)*kgtoGg=0,"NO",('Activity data'!BO17*EF!$H30)*kgtoGg)</f>
        <v>-4.6067720913188221</v>
      </c>
      <c r="BP30" s="27">
        <f>IF(('Activity data'!BP17*EF!$H30)*kgtoGg=0,"NO",('Activity data'!BP17*EF!$H30)*kgtoGg)</f>
        <v>-4.5451726737388229</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7.7932061732677776E-2</v>
      </c>
      <c r="AE31" s="27">
        <f>IF(('Activity data'!AE18*EF!$H31)*kgtoGg=0,"NO",('Activity data'!AE18*EF!$H31)*kgtoGg)</f>
        <v>7.7508449141861113E-2</v>
      </c>
      <c r="AF31" s="27">
        <f>IF(('Activity data'!AF18*EF!$H31)*kgtoGg=0,"NO",('Activity data'!AF18*EF!$H31)*kgtoGg)</f>
        <v>7.7543217949140597E-2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7.4073684167079393E-2</v>
      </c>
      <c r="AJ31" s="27">
        <f>IF(('Activity data'!AJ18*EF!$H31)*kgtoGg=0,"NO",('Activity data'!AJ18*EF!$H31)*kgtoGg)</f>
        <v>7.2915594897087016E-2</v>
      </c>
      <c r="AK31" s="27">
        <f>IF(('Activity data'!AK18*EF!$H31)*kgtoGg=0,"NO",('Activity data'!AK18*EF!$H31)*kgtoGg)</f>
        <v>7.1859980996426681E-2</v>
      </c>
      <c r="AL31" s="27">
        <f>IF(('Activity data'!AL18*EF!$H31)*kgtoGg=0,"NO",('Activity data'!AL18*EF!$H31)*kgtoGg)</f>
        <v>6.4654170942306688E-2</v>
      </c>
      <c r="AM31" s="27">
        <f>IF(('Activity data'!AM18*EF!$H31)*kgtoGg=0,"NO",('Activity data'!AM18*EF!$H31)*kgtoGg)</f>
        <v>6.6962854309922146E-2</v>
      </c>
      <c r="AN31" s="27">
        <f>IF(('Activity data'!AN18*EF!$H31)*kgtoGg=0,"NO",('Activity data'!AN18*EF!$H31)*kgtoGg)</f>
        <v>0.21404799219815959</v>
      </c>
      <c r="AO31" s="27">
        <f>IF(('Activity data'!AO18*EF!$H31)*kgtoGg=0,"NO",('Activity data'!AO18*EF!$H31)*kgtoGg)</f>
        <v>0.21463475077183489</v>
      </c>
      <c r="AP31" s="27">
        <f>IF(('Activity data'!AP18*EF!$H31)*kgtoGg=0,"NO",('Activity data'!AP18*EF!$H31)*kgtoGg)</f>
        <v>0.21485145792386132</v>
      </c>
      <c r="AQ31" s="27">
        <f>IF(('Activity data'!AQ18*EF!$H31)*kgtoGg=0,"NO",('Activity data'!AQ18*EF!$H31)*kgtoGg)</f>
        <v>0.21470789157632744</v>
      </c>
      <c r="AR31" s="27">
        <f>IF(('Activity data'!AR18*EF!$H31)*kgtoGg=0,"NO",('Activity data'!AR18*EF!$H31)*kgtoGg)</f>
        <v>0.21422571061994838</v>
      </c>
      <c r="AS31" s="27">
        <f>IF(('Activity data'!AS18*EF!$H31)*kgtoGg=0,"NO",('Activity data'!AS18*EF!$H31)*kgtoGg)</f>
        <v>0.21340048591800548</v>
      </c>
      <c r="AT31" s="27">
        <f>IF(('Activity data'!AT18*EF!$H31)*kgtoGg=0,"NO",('Activity data'!AT18*EF!$H31)*kgtoGg)</f>
        <v>0.21223103156587736</v>
      </c>
      <c r="AU31" s="27">
        <f>IF(('Activity data'!AU18*EF!$H31)*kgtoGg=0,"NO",('Activity data'!AU18*EF!$H31)*kgtoGg)</f>
        <v>0.21071745722367313</v>
      </c>
      <c r="AV31" s="27">
        <f>IF(('Activity data'!AV18*EF!$H31)*kgtoGg=0,"NO",('Activity data'!AV18*EF!$H31)*kgtoGg)</f>
        <v>0.20886170418915742</v>
      </c>
      <c r="AW31" s="27">
        <f>IF(('Activity data'!AW18*EF!$H31)*kgtoGg=0,"NO",('Activity data'!AW18*EF!$H31)*kgtoGg)</f>
        <v>0.20666854880396013</v>
      </c>
      <c r="AX31" s="27">
        <f>IF(('Activity data'!AX18*EF!$H31)*kgtoGg=0,"NO",('Activity data'!AX18*EF!$H31)*kgtoGg)</f>
        <v>0.20414403162830727</v>
      </c>
      <c r="AY31" s="27">
        <f>IF(('Activity data'!AY18*EF!$H31)*kgtoGg=0,"NO",('Activity data'!AY18*EF!$H31)*kgtoGg)</f>
        <v>0.20129668848496379</v>
      </c>
      <c r="AZ31" s="27">
        <f>IF(('Activity data'!AZ18*EF!$H31)*kgtoGg=0,"NO",('Activity data'!AZ18*EF!$H31)*kgtoGg)</f>
        <v>0.19813745756307569</v>
      </c>
      <c r="BA31" s="27">
        <f>IF(('Activity data'!BA18*EF!$H31)*kgtoGg=0,"NO",('Activity data'!BA18*EF!$H31)*kgtoGg)</f>
        <v>0.19467818711687174</v>
      </c>
      <c r="BB31" s="27">
        <f>IF(('Activity data'!BB18*EF!$H31)*kgtoGg=0,"NO",('Activity data'!BB18*EF!$H31)*kgtoGg)</f>
        <v>0.19093217297290849</v>
      </c>
      <c r="BC31" s="27">
        <f>IF(('Activity data'!BC18*EF!$H31)*kgtoGg=0,"NO",('Activity data'!BC18*EF!$H31)*kgtoGg)</f>
        <v>-1.7791496059294212E-2</v>
      </c>
      <c r="BD31" s="27">
        <f>IF(('Activity data'!BD18*EF!$H31)*kgtoGg=0,"NO",('Activity data'!BD18*EF!$H31)*kgtoGg)</f>
        <v>-1.759888687241214E-2</v>
      </c>
      <c r="BE31" s="27">
        <f>IF(('Activity data'!BE18*EF!$H31)*kgtoGg=0,"NO",('Activity data'!BE18*EF!$H31)*kgtoGg)</f>
        <v>-1.7405595284034153E-2</v>
      </c>
      <c r="BF31" s="27">
        <f>IF(('Activity data'!BF18*EF!$H31)*kgtoGg=0,"NO",('Activity data'!BF18*EF!$H31)*kgtoGg)</f>
        <v>-1.7211821824736444E-2</v>
      </c>
      <c r="BG31" s="27">
        <f>IF(('Activity data'!BG18*EF!$H31)*kgtoGg=0,"NO",('Activity data'!BG18*EF!$H31)*kgtoGg)</f>
        <v>-1.7017788119497636E-2</v>
      </c>
      <c r="BH31" s="27">
        <f>IF(('Activity data'!BH18*EF!$H31)*kgtoGg=0,"NO",('Activity data'!BH18*EF!$H31)*kgtoGg)</f>
        <v>-1.6822979822456646E-2</v>
      </c>
      <c r="BI31" s="27">
        <f>IF(('Activity data'!BI18*EF!$H31)*kgtoGg=0,"NO",('Activity data'!BI18*EF!$H31)*kgtoGg)</f>
        <v>-1.6627093274633003E-2</v>
      </c>
      <c r="BJ31" s="27">
        <f>IF(('Activity data'!BJ18*EF!$H31)*kgtoGg=0,"NO",('Activity data'!BJ18*EF!$H31)*kgtoGg)</f>
        <v>-1.6430147398730621E-2</v>
      </c>
      <c r="BK31" s="27">
        <f>IF(('Activity data'!BK18*EF!$H31)*kgtoGg=0,"NO",('Activity data'!BK18*EF!$H31)*kgtoGg)</f>
        <v>-1.6231815822063071E-2</v>
      </c>
      <c r="BL31" s="27">
        <f>IF(('Activity data'!BL18*EF!$H31)*kgtoGg=0,"NO",('Activity data'!BL18*EF!$H31)*kgtoGg)</f>
        <v>-1.6031759974093191E-2</v>
      </c>
      <c r="BM31" s="27">
        <f>IF(('Activity data'!BM18*EF!$H31)*kgtoGg=0,"NO",('Activity data'!BM18*EF!$H31)*kgtoGg)</f>
        <v>-1.5830036634225372E-2</v>
      </c>
      <c r="BN31" s="27">
        <f>IF(('Activity data'!BN18*EF!$H31)*kgtoGg=0,"NO",('Activity data'!BN18*EF!$H31)*kgtoGg)</f>
        <v>-1.5626813663016086E-2</v>
      </c>
      <c r="BO31" s="27">
        <f>IF(('Activity data'!BO18*EF!$H31)*kgtoGg=0,"NO",('Activity data'!BO18*EF!$H31)*kgtoGg)</f>
        <v>-1.5422234646118577E-2</v>
      </c>
      <c r="BP31" s="27">
        <f>IF(('Activity data'!BP18*EF!$H31)*kgtoGg=0,"NO",('Activity data'!BP18*EF!$H31)*kgtoGg)</f>
        <v>-1.5216016354188486E-2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0.59052015237226141</v>
      </c>
      <c r="AH32" s="27">
        <f>IF(('Activity data'!AH19*EF!$H32)*kgtoGg=0,"NO",('Activity data'!AH19*EF!$H32)*kgtoGg)</f>
        <v>0.5986618277459016</v>
      </c>
      <c r="AI32" s="27">
        <f>IF(('Activity data'!AI19*EF!$H32)*kgtoGg=0,"NO",('Activity data'!AI19*EF!$H32)*kgtoGg)</f>
        <v>0.60475451589519713</v>
      </c>
      <c r="AJ32" s="27">
        <f>IF(('Activity data'!AJ19*EF!$H32)*kgtoGg=0,"NO",('Activity data'!AJ19*EF!$H32)*kgtoGg)</f>
        <v>0.61256702388185857</v>
      </c>
      <c r="AK32" s="27">
        <f>IF(('Activity data'!AK19*EF!$H32)*kgtoGg=0,"NO",('Activity data'!AK19*EF!$H32)*kgtoGg)</f>
        <v>0.62068986953889782</v>
      </c>
      <c r="AL32" s="27">
        <f>IF(('Activity data'!AL19*EF!$H32)*kgtoGg=0,"NO",('Activity data'!AL19*EF!$H32)*kgtoGg)</f>
        <v>0.59622101179856346</v>
      </c>
      <c r="AM32" s="27">
        <f>IF(('Activity data'!AM19*EF!$H32)*kgtoGg=0,"NO",('Activity data'!AM19*EF!$H32)*kgtoGg)</f>
        <v>0.61809135680643945</v>
      </c>
      <c r="AN32" s="27">
        <f>IF(('Activity data'!AN19*EF!$H32)*kgtoGg=0,"NO",('Activity data'!AN19*EF!$H32)*kgtoGg)</f>
        <v>1.373668837271812</v>
      </c>
      <c r="AO32" s="27">
        <f>IF(('Activity data'!AO19*EF!$H32)*kgtoGg=0,"NO",('Activity data'!AO19*EF!$H32)*kgtoGg)</f>
        <v>1.4038681554321815</v>
      </c>
      <c r="AP32" s="27">
        <f>IF(('Activity data'!AP19*EF!$H32)*kgtoGg=0,"NO",('Activity data'!AP19*EF!$H32)*kgtoGg)</f>
        <v>1.4328290155562637</v>
      </c>
      <c r="AQ32" s="27">
        <f>IF(('Activity data'!AQ19*EF!$H32)*kgtoGg=0,"NO",('Activity data'!AQ19*EF!$H32)*kgtoGg)</f>
        <v>1.460295648957926</v>
      </c>
      <c r="AR32" s="27">
        <f>IF(('Activity data'!AR19*EF!$H32)*kgtoGg=0,"NO",('Activity data'!AR19*EF!$H32)*kgtoGg)</f>
        <v>1.4859212180508141</v>
      </c>
      <c r="AS32" s="27">
        <f>IF(('Activity data'!AS19*EF!$H32)*kgtoGg=0,"NO",('Activity data'!AS19*EF!$H32)*kgtoGg)</f>
        <v>1.5095937275054243</v>
      </c>
      <c r="AT32" s="27">
        <f>IF(('Activity data'!AT19*EF!$H32)*kgtoGg=0,"NO",('Activity data'!AT19*EF!$H32)*kgtoGg)</f>
        <v>1.5311992010813591</v>
      </c>
      <c r="AU32" s="27">
        <f>IF(('Activity data'!AU19*EF!$H32)*kgtoGg=0,"NO",('Activity data'!AU19*EF!$H32)*kgtoGg)</f>
        <v>1.5506393195302268</v>
      </c>
      <c r="AV32" s="27">
        <f>IF(('Activity data'!AV19*EF!$H32)*kgtoGg=0,"NO",('Activity data'!AV19*EF!$H32)*kgtoGg)</f>
        <v>1.5678278043895033</v>
      </c>
      <c r="AW32" s="27">
        <f>IF(('Activity data'!AW19*EF!$H32)*kgtoGg=0,"NO",('Activity data'!AW19*EF!$H32)*kgtoGg)</f>
        <v>1.5826815313976288</v>
      </c>
      <c r="AX32" s="27">
        <f>IF(('Activity data'!AX19*EF!$H32)*kgtoGg=0,"NO",('Activity data'!AX19*EF!$H32)*kgtoGg)</f>
        <v>1.5951352940969563</v>
      </c>
      <c r="AY32" s="27">
        <f>IF(('Activity data'!AY19*EF!$H32)*kgtoGg=0,"NO",('Activity data'!AY19*EF!$H32)*kgtoGg)</f>
        <v>1.6051302673357504</v>
      </c>
      <c r="AZ32" s="27">
        <f>IF(('Activity data'!AZ19*EF!$H32)*kgtoGg=0,"NO",('Activity data'!AZ19*EF!$H32)*kgtoGg)</f>
        <v>1.6126141322836316</v>
      </c>
      <c r="BA32" s="27">
        <f>IF(('Activity data'!BA19*EF!$H32)*kgtoGg=0,"NO",('Activity data'!BA19*EF!$H32)*kgtoGg)</f>
        <v>1.6175553910519496</v>
      </c>
      <c r="BB32" s="27">
        <f>IF(('Activity data'!BB19*EF!$H32)*kgtoGg=0,"NO",('Activity data'!BB19*EF!$H32)*kgtoGg)</f>
        <v>1.6199377421840562</v>
      </c>
      <c r="BC32" s="27">
        <f>IF(('Activity data'!BC19*EF!$H32)*kgtoGg=0,"NO",('Activity data'!BC19*EF!$H32)*kgtoGg)</f>
        <v>0.21118052827101272</v>
      </c>
      <c r="BD32" s="27">
        <f>IF(('Activity data'!BD19*EF!$H32)*kgtoGg=0,"NO",('Activity data'!BD19*EF!$H32)*kgtoGg)</f>
        <v>0.21273045495969528</v>
      </c>
      <c r="BE32" s="27">
        <f>IF(('Activity data'!BE19*EF!$H32)*kgtoGg=0,"NO",('Activity data'!BE19*EF!$H32)*kgtoGg)</f>
        <v>0.21424196096407097</v>
      </c>
      <c r="BF32" s="27">
        <f>IF(('Activity data'!BF19*EF!$H32)*kgtoGg=0,"NO",('Activity data'!BF19*EF!$H32)*kgtoGg)</f>
        <v>0.21571732327397183</v>
      </c>
      <c r="BG32" s="27">
        <f>IF(('Activity data'!BG19*EF!$H32)*kgtoGg=0,"NO",('Activity data'!BG19*EF!$H32)*kgtoGg)</f>
        <v>0.21715916671304386</v>
      </c>
      <c r="BH32" s="27">
        <f>IF(('Activity data'!BH19*EF!$H32)*kgtoGg=0,"NO",('Activity data'!BH19*EF!$H32)*kgtoGg)</f>
        <v>0.2185615794759829</v>
      </c>
      <c r="BI32" s="27">
        <f>IF(('Activity data'!BI19*EF!$H32)*kgtoGg=0,"NO",('Activity data'!BI19*EF!$H32)*kgtoGg)</f>
        <v>0.21992066841646388</v>
      </c>
      <c r="BJ32" s="27">
        <f>IF(('Activity data'!BJ19*EF!$H32)*kgtoGg=0,"NO",('Activity data'!BJ19*EF!$H32)*kgtoGg)</f>
        <v>0.22123614681909931</v>
      </c>
      <c r="BK32" s="27">
        <f>IF(('Activity data'!BK19*EF!$H32)*kgtoGg=0,"NO",('Activity data'!BK19*EF!$H32)*kgtoGg)</f>
        <v>0.22250337724956543</v>
      </c>
      <c r="BL32" s="27">
        <f>IF(('Activity data'!BL19*EF!$H32)*kgtoGg=0,"NO",('Activity data'!BL19*EF!$H32)*kgtoGg)</f>
        <v>0.22371719705711082</v>
      </c>
      <c r="BM32" s="27">
        <f>IF(('Activity data'!BM19*EF!$H32)*kgtoGg=0,"NO",('Activity data'!BM19*EF!$H32)*kgtoGg)</f>
        <v>0.22487715475079265</v>
      </c>
      <c r="BN32" s="27">
        <f>IF(('Activity data'!BN19*EF!$H32)*kgtoGg=0,"NO",('Activity data'!BN19*EF!$H32)*kgtoGg)</f>
        <v>0.22598422868600801</v>
      </c>
      <c r="BO32" s="27">
        <f>IF(('Activity data'!BO19*EF!$H32)*kgtoGg=0,"NO",('Activity data'!BO19*EF!$H32)*kgtoGg)</f>
        <v>0.22703914928135227</v>
      </c>
      <c r="BP32" s="27">
        <f>IF(('Activity data'!BP19*EF!$H32)*kgtoGg=0,"NO",('Activity data'!BP19*EF!$H32)*kgtoGg)</f>
        <v>0.22803688221361912</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2.2100196981344116</v>
      </c>
      <c r="AE33" s="27">
        <f>IF(('Activity data'!AE20*EF!$H33)*kgtoGg=0,"NO",('Activity data'!AE20*EF!$H33)*kgtoGg)</f>
        <v>2.2391217074451495</v>
      </c>
      <c r="AF33" s="27">
        <f>IF(('Activity data'!AF20*EF!$H33)*kgtoGg=0,"NO",('Activity data'!AF20*EF!$H33)*kgtoGg)</f>
        <v>2.2858678822724832</v>
      </c>
      <c r="AG33" s="27">
        <f>IF(('Activity data'!AG20*EF!$H33)*kgtoGg=0,"NO",('Activity data'!AG20*EF!$H33)*kgtoGg)</f>
        <v>2.29929007480786</v>
      </c>
      <c r="AH33" s="27">
        <f>IF(('Activity data'!AH20*EF!$H33)*kgtoGg=0,"NO",('Activity data'!AH20*EF!$H33)*kgtoGg)</f>
        <v>2.2910596881616572</v>
      </c>
      <c r="AI33" s="27">
        <f>IF(('Activity data'!AI20*EF!$H33)*kgtoGg=0,"NO",('Activity data'!AI20*EF!$H33)*kgtoGg)</f>
        <v>2.2612642885898926</v>
      </c>
      <c r="AJ33" s="27">
        <f>IF(('Activity data'!AJ20*EF!$H33)*kgtoGg=0,"NO",('Activity data'!AJ20*EF!$H33)*kgtoGg)</f>
        <v>2.2487211059946213</v>
      </c>
      <c r="AK33" s="27">
        <f>IF(('Activity data'!AK20*EF!$H33)*kgtoGg=0,"NO",('Activity data'!AK20*EF!$H33)*kgtoGg)</f>
        <v>2.2390235702415184</v>
      </c>
      <c r="AL33" s="27">
        <f>IF(('Activity data'!AL20*EF!$H33)*kgtoGg=0,"NO",('Activity data'!AL20*EF!$H33)*kgtoGg)</f>
        <v>1.9526804721775937</v>
      </c>
      <c r="AM33" s="27">
        <f>IF(('Activity data'!AM20*EF!$H33)*kgtoGg=0,"NO",('Activity data'!AM20*EF!$H33)*kgtoGg)</f>
        <v>2.100459804618418</v>
      </c>
      <c r="AN33" s="27">
        <f>IF(('Activity data'!AN20*EF!$H33)*kgtoGg=0,"NO",('Activity data'!AN20*EF!$H33)*kgtoGg)</f>
        <v>9.1333253803948828</v>
      </c>
      <c r="AO33" s="27">
        <f>IF(('Activity data'!AO20*EF!$H33)*kgtoGg=0,"NO",('Activity data'!AO20*EF!$H33)*kgtoGg)</f>
        <v>9.2970707439361586</v>
      </c>
      <c r="AP33" s="27">
        <f>IF(('Activity data'!AP20*EF!$H33)*kgtoGg=0,"NO",('Activity data'!AP20*EF!$H33)*kgtoGg)</f>
        <v>9.4425409001496003</v>
      </c>
      <c r="AQ33" s="27">
        <f>IF(('Activity data'!AQ20*EF!$H33)*kgtoGg=0,"NO",('Activity data'!AQ20*EF!$H33)*kgtoGg)</f>
        <v>9.5703569928358032</v>
      </c>
      <c r="AR33" s="27">
        <f>IF(('Activity data'!AR20*EF!$H33)*kgtoGg=0,"NO",('Activity data'!AR20*EF!$H33)*kgtoGg)</f>
        <v>9.6822560637136306</v>
      </c>
      <c r="AS33" s="27">
        <f>IF(('Activity data'!AS20*EF!$H33)*kgtoGg=0,"NO",('Activity data'!AS20*EF!$H33)*kgtoGg)</f>
        <v>9.7773987663862059</v>
      </c>
      <c r="AT33" s="27">
        <f>IF(('Activity data'!AT20*EF!$H33)*kgtoGg=0,"NO",('Activity data'!AT20*EF!$H33)*kgtoGg)</f>
        <v>9.8551407097026438</v>
      </c>
      <c r="AU33" s="27">
        <f>IF(('Activity data'!AU20*EF!$H33)*kgtoGg=0,"NO",('Activity data'!AU20*EF!$H33)*kgtoGg)</f>
        <v>9.9148485168231666</v>
      </c>
      <c r="AV33" s="27">
        <f>IF(('Activity data'!AV20*EF!$H33)*kgtoGg=0,"NO",('Activity data'!AV20*EF!$H33)*kgtoGg)</f>
        <v>9.9559572971640158</v>
      </c>
      <c r="AW33" s="27">
        <f>IF(('Activity data'!AW20*EF!$H33)*kgtoGg=0,"NO",('Activity data'!AW20*EF!$H33)*kgtoGg)</f>
        <v>9.9780818543236887</v>
      </c>
      <c r="AX33" s="27">
        <f>IF(('Activity data'!AX20*EF!$H33)*kgtoGg=0,"NO",('Activity data'!AX20*EF!$H33)*kgtoGg)</f>
        <v>9.9808650627783955</v>
      </c>
      <c r="AY33" s="27">
        <f>IF(('Activity data'!AY20*EF!$H33)*kgtoGg=0,"NO",('Activity data'!AY20*EF!$H33)*kgtoGg)</f>
        <v>9.9641144926279814</v>
      </c>
      <c r="AZ33" s="27">
        <f>IF(('Activity data'!AZ20*EF!$H33)*kgtoGg=0,"NO",('Activity data'!AZ20*EF!$H33)*kgtoGg)</f>
        <v>9.9278067613283412</v>
      </c>
      <c r="BA33" s="27">
        <f>IF(('Activity data'!BA20*EF!$H33)*kgtoGg=0,"NO",('Activity data'!BA20*EF!$H33)*kgtoGg)</f>
        <v>9.8719390395073479</v>
      </c>
      <c r="BB33" s="27">
        <f>IF(('Activity data'!BB20*EF!$H33)*kgtoGg=0,"NO",('Activity data'!BB20*EF!$H33)*kgtoGg)</f>
        <v>9.7965950136724871</v>
      </c>
      <c r="BC33" s="27">
        <f>IF(('Activity data'!BC20*EF!$H33)*kgtoGg=0,"NO",('Activity data'!BC20*EF!$H33)*kgtoGg)</f>
        <v>-2.0919754098137773</v>
      </c>
      <c r="BD33" s="27">
        <f>IF(('Activity data'!BD20*EF!$H33)*kgtoGg=0,"NO",('Activity data'!BD20*EF!$H33)*kgtoGg)</f>
        <v>-2.0949358900923882</v>
      </c>
      <c r="BE33" s="27">
        <f>IF(('Activity data'!BE20*EF!$H33)*kgtoGg=0,"NO",('Activity data'!BE20*EF!$H33)*kgtoGg)</f>
        <v>-2.0976165546607759</v>
      </c>
      <c r="BF33" s="27">
        <f>IF(('Activity data'!BF20*EF!$H33)*kgtoGg=0,"NO",('Activity data'!BF20*EF!$H33)*kgtoGg)</f>
        <v>-2.1000401992552491</v>
      </c>
      <c r="BG33" s="27">
        <f>IF(('Activity data'!BG20*EF!$H33)*kgtoGg=0,"NO",('Activity data'!BG20*EF!$H33)*kgtoGg)</f>
        <v>-2.1022328856249954</v>
      </c>
      <c r="BH33" s="27">
        <f>IF(('Activity data'!BH20*EF!$H33)*kgtoGg=0,"NO",('Activity data'!BH20*EF!$H33)*kgtoGg)</f>
        <v>-2.1041334183696132</v>
      </c>
      <c r="BI33" s="27">
        <f>IF(('Activity data'!BI20*EF!$H33)*kgtoGg=0,"NO",('Activity data'!BI20*EF!$H33)*kgtoGg)</f>
        <v>-2.1057026664304765</v>
      </c>
      <c r="BJ33" s="27">
        <f>IF(('Activity data'!BJ20*EF!$H33)*kgtoGg=0,"NO",('Activity data'!BJ20*EF!$H33)*kgtoGg)</f>
        <v>-2.1069388532626809</v>
      </c>
      <c r="BK33" s="27">
        <f>IF(('Activity data'!BK20*EF!$H33)*kgtoGg=0,"NO",('Activity data'!BK20*EF!$H33)*kgtoGg)</f>
        <v>-2.107796866715046</v>
      </c>
      <c r="BL33" s="27">
        <f>IF(('Activity data'!BL20*EF!$H33)*kgtoGg=0,"NO",('Activity data'!BL20*EF!$H33)*kgtoGg)</f>
        <v>-2.1082275012492091</v>
      </c>
      <c r="BM33" s="27">
        <f>IF(('Activity data'!BM20*EF!$H33)*kgtoGg=0,"NO",('Activity data'!BM20*EF!$H33)*kgtoGg)</f>
        <v>-2.1082293468263522</v>
      </c>
      <c r="BN33" s="27">
        <f>IF(('Activity data'!BN20*EF!$H33)*kgtoGg=0,"NO",('Activity data'!BN20*EF!$H33)*kgtoGg)</f>
        <v>-2.1078151792766633</v>
      </c>
      <c r="BO33" s="27">
        <f>IF(('Activity data'!BO20*EF!$H33)*kgtoGg=0,"NO",('Activity data'!BO20*EF!$H33)*kgtoGg)</f>
        <v>-2.1069951517588699</v>
      </c>
      <c r="BP33" s="27">
        <f>IF(('Activity data'!BP20*EF!$H33)*kgtoGg=0,"NO",('Activity data'!BP20*EF!$H33)*kgtoGg)</f>
        <v>-2.1057231360288351</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2.3161053423012629E-2</v>
      </c>
      <c r="AE34" s="27">
        <f>IF(('Activity data'!AE21*EF!$H34)*kgtoGg=0,"NO",('Activity data'!AE21*EF!$H34)*kgtoGg)</f>
        <v>2.3631963555267661E-2</v>
      </c>
      <c r="AF34" s="27">
        <f>IF(('Activity data'!AF21*EF!$H34)*kgtoGg=0,"NO",('Activity data'!AF21*EF!$H34)*kgtoGg)</f>
        <v>2.4182412868997839E-2</v>
      </c>
      <c r="AG34" s="27">
        <f>IF(('Activity data'!AG21*EF!$H34)*kgtoGg=0,"NO",('Activity data'!AG21*EF!$H34)*kgtoGg)</f>
        <v>2.4605006348844244E-2</v>
      </c>
      <c r="AH34" s="27">
        <f>IF(('Activity data'!AH21*EF!$H34)*kgtoGg=0,"NO",('Activity data'!AH21*EF!$H34)*kgtoGg)</f>
        <v>2.4944242822745925E-2</v>
      </c>
      <c r="AI34" s="27">
        <f>IF(('Activity data'!AI21*EF!$H34)*kgtoGg=0,"NO",('Activity data'!AI21*EF!$H34)*kgtoGg)</f>
        <v>2.5198104828966571E-2</v>
      </c>
      <c r="AJ34" s="27">
        <f>IF(('Activity data'!AJ21*EF!$H34)*kgtoGg=0,"NO",('Activity data'!AJ21*EF!$H34)*kgtoGg)</f>
        <v>2.5523625995077459E-2</v>
      </c>
      <c r="AK34" s="27">
        <f>IF(('Activity data'!AK21*EF!$H34)*kgtoGg=0,"NO",('Activity data'!AK21*EF!$H34)*kgtoGg)</f>
        <v>2.5862077897454101E-2</v>
      </c>
      <c r="AL34" s="27">
        <f>IF(('Activity data'!AL21*EF!$H34)*kgtoGg=0,"NO",('Activity data'!AL21*EF!$H34)*kgtoGg)</f>
        <v>2.4842542158273501E-2</v>
      </c>
      <c r="AM34" s="27">
        <f>IF(('Activity data'!AM21*EF!$H34)*kgtoGg=0,"NO",('Activity data'!AM21*EF!$H34)*kgtoGg)</f>
        <v>2.5753806533601667E-2</v>
      </c>
      <c r="AN34" s="27">
        <f>IF(('Activity data'!AN21*EF!$H34)*kgtoGg=0,"NO",('Activity data'!AN21*EF!$H34)*kgtoGg)</f>
        <v>5.7236201552992215E-2</v>
      </c>
      <c r="AO34" s="27">
        <f>IF(('Activity data'!AO21*EF!$H34)*kgtoGg=0,"NO",('Activity data'!AO21*EF!$H34)*kgtoGg)</f>
        <v>5.8494506476340941E-2</v>
      </c>
      <c r="AP34" s="27">
        <f>IF(('Activity data'!AP21*EF!$H34)*kgtoGg=0,"NO",('Activity data'!AP21*EF!$H34)*kgtoGg)</f>
        <v>5.9701208981511052E-2</v>
      </c>
      <c r="AQ34" s="27">
        <f>IF(('Activity data'!AQ21*EF!$H34)*kgtoGg=0,"NO",('Activity data'!AQ21*EF!$H34)*kgtoGg)</f>
        <v>6.0845652039913642E-2</v>
      </c>
      <c r="AR34" s="27">
        <f>IF(('Activity data'!AR21*EF!$H34)*kgtoGg=0,"NO",('Activity data'!AR21*EF!$H34)*kgtoGg)</f>
        <v>6.1913384085450655E-2</v>
      </c>
      <c r="AS34" s="27">
        <f>IF(('Activity data'!AS21*EF!$H34)*kgtoGg=0,"NO",('Activity data'!AS21*EF!$H34)*kgtoGg)</f>
        <v>6.2899738646059397E-2</v>
      </c>
      <c r="AT34" s="27">
        <f>IF(('Activity data'!AT21*EF!$H34)*kgtoGg=0,"NO",('Activity data'!AT21*EF!$H34)*kgtoGg)</f>
        <v>6.3799966711723347E-2</v>
      </c>
      <c r="AU34" s="27">
        <f>IF(('Activity data'!AU21*EF!$H34)*kgtoGg=0,"NO",('Activity data'!AU21*EF!$H34)*kgtoGg)</f>
        <v>6.4609971647092854E-2</v>
      </c>
      <c r="AV34" s="27">
        <f>IF(('Activity data'!AV21*EF!$H34)*kgtoGg=0,"NO",('Activity data'!AV21*EF!$H34)*kgtoGg)</f>
        <v>6.5326158516229374E-2</v>
      </c>
      <c r="AW34" s="27">
        <f>IF(('Activity data'!AW21*EF!$H34)*kgtoGg=0,"NO",('Activity data'!AW21*EF!$H34)*kgtoGg)</f>
        <v>6.5945063808234589E-2</v>
      </c>
      <c r="AX34" s="27">
        <f>IF(('Activity data'!AX21*EF!$H34)*kgtoGg=0,"NO",('Activity data'!AX21*EF!$H34)*kgtoGg)</f>
        <v>6.6463970587373244E-2</v>
      </c>
      <c r="AY34" s="27">
        <f>IF(('Activity data'!AY21*EF!$H34)*kgtoGg=0,"NO",('Activity data'!AY21*EF!$H34)*kgtoGg)</f>
        <v>6.6880427805656326E-2</v>
      </c>
      <c r="AZ34" s="27">
        <f>IF(('Activity data'!AZ21*EF!$H34)*kgtoGg=0,"NO",('Activity data'!AZ21*EF!$H34)*kgtoGg)</f>
        <v>6.7192255511818053E-2</v>
      </c>
      <c r="BA34" s="27">
        <f>IF(('Activity data'!BA21*EF!$H34)*kgtoGg=0,"NO",('Activity data'!BA21*EF!$H34)*kgtoGg)</f>
        <v>6.7398141293831301E-2</v>
      </c>
      <c r="BB34" s="27">
        <f>IF(('Activity data'!BB21*EF!$H34)*kgtoGg=0,"NO",('Activity data'!BB21*EF!$H34)*kgtoGg)</f>
        <v>6.7497405924335729E-2</v>
      </c>
      <c r="BC34" s="27">
        <f>IF(('Activity data'!BC21*EF!$H34)*kgtoGg=0,"NO",('Activity data'!BC21*EF!$H34)*kgtoGg)</f>
        <v>8.7991886779588708E-3</v>
      </c>
      <c r="BD34" s="27">
        <f>IF(('Activity data'!BD21*EF!$H34)*kgtoGg=0,"NO",('Activity data'!BD21*EF!$H34)*kgtoGg)</f>
        <v>8.8637689566539793E-3</v>
      </c>
      <c r="BE34" s="27">
        <f>IF(('Activity data'!BE21*EF!$H34)*kgtoGg=0,"NO",('Activity data'!BE21*EF!$H34)*kgtoGg)</f>
        <v>8.9267483735029646E-3</v>
      </c>
      <c r="BF34" s="27">
        <f>IF(('Activity data'!BF21*EF!$H34)*kgtoGg=0,"NO",('Activity data'!BF21*EF!$H34)*kgtoGg)</f>
        <v>8.9882218030821696E-3</v>
      </c>
      <c r="BG34" s="27">
        <f>IF(('Activity data'!BG21*EF!$H34)*kgtoGg=0,"NO",('Activity data'!BG21*EF!$H34)*kgtoGg)</f>
        <v>9.0482986130435011E-3</v>
      </c>
      <c r="BH34" s="27">
        <f>IF(('Activity data'!BH21*EF!$H34)*kgtoGg=0,"NO",('Activity data'!BH21*EF!$H34)*kgtoGg)</f>
        <v>9.1067324781659627E-3</v>
      </c>
      <c r="BI34" s="27">
        <f>IF(('Activity data'!BI21*EF!$H34)*kgtoGg=0,"NO",('Activity data'!BI21*EF!$H34)*kgtoGg)</f>
        <v>9.1633611840193346E-3</v>
      </c>
      <c r="BJ34" s="27">
        <f>IF(('Activity data'!BJ21*EF!$H34)*kgtoGg=0,"NO",('Activity data'!BJ21*EF!$H34)*kgtoGg)</f>
        <v>9.2181727841291489E-3</v>
      </c>
      <c r="BK34" s="27">
        <f>IF(('Activity data'!BK21*EF!$H34)*kgtoGg=0,"NO",('Activity data'!BK21*EF!$H34)*kgtoGg)</f>
        <v>9.2709740520652353E-3</v>
      </c>
      <c r="BL34" s="27">
        <f>IF(('Activity data'!BL21*EF!$H34)*kgtoGg=0,"NO",('Activity data'!BL21*EF!$H34)*kgtoGg)</f>
        <v>9.3215498773796274E-3</v>
      </c>
      <c r="BM34" s="27">
        <f>IF(('Activity data'!BM21*EF!$H34)*kgtoGg=0,"NO",('Activity data'!BM21*EF!$H34)*kgtoGg)</f>
        <v>9.3698814479497017E-3</v>
      </c>
      <c r="BN34" s="27">
        <f>IF(('Activity data'!BN21*EF!$H34)*kgtoGg=0,"NO",('Activity data'!BN21*EF!$H34)*kgtoGg)</f>
        <v>9.4160095285836763E-3</v>
      </c>
      <c r="BO34" s="27">
        <f>IF(('Activity data'!BO21*EF!$H34)*kgtoGg=0,"NO",('Activity data'!BO21*EF!$H34)*kgtoGg)</f>
        <v>9.4599645533896878E-3</v>
      </c>
      <c r="BP34" s="27">
        <f>IF(('Activity data'!BP21*EF!$H34)*kgtoGg=0,"NO",('Activity data'!BP21*EF!$H34)*kgtoGg)</f>
        <v>9.5015367589008064E-3</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9.2084154088933889E-2</v>
      </c>
      <c r="AE35" s="27">
        <f>IF(('Activity data'!AE22*EF!$H35)*kgtoGg=0,"NO",('Activity data'!AE22*EF!$H35)*kgtoGg)</f>
        <v>9.3296737810214664E-2</v>
      </c>
      <c r="AF35" s="27">
        <f>IF(('Activity data'!AF22*EF!$H35)*kgtoGg=0,"NO",('Activity data'!AF22*EF!$H35)*kgtoGg)</f>
        <v>9.5244495094686882E-2</v>
      </c>
      <c r="AG35" s="27">
        <f>IF(('Activity data'!AG22*EF!$H35)*kgtoGg=0,"NO",('Activity data'!AG22*EF!$H35)*kgtoGg)</f>
        <v>9.5803753116994267E-2</v>
      </c>
      <c r="AH35" s="27">
        <f>IF(('Activity data'!AH22*EF!$H35)*kgtoGg=0,"NO",('Activity data'!AH22*EF!$H35)*kgtoGg)</f>
        <v>9.5460820340069155E-2</v>
      </c>
      <c r="AI35" s="27">
        <f>IF(('Activity data'!AI22*EF!$H35)*kgtoGg=0,"NO",('Activity data'!AI22*EF!$H35)*kgtoGg)</f>
        <v>9.4219345357912279E-2</v>
      </c>
      <c r="AJ35" s="27">
        <f>IF(('Activity data'!AJ22*EF!$H35)*kgtoGg=0,"NO",('Activity data'!AJ22*EF!$H35)*kgtoGg)</f>
        <v>9.3696712749775993E-2</v>
      </c>
      <c r="AK35" s="27">
        <f>IF(('Activity data'!AK22*EF!$H35)*kgtoGg=0,"NO",('Activity data'!AK22*EF!$H35)*kgtoGg)</f>
        <v>9.3292648760063338E-2</v>
      </c>
      <c r="AL35" s="27">
        <f>IF(('Activity data'!AL22*EF!$H35)*kgtoGg=0,"NO",('Activity data'!AL22*EF!$H35)*kgtoGg)</f>
        <v>8.1361686340733153E-2</v>
      </c>
      <c r="AM35" s="27">
        <f>IF(('Activity data'!AM22*EF!$H35)*kgtoGg=0,"NO",('Activity data'!AM22*EF!$H35)*kgtoGg)</f>
        <v>8.7519158525767499E-2</v>
      </c>
      <c r="AN35" s="27">
        <f>IF(('Activity data'!AN22*EF!$H35)*kgtoGg=0,"NO",('Activity data'!AN22*EF!$H35)*kgtoGg)</f>
        <v>0.38055522418312043</v>
      </c>
      <c r="AO35" s="27">
        <f>IF(('Activity data'!AO22*EF!$H35)*kgtoGg=0,"NO",('Activity data'!AO22*EF!$H35)*kgtoGg)</f>
        <v>0.38737794766400691</v>
      </c>
      <c r="AP35" s="27">
        <f>IF(('Activity data'!AP22*EF!$H35)*kgtoGg=0,"NO",('Activity data'!AP22*EF!$H35)*kgtoGg)</f>
        <v>0.39343920417290035</v>
      </c>
      <c r="AQ35" s="27">
        <f>IF(('Activity data'!AQ22*EF!$H35)*kgtoGg=0,"NO",('Activity data'!AQ22*EF!$H35)*kgtoGg)</f>
        <v>0.39876487470149208</v>
      </c>
      <c r="AR35" s="27">
        <f>IF(('Activity data'!AR22*EF!$H35)*kgtoGg=0,"NO",('Activity data'!AR22*EF!$H35)*kgtoGg)</f>
        <v>0.40342733598806829</v>
      </c>
      <c r="AS35" s="27">
        <f>IF(('Activity data'!AS22*EF!$H35)*kgtoGg=0,"NO",('Activity data'!AS22*EF!$H35)*kgtoGg)</f>
        <v>0.40739161526609236</v>
      </c>
      <c r="AT35" s="27">
        <f>IF(('Activity data'!AT22*EF!$H35)*kgtoGg=0,"NO",('Activity data'!AT22*EF!$H35)*kgtoGg)</f>
        <v>0.41063086290427719</v>
      </c>
      <c r="AU35" s="27">
        <f>IF(('Activity data'!AU22*EF!$H35)*kgtoGg=0,"NO",('Activity data'!AU22*EF!$H35)*kgtoGg)</f>
        <v>0.41311868820096576</v>
      </c>
      <c r="AV35" s="27">
        <f>IF(('Activity data'!AV22*EF!$H35)*kgtoGg=0,"NO",('Activity data'!AV22*EF!$H35)*kgtoGg)</f>
        <v>0.41483155404850092</v>
      </c>
      <c r="AW35" s="27">
        <f>IF(('Activity data'!AW22*EF!$H35)*kgtoGg=0,"NO",('Activity data'!AW22*EF!$H35)*kgtoGg)</f>
        <v>0.4157534105968208</v>
      </c>
      <c r="AX35" s="27">
        <f>IF(('Activity data'!AX22*EF!$H35)*kgtoGg=0,"NO",('Activity data'!AX22*EF!$H35)*kgtoGg)</f>
        <v>0.41586937761576692</v>
      </c>
      <c r="AY35" s="27">
        <f>IF(('Activity data'!AY22*EF!$H35)*kgtoGg=0,"NO",('Activity data'!AY22*EF!$H35)*kgtoGg)</f>
        <v>0.41517143719283295</v>
      </c>
      <c r="AZ35" s="27">
        <f>IF(('Activity data'!AZ22*EF!$H35)*kgtoGg=0,"NO",('Activity data'!AZ22*EF!$H35)*kgtoGg)</f>
        <v>0.41365861505534796</v>
      </c>
      <c r="BA35" s="27">
        <f>IF(('Activity data'!BA22*EF!$H35)*kgtoGg=0,"NO",('Activity data'!BA22*EF!$H35)*kgtoGg)</f>
        <v>0.41133079331280648</v>
      </c>
      <c r="BB35" s="27">
        <f>IF(('Activity data'!BB22*EF!$H35)*kgtoGg=0,"NO",('Activity data'!BB22*EF!$H35)*kgtoGg)</f>
        <v>0.40819145890302061</v>
      </c>
      <c r="BC35" s="27">
        <f>IF(('Activity data'!BC22*EF!$H35)*kgtoGg=0,"NO",('Activity data'!BC22*EF!$H35)*kgtoGg)</f>
        <v>-8.7165642075574146E-2</v>
      </c>
      <c r="BD35" s="27">
        <f>IF(('Activity data'!BD22*EF!$H35)*kgtoGg=0,"NO",('Activity data'!BD22*EF!$H35)*kgtoGg)</f>
        <v>-8.7288995420516255E-2</v>
      </c>
      <c r="BE35" s="27">
        <f>IF(('Activity data'!BE22*EF!$H35)*kgtoGg=0,"NO",('Activity data'!BE22*EF!$H35)*kgtoGg)</f>
        <v>-8.7400689777532417E-2</v>
      </c>
      <c r="BF35" s="27">
        <f>IF(('Activity data'!BF22*EF!$H35)*kgtoGg=0,"NO",('Activity data'!BF22*EF!$H35)*kgtoGg)</f>
        <v>-8.7501674968968782E-2</v>
      </c>
      <c r="BG35" s="27">
        <f>IF(('Activity data'!BG22*EF!$H35)*kgtoGg=0,"NO",('Activity data'!BG22*EF!$H35)*kgtoGg)</f>
        <v>-8.759303690104156E-2</v>
      </c>
      <c r="BH35" s="27">
        <f>IF(('Activity data'!BH22*EF!$H35)*kgtoGg=0,"NO",('Activity data'!BH22*EF!$H35)*kgtoGg)</f>
        <v>-8.7672225765400638E-2</v>
      </c>
      <c r="BI35" s="27">
        <f>IF(('Activity data'!BI22*EF!$H35)*kgtoGg=0,"NO",('Activity data'!BI22*EF!$H35)*kgtoGg)</f>
        <v>-8.773761110126993E-2</v>
      </c>
      <c r="BJ35" s="27">
        <f>IF(('Activity data'!BJ22*EF!$H35)*kgtoGg=0,"NO",('Activity data'!BJ22*EF!$H35)*kgtoGg)</f>
        <v>-8.7789118885945122E-2</v>
      </c>
      <c r="BK35" s="27">
        <f>IF(('Activity data'!BK22*EF!$H35)*kgtoGg=0,"NO",('Activity data'!BK22*EF!$H35)*kgtoGg)</f>
        <v>-8.7824869446460341E-2</v>
      </c>
      <c r="BL35" s="27">
        <f>IF(('Activity data'!BL22*EF!$H35)*kgtoGg=0,"NO",('Activity data'!BL22*EF!$H35)*kgtoGg)</f>
        <v>-8.7842812552050467E-2</v>
      </c>
      <c r="BM35" s="27">
        <f>IF(('Activity data'!BM22*EF!$H35)*kgtoGg=0,"NO",('Activity data'!BM22*EF!$H35)*kgtoGg)</f>
        <v>-8.7842889451098083E-2</v>
      </c>
      <c r="BN35" s="27">
        <f>IF(('Activity data'!BN22*EF!$H35)*kgtoGg=0,"NO",('Activity data'!BN22*EF!$H35)*kgtoGg)</f>
        <v>-8.7825632469861054E-2</v>
      </c>
      <c r="BO35" s="27">
        <f>IF(('Activity data'!BO22*EF!$H35)*kgtoGg=0,"NO",('Activity data'!BO22*EF!$H35)*kgtoGg)</f>
        <v>-8.7791464656619661E-2</v>
      </c>
      <c r="BP35" s="27">
        <f>IF(('Activity data'!BP22*EF!$H35)*kgtoGg=0,"NO",('Activity data'!BP22*EF!$H35)*kgtoGg)</f>
        <v>-8.7738464001201541E-2</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5.9806569587962537E-2</v>
      </c>
      <c r="AF36" s="27">
        <f>IF(('Activity data'!AF5*EF!$H36*EF!$H54)*NtoN2O*kgtoGg=0,"NO",('Activity data'!AF5*EF!$H36*EF!$H54)*NtoN2O*kgtoGg)</f>
        <v>6.0278316688762053E-2</v>
      </c>
      <c r="AG36" s="27">
        <f>IF(('Activity data'!AG5*EF!$H36*EF!$H54)*NtoN2O*kgtoGg=0,"NO",('Activity data'!AG5*EF!$H36*EF!$H54)*NtoN2O*kgtoGg)</f>
        <v>6.0581464452445992E-2</v>
      </c>
      <c r="AH36" s="27">
        <f>IF(('Activity data'!AH5*EF!$H36*EF!$H54)*NtoN2O*kgtoGg=0,"NO",('Activity data'!AH5*EF!$H36*EF!$H54)*NtoN2O*kgtoGg)</f>
        <v>6.0782907527895308E-2</v>
      </c>
      <c r="AI36" s="27">
        <f>IF(('Activity data'!AI5*EF!$H36*EF!H54)*NtoN2O*kgtoGg=0,"NO",('Activity data'!AI5*EF!$H36*EF!H54)*NtoN2O*kgtoGg)</f>
        <v>6.0880663265441164E-2</v>
      </c>
      <c r="AJ36" s="27">
        <f>IF(('Activity data'!AJ5*EF!$H36*EF!I54)*NtoN2O*kgtoGg=0,"NO",('Activity data'!AJ5*EF!$H36*EF!I54)*NtoN2O*kgtoGg)</f>
        <v>6.1096642070638009E-2</v>
      </c>
      <c r="AK36" s="27">
        <f>IF(('Activity data'!AK5*EF!$H36*EF!J54)*NtoN2O*kgtoGg=0,"NO",('Activity data'!AK5*EF!$H36*EF!J54)*NtoN2O*kgtoGg)</f>
        <v>6.1344406036983781E-2</v>
      </c>
      <c r="AL36" s="27">
        <f>IF(('Activity data'!AL5*EF!$H36*EF!K54)*NtoN2O*kgtoGg=0,"NO",('Activity data'!AL5*EF!$H36*EF!K54)*NtoN2O*kgtoGg)</f>
        <v>5.9601328930113273E-2</v>
      </c>
      <c r="AM36" s="27">
        <f>IF(('Activity data'!AM5*EF!$H36*EF!L54)*NtoN2O*kgtoGg=0,"NO",('Activity data'!AM5*EF!$H36*EF!L54)*NtoN2O*kgtoGg)</f>
        <v>6.0626854202705693E-2</v>
      </c>
      <c r="AN36" s="27">
        <f>IF(('Activity data'!AN5*EF!$H36*EF!M54)*NtoN2O*kgtoGg=0,"NO",('Activity data'!AN5*EF!$H36*EF!M54)*NtoN2O*kgtoGg)</f>
        <v>0.10431335111869787</v>
      </c>
      <c r="AO36" s="27">
        <f>IF(('Activity data'!AO5*EF!$H36*EF!N54)*NtoN2O*kgtoGg=0,"NO",('Activity data'!AO5*EF!$H36*EF!N54)*NtoN2O*kgtoGg)</f>
        <v>0.10557079987792001</v>
      </c>
      <c r="AP36" s="27">
        <f>IF(('Activity data'!AP5*EF!$H36*EF!O54)*NtoN2O*kgtoGg=0,"NO",('Activity data'!AP5*EF!$H36*EF!O54)*NtoN2O*kgtoGg)</f>
        <v>0.10677309385797164</v>
      </c>
      <c r="AQ36" s="27">
        <f>IF(('Activity data'!AQ5*EF!$H36*EF!P54)*NtoN2O*kgtoGg=0,"NO",('Activity data'!AQ5*EF!$H36*EF!P54)*NtoN2O*kgtoGg)</f>
        <v>0.10789978230362134</v>
      </c>
      <c r="AR36" s="27">
        <f>IF(('Activity data'!AR5*EF!$H36*EF!Q54)*NtoN2O*kgtoGg=0,"NO",('Activity data'!AR5*EF!$H36*EF!Q54)*NtoN2O*kgtoGg)</f>
        <v>0.10892077673602073</v>
      </c>
      <c r="AS36" s="27">
        <f>IF(('Activity data'!AS5*EF!$H36*EF!R54)*NtoN2O*kgtoGg=0,"NO",('Activity data'!AS5*EF!$H36*EF!R54)*NtoN2O*kgtoGg)</f>
        <v>0.10983130908819148</v>
      </c>
      <c r="AT36" s="27">
        <f>IF(('Activity data'!AT5*EF!$H36*EF!S54)*NtoN2O*kgtoGg=0,"NO",('Activity data'!AT5*EF!$H36*EF!S54)*NtoN2O*kgtoGg)</f>
        <v>0.11062607502856897</v>
      </c>
      <c r="AU36" s="27">
        <f>IF(('Activity data'!AU5*EF!$H36*EF!T54)*NtoN2O*kgtoGg=0,"NO",('Activity data'!AU5*EF!$H36*EF!T54)*NtoN2O*kgtoGg)</f>
        <v>0.11130105996088024</v>
      </c>
      <c r="AV36" s="27">
        <f>IF(('Activity data'!AV5*EF!$H36*EF!U54)*NtoN2O*kgtoGg=0,"NO",('Activity data'!AV5*EF!$H36*EF!U54)*NtoN2O*kgtoGg)</f>
        <v>0.11185308002540331</v>
      </c>
      <c r="AW36" s="27">
        <f>IF(('Activity data'!AW5*EF!$H36*EF!V54)*NtoN2O*kgtoGg=0,"NO",('Activity data'!AW5*EF!$H36*EF!V54)*NtoN2O*kgtoGg)</f>
        <v>0.11227878827005904</v>
      </c>
      <c r="AX36" s="27">
        <f>IF(('Activity data'!AX5*EF!$H36*EF!W54)*NtoN2O*kgtoGg=0,"NO",('Activity data'!AX5*EF!$H36*EF!W54)*NtoN2O*kgtoGg)</f>
        <v>0.11257618100536711</v>
      </c>
      <c r="AY36" s="27">
        <f>IF(('Activity data'!AY5*EF!$H36*EF!X54)*NtoN2O*kgtoGg=0,"NO",('Activity data'!AY5*EF!$H36*EF!X54)*NtoN2O*kgtoGg)</f>
        <v>0.11274333624880213</v>
      </c>
      <c r="AZ36" s="27">
        <f>IF(('Activity data'!AZ5*EF!$H36*EF!Y54)*NtoN2O*kgtoGg=0,"NO",('Activity data'!AZ5*EF!$H36*EF!Y54)*NtoN2O*kgtoGg)</f>
        <v>0.11277839712706036</v>
      </c>
      <c r="BA36" s="27">
        <f>IF(('Activity data'!BA5*EF!$H36*EF!Z54)*NtoN2O*kgtoGg=0,"NO",('Activity data'!BA5*EF!$H36*EF!Z54)*NtoN2O*kgtoGg)</f>
        <v>0.11268102453940491</v>
      </c>
      <c r="BB36" s="27">
        <f>IF(('Activity data'!BB5*EF!$H36*EF!AA54)*NtoN2O*kgtoGg=0,"NO",('Activity data'!BB5*EF!$H36*EF!AA54)*NtoN2O*kgtoGg)</f>
        <v>0.11245177283662604</v>
      </c>
      <c r="BC36" s="27">
        <f>IF(('Activity data'!BC5*EF!$H36*EF!AB54)*NtoN2O*kgtoGg=0,"NO",('Activity data'!BC5*EF!$H36*EF!AB54)*NtoN2O*kgtoGg)</f>
        <v>3.5577796363991845E-2</v>
      </c>
      <c r="BD36" s="27">
        <f>IF(('Activity data'!BD5*EF!$H36*EF!AC54)*NtoN2O*kgtoGg=0,"NO",('Activity data'!BD5*EF!$H36*EF!AC54)*NtoN2O*kgtoGg)</f>
        <v>3.5603767558276704E-2</v>
      </c>
      <c r="BE36" s="27">
        <f>IF(('Activity data'!BE5*EF!$H36*EF!AD54)*NtoN2O*kgtoGg=0,"NO",('Activity data'!BE5*EF!$H36*EF!AD54)*NtoN2O*kgtoGg)</f>
        <v>3.5627869174539424E-2</v>
      </c>
      <c r="BF36" s="27">
        <f>IF(('Activity data'!BF5*EF!$H36*EF!AE54)*NtoN2O*kgtoGg=0,"NO",('Activity data'!BF5*EF!$H36*EF!AE54)*NtoN2O*kgtoGg)</f>
        <v>3.5650264251912672E-2</v>
      </c>
      <c r="BG36" s="27">
        <f>IF(('Activity data'!BG5*EF!$H36*EF!AF54)*NtoN2O*kgtoGg=0,"NO",('Activity data'!BG5*EF!$H36*EF!AF54)*NtoN2O*kgtoGg)</f>
        <v>3.5671153620438649E-2</v>
      </c>
      <c r="BH36" s="27">
        <f>IF(('Activity data'!BH5*EF!$H36*EF!AG54)*NtoN2O*kgtoGg=0,"NO",('Activity data'!BH5*EF!$H36*EF!AG54)*NtoN2O*kgtoGg)</f>
        <v>3.5689881664317018E-2</v>
      </c>
      <c r="BI36" s="27">
        <f>IF(('Activity data'!BI5*EF!$H36*EF!AH54)*NtoN2O*kgtoGg=0,"NO",('Activity data'!BI5*EF!$H36*EF!AH54)*NtoN2O*kgtoGg)</f>
        <v>3.5706008112300056E-2</v>
      </c>
      <c r="BJ36" s="27">
        <f>IF(('Activity data'!BJ5*EF!$H36*EF!AI54)*NtoN2O*kgtoGg=0,"NO",('Activity data'!BJ5*EF!$H36*EF!AI54)*NtoN2O*kgtoGg)</f>
        <v>3.5719462361704167E-2</v>
      </c>
      <c r="BK36" s="27">
        <f>IF(('Activity data'!BK5*EF!$H36*EF!AJ54)*NtoN2O*kgtoGg=0,"NO",('Activity data'!BK5*EF!$H36*EF!AJ54)*NtoN2O*kgtoGg)</f>
        <v>3.5729744862623404E-2</v>
      </c>
      <c r="BL36" s="27">
        <f>IF(('Activity data'!BL5*EF!$H36*EF!AK54)*NtoN2O*kgtoGg=0,"NO",('Activity data'!BL5*EF!$H36*EF!AK54)*NtoN2O*kgtoGg)</f>
        <v>3.5736313260064892E-2</v>
      </c>
      <c r="BM36" s="27">
        <f>IF(('Activity data'!BM5*EF!$H36*EF!AL54)*NtoN2O*kgtoGg=0,"NO",('Activity data'!BM5*EF!$H36*EF!AL54)*NtoN2O*kgtoGg)</f>
        <v>3.5739100565622635E-2</v>
      </c>
      <c r="BN36" s="27">
        <f>IF(('Activity data'!BN5*EF!$H36*EF!AM54)*NtoN2O*kgtoGg=0,"NO",('Activity data'!BN5*EF!$H36*EF!AM54)*NtoN2O*kgtoGg)</f>
        <v>3.5738183814189306E-2</v>
      </c>
      <c r="BO36" s="27">
        <f>IF(('Activity data'!BO5*EF!$H36*EF!AN54)*NtoN2O*kgtoGg=0,"NO",('Activity data'!BO5*EF!$H36*EF!AN54)*NtoN2O*kgtoGg)</f>
        <v>3.5733616728715514E-2</v>
      </c>
      <c r="BP36" s="27">
        <f>IF(('Activity data'!BP5*EF!$H36*EF!AO54)*NtoN2O*kgtoGg=0,"NO",('Activity data'!BP5*EF!$H36*EF!AO54)*NtoN2O*kgtoGg)</f>
        <v>3.5724889195264529E-2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0.26187096745907495</v>
      </c>
      <c r="AF37" s="27">
        <f>IF(('Activity data'!AF6*EF!$H37*EF!$H55)*NtoN2O*kgtoGg=0,"NO",('Activity data'!AF6*EF!$H37*EF!$H55)*NtoN2O*kgtoGg)</f>
        <v>0.26393657447404822</v>
      </c>
      <c r="AG37" s="27">
        <f>IF(('Activity data'!AG6*EF!$H37*EF!$H55)*NtoN2O*kgtoGg=0,"NO",('Activity data'!AG6*EF!$H37*EF!$H55)*NtoN2O*kgtoGg)</f>
        <v>0.26526394701365208</v>
      </c>
      <c r="AH37" s="27">
        <f>IF(('Activity data'!AH6*EF!$H37*EF!$H55)*NtoN2O*kgtoGg=0,"NO",('Activity data'!AH6*EF!$H37*EF!$H55)*NtoN2O*kgtoGg)</f>
        <v>0.26614599213711054</v>
      </c>
      <c r="AI37" s="27">
        <f>IF(('Activity data'!AI6*EF!$H37*EF!H55)*NtoN2O*kgtoGg=0,"NO",('Activity data'!AI6*EF!$H37*EF!H55)*NtoN2O*kgtoGg)</f>
        <v>0.26657402855087214</v>
      </c>
      <c r="AJ37" s="27">
        <f>IF(('Activity data'!AJ6*EF!$H37*EF!I55)*NtoN2O*kgtoGg=0,"NO",('Activity data'!AJ6*EF!$H37*EF!I55)*NtoN2O*kgtoGg)</f>
        <v>0.26751972028770321</v>
      </c>
      <c r="AK37" s="27">
        <f>IF(('Activity data'!AK6*EF!$H37*EF!J55)*NtoN2O*kgtoGg=0,"NO",('Activity data'!AK6*EF!$H37*EF!J55)*NtoN2O*kgtoGg)</f>
        <v>0.26860458755254507</v>
      </c>
      <c r="AL37" s="27">
        <f>IF(('Activity data'!AL6*EF!$H37*EF!K55)*NtoN2O*kgtoGg=0,"NO",('Activity data'!AL6*EF!$H37*EF!K55)*NtoN2O*kgtoGg)</f>
        <v>0.26097229411928624</v>
      </c>
      <c r="AM37" s="27">
        <f>IF(('Activity data'!AM6*EF!$H37*EF!L55)*NtoN2O*kgtoGg=0,"NO",('Activity data'!AM6*EF!$H37*EF!L55)*NtoN2O*kgtoGg)</f>
        <v>0.26546269203272144</v>
      </c>
      <c r="AN37" s="27">
        <f>IF(('Activity data'!AN6*EF!$H37*EF!M55)*NtoN2O*kgtoGg=0,"NO",('Activity data'!AN6*EF!$H37*EF!M55)*NtoN2O*kgtoGg)</f>
        <v>0.45674979127794169</v>
      </c>
      <c r="AO37" s="27">
        <f>IF(('Activity data'!AO6*EF!$H37*EF!N55)*NtoN2O*kgtoGg=0,"NO",('Activity data'!AO6*EF!$H37*EF!N55)*NtoN2O*kgtoGg)</f>
        <v>0.46225569682270645</v>
      </c>
      <c r="AP37" s="27">
        <f>IF(('Activity data'!AP6*EF!$H37*EF!O55)*NtoN2O*kgtoGg=0,"NO",('Activity data'!AP6*EF!$H37*EF!O55)*NtoN2O*kgtoGg)</f>
        <v>0.46752009987901733</v>
      </c>
      <c r="AQ37" s="27">
        <f>IF(('Activity data'!AQ6*EF!$H37*EF!P55)*NtoN2O*kgtoGg=0,"NO",('Activity data'!AQ6*EF!$H37*EF!P55)*NtoN2O*kgtoGg)</f>
        <v>0.47245345411284095</v>
      </c>
      <c r="AR37" s="27">
        <f>IF(('Activity data'!AR6*EF!$H37*EF!Q55)*NtoN2O*kgtoGg=0,"NO",('Activity data'!AR6*EF!$H37*EF!Q55)*NtoN2O*kgtoGg)</f>
        <v>0.47692401314381044</v>
      </c>
      <c r="AS37" s="27">
        <f>IF(('Activity data'!AS6*EF!$H37*EF!R55)*NtoN2O*kgtoGg=0,"NO",('Activity data'!AS6*EF!$H37*EF!R55)*NtoN2O*kgtoGg)</f>
        <v>0.48091089936063391</v>
      </c>
      <c r="AT37" s="27">
        <f>IF(('Activity data'!AT6*EF!$H37*EF!S55)*NtoN2O*kgtoGg=0,"NO",('Activity data'!AT6*EF!$H37*EF!S55)*NtoN2O*kgtoGg)</f>
        <v>0.48439088704666999</v>
      </c>
      <c r="AU37" s="27">
        <f>IF(('Activity data'!AU6*EF!$H37*EF!T55)*NtoN2O*kgtoGg=0,"NO",('Activity data'!AU6*EF!$H37*EF!T55)*NtoN2O*kgtoGg)</f>
        <v>0.48734639776167055</v>
      </c>
      <c r="AV37" s="27">
        <f>IF(('Activity data'!AV6*EF!$H37*EF!U55)*NtoN2O*kgtoGg=0,"NO",('Activity data'!AV6*EF!$H37*EF!U55)*NtoN2O*kgtoGg)</f>
        <v>0.48976349055514479</v>
      </c>
      <c r="AW37" s="27">
        <f>IF(('Activity data'!AW6*EF!$H37*EF!V55)*NtoN2O*kgtoGg=0,"NO",('Activity data'!AW6*EF!$H37*EF!V55)*NtoN2O*kgtoGg)</f>
        <v>0.49162751035516583</v>
      </c>
      <c r="AX37" s="27">
        <f>IF(('Activity data'!AX6*EF!$H37*EF!W55)*NtoN2O*kgtoGg=0,"NO",('Activity data'!AX6*EF!$H37*EF!W55)*NtoN2O*kgtoGg)</f>
        <v>0.49292968374258739</v>
      </c>
      <c r="AY37" s="27">
        <f>IF(('Activity data'!AY6*EF!$H37*EF!X55)*NtoN2O*kgtoGg=0,"NO",('Activity data'!AY6*EF!$H37*EF!X55)*NtoN2O*kgtoGg)</f>
        <v>0.49366159506296176</v>
      </c>
      <c r="AZ37" s="27">
        <f>IF(('Activity data'!AZ6*EF!$H37*EF!Y55)*NtoN2O*kgtoGg=0,"NO",('Activity data'!AZ6*EF!$H37*EF!Y55)*NtoN2O*kgtoGg)</f>
        <v>0.49381511375117121</v>
      </c>
      <c r="BA37" s="27">
        <f>IF(('Activity data'!BA6*EF!$H37*EF!Z55)*NtoN2O*kgtoGg=0,"NO",('Activity data'!BA6*EF!$H37*EF!Z55)*NtoN2O*kgtoGg)</f>
        <v>0.4933887550098322</v>
      </c>
      <c r="BB37" s="27">
        <f>IF(('Activity data'!BB6*EF!$H37*EF!AA55)*NtoN2O*kgtoGg=0,"NO",('Activity data'!BB6*EF!$H37*EF!AA55)*NtoN2O*kgtoGg)</f>
        <v>0.49238494613712885</v>
      </c>
      <c r="BC37" s="27">
        <f>IF(('Activity data'!BC6*EF!$H37*EF!AB55)*NtoN2O*kgtoGg=0,"NO",('Activity data'!BC6*EF!$H37*EF!AB55)*NtoN2O*kgtoGg)</f>
        <v>0.15578208243824307</v>
      </c>
      <c r="BD37" s="27">
        <f>IF(('Activity data'!BD6*EF!$H37*EF!AC55)*NtoN2O*kgtoGg=0,"NO",('Activity data'!BD6*EF!$H37*EF!AC55)*NtoN2O*kgtoGg)</f>
        <v>0.15589580074411316</v>
      </c>
      <c r="BE37" s="27">
        <f>IF(('Activity data'!BE6*EF!$H37*EF!AD55)*NtoN2O*kgtoGg=0,"NO",('Activity data'!BE6*EF!$H37*EF!AD55)*NtoN2O*kgtoGg)</f>
        <v>0.15600133285557738</v>
      </c>
      <c r="BF37" s="27">
        <f>IF(('Activity data'!BF6*EF!$H37*EF!AE55)*NtoN2O*kgtoGg=0,"NO",('Activity data'!BF6*EF!$H37*EF!AE55)*NtoN2O*kgtoGg)</f>
        <v>0.1560993926610211</v>
      </c>
      <c r="BG37" s="27">
        <f>IF(('Activity data'!BG6*EF!$H37*EF!AF55)*NtoN2O*kgtoGg=0,"NO",('Activity data'!BG6*EF!$H37*EF!AF55)*NtoN2O*kgtoGg)</f>
        <v>0.15619085952132081</v>
      </c>
      <c r="BH37" s="27">
        <f>IF(('Activity data'!BH6*EF!$H37*EF!AG55)*NtoN2O*kgtoGg=0,"NO",('Activity data'!BH6*EF!$H37*EF!AG55)*NtoN2O*kgtoGg)</f>
        <v>0.15627286273606522</v>
      </c>
      <c r="BI37" s="27">
        <f>IF(('Activity data'!BI6*EF!$H37*EF!AH55)*NtoN2O*kgtoGg=0,"NO",('Activity data'!BI6*EF!$H37*EF!AH55)*NtoN2O*kgtoGg)</f>
        <v>0.15634347451942091</v>
      </c>
      <c r="BJ37" s="27">
        <f>IF(('Activity data'!BJ6*EF!$H37*EF!AI55)*NtoN2O*kgtoGg=0,"NO",('Activity data'!BJ6*EF!$H37*EF!AI55)*NtoN2O*kgtoGg)</f>
        <v>0.15640238572820886</v>
      </c>
      <c r="BK37" s="27">
        <f>IF(('Activity data'!BK6*EF!$H37*EF!AJ55)*NtoN2O*kgtoGg=0,"NO",('Activity data'!BK6*EF!$H37*EF!AJ55)*NtoN2O*kgtoGg)</f>
        <v>0.15644740901715809</v>
      </c>
      <c r="BL37" s="27">
        <f>IF(('Activity data'!BL6*EF!$H37*EF!AK55)*NtoN2O*kgtoGg=0,"NO",('Activity data'!BL6*EF!$H37*EF!AK55)*NtoN2O*kgtoGg)</f>
        <v>0.15647616961326835</v>
      </c>
      <c r="BM37" s="27">
        <f>IF(('Activity data'!BM6*EF!$H37*EF!AL55)*NtoN2O*kgtoGg=0,"NO",('Activity data'!BM6*EF!$H37*EF!AL55)*NtoN2O*kgtoGg)</f>
        <v>0.15648837419895245</v>
      </c>
      <c r="BN37" s="27">
        <f>IF(('Activity data'!BN6*EF!$H37*EF!AM55)*NtoN2O*kgtoGg=0,"NO",('Activity data'!BN6*EF!$H37*EF!AM55)*NtoN2O*kgtoGg)</f>
        <v>0.15648436008166708</v>
      </c>
      <c r="BO37" s="27">
        <f>IF(('Activity data'!BO6*EF!$H37*EF!AN55)*NtoN2O*kgtoGg=0,"NO",('Activity data'!BO6*EF!$H37*EF!AN55)*NtoN2O*kgtoGg)</f>
        <v>0.15646436249445</v>
      </c>
      <c r="BP37" s="27">
        <f>IF(('Activity data'!BP6*EF!$H37*EF!AO55)*NtoN2O*kgtoGg=0,"NO",('Activity data'!BP6*EF!$H37*EF!AO55)*NtoN2O*kgtoGg)</f>
        <v>0.15642614783602549</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1.1651711689683767E-2</v>
      </c>
      <c r="AF38" s="27">
        <f>IF(('Activity data'!AF7*EF!$H38*EF!$H56)*NtoN2O*kgtoGg=0,"NO",('Activity data'!AF7*EF!$H38*EF!$H56)*NtoN2O*kgtoGg)</f>
        <v>1.1743619004328788E-2</v>
      </c>
      <c r="AG38" s="27">
        <f>IF(('Activity data'!AG7*EF!$H38*EF!$H56)*NtoN2O*kgtoGg=0,"NO",('Activity data'!AG7*EF!$H38*EF!$H56)*NtoN2O*kgtoGg)</f>
        <v>1.1802679244134426E-2</v>
      </c>
      <c r="AH38" s="27">
        <f>IF(('Activity data'!AH7*EF!$H38*EF!$H56)*NtoN2O*kgtoGg=0,"NO",('Activity data'!AH7*EF!$H38*EF!$H56)*NtoN2O*kgtoGg)</f>
        <v>1.1841925043604104E-2</v>
      </c>
      <c r="AI38" s="27">
        <f>IF(('Activity data'!AI7*EF!$H38*EF!H56)*NtoN2O*kgtoGg=0,"NO",('Activity data'!AI7*EF!$H38*EF!H56)*NtoN2O*kgtoGg)</f>
        <v>1.186097013643829E-2</v>
      </c>
      <c r="AJ38" s="27">
        <f>IF(('Activity data'!AJ7*EF!$H38*EF!I56)*NtoN2O*kgtoGg=0,"NO",('Activity data'!AJ7*EF!$H38*EF!I56)*NtoN2O*kgtoGg)</f>
        <v>1.1903047834366352E-2</v>
      </c>
      <c r="AK38" s="27">
        <f>IF(('Activity data'!AK7*EF!$H38*EF!J56)*NtoN2O*kgtoGg=0,"NO",('Activity data'!AK7*EF!$H38*EF!J56)*NtoN2O*kgtoGg)</f>
        <v>1.1951318021451862E-2</v>
      </c>
      <c r="AL38" s="27">
        <f>IF(('Activity data'!AL7*EF!$H38*EF!K56)*NtoN2O*kgtoGg=0,"NO",('Activity data'!AL7*EF!$H38*EF!K56)*NtoN2O*kgtoGg)</f>
        <v>1.1611726032777913E-2</v>
      </c>
      <c r="AM38" s="27">
        <f>IF(('Activity data'!AM7*EF!$H38*EF!L56)*NtoN2O*kgtoGg=0,"NO",('Activity data'!AM7*EF!$H38*EF!L56)*NtoN2O*kgtoGg)</f>
        <v>1.1811522223882912E-2</v>
      </c>
      <c r="AN38" s="27">
        <f>IF(('Activity data'!AN7*EF!$H38*EF!M56)*NtoN2O*kgtoGg=0,"NO",('Activity data'!AN7*EF!$H38*EF!M56)*NtoN2O*kgtoGg)</f>
        <v>2.0322668579614574E-2</v>
      </c>
      <c r="AO38" s="27">
        <f>IF(('Activity data'!AO7*EF!$H38*EF!N56)*NtoN2O*kgtoGg=0,"NO",('Activity data'!AO7*EF!$H38*EF!N56)*NtoN2O*kgtoGg)</f>
        <v>2.0567648863686182E-2</v>
      </c>
      <c r="AP38" s="27">
        <f>IF(('Activity data'!AP7*EF!$H38*EF!O56)*NtoN2O*kgtoGg=0,"NO",('Activity data'!AP7*EF!$H38*EF!O56)*NtoN2O*kgtoGg)</f>
        <v>2.0801883713106869E-2</v>
      </c>
      <c r="AQ38" s="27">
        <f>IF(('Activity data'!AQ7*EF!$H38*EF!P56)*NtoN2O*kgtoGg=0,"NO",('Activity data'!AQ7*EF!$H38*EF!P56)*NtoN2O*kgtoGg)</f>
        <v>2.1021388844788085E-2</v>
      </c>
      <c r="AR38" s="27">
        <f>IF(('Activity data'!AR7*EF!$H38*EF!Q56)*NtoN2O*kgtoGg=0,"NO",('Activity data'!AR7*EF!$H38*EF!Q56)*NtoN2O*kgtoGg)</f>
        <v>2.1220302322773034E-2</v>
      </c>
      <c r="AS38" s="27">
        <f>IF(('Activity data'!AS7*EF!$H38*EF!R56)*NtoN2O*kgtoGg=0,"NO",('Activity data'!AS7*EF!$H38*EF!R56)*NtoN2O*kgtoGg)</f>
        <v>2.1397695216642653E-2</v>
      </c>
      <c r="AT38" s="27">
        <f>IF(('Activity data'!AT7*EF!$H38*EF!S56)*NtoN2O*kgtoGg=0,"NO",('Activity data'!AT7*EF!$H38*EF!S56)*NtoN2O*kgtoGg)</f>
        <v>2.1552534119155507E-2</v>
      </c>
      <c r="AU38" s="27">
        <f>IF(('Activity data'!AU7*EF!$H38*EF!T56)*NtoN2O*kgtoGg=0,"NO",('Activity data'!AU7*EF!$H38*EF!T56)*NtoN2O*kgtoGg)</f>
        <v>2.1684036893522194E-2</v>
      </c>
      <c r="AV38" s="27">
        <f>IF(('Activity data'!AV7*EF!$H38*EF!U56)*NtoN2O*kgtoGg=0,"NO",('Activity data'!AV7*EF!$H38*EF!U56)*NtoN2O*kgtoGg)</f>
        <v>2.1791583249767946E-2</v>
      </c>
      <c r="AW38" s="27">
        <f>IF(('Activity data'!AW7*EF!$H38*EF!V56)*NtoN2O*kgtoGg=0,"NO",('Activity data'!AW7*EF!$H38*EF!V56)*NtoN2O*kgtoGg)</f>
        <v>2.1874521123731019E-2</v>
      </c>
      <c r="AX38" s="27">
        <f>IF(('Activity data'!AX7*EF!$H38*EF!W56)*NtoN2O*kgtoGg=0,"NO",('Activity data'!AX7*EF!$H38*EF!W56)*NtoN2O*kgtoGg)</f>
        <v>2.1932460150066901E-2</v>
      </c>
      <c r="AY38" s="27">
        <f>IF(('Activity data'!AY7*EF!$H38*EF!X56)*NtoN2O*kgtoGg=0,"NO",('Activity data'!AY7*EF!$H38*EF!X56)*NtoN2O*kgtoGg)</f>
        <v>2.1965025881847573E-2</v>
      </c>
      <c r="AZ38" s="27">
        <f>IF(('Activity data'!AZ7*EF!$H38*EF!Y56)*NtoN2O*kgtoGg=0,"NO",('Activity data'!AZ7*EF!$H38*EF!Y56)*NtoN2O*kgtoGg)</f>
        <v>2.1971856556936734E-2</v>
      </c>
      <c r="BA38" s="27">
        <f>IF(('Activity data'!BA7*EF!$H38*EF!Z56)*NtoN2O*kgtoGg=0,"NO",('Activity data'!BA7*EF!$H38*EF!Z56)*NtoN2O*kgtoGg)</f>
        <v>2.1952886110618599E-2</v>
      </c>
      <c r="BB38" s="27">
        <f>IF(('Activity data'!BB7*EF!$H38*EF!AA56)*NtoN2O*kgtoGg=0,"NO",('Activity data'!BB7*EF!$H38*EF!AA56)*NtoN2O*kgtoGg)</f>
        <v>2.190822254332906E-2</v>
      </c>
      <c r="BC38" s="27">
        <f>IF(('Activity data'!BC7*EF!$H38*EF!AB56)*NtoN2O*kgtoGg=0,"NO",('Activity data'!BC7*EF!$H38*EF!AB56)*NtoN2O*kgtoGg)</f>
        <v>6.931382766868284E-3</v>
      </c>
      <c r="BD38" s="27">
        <f>IF(('Activity data'!BD7*EF!$H38*EF!AC56)*NtoN2O*kgtoGg=0,"NO",('Activity data'!BD7*EF!$H38*EF!AC56)*NtoN2O*kgtoGg)</f>
        <v>6.9364425599667493E-3</v>
      </c>
      <c r="BE38" s="27">
        <f>IF(('Activity data'!BE7*EF!$H38*EF!AD56)*NtoN2O*kgtoGg=0,"NO",('Activity data'!BE7*EF!$H38*EF!AD56)*NtoN2O*kgtoGg)</f>
        <v>6.9411381157540699E-3</v>
      </c>
      <c r="BF38" s="27">
        <f>IF(('Activity data'!BF7*EF!$H38*EF!AE56)*NtoN2O*kgtoGg=0,"NO",('Activity data'!BF7*EF!$H38*EF!AE56)*NtoN2O*kgtoGg)</f>
        <v>6.9455011980478565E-3</v>
      </c>
      <c r="BG38" s="27">
        <f>IF(('Activity data'!BG7*EF!$H38*EF!AF56)*NtoN2O*kgtoGg=0,"NO",('Activity data'!BG7*EF!$H38*EF!AF56)*NtoN2O*kgtoGg)</f>
        <v>6.9495709332144289E-3</v>
      </c>
      <c r="BH38" s="27">
        <f>IF(('Activity data'!BH7*EF!$H38*EF!AG56)*NtoN2O*kgtoGg=0,"NO",('Activity data'!BH7*EF!$H38*EF!AG56)*NtoN2O*kgtoGg)</f>
        <v>6.9532195920371295E-3</v>
      </c>
      <c r="BI38" s="27">
        <f>IF(('Activity data'!BI7*EF!$H38*EF!AH56)*NtoN2O*kgtoGg=0,"NO",('Activity data'!BI7*EF!$H38*EF!AH56)*NtoN2O*kgtoGg)</f>
        <v>6.9563613994300545E-3</v>
      </c>
      <c r="BJ38" s="27">
        <f>IF(('Activity data'!BJ7*EF!$H38*EF!AI56)*NtoN2O*kgtoGg=0,"NO",('Activity data'!BJ7*EF!$H38*EF!AI56)*NtoN2O*kgtoGg)</f>
        <v>6.9589826003472414E-3</v>
      </c>
      <c r="BK38" s="27">
        <f>IF(('Activity data'!BK7*EF!$H38*EF!AJ56)*NtoN2O*kgtoGg=0,"NO",('Activity data'!BK7*EF!$H38*EF!AJ56)*NtoN2O*kgtoGg)</f>
        <v>6.9609858708405197E-3</v>
      </c>
      <c r="BL38" s="27">
        <f>IF(('Activity data'!BL7*EF!$H38*EF!AK56)*NtoN2O*kgtoGg=0,"NO",('Activity data'!BL7*EF!$H38*EF!AK56)*NtoN2O*kgtoGg)</f>
        <v>6.9622655475345486E-3</v>
      </c>
      <c r="BM38" s="27">
        <f>IF(('Activity data'!BM7*EF!$H38*EF!AL56)*NtoN2O*kgtoGg=0,"NO",('Activity data'!BM7*EF!$H38*EF!AL56)*NtoN2O*kgtoGg)</f>
        <v>6.9628085795287523E-3</v>
      </c>
      <c r="BN38" s="27">
        <f>IF(('Activity data'!BN7*EF!$H38*EF!AM56)*NtoN2O*kgtoGg=0,"NO",('Activity data'!BN7*EF!$H38*EF!AM56)*NtoN2O*kgtoGg)</f>
        <v>6.9626299750131342E-3</v>
      </c>
      <c r="BO38" s="27">
        <f>IF(('Activity data'!BO7*EF!$H38*EF!AN56)*NtoN2O*kgtoGg=0,"NO",('Activity data'!BO7*EF!$H38*EF!AN56)*NtoN2O*kgtoGg)</f>
        <v>6.9617402004688092E-3</v>
      </c>
      <c r="BP38" s="27">
        <f>IF(('Activity data'!BP7*EF!$H38*EF!AO56)*NtoN2O*kgtoGg=0,"NO",('Activity data'!BP7*EF!$H38*EF!AO56)*NtoN2O*kgtoGg)</f>
        <v>6.960039873828548E-3</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0.52525224947331295</v>
      </c>
      <c r="AE39" s="27">
        <f>IF(('Activity data'!AE8*EF!$H39*EF!$H57)*NtoN2O*kgtoGg=0,"NO",('Activity data'!AE8*EF!$H39*EF!$H57)*NtoN2O*kgtoGg)</f>
        <v>0.5206969044571037</v>
      </c>
      <c r="AF39" s="27">
        <f>IF(('Activity data'!AF8*EF!$H39*EF!$H57)*NtoN2O*kgtoGg=0,"NO",('Activity data'!AF8*EF!$H39*EF!$H57)*NtoN2O*kgtoGg)</f>
        <v>0.51896282251134873</v>
      </c>
      <c r="AG39" s="27">
        <f>IF(('Activity data'!AG8*EF!$H39*EF!$H57)*NtoN2O*kgtoGg=0,"NO",('Activity data'!AG8*EF!$H39*EF!$H57)*NtoN2O*kgtoGg)</f>
        <v>0.51203275332440923</v>
      </c>
      <c r="AH39" s="27">
        <f>IF(('Activity data'!AH8*EF!$H39*EF!$H57)*NtoN2O*kgtoGg=0,"NO",('Activity data'!AH8*EF!$H39*EF!$H57)*NtoN2O*kgtoGg)</f>
        <v>0.50197358865556674</v>
      </c>
      <c r="AI39" s="27">
        <f>IF(('Activity data'!AI8*EF!$H39*EF!$H57)*NtoN2O*kgtoGg=0,"NO",('Activity data'!AI8*EF!$H39*EF!H57)*NtoN2O*kgtoGg)</f>
        <v>0.48899333628247277</v>
      </c>
      <c r="AJ39" s="27">
        <f>IF(('Activity data'!AJ8*EF!$H39*EF!$H57)*NtoN2O*kgtoGg=0,"NO",('Activity data'!AJ8*EF!$H39*EF!I57)*NtoN2O*kgtoGg)</f>
        <v>0.47875543160314166</v>
      </c>
      <c r="AK39" s="27">
        <f>IF(('Activity data'!AK8*EF!$H39*EF!$H57)*NtoN2O*kgtoGg=0,"NO",('Activity data'!AK8*EF!$H39*EF!J57)*NtoN2O*kgtoGg)</f>
        <v>0.46906920988966783</v>
      </c>
      <c r="AL39" s="27">
        <f>IF(('Activity data'!AL8*EF!$H39*EF!$H57)*NtoN2O*kgtoGg=0,"NO",('Activity data'!AL8*EF!$H39*EF!K57)*NtoN2O*kgtoGg)</f>
        <v>0.41949739097667643</v>
      </c>
      <c r="AM39" s="27">
        <f>IF(('Activity data'!AM8*EF!$H39*EF!$H57)*NtoN2O*kgtoGg=0,"NO",('Activity data'!AM8*EF!$H39*EF!L57)*NtoN2O*kgtoGg)</f>
        <v>0.43565935064957972</v>
      </c>
      <c r="AN39" s="27">
        <f>IF(('Activity data'!AN8*EF!$H39*EF!$H57)*NtoN2O*kgtoGg=0,"NO",('Activity data'!AN8*EF!$H39*EF!M57)*NtoN2O*kgtoGg)</f>
        <v>1.3730656770552265</v>
      </c>
      <c r="AO39" s="27">
        <f>IF(('Activity data'!AO8*EF!$H39*EF!$H57)*NtoN2O*kgtoGg=0,"NO",('Activity data'!AO8*EF!$H39*EF!N57)*NtoN2O*kgtoGg)</f>
        <v>1.3796884935069886</v>
      </c>
      <c r="AP39" s="27">
        <f>IF(('Activity data'!AP8*EF!$H39*EF!$H57)*NtoN2O*kgtoGg=0,"NO",('Activity data'!AP8*EF!$H39*EF!O57)*NtoN2O*kgtoGg)</f>
        <v>1.3839270796629521</v>
      </c>
      <c r="AQ39" s="27">
        <f>IF(('Activity data'!AQ8*EF!$H39*EF!$H57)*NtoN2O*kgtoGg=0,"NO",('Activity data'!AQ8*EF!$H39*EF!P57)*NtoN2O*kgtoGg)</f>
        <v>1.3857805722044871</v>
      </c>
      <c r="AR39" s="27">
        <f>IF(('Activity data'!AR8*EF!$H39*EF!$H57)*NtoN2O*kgtoGg=0,"NO",('Activity data'!AR8*EF!$H39*EF!Q57)*NtoN2O*kgtoGg)</f>
        <v>1.3852882351123565</v>
      </c>
      <c r="AS39" s="27">
        <f>IF(('Activity data'!AS8*EF!$H39*EF!$H57)*NtoN2O*kgtoGg=0,"NO",('Activity data'!AS8*EF!$H39*EF!R57)*NtoN2O*kgtoGg)</f>
        <v>1.3824264694708266</v>
      </c>
      <c r="AT39" s="27">
        <f>IF(('Activity data'!AT8*EF!$H39*EF!$H57)*NtoN2O*kgtoGg=0,"NO",('Activity data'!AT8*EF!$H39*EF!S57)*NtoN2O*kgtoGg)</f>
        <v>1.3771882651473364</v>
      </c>
      <c r="AU39" s="27">
        <f>IF(('Activity data'!AU8*EF!$H39*EF!$H57)*NtoN2O*kgtoGg=0,"NO",('Activity data'!AU8*EF!$H39*EF!T57)*NtoN2O*kgtoGg)</f>
        <v>1.3695779562696064</v>
      </c>
      <c r="AV39" s="27">
        <f>IF(('Activity data'!AV8*EF!$H39*EF!$H57)*NtoN2O*kgtoGg=0,"NO",('Activity data'!AV8*EF!$H39*EF!U57)*NtoN2O*kgtoGg)</f>
        <v>1.3596126553947701</v>
      </c>
      <c r="AW39" s="27">
        <f>IF(('Activity data'!AW8*EF!$H39*EF!$H57)*NtoN2O*kgtoGg=0,"NO",('Activity data'!AW8*EF!$H39*EF!V57)*NtoN2O*kgtoGg)</f>
        <v>1.33600285419975</v>
      </c>
      <c r="AX39" s="27">
        <f>IF(('Activity data'!AX8*EF!$H39*EF!$H57)*NtoN2O*kgtoGg=0,"NO",('Activity data'!AX8*EF!$H39*EF!W57)*NtoN2O*kgtoGg)</f>
        <v>1.3101691590672178</v>
      </c>
      <c r="AY39" s="27">
        <f>IF(('Activity data'!AY8*EF!$H39*EF!$H57)*NtoN2O*kgtoGg=0,"NO",('Activity data'!AY8*EF!$H39*EF!X57)*NtoN2O*kgtoGg)</f>
        <v>1.2822276459176047</v>
      </c>
      <c r="AZ39" s="27">
        <f>IF(('Activity data'!AZ8*EF!$H39*EF!$H57)*NtoN2O*kgtoGg=0,"NO",('Activity data'!AZ8*EF!$H39*EF!Y57)*NtoN2O*kgtoGg)</f>
        <v>1.2523075801974097</v>
      </c>
      <c r="BA39" s="27">
        <f>IF(('Activity data'!BA8*EF!$H39*EF!$H57)*NtoN2O*kgtoGg=0,"NO",('Activity data'!BA8*EF!$H39*EF!Z57)*NtoN2O*kgtoGg)</f>
        <v>1.2205465760046283</v>
      </c>
      <c r="BB39" s="27">
        <f>IF(('Activity data'!BB8*EF!$H39*EF!$H57)*NtoN2O*kgtoGg=0,"NO",('Activity data'!BB8*EF!$H39*EF!AA57)*NtoN2O*kgtoGg)</f>
        <v>1.1870911726481781</v>
      </c>
      <c r="BC39" s="27">
        <f>IF(('Activity data'!BC8*EF!$H39*EF!$H57)*NtoN2O*kgtoGg=0,"NO",('Activity data'!BC8*EF!$H39*EF!AB57)*NtoN2O*kgtoGg)</f>
        <v>-9.1659099684125458E-2</v>
      </c>
      <c r="BD39" s="27">
        <f>IF(('Activity data'!BD8*EF!$H39*EF!$H57)*NtoN2O*kgtoGg=0,"NO",('Activity data'!BD8*EF!$H39*EF!AC57)*NtoN2O*kgtoGg)</f>
        <v>-8.9452213438823466E-2</v>
      </c>
      <c r="BE39" s="27">
        <f>IF(('Activity data'!BE8*EF!$H39*EF!$H57)*NtoN2O*kgtoGg=0,"NO",('Activity data'!BE8*EF!$H39*EF!AD57)*NtoN2O*kgtoGg)</f>
        <v>-8.7268288718690495E-2</v>
      </c>
      <c r="BF39" s="27">
        <f>IF(('Activity data'!BF8*EF!$H39*EF!$H57)*NtoN2O*kgtoGg=0,"NO",('Activity data'!BF8*EF!$H39*EF!AE57)*NtoN2O*kgtoGg)</f>
        <v>-8.5107099964586319E-2</v>
      </c>
      <c r="BG39" s="27">
        <f>IF(('Activity data'!BG8*EF!$H39*EF!$H57)*NtoN2O*kgtoGg=0,"NO",('Activity data'!BG8*EF!$H39*EF!AF57)*NtoN2O*kgtoGg)</f>
        <v>-8.3391821536204336E-2</v>
      </c>
      <c r="BH39" s="27">
        <f>IF(('Activity data'!BH8*EF!$H39*EF!$H57)*NtoN2O*kgtoGg=0,"NO",('Activity data'!BH8*EF!$H39*EF!AG57)*NtoN2O*kgtoGg)</f>
        <v>-8.1692814399719135E-2</v>
      </c>
      <c r="BI39" s="27">
        <f>IF(('Activity data'!BI8*EF!$H39*EF!$H57)*NtoN2O*kgtoGg=0,"NO",('Activity data'!BI8*EF!$H39*EF!AH57)*NtoN2O*kgtoGg)</f>
        <v>-8.0008814881266738E-2</v>
      </c>
      <c r="BJ39" s="27">
        <f>IF(('Activity data'!BJ8*EF!$H39*EF!$H57)*NtoN2O*kgtoGg=0,"NO",('Activity data'!BJ8*EF!$H39*EF!AI57)*NtoN2O*kgtoGg)</f>
        <v>-7.8339405843548718E-2</v>
      </c>
      <c r="BK39" s="27">
        <f>IF(('Activity data'!BK8*EF!$H39*EF!$H57)*NtoN2O*kgtoGg=0,"NO",('Activity data'!BK8*EF!$H39*EF!AJ57)*NtoN2O*kgtoGg)</f>
        <v>-7.6683366781164067E-2</v>
      </c>
      <c r="BL39" s="27">
        <f>IF(('Activity data'!BL8*EF!$H39*EF!$H57)*NtoN2O*kgtoGg=0,"NO",('Activity data'!BL8*EF!$H39*EF!AK57)*NtoN2O*kgtoGg)</f>
        <v>-7.5039502453707246E-2</v>
      </c>
      <c r="BM39" s="27">
        <f>IF(('Activity data'!BM8*EF!$H39*EF!$H57)*NtoN2O*kgtoGg=0,"NO",('Activity data'!BM8*EF!$H39*EF!AL57)*NtoN2O*kgtoGg)</f>
        <v>-7.3407620898571099E-2</v>
      </c>
      <c r="BN39" s="27">
        <f>IF(('Activity data'!BN8*EF!$H39*EF!$H57)*NtoN2O*kgtoGg=0,"NO",('Activity data'!BN8*EF!$H39*EF!AM57)*NtoN2O*kgtoGg)</f>
        <v>-7.1787822935495418E-2</v>
      </c>
      <c r="BO39" s="27">
        <f>IF(('Activity data'!BO8*EF!$H39*EF!$H57)*NtoN2O*kgtoGg=0,"NO",('Activity data'!BO8*EF!$H39*EF!AN57)*NtoN2O*kgtoGg)</f>
        <v>-7.0180170412069726E-2</v>
      </c>
      <c r="BP39" s="27">
        <f>IF(('Activity data'!BP8*EF!$H39*EF!$H57)*NtoN2O*kgtoGg=0,"NO",('Activity data'!BP8*EF!$H39*EF!AO57)*NtoN2O*kgtoGg)</f>
        <v>-6.8583739954492046E-2</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0.80452586370517853</v>
      </c>
      <c r="AE40" s="27">
        <f>IF(('Activity data'!AE9*EF!$H40*EF!$H58)*NtoN2O*kgtoGg=0,"NO",('Activity data'!AE9*EF!$H40*EF!$H58)*NtoN2O*kgtoGg)</f>
        <v>0.79754846782098077</v>
      </c>
      <c r="AF40" s="27">
        <f>IF(('Activity data'!AF9*EF!$H40*EF!$H58)*NtoN2O*kgtoGg=0,"NO",('Activity data'!AF9*EF!$H40*EF!$H58)*NtoN2O*kgtoGg)</f>
        <v>0.79489238443144161</v>
      </c>
      <c r="AG40" s="27">
        <f>IF(('Activity data'!AG9*EF!$H40*EF!$H58)*NtoN2O*kgtoGg=0,"NO",('Activity data'!AG9*EF!$H40*EF!$H58)*NtoN2O*kgtoGg)</f>
        <v>0.78427763712907461</v>
      </c>
      <c r="AH40" s="27">
        <f>IF(('Activity data'!AH9*EF!$H40*EF!$H58)*NtoN2O*kgtoGg=0,"NO",('Activity data'!AH9*EF!$H40*EF!$H58)*NtoN2O*kgtoGg)</f>
        <v>0.76887007218962322</v>
      </c>
      <c r="AI40" s="27">
        <f>IF(('Activity data'!AI9*EF!$H40*EF!H58)*NtoN2O*kgtoGg=0,"NO",('Activity data'!AI9*EF!$H40*EF!H58)*NtoN2O*kgtoGg)</f>
        <v>0.74898829393537247</v>
      </c>
      <c r="AJ40" s="27">
        <f>IF(('Activity data'!AJ9*EF!$H40*EF!I58)*NtoN2O*kgtoGg=0,"NO",('Activity data'!AJ9*EF!$H40*EF!I58)*NtoN2O*kgtoGg)</f>
        <v>0.73330695394505496</v>
      </c>
      <c r="AK40" s="27">
        <f>IF(('Activity data'!AK9*EF!$H40*EF!J58)*NtoN2O*kgtoGg=0,"NO",('Activity data'!AK9*EF!$H40*EF!J58)*NtoN2O*kgtoGg)</f>
        <v>0.71847062359542468</v>
      </c>
      <c r="AL40" s="27">
        <f>IF(('Activity data'!AL9*EF!$H40*EF!K58)*NtoN2O*kgtoGg=0,"NO",('Activity data'!AL9*EF!$H40*EF!K58)*NtoN2O*kgtoGg)</f>
        <v>0.64254175234089539</v>
      </c>
      <c r="AM40" s="27">
        <f>IF(('Activity data'!AM9*EF!$H40*EF!L58)*NtoN2O*kgtoGg=0,"NO",('Activity data'!AM9*EF!$H40*EF!L58)*NtoN2O*kgtoGg)</f>
        <v>0.66729693345254038</v>
      </c>
      <c r="AN40" s="27">
        <f>IF(('Activity data'!AN9*EF!$H40*EF!M58)*NtoN2O*kgtoGg=0,"NO",('Activity data'!AN9*EF!$H40*EF!M58)*NtoN2O*kgtoGg)</f>
        <v>2.1031168374137881</v>
      </c>
      <c r="AO40" s="27">
        <f>IF(('Activity data'!AO9*EF!$H40*EF!N58)*NtoN2O*kgtoGg=0,"NO",('Activity data'!AO9*EF!$H40*EF!N58)*NtoN2O*kgtoGg)</f>
        <v>2.1132609674605565</v>
      </c>
      <c r="AP40" s="27">
        <f>IF(('Activity data'!AP9*EF!$H40*EF!O58)*NtoN2O*kgtoGg=0,"NO",('Activity data'!AP9*EF!$H40*EF!O58)*NtoN2O*kgtoGg)</f>
        <v>2.1197531856118057</v>
      </c>
      <c r="AQ40" s="27">
        <f>IF(('Activity data'!AQ9*EF!$H40*EF!P58)*NtoN2O*kgtoGg=0,"NO",('Activity data'!AQ9*EF!$H40*EF!P58)*NtoN2O*kgtoGg)</f>
        <v>2.1225921695273335</v>
      </c>
      <c r="AR40" s="27">
        <f>IF(('Activity data'!AR9*EF!$H40*EF!Q58)*NtoN2O*kgtoGg=0,"NO",('Activity data'!AR9*EF!$H40*EF!Q58)*NtoN2O*kgtoGg)</f>
        <v>2.1218380596217075</v>
      </c>
      <c r="AS40" s="27">
        <f>IF(('Activity data'!AS9*EF!$H40*EF!R58)*NtoN2O*kgtoGg=0,"NO",('Activity data'!AS9*EF!$H40*EF!R58)*NtoN2O*kgtoGg)</f>
        <v>2.1174547095707896</v>
      </c>
      <c r="AT40" s="27">
        <f>IF(('Activity data'!AT9*EF!$H40*EF!S58)*NtoN2O*kgtoGg=0,"NO",('Activity data'!AT9*EF!$H40*EF!S58)*NtoN2O*kgtoGg)</f>
        <v>2.1094313819946655</v>
      </c>
      <c r="AU40" s="27">
        <f>IF(('Activity data'!AU9*EF!$H40*EF!T58)*NtoN2O*kgtoGg=0,"NO",('Activity data'!AU9*EF!$H40*EF!T58)*NtoN2O*kgtoGg)</f>
        <v>2.0977747154519557</v>
      </c>
      <c r="AV40" s="27">
        <f>IF(('Activity data'!AV9*EF!$H40*EF!U58)*NtoN2O*kgtoGg=0,"NO",('Activity data'!AV9*EF!$H40*EF!U58)*NtoN2O*kgtoGg)</f>
        <v>2.0825109211484589</v>
      </c>
      <c r="AW40" s="27">
        <f>IF(('Activity data'!AW9*EF!$H40*EF!V58)*NtoN2O*kgtoGg=0,"NO",('Activity data'!AW9*EF!$H40*EF!V58)*NtoN2O*kgtoGg)</f>
        <v>2.0463479238126498</v>
      </c>
      <c r="AX40" s="27">
        <f>IF(('Activity data'!AX9*EF!$H40*EF!W58)*NtoN2O*kgtoGg=0,"NO",('Activity data'!AX9*EF!$H40*EF!W58)*NtoN2O*kgtoGg)</f>
        <v>2.0067786008634618</v>
      </c>
      <c r="AY40" s="27">
        <f>IF(('Activity data'!AY9*EF!$H40*EF!X58)*NtoN2O*kgtoGg=0,"NO",('Activity data'!AY9*EF!$H40*EF!X58)*NtoN2O*kgtoGg)</f>
        <v>1.9639807451237425</v>
      </c>
      <c r="AZ40" s="27">
        <f>IF(('Activity data'!AZ9*EF!$H40*EF!Y58)*NtoN2O*kgtoGg=0,"NO",('Activity data'!AZ9*EF!$H40*EF!Y58)*NtoN2O*kgtoGg)</f>
        <v>1.9181523517379118</v>
      </c>
      <c r="BA40" s="27">
        <f>IF(('Activity data'!BA9*EF!$H40*EF!Z58)*NtoN2O*kgtoGg=0,"NO",('Activity data'!BA9*EF!$H40*EF!Z58)*NtoN2O*kgtoGg)</f>
        <v>1.8695042034320957</v>
      </c>
      <c r="BB40" s="27">
        <f>IF(('Activity data'!BB9*EF!$H40*EF!AA58)*NtoN2O*kgtoGg=0,"NO",('Activity data'!BB9*EF!$H40*EF!AA58)*NtoN2O*kgtoGg)</f>
        <v>1.8182607536268967</v>
      </c>
      <c r="BC40" s="27">
        <f>IF(('Activity data'!BC9*EF!$H40*EF!AB58)*NtoN2O*kgtoGg=0,"NO",('Activity data'!BC9*EF!$H40*EF!AB58)*NtoN2O*kgtoGg)</f>
        <v>-0.14039371828250841</v>
      </c>
      <c r="BD40" s="27">
        <f>IF(('Activity data'!BD9*EF!$H40*EF!AC58)*NtoN2O*kgtoGg=0,"NO",('Activity data'!BD9*EF!$H40*EF!AC58)*NtoN2O*kgtoGg)</f>
        <v>-0.13701344325392734</v>
      </c>
      <c r="BE40" s="27">
        <f>IF(('Activity data'!BE9*EF!$H40*EF!AD58)*NtoN2O*kgtoGg=0,"NO",('Activity data'!BE9*EF!$H40*EF!AD58)*NtoN2O*kgtoGg)</f>
        <v>-0.13366833826200414</v>
      </c>
      <c r="BF40" s="27">
        <f>IF(('Activity data'!BF9*EF!$H40*EF!AE58)*NtoN2O*kgtoGg=0,"NO",('Activity data'!BF9*EF!$H40*EF!AE58)*NtoN2O*kgtoGg)</f>
        <v>-0.13035805781909493</v>
      </c>
      <c r="BG40" s="27">
        <f>IF(('Activity data'!BG9*EF!$H40*EF!AF58)*NtoN2O*kgtoGg=0,"NO",('Activity data'!BG9*EF!$H40*EF!AF58)*NtoN2O*kgtoGg)</f>
        <v>-0.12773077566947513</v>
      </c>
      <c r="BH40" s="27">
        <f>IF(('Activity data'!BH9*EF!$H40*EF!AG58)*NtoN2O*kgtoGg=0,"NO",('Activity data'!BH9*EF!$H40*EF!AG58)*NtoN2O*kgtoGg)</f>
        <v>-0.12512841616450843</v>
      </c>
      <c r="BI40" s="27">
        <f>IF(('Activity data'!BI9*EF!$H40*EF!AH58)*NtoN2O*kgtoGg=0,"NO",('Activity data'!BI9*EF!$H40*EF!AH58)*NtoN2O*kgtoGg)</f>
        <v>-0.12254904374217125</v>
      </c>
      <c r="BJ40" s="27">
        <f>IF(('Activity data'!BJ9*EF!$H40*EF!AI58)*NtoN2O*kgtoGg=0,"NO",('Activity data'!BJ9*EF!$H40*EF!AI58)*NtoN2O*kgtoGg)</f>
        <v>-0.11999201947565157</v>
      </c>
      <c r="BK40" s="27">
        <f>IF(('Activity data'!BK9*EF!$H40*EF!AJ58)*NtoN2O*kgtoGg=0,"NO",('Activity data'!BK9*EF!$H40*EF!AJ58)*NtoN2O*kgtoGg)</f>
        <v>-0.11745547392381339</v>
      </c>
      <c r="BL40" s="27">
        <f>IF(('Activity data'!BL9*EF!$H40*EF!AK58)*NtoN2O*kgtoGg=0,"NO",('Activity data'!BL9*EF!$H40*EF!AK58)*NtoN2O*kgtoGg)</f>
        <v>-0.11493757634376978</v>
      </c>
      <c r="BM40" s="27">
        <f>IF(('Activity data'!BM9*EF!$H40*EF!AL58)*NtoN2O*kgtoGg=0,"NO",('Activity data'!BM9*EF!$H40*EF!AL58)*NtoN2O*kgtoGg)</f>
        <v>-0.11243803270749411</v>
      </c>
      <c r="BN40" s="27">
        <f>IF(('Activity data'!BN9*EF!$H40*EF!AM58)*NtoN2O*kgtoGg=0,"NO",('Activity data'!BN9*EF!$H40*EF!AM58)*NtoN2O*kgtoGg)</f>
        <v>-0.10995699744000494</v>
      </c>
      <c r="BO40" s="27">
        <f>IF(('Activity data'!BO9*EF!$H40*EF!AN58)*NtoN2O*kgtoGg=0,"NO",('Activity data'!BO9*EF!$H40*EF!AN58)*NtoN2O*kgtoGg)</f>
        <v>-0.10749456527290084</v>
      </c>
      <c r="BP40" s="27">
        <f>IF(('Activity data'!BP9*EF!$H40*EF!AO58)*NtoN2O*kgtoGg=0,"NO",('Activity data'!BP9*EF!$H40*EF!AO58)*NtoN2O*kgtoGg)</f>
        <v>-0.10504932187981528</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1.0122801448609147</v>
      </c>
      <c r="AF41" s="27">
        <f>IF(('Activity data'!AF10*EF!$H41*EF!$H59)*NtoN2O*kgtoGg=0,"NO",('Activity data'!AF10*EF!$H41*EF!$H59)*NtoN2O*kgtoGg)</f>
        <v>1.0514701788925804</v>
      </c>
      <c r="AG41" s="27">
        <f>IF(('Activity data'!AG10*EF!$H41*EF!$H59)*NtoN2O*kgtoGg=0,"NO",('Activity data'!AG10*EF!$H41*EF!$H59)*NtoN2O*kgtoGg)</f>
        <v>1.0806972456941155</v>
      </c>
      <c r="AH41" s="27">
        <f>IF(('Activity data'!AH10*EF!$H41*EF!$H59)*NtoN2O*kgtoGg=0,"NO",('Activity data'!AH10*EF!$H41*EF!$H59)*NtoN2O*kgtoGg)</f>
        <v>1.1032367943433714</v>
      </c>
      <c r="AI41" s="27">
        <f>IF(('Activity data'!AI10*EF!$H41*EF!H59)*NtoN2O*kgtoGg=0,"NO",('Activity data'!AI10*EF!$H41*EF!H59)*NtoN2O*kgtoGg)</f>
        <v>1.1187666946803869</v>
      </c>
      <c r="AJ41" s="27">
        <f>IF(('Activity data'!AJ10*EF!$H41*EF!I59)*NtoN2O*kgtoGg=0,"NO",('Activity data'!AJ10*EF!$H41*EF!I59)*NtoN2O*kgtoGg)</f>
        <v>1.1399714801203364</v>
      </c>
      <c r="AK41" s="27">
        <f>IF(('Activity data'!AK10*EF!$H41*EF!J59)*NtoN2O*kgtoGg=0,"NO",('Activity data'!AK10*EF!$H41*EF!J59)*NtoN2O*kgtoGg)</f>
        <v>1.1622002864669057</v>
      </c>
      <c r="AL41" s="27">
        <f>IF(('Activity data'!AL10*EF!$H41*EF!K59)*NtoN2O*kgtoGg=0,"NO",('Activity data'!AL10*EF!$H41*EF!K59)*NtoN2O*kgtoGg)</f>
        <v>1.0813845600959935</v>
      </c>
      <c r="AM41" s="27">
        <f>IF(('Activity data'!AM10*EF!$H41*EF!L59)*NtoN2O*kgtoGg=0,"NO",('Activity data'!AM10*EF!$H41*EF!L59)*NtoN2O*kgtoGg)</f>
        <v>1.1501042489069657</v>
      </c>
      <c r="AN41" s="27">
        <f>IF(('Activity data'!AN10*EF!$H41*EF!M59)*NtoN2O*kgtoGg=0,"NO",('Activity data'!AN10*EF!$H41*EF!M59)*NtoN2O*kgtoGg)</f>
        <v>3.7109100106027491</v>
      </c>
      <c r="AO41" s="27">
        <f>IF(('Activity data'!AO10*EF!$H41*EF!N59)*NtoN2O*kgtoGg=0,"NO",('Activity data'!AO10*EF!$H41*EF!N59)*NtoN2O*kgtoGg)</f>
        <v>3.81628643561459</v>
      </c>
      <c r="AP41" s="27">
        <f>IF(('Activity data'!AP10*EF!$H41*EF!O59)*NtoN2O*kgtoGg=0,"NO",('Activity data'!AP10*EF!$H41*EF!O59)*NtoN2O*kgtoGg)</f>
        <v>3.9167580657264067</v>
      </c>
      <c r="AQ41" s="27">
        <f>IF(('Activity data'!AQ10*EF!$H41*EF!P59)*NtoN2O*kgtoGg=0,"NO",('Activity data'!AQ10*EF!$H41*EF!P59)*NtoN2O*kgtoGg)</f>
        <v>4.0119388397207816</v>
      </c>
      <c r="AR41" s="27">
        <f>IF(('Activity data'!AR10*EF!$H41*EF!Q59)*NtoN2O*kgtoGg=0,"NO",('Activity data'!AR10*EF!$H41*EF!Q59)*NtoN2O*kgtoGg)</f>
        <v>4.1015489666041693</v>
      </c>
      <c r="AS41" s="27">
        <f>IF(('Activity data'!AS10*EF!$H41*EF!R59)*NtoN2O*kgtoGg=0,"NO",('Activity data'!AS10*EF!$H41*EF!R59)*NtoN2O*kgtoGg)</f>
        <v>4.185115809425092</v>
      </c>
      <c r="AT41" s="27">
        <f>IF(('Activity data'!AT10*EF!$H41*EF!S59)*NtoN2O*kgtoGg=0,"NO",('Activity data'!AT10*EF!$H41*EF!S59)*NtoN2O*kgtoGg)</f>
        <v>4.2621982223461794</v>
      </c>
      <c r="AU41" s="27">
        <f>IF(('Activity data'!AU10*EF!$H41*EF!T59)*NtoN2O*kgtoGg=0,"NO",('Activity data'!AU10*EF!$H41*EF!T59)*NtoN2O*kgtoGg)</f>
        <v>4.332374707921506</v>
      </c>
      <c r="AV41" s="27">
        <f>IF(('Activity data'!AV10*EF!$H41*EF!U59)*NtoN2O*kgtoGg=0,"NO",('Activity data'!AV10*EF!$H41*EF!U59)*NtoN2O*kgtoGg)</f>
        <v>4.3952511811697104</v>
      </c>
      <c r="AW41" s="27">
        <f>IF(('Activity data'!AW10*EF!$H41*EF!V59)*NtoN2O*kgtoGg=0,"NO",('Activity data'!AW10*EF!$H41*EF!V59)*NtoN2O*kgtoGg)</f>
        <v>4.4621545606882416</v>
      </c>
      <c r="AX41" s="27">
        <f>IF(('Activity data'!AX10*EF!$H41*EF!W59)*NtoN2O*kgtoGg=0,"NO",('Activity data'!AX10*EF!$H41*EF!W59)*NtoN2O*kgtoGg)</f>
        <v>4.5212658165225097</v>
      </c>
      <c r="AY41" s="27">
        <f>IF(('Activity data'!AY10*EF!$H41*EF!X59)*NtoN2O*kgtoGg=0,"NO",('Activity data'!AY10*EF!$H41*EF!X59)*NtoN2O*kgtoGg)</f>
        <v>4.572238941429692</v>
      </c>
      <c r="AZ41" s="27">
        <f>IF(('Activity data'!AZ10*EF!$H41*EF!Y59)*NtoN2O*kgtoGg=0,"NO",('Activity data'!AZ10*EF!$H41*EF!Y59)*NtoN2O*kgtoGg)</f>
        <v>4.6147735825145579</v>
      </c>
      <c r="BA41" s="27">
        <f>IF(('Activity data'!BA10*EF!$H41*EF!Z59)*NtoN2O*kgtoGg=0,"NO",('Activity data'!BA10*EF!$H41*EF!Z59)*NtoN2O*kgtoGg)</f>
        <v>4.6486045920264791</v>
      </c>
      <c r="BB41" s="27">
        <f>IF(('Activity data'!BB10*EF!$H41*EF!AA59)*NtoN2O*kgtoGg=0,"NO",('Activity data'!BB10*EF!$H41*EF!AA59)*NtoN2O*kgtoGg)</f>
        <v>4.6735101171168392</v>
      </c>
      <c r="BC41" s="27">
        <f>IF(('Activity data'!BC10*EF!$H41*EF!AB59)*NtoN2O*kgtoGg=0,"NO",('Activity data'!BC10*EF!$H41*EF!AB59)*NtoN2O*kgtoGg)</f>
        <v>-0.37307516132200708</v>
      </c>
      <c r="BD41" s="27">
        <f>IF(('Activity data'!BD10*EF!$H41*EF!AC59)*NtoN2O*kgtoGg=0,"NO",('Activity data'!BD10*EF!$H41*EF!AC59)*NtoN2O*kgtoGg)</f>
        <v>-0.37648970355727795</v>
      </c>
      <c r="BE41" s="27">
        <f>IF(('Activity data'!BE10*EF!$H41*EF!AD59)*NtoN2O*kgtoGg=0,"NO",('Activity data'!BE10*EF!$H41*EF!AD59)*NtoN2O*kgtoGg)</f>
        <v>-0.37988166723122341</v>
      </c>
      <c r="BF41" s="27">
        <f>IF(('Activity data'!BF10*EF!$H41*EF!AE59)*NtoN2O*kgtoGg=0,"NO",('Activity data'!BF10*EF!$H41*EF!AE59)*NtoN2O*kgtoGg)</f>
        <v>-0.38325274179247815</v>
      </c>
      <c r="BG41" s="27">
        <f>IF(('Activity data'!BG10*EF!$H41*EF!AF59)*NtoN2O*kgtoGg=0,"NO",('Activity data'!BG10*EF!$H41*EF!AF59)*NtoN2O*kgtoGg)</f>
        <v>-0.3861241570916577</v>
      </c>
      <c r="BH41" s="27">
        <f>IF(('Activity data'!BH10*EF!$H41*EF!AG59)*NtoN2O*kgtoGg=0,"NO",('Activity data'!BH10*EF!$H41*EF!AG59)*NtoN2O*kgtoGg)</f>
        <v>-0.38896686054418655</v>
      </c>
      <c r="BI41" s="27">
        <f>IF(('Activity data'!BI10*EF!$H41*EF!AH59)*NtoN2O*kgtoGg=0,"NO",('Activity data'!BI10*EF!$H41*EF!AH59)*NtoN2O*kgtoGg)</f>
        <v>-0.39177650128046815</v>
      </c>
      <c r="BJ41" s="27">
        <f>IF(('Activity data'!BJ10*EF!$H41*EF!AI59)*NtoN2O*kgtoGg=0,"NO",('Activity data'!BJ10*EF!$H41*EF!AI59)*NtoN2O*kgtoGg)</f>
        <v>-0.39455230658450102</v>
      </c>
      <c r="BK41" s="27">
        <f>IF(('Activity data'!BK10*EF!$H41*EF!AJ59)*NtoN2O*kgtoGg=0,"NO",('Activity data'!BK10*EF!$H41*EF!AJ59)*NtoN2O*kgtoGg)</f>
        <v>-0.39728909714720628</v>
      </c>
      <c r="BL41" s="27">
        <f>IF(('Activity data'!BL10*EF!$H41*EF!AK59)*NtoN2O*kgtoGg=0,"NO",('Activity data'!BL10*EF!$H41*EF!AK59)*NtoN2O*kgtoGg)</f>
        <v>-0.39998109146847105</v>
      </c>
      <c r="BM41" s="27">
        <f>IF(('Activity data'!BM10*EF!$H41*EF!AL59)*NtoN2O*kgtoGg=0,"NO",('Activity data'!BM10*EF!$H41*EF!AL59)*NtoN2O*kgtoGg)</f>
        <v>-0.40262723351695445</v>
      </c>
      <c r="BN41" s="27">
        <f>IF(('Activity data'!BN10*EF!$H41*EF!AM59)*NtoN2O*kgtoGg=0,"NO",('Activity data'!BN10*EF!$H41*EF!AM59)*NtoN2O*kgtoGg)</f>
        <v>-0.4052279233246403</v>
      </c>
      <c r="BO41" s="27">
        <f>IF(('Activity data'!BO10*EF!$H41*EF!AN59)*NtoN2O*kgtoGg=0,"NO",('Activity data'!BO10*EF!$H41*EF!AN59)*NtoN2O*kgtoGg)</f>
        <v>-0.40778332090512204</v>
      </c>
      <c r="BP41" s="27">
        <f>IF(('Activity data'!BP10*EF!$H41*EF!AO59)*NtoN2O*kgtoGg=0,"NO",('Activity data'!BP10*EF!$H41*EF!AO59)*NtoN2O*kgtoGg)</f>
        <v>-0.41028765697691083</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0.11888990250365807</v>
      </c>
      <c r="AM42" s="27">
        <f>IF(('Activity data'!AM11*EF!$H42*EF!L60)*NtoN2O*kgtoGg=0,"NO",('Activity data'!AM11*EF!$H42*EF!L60)*NtoN2O*kgtoGg)</f>
        <v>0.1189690287837306</v>
      </c>
      <c r="AN42" s="27">
        <f>IF(('Activity data'!AN11*EF!$H42*EF!M60)*NtoN2O*kgtoGg=0,"NO",('Activity data'!AN11*EF!$H42*EF!M60)*NtoN2O*kgtoGg)</f>
        <v>0.12051861082287679</v>
      </c>
      <c r="AO42" s="27">
        <f>IF(('Activity data'!AO11*EF!$H42*EF!N60)*NtoN2O*kgtoGg=0,"NO",('Activity data'!AO11*EF!$H42*EF!N60)*NtoN2O*kgtoGg)</f>
        <v>0.1205564116673056</v>
      </c>
      <c r="AP42" s="27">
        <f>IF(('Activity data'!AP11*EF!$H42*EF!O60)*NtoN2O*kgtoGg=0,"NO",('Activity data'!AP11*EF!$H42*EF!O60)*NtoN2O*kgtoGg)</f>
        <v>0.1207181038170992</v>
      </c>
      <c r="AQ42" s="27">
        <f>IF(('Activity data'!AQ11*EF!$H42*EF!P60)*NtoN2O*kgtoGg=0,"NO",('Activity data'!AQ11*EF!$H42*EF!P60)*NtoN2O*kgtoGg)</f>
        <v>0.1209518337442019</v>
      </c>
      <c r="AR42" s="27">
        <f>IF(('Activity data'!AR11*EF!$H42*EF!Q60)*NtoN2O*kgtoGg=0,"NO",('Activity data'!AR11*EF!$H42*EF!Q60)*NtoN2O*kgtoGg)</f>
        <v>0.12116896083678347</v>
      </c>
      <c r="AS42" s="27">
        <f>IF(('Activity data'!AS11*EF!$H42*EF!R60)*NtoN2O*kgtoGg=0,"NO",('Activity data'!AS11*EF!$H42*EF!R60)*NtoN2O*kgtoGg)</f>
        <v>0.12137217342001694</v>
      </c>
      <c r="AT42" s="27">
        <f>IF(('Activity data'!AT11*EF!$H42*EF!S60)*NtoN2O*kgtoGg=0,"NO",('Activity data'!AT11*EF!$H42*EF!S60)*NtoN2O*kgtoGg)</f>
        <v>0.1215603878714394</v>
      </c>
      <c r="AU42" s="27">
        <f>IF(('Activity data'!AU11*EF!$H42*EF!T60)*NtoN2O*kgtoGg=0,"NO",('Activity data'!AU11*EF!$H42*EF!T60)*NtoN2O*kgtoGg)</f>
        <v>0.12173530001872475</v>
      </c>
      <c r="AV42" s="27">
        <f>IF(('Activity data'!AV11*EF!$H42*EF!U60)*NtoN2O*kgtoGg=0,"NO",('Activity data'!AV11*EF!$H42*EF!U60)*NtoN2O*kgtoGg)</f>
        <v>0.12189956310100271</v>
      </c>
      <c r="AW42" s="27">
        <f>IF(('Activity data'!AW11*EF!$H42*EF!V60)*NtoN2O*kgtoGg=0,"NO",('Activity data'!AW11*EF!$H42*EF!V60)*NtoN2O*kgtoGg)</f>
        <v>0.12205302234453672</v>
      </c>
      <c r="AX42" s="27">
        <f>IF(('Activity data'!AX11*EF!$H42*EF!W60)*NtoN2O*kgtoGg=0,"NO",('Activity data'!AX11*EF!$H42*EF!W60)*NtoN2O*kgtoGg)</f>
        <v>0.12219813225383717</v>
      </c>
      <c r="AY42" s="27">
        <f>IF(('Activity data'!AY11*EF!$H42*EF!X60)*NtoN2O*kgtoGg=0,"NO",('Activity data'!AY11*EF!$H42*EF!X60)*NtoN2O*kgtoGg)</f>
        <v>0.12233524409037175</v>
      </c>
      <c r="AZ42" s="27">
        <f>IF(('Activity data'!AZ11*EF!$H42*EF!Y60)*NtoN2O*kgtoGg=0,"NO",('Activity data'!AZ11*EF!$H42*EF!Y60)*NtoN2O*kgtoGg)</f>
        <v>0.12246247857835596</v>
      </c>
      <c r="BA42" s="27">
        <f>IF(('Activity data'!BA11*EF!$H42*EF!Z60)*NtoN2O*kgtoGg=0,"NO",('Activity data'!BA11*EF!$H42*EF!Z60)*NtoN2O*kgtoGg)</f>
        <v>0.12258099962950754</v>
      </c>
      <c r="BB42" s="27">
        <f>IF(('Activity data'!BB11*EF!$H42*EF!AA60)*NtoN2O*kgtoGg=0,"NO",('Activity data'!BB11*EF!$H42*EF!AA60)*NtoN2O*kgtoGg)</f>
        <v>0.1226926980528978</v>
      </c>
      <c r="BC42" s="27">
        <f>IF(('Activity data'!BC11*EF!$H42*EF!AB60)*NtoN2O*kgtoGg=0,"NO",('Activity data'!BC11*EF!$H42*EF!AB60)*NtoN2O*kgtoGg)</f>
        <v>0.12000006421083369</v>
      </c>
      <c r="BD42" s="27">
        <f>IF(('Activity data'!BD11*EF!$H42*EF!AC60)*NtoN2O*kgtoGg=0,"NO",('Activity data'!BD11*EF!$H42*EF!AC60)*NtoN2O*kgtoGg)</f>
        <v>0.12011041514130365</v>
      </c>
      <c r="BE42" s="27">
        <f>IF(('Activity data'!BE11*EF!$H42*EF!AD60)*NtoN2O*kgtoGg=0,"NO",('Activity data'!BE11*EF!$H42*EF!AD60)*NtoN2O*kgtoGg)</f>
        <v>0.12021334415571779</v>
      </c>
      <c r="BF42" s="27">
        <f>IF(('Activity data'!BF11*EF!$H42*EF!AE60)*NtoN2O*kgtoGg=0,"NO",('Activity data'!BF11*EF!$H42*EF!AE60)*NtoN2O*kgtoGg)</f>
        <v>0.12030948030331916</v>
      </c>
      <c r="BG42" s="27">
        <f>IF(('Activity data'!BG11*EF!$H42*EF!AF60)*NtoN2O*kgtoGg=0,"NO",('Activity data'!BG11*EF!$H42*EF!AF60)*NtoN2O*kgtoGg)</f>
        <v>0.12039958826810335</v>
      </c>
      <c r="BH42" s="27">
        <f>IF(('Activity data'!BH11*EF!$H42*EF!AG60)*NtoN2O*kgtoGg=0,"NO",('Activity data'!BH11*EF!$H42*EF!AG60)*NtoN2O*kgtoGg)</f>
        <v>0.12048129784431058</v>
      </c>
      <c r="BI42" s="27">
        <f>IF(('Activity data'!BI11*EF!$H42*EF!AH60)*NtoN2O*kgtoGg=0,"NO",('Activity data'!BI11*EF!$H42*EF!AH60)*NtoN2O*kgtoGg)</f>
        <v>0.12055302618273207</v>
      </c>
      <c r="BJ42" s="27">
        <f>IF(('Activity data'!BJ11*EF!$H42*EF!AI60)*NtoN2O*kgtoGg=0,"NO",('Activity data'!BJ11*EF!$H42*EF!AI60)*NtoN2O*kgtoGg)</f>
        <v>0.12061454144456668</v>
      </c>
      <c r="BK42" s="27">
        <f>IF(('Activity data'!BK11*EF!$H42*EF!AJ60)*NtoN2O*kgtoGg=0,"NO",('Activity data'!BK11*EF!$H42*EF!AJ60)*NtoN2O*kgtoGg)</f>
        <v>0.12066404237348154</v>
      </c>
      <c r="BL42" s="27">
        <f>IF(('Activity data'!BL11*EF!$H42*EF!AK60)*NtoN2O*kgtoGg=0,"NO",('Activity data'!BL11*EF!$H42*EF!AK60)*NtoN2O*kgtoGg)</f>
        <v>0.12069957105311468</v>
      </c>
      <c r="BM42" s="27">
        <f>IF(('Activity data'!BM11*EF!$H42*EF!AL60)*NtoN2O*kgtoGg=0,"NO",('Activity data'!BM11*EF!$H42*EF!AL60)*NtoN2O*kgtoGg)</f>
        <v>0.12072090668873016</v>
      </c>
      <c r="BN42" s="27">
        <f>IF(('Activity data'!BN11*EF!$H42*EF!AM60)*NtoN2O*kgtoGg=0,"NO",('Activity data'!BN11*EF!$H42*EF!AM60)*NtoN2O*kgtoGg)</f>
        <v>0.12072835361242823</v>
      </c>
      <c r="BO42" s="27">
        <f>IF(('Activity data'!BO11*EF!$H42*EF!AN60)*NtoN2O*kgtoGg=0,"NO",('Activity data'!BO11*EF!$H42*EF!AN60)*NtoN2O*kgtoGg)</f>
        <v>0.12072212964886384</v>
      </c>
      <c r="BP42" s="27">
        <f>IF(('Activity data'!BP11*EF!$H42*EF!AO60)*NtoN2O*kgtoGg=0,"NO",('Activity data'!BP11*EF!$H42*EF!AO60)*NtoN2O*kgtoGg)</f>
        <v>0.12070039195556491</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6.3575358075834407E-2</v>
      </c>
      <c r="AM43" s="27">
        <f>IF(('Activity data'!AM12*EF!$H43*EF!L61)*NtoN2O*kgtoGg=0,"NO",('Activity data'!AM12*EF!$H43*EF!L61)*NtoN2O*kgtoGg)</f>
        <v>6.3617670177054816E-2</v>
      </c>
      <c r="AN43" s="27">
        <f>IF(('Activity data'!AN12*EF!$H43*EF!M61)*NtoN2O*kgtoGg=0,"NO",('Activity data'!AN12*EF!$H43*EF!M61)*NtoN2O*kgtoGg)</f>
        <v>6.4446295913404186E-2</v>
      </c>
      <c r="AO43" s="27">
        <f>IF(('Activity data'!AO12*EF!$H43*EF!N61)*NtoN2O*kgtoGg=0,"NO",('Activity data'!AO12*EF!$H43*EF!N61)*NtoN2O*kgtoGg)</f>
        <v>6.4466509591517507E-2</v>
      </c>
      <c r="AP43" s="27">
        <f>IF(('Activity data'!AP12*EF!$H43*EF!O61)*NtoN2O*kgtoGg=0,"NO",('Activity data'!AP12*EF!$H43*EF!O61)*NtoN2O*kgtoGg)</f>
        <v>6.4552973085091836E-2</v>
      </c>
      <c r="AQ43" s="27">
        <f>IF(('Activity data'!AQ12*EF!$H43*EF!P61)*NtoN2O*kgtoGg=0,"NO",('Activity data'!AQ12*EF!$H43*EF!P61)*NtoN2O*kgtoGg)</f>
        <v>6.4677958163687016E-2</v>
      </c>
      <c r="AR43" s="27">
        <f>IF(('Activity data'!AR12*EF!$H43*EF!Q61)*NtoN2O*kgtoGg=0,"NO",('Activity data'!AR12*EF!$H43*EF!Q61)*NtoN2O*kgtoGg)</f>
        <v>6.479406501858509E-2</v>
      </c>
      <c r="AS43" s="27">
        <f>IF(('Activity data'!AS12*EF!$H43*EF!R61)*NtoN2O*kgtoGg=0,"NO",('Activity data'!AS12*EF!$H43*EF!R61)*NtoN2O*kgtoGg)</f>
        <v>6.4902731208669517E-2</v>
      </c>
      <c r="AT43" s="27">
        <f>IF(('Activity data'!AT12*EF!$H43*EF!S61)*NtoN2O*kgtoGg=0,"NO",('Activity data'!AT12*EF!$H43*EF!S61)*NtoN2O*kgtoGg)</f>
        <v>6.500337727610038E-2</v>
      </c>
      <c r="AU43" s="27">
        <f>IF(('Activity data'!AU12*EF!$H43*EF!T61)*NtoN2O*kgtoGg=0,"NO",('Activity data'!AU12*EF!$H43*EF!T61)*NtoN2O*kgtoGg)</f>
        <v>6.5096910050215798E-2</v>
      </c>
      <c r="AV43" s="27">
        <f>IF(('Activity data'!AV12*EF!$H43*EF!U61)*NtoN2O*kgtoGg=0,"NO",('Activity data'!AV12*EF!$H43*EF!U61)*NtoN2O*kgtoGg)</f>
        <v>6.518474832793783E-2</v>
      </c>
      <c r="AW43" s="27">
        <f>IF(('Activity data'!AW12*EF!$H43*EF!V61)*NtoN2O*kgtoGg=0,"NO",('Activity data'!AW12*EF!$H43*EF!V61)*NtoN2O*kgtoGg)</f>
        <v>6.5266809345335172E-2</v>
      </c>
      <c r="AX43" s="27">
        <f>IF(('Activity data'!AX12*EF!$H43*EF!W61)*NtoN2O*kgtoGg=0,"NO",('Activity data'!AX12*EF!$H43*EF!W61)*NtoN2O*kgtoGg)</f>
        <v>6.5344405627692656E-2</v>
      </c>
      <c r="AY43" s="27">
        <f>IF(('Activity data'!AY12*EF!$H43*EF!X61)*NtoN2O*kgtoGg=0,"NO",('Activity data'!AY12*EF!$H43*EF!X61)*NtoN2O*kgtoGg)</f>
        <v>6.5417725009074529E-2</v>
      </c>
      <c r="AZ43" s="27">
        <f>IF(('Activity data'!AZ12*EF!$H43*EF!Y61)*NtoN2O*kgtoGg=0,"NO",('Activity data'!AZ12*EF!$H43*EF!Y61)*NtoN2O*kgtoGg)</f>
        <v>6.5485762562835198E-2</v>
      </c>
      <c r="BA43" s="27">
        <f>IF(('Activity data'!BA12*EF!$H43*EF!Z61)*NtoN2O*kgtoGg=0,"NO",('Activity data'!BA12*EF!$H43*EF!Z61)*NtoN2O*kgtoGg)</f>
        <v>6.5549140680806597E-2</v>
      </c>
      <c r="BB43" s="27">
        <f>IF(('Activity data'!BB12*EF!$H43*EF!AA61)*NtoN2O*kgtoGg=0,"NO",('Activity data'!BB12*EF!$H43*EF!AA61)*NtoN2O*kgtoGg)</f>
        <v>6.560887045696083E-2</v>
      </c>
      <c r="BC43" s="27">
        <f>IF(('Activity data'!BC12*EF!$H43*EF!AB61)*NtoN2O*kgtoGg=0,"NO",('Activity data'!BC12*EF!$H43*EF!AB61)*NtoN2O*kgtoGg)</f>
        <v>6.4169007549586779E-2</v>
      </c>
      <c r="BD43" s="27">
        <f>IF(('Activity data'!BD12*EF!$H43*EF!AC61)*NtoN2O*kgtoGg=0,"NO",('Activity data'!BD12*EF!$H43*EF!AC61)*NtoN2O*kgtoGg)</f>
        <v>6.42280167654318E-2</v>
      </c>
      <c r="BE43" s="27">
        <f>IF(('Activity data'!BE12*EF!$H43*EF!AD61)*NtoN2O*kgtoGg=0,"NO",('Activity data'!BE12*EF!$H43*EF!AD61)*NtoN2O*kgtoGg)</f>
        <v>6.4283057175171951E-2</v>
      </c>
      <c r="BF43" s="27">
        <f>IF(('Activity data'!BF12*EF!$H43*EF!AE61)*NtoN2O*kgtoGg=0,"NO",('Activity data'!BF12*EF!$H43*EF!AE61)*NtoN2O*kgtoGg)</f>
        <v>6.4334465157507542E-2</v>
      </c>
      <c r="BG43" s="27">
        <f>IF(('Activity data'!BG12*EF!$H43*EF!AF61)*NtoN2O*kgtoGg=0,"NO",('Activity data'!BG12*EF!$H43*EF!AF61)*NtoN2O*kgtoGg)</f>
        <v>6.4382649620662147E-2</v>
      </c>
      <c r="BH43" s="27">
        <f>IF(('Activity data'!BH12*EF!$H43*EF!AG61)*NtoN2O*kgtoGg=0,"NO",('Activity data'!BH12*EF!$H43*EF!AG61)*NtoN2O*kgtoGg)</f>
        <v>6.4426343117386445E-2</v>
      </c>
      <c r="BI43" s="27">
        <f>IF(('Activity data'!BI12*EF!$H43*EF!AH61)*NtoN2O*kgtoGg=0,"NO",('Activity data'!BI12*EF!$H43*EF!AH61)*NtoN2O*kgtoGg)</f>
        <v>6.4464699232609876E-2</v>
      </c>
      <c r="BJ43" s="27">
        <f>IF(('Activity data'!BJ12*EF!$H43*EF!AI61)*NtoN2O*kgtoGg=0,"NO",('Activity data'!BJ12*EF!$H43*EF!AI61)*NtoN2O*kgtoGg)</f>
        <v>6.4497593992517213E-2</v>
      </c>
      <c r="BK43" s="27">
        <f>IF(('Activity data'!BK12*EF!$H43*EF!AJ61)*NtoN2O*kgtoGg=0,"NO",('Activity data'!BK12*EF!$H43*EF!AJ61)*NtoN2O*kgtoGg)</f>
        <v>6.452406419069702E-2</v>
      </c>
      <c r="BL43" s="27">
        <f>IF(('Activity data'!BL12*EF!$H43*EF!AK61)*NtoN2O*kgtoGg=0,"NO",('Activity data'!BL12*EF!$H43*EF!AK61)*NtoN2O*kgtoGg)</f>
        <v>6.4543062848127733E-2</v>
      </c>
      <c r="BM43" s="27">
        <f>IF(('Activity data'!BM12*EF!$H43*EF!AL61)*NtoN2O*kgtoGg=0,"NO",('Activity data'!BM12*EF!$H43*EF!AL61)*NtoN2O*kgtoGg)</f>
        <v>6.4554471896713567E-2</v>
      </c>
      <c r="BN43" s="27">
        <f>IF(('Activity data'!BN12*EF!$H43*EF!AM61)*NtoN2O*kgtoGg=0,"NO",('Activity data'!BN12*EF!$H43*EF!AM61)*NtoN2O*kgtoGg)</f>
        <v>6.4558454075441099E-2</v>
      </c>
      <c r="BO43" s="27">
        <f>IF(('Activity data'!BO12*EF!$H43*EF!AN61)*NtoN2O*kgtoGg=0,"NO",('Activity data'!BO12*EF!$H43*EF!AN61)*NtoN2O*kgtoGg)</f>
        <v>6.4555125864180746E-2</v>
      </c>
      <c r="BP43" s="27">
        <f>IF(('Activity data'!BP12*EF!$H43*EF!AO61)*NtoN2O*kgtoGg=0,"NO",('Activity data'!BP12*EF!$H43*EF!AO61)*NtoN2O*kgtoGg)</f>
        <v>6.4543501818688898E-2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1.4486129996083084E-2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1.4890706011157261E-2</v>
      </c>
      <c r="AK44" s="27">
        <f>IF(('Activity data'!AK13*EF!$H44*EF!J62)*NtoN2O*kgtoGg=0,"NO",('Activity data'!AK13*EF!$H44*EF!J62)*NtoN2O*kgtoGg)</f>
        <v>1.4988675221399694E-2</v>
      </c>
      <c r="AL44" s="27">
        <f>IF(('Activity data'!AL13*EF!$H44*EF!K62)*NtoN2O*kgtoGg=0,"NO",('Activity data'!AL13*EF!$H44*EF!K62)*NtoN2O*kgtoGg)</f>
        <v>1.4952125307683931E-2</v>
      </c>
      <c r="AM44" s="27">
        <f>IF(('Activity data'!AM13*EF!$H44*EF!L62)*NtoN2O*kgtoGg=0,"NO",('Activity data'!AM13*EF!$H44*EF!L62)*NtoN2O*kgtoGg)</f>
        <v>1.497659485650934E-2</v>
      </c>
      <c r="AN44" s="27">
        <f>IF(('Activity data'!AN13*EF!$H44*EF!M62)*NtoN2O*kgtoGg=0,"NO",('Activity data'!AN13*EF!$H44*EF!M62)*NtoN2O*kgtoGg)</f>
        <v>1.5280249217669807E-2</v>
      </c>
      <c r="AO44" s="27">
        <f>IF(('Activity data'!AO13*EF!$H44*EF!N62)*NtoN2O*kgtoGg=0,"NO",('Activity data'!AO13*EF!$H44*EF!N62)*NtoN2O*kgtoGg)</f>
        <v>1.5293967954982137E-2</v>
      </c>
      <c r="AP44" s="27">
        <f>IF(('Activity data'!AP13*EF!$H44*EF!O62)*NtoN2O*kgtoGg=0,"NO",('Activity data'!AP13*EF!$H44*EF!O62)*NtoN2O*kgtoGg)</f>
        <v>1.5330288500558316E-2</v>
      </c>
      <c r="AQ44" s="27">
        <f>IF(('Activity data'!AQ13*EF!$H44*EF!P62)*NtoN2O*kgtoGg=0,"NO",('Activity data'!AQ13*EF!$H44*EF!P62)*NtoN2O*kgtoGg)</f>
        <v>1.5379307775042967E-2</v>
      </c>
      <c r="AR44" s="27">
        <f>IF(('Activity data'!AR13*EF!$H44*EF!Q62)*NtoN2O*kgtoGg=0,"NO",('Activity data'!AR13*EF!$H44*EF!Q62)*NtoN2O*kgtoGg)</f>
        <v>1.5424265287422665E-2</v>
      </c>
      <c r="AS44" s="27">
        <f>IF(('Activity data'!AS13*EF!$H44*EF!R62)*NtoN2O*kgtoGg=0,"NO",('Activity data'!AS13*EF!$H44*EF!R62)*NtoN2O*kgtoGg)</f>
        <v>1.5465755297522263E-2</v>
      </c>
      <c r="AT44" s="27">
        <f>IF(('Activity data'!AT13*EF!$H44*EF!S62)*NtoN2O*kgtoGg=0,"NO",('Activity data'!AT13*EF!$H44*EF!S62)*NtoN2O*kgtoGg)</f>
        <v>1.5503650543984475E-2</v>
      </c>
      <c r="AU44" s="27">
        <f>IF(('Activity data'!AU13*EF!$H44*EF!T62)*NtoN2O*kgtoGg=0,"NO",('Activity data'!AU13*EF!$H44*EF!T62)*NtoN2O*kgtoGg)</f>
        <v>1.5538340165319426E-2</v>
      </c>
      <c r="AV44" s="27">
        <f>IF(('Activity data'!AV13*EF!$H44*EF!U62)*NtoN2O*kgtoGg=0,"NO",('Activity data'!AV13*EF!$H44*EF!U62)*NtoN2O*kgtoGg)</f>
        <v>1.5570383853796523E-2</v>
      </c>
      <c r="AW44" s="27">
        <f>IF(('Activity data'!AW13*EF!$H44*EF!V62)*NtoN2O*kgtoGg=0,"NO",('Activity data'!AW13*EF!$H44*EF!V62)*NtoN2O*kgtoGg)</f>
        <v>1.5599807426957595E-2</v>
      </c>
      <c r="AX44" s="27">
        <f>IF(('Activity data'!AX13*EF!$H44*EF!W62)*NtoN2O*kgtoGg=0,"NO",('Activity data'!AX13*EF!$H44*EF!W62)*NtoN2O*kgtoGg)</f>
        <v>1.5627118939580072E-2</v>
      </c>
      <c r="AY44" s="27">
        <f>IF(('Activity data'!AY13*EF!$H44*EF!X62)*NtoN2O*kgtoGg=0,"NO",('Activity data'!AY13*EF!$H44*EF!X62)*NtoN2O*kgtoGg)</f>
        <v>1.5652427506297684E-2</v>
      </c>
      <c r="AZ44" s="27">
        <f>IF(('Activity data'!AZ13*EF!$H44*EF!Y62)*NtoN2O*kgtoGg=0,"NO",('Activity data'!AZ13*EF!$H44*EF!Y62)*NtoN2O*kgtoGg)</f>
        <v>1.5675424120776597E-2</v>
      </c>
      <c r="BA44" s="27">
        <f>IF(('Activity data'!BA13*EF!$H44*EF!Z62)*NtoN2O*kgtoGg=0,"NO",('Activity data'!BA13*EF!$H44*EF!Z62)*NtoN2O*kgtoGg)</f>
        <v>1.5696363462061685E-2</v>
      </c>
      <c r="BB44" s="27">
        <f>IF(('Activity data'!BB13*EF!$H44*EF!AA62)*NtoN2O*kgtoGg=0,"NO",('Activity data'!BB13*EF!$H44*EF!AA62)*NtoN2O*kgtoGg)</f>
        <v>1.5715630256505467E-2</v>
      </c>
      <c r="BC44" s="27">
        <f>IF(('Activity data'!BC13*EF!$H44*EF!AB62)*NtoN2O*kgtoGg=0,"NO",('Activity data'!BC13*EF!$H44*EF!AB62)*NtoN2O*kgtoGg)</f>
        <v>1.5216731234132433E-2</v>
      </c>
      <c r="BD44" s="27">
        <f>IF(('Activity data'!BD13*EF!$H44*EF!AC62)*NtoN2O*kgtoGg=0,"NO",('Activity data'!BD13*EF!$H44*EF!AC62)*NtoN2O*kgtoGg)</f>
        <v>1.5235961154748286E-2</v>
      </c>
      <c r="BE44" s="27">
        <f>IF(('Activity data'!BE13*EF!$H44*EF!AD62)*NtoN2O*kgtoGg=0,"NO",('Activity data'!BE13*EF!$H44*EF!AD62)*NtoN2O*kgtoGg)</f>
        <v>1.5253469736089939E-2</v>
      </c>
      <c r="BF44" s="27">
        <f>IF(('Activity data'!BF13*EF!$H44*EF!AE62)*NtoN2O*kgtoGg=0,"NO",('Activity data'!BF13*EF!$H44*EF!AE62)*NtoN2O*kgtoGg)</f>
        <v>1.5269398678749371E-2</v>
      </c>
      <c r="BG44" s="27">
        <f>IF(('Activity data'!BG13*EF!$H44*EF!AF62)*NtoN2O*kgtoGg=0,"NO",('Activity data'!BG13*EF!$H44*EF!AF62)*NtoN2O*kgtoGg)</f>
        <v>1.5283912082079585E-2</v>
      </c>
      <c r="BH44" s="27">
        <f>IF(('Activity data'!BH13*EF!$H44*EF!AG62)*NtoN2O*kgtoGg=0,"NO",('Activity data'!BH13*EF!$H44*EF!AG62)*NtoN2O*kgtoGg)</f>
        <v>1.5296597939016455E-2</v>
      </c>
      <c r="BI44" s="27">
        <f>IF(('Activity data'!BI13*EF!$H44*EF!AH62)*NtoN2O*kgtoGg=0,"NO",('Activity data'!BI13*EF!$H44*EF!AH62)*NtoN2O*kgtoGg)</f>
        <v>1.530718972818932E-2</v>
      </c>
      <c r="BJ44" s="27">
        <f>IF(('Activity data'!BJ13*EF!$H44*EF!AI62)*NtoN2O*kgtoGg=0,"NO",('Activity data'!BJ13*EF!$H44*EF!AI62)*NtoN2O*kgtoGg)</f>
        <v>1.5315667991874672E-2</v>
      </c>
      <c r="BK44" s="27">
        <f>IF(('Activity data'!BK13*EF!$H44*EF!AJ62)*NtoN2O*kgtoGg=0,"NO",('Activity data'!BK13*EF!$H44*EF!AJ62)*NtoN2O*kgtoGg)</f>
        <v>1.5321726619352006E-2</v>
      </c>
      <c r="BL44" s="27">
        <f>IF(('Activity data'!BL13*EF!$H44*EF!AK62)*NtoN2O*kgtoGg=0,"NO",('Activity data'!BL13*EF!$H44*EF!AK62)*NtoN2O*kgtoGg)</f>
        <v>1.5325032079315765E-2</v>
      </c>
      <c r="BM44" s="27">
        <f>IF(('Activity data'!BM13*EF!$H44*EF!AL62)*NtoN2O*kgtoGg=0,"NO",('Activity data'!BM13*EF!$H44*EF!AL62)*NtoN2O*kgtoGg)</f>
        <v>1.5325567315367106E-2</v>
      </c>
      <c r="BN44" s="27">
        <f>IF(('Activity data'!BN13*EF!$H44*EF!AM62)*NtoN2O*kgtoGg=0,"NO",('Activity data'!BN13*EF!$H44*EF!AM62)*NtoN2O*kgtoGg)</f>
        <v>1.5323409630922659E-2</v>
      </c>
      <c r="BO44" s="27">
        <f>IF(('Activity data'!BO13*EF!$H44*EF!AN62)*NtoN2O*kgtoGg=0,"NO",('Activity data'!BO13*EF!$H44*EF!AN62)*NtoN2O*kgtoGg)</f>
        <v>1.5318619367085746E-2</v>
      </c>
      <c r="BP44" s="27">
        <f>IF(('Activity data'!BP13*EF!$H44*EF!AO62)*NtoN2O*kgtoGg=0,"NO",('Activity data'!BP13*EF!$H44*EF!AO62)*NtoN2O*kgtoGg)</f>
        <v>1.5310883587655623E-2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0.11664735601685972</v>
      </c>
      <c r="AI45" s="27">
        <f>IF(('Activity data'!AI14*EF!$H45*EF!H63)*NtoN2O*kgtoGg=0,"NO",('Activity data'!AI14*EF!$H45*EF!H63)*NtoN2O*kgtoGg)</f>
        <v>0.11732381389682567</v>
      </c>
      <c r="AJ45" s="27">
        <f>IF(('Activity data'!AJ14*EF!$H45*EF!I63)*NtoN2O*kgtoGg=0,"NO",('Activity data'!AJ14*EF!$H45*EF!I63)*NtoN2O*kgtoGg)</f>
        <v>0.11805182815822728</v>
      </c>
      <c r="AK45" s="27">
        <f>IF(('Activity data'!AK14*EF!$H45*EF!J63)*NtoN2O*kgtoGg=0,"NO",('Activity data'!AK14*EF!$H45*EF!J63)*NtoN2O*kgtoGg)</f>
        <v>0.11882851694408277</v>
      </c>
      <c r="AL45" s="27">
        <f>IF(('Activity data'!AL14*EF!$H45*EF!K63)*NtoN2O*kgtoGg=0,"NO",('Activity data'!AL14*EF!$H45*EF!K63)*NtoN2O*kgtoGg)</f>
        <v>0.11853875337411246</v>
      </c>
      <c r="AM45" s="27">
        <f>IF(('Activity data'!AM14*EF!$H45*EF!L63)*NtoN2O*kgtoGg=0,"NO",('Activity data'!AM14*EF!$H45*EF!L63)*NtoN2O*kgtoGg)</f>
        <v>0.11873274518154472</v>
      </c>
      <c r="AN45" s="27">
        <f>IF(('Activity data'!AN14*EF!$H45*EF!M63)*NtoN2O*kgtoGg=0,"NO",('Activity data'!AN14*EF!$H45*EF!M63)*NtoN2O*kgtoGg)</f>
        <v>0.12114008251238399</v>
      </c>
      <c r="AO45" s="27">
        <f>IF(('Activity data'!AO14*EF!$H45*EF!N63)*NtoN2O*kgtoGg=0,"NO",('Activity data'!AO14*EF!$H45*EF!N63)*NtoN2O*kgtoGg)</f>
        <v>0.12124884310563787</v>
      </c>
      <c r="AP45" s="27">
        <f>IF(('Activity data'!AP14*EF!$H45*EF!O63)*NtoN2O*kgtoGg=0,"NO",('Activity data'!AP14*EF!$H45*EF!O63)*NtoN2O*kgtoGg)</f>
        <v>0.12153678827101554</v>
      </c>
      <c r="AQ45" s="27">
        <f>IF(('Activity data'!AQ14*EF!$H45*EF!P63)*NtoN2O*kgtoGg=0,"NO",('Activity data'!AQ14*EF!$H45*EF!P63)*NtoN2O*kgtoGg)</f>
        <v>0.12192540751872388</v>
      </c>
      <c r="AR45" s="27">
        <f>IF(('Activity data'!AR14*EF!$H45*EF!Q63)*NtoN2O*kgtoGg=0,"NO",('Activity data'!AR14*EF!$H45*EF!Q63)*NtoN2O*kgtoGg)</f>
        <v>0.12228182557720234</v>
      </c>
      <c r="AS45" s="27">
        <f>IF(('Activity data'!AS14*EF!$H45*EF!R63)*NtoN2O*kgtoGg=0,"NO",('Activity data'!AS14*EF!$H45*EF!R63)*NtoN2O*kgtoGg)</f>
        <v>0.12261075367093349</v>
      </c>
      <c r="AT45" s="27">
        <f>IF(('Activity data'!AT14*EF!$H45*EF!S63)*NtoN2O*kgtoGg=0,"NO",('Activity data'!AT14*EF!$H45*EF!S63)*NtoN2O*kgtoGg)</f>
        <v>0.12291118288631245</v>
      </c>
      <c r="AU45" s="27">
        <f>IF(('Activity data'!AU14*EF!$H45*EF!T63)*NtoN2O*kgtoGg=0,"NO",('Activity data'!AU14*EF!$H45*EF!T63)*NtoN2O*kgtoGg)</f>
        <v>0.12318619826930632</v>
      </c>
      <c r="AV45" s="27">
        <f>IF(('Activity data'!AV14*EF!$H45*EF!U63)*NtoN2O*kgtoGg=0,"NO",('Activity data'!AV14*EF!$H45*EF!U63)*NtoN2O*kgtoGg)</f>
        <v>0.12344023699673938</v>
      </c>
      <c r="AW45" s="27">
        <f>IF(('Activity data'!AW14*EF!$H45*EF!V63)*NtoN2O*kgtoGg=0,"NO",('Activity data'!AW14*EF!$H45*EF!V63)*NtoN2O*kgtoGg)</f>
        <v>0.12367350374715462</v>
      </c>
      <c r="AX45" s="27">
        <f>IF(('Activity data'!AX14*EF!$H45*EF!W63)*NtoN2O*kgtoGg=0,"NO",('Activity data'!AX14*EF!$H45*EF!W63)*NtoN2O*kgtoGg)</f>
        <v>0.12389002632119744</v>
      </c>
      <c r="AY45" s="27">
        <f>IF(('Activity data'!AY14*EF!$H45*EF!X63)*NtoN2O*kgtoGg=0,"NO",('Activity data'!AY14*EF!$H45*EF!X63)*NtoN2O*kgtoGg)</f>
        <v>0.12409066976730669</v>
      </c>
      <c r="AZ45" s="27">
        <f>IF(('Activity data'!AZ14*EF!$H45*EF!Y63)*NtoN2O*kgtoGg=0,"NO",('Activity data'!AZ14*EF!$H45*EF!Y63)*NtoN2O*kgtoGg)</f>
        <v>0.12427298431831933</v>
      </c>
      <c r="BA45" s="27">
        <f>IF(('Activity data'!BA14*EF!$H45*EF!Z63)*NtoN2O*kgtoGg=0,"NO",('Activity data'!BA14*EF!$H45*EF!Z63)*NtoN2O*kgtoGg)</f>
        <v>0.12443898904081413</v>
      </c>
      <c r="BB45" s="27">
        <f>IF(('Activity data'!BB14*EF!$H45*EF!AA63)*NtoN2O*kgtoGg=0,"NO",('Activity data'!BB14*EF!$H45*EF!AA63)*NtoN2O*kgtoGg)</f>
        <v>0.12459173400167312</v>
      </c>
      <c r="BC45" s="27">
        <f>IF(('Activity data'!BC14*EF!$H45*EF!AB63)*NtoN2O*kgtoGg=0,"NO",('Activity data'!BC14*EF!$H45*EF!AB63)*NtoN2O*kgtoGg)</f>
        <v>0.12063651914393841</v>
      </c>
      <c r="BD45" s="27">
        <f>IF(('Activity data'!BD14*EF!$H45*EF!AC63)*NtoN2O*kgtoGg=0,"NO",('Activity data'!BD14*EF!$H45*EF!AC63)*NtoN2O*kgtoGg)</f>
        <v>0.12078897177327232</v>
      </c>
      <c r="BE45" s="27">
        <f>IF(('Activity data'!BE14*EF!$H45*EF!AD63)*NtoN2O*kgtoGg=0,"NO",('Activity data'!BE14*EF!$H45*EF!AD63)*NtoN2O*kgtoGg)</f>
        <v>0.12092777782009714</v>
      </c>
      <c r="BF45" s="27">
        <f>IF(('Activity data'!BF14*EF!$H45*EF!AE63)*NtoN2O*kgtoGg=0,"NO",('Activity data'!BF14*EF!$H45*EF!AE63)*NtoN2O*kgtoGg)</f>
        <v>0.12105406067063253</v>
      </c>
      <c r="BG45" s="27">
        <f>IF(('Activity data'!BG14*EF!$H45*EF!AF63)*NtoN2O*kgtoGg=0,"NO",('Activity data'!BG14*EF!$H45*EF!AF63)*NtoN2O*kgtoGg)</f>
        <v>0.12116912128593484</v>
      </c>
      <c r="BH45" s="27">
        <f>IF(('Activity data'!BH14*EF!$H45*EF!AG63)*NtoN2O*kgtoGg=0,"NO",('Activity data'!BH14*EF!$H45*EF!AG63)*NtoN2O*kgtoGg)</f>
        <v>0.12126969332073484</v>
      </c>
      <c r="BI45" s="27">
        <f>IF(('Activity data'!BI14*EF!$H45*EF!AH63)*NtoN2O*kgtoGg=0,"NO",('Activity data'!BI14*EF!$H45*EF!AH63)*NtoN2O*kgtoGg)</f>
        <v>0.12135366382383837</v>
      </c>
      <c r="BJ45" s="27">
        <f>IF(('Activity data'!BJ14*EF!$H45*EF!AI63)*NtoN2O*kgtoGg=0,"NO",('Activity data'!BJ14*EF!$H45*EF!AI63)*NtoN2O*kgtoGg)</f>
        <v>0.12142087853662052</v>
      </c>
      <c r="BK45" s="27">
        <f>IF(('Activity data'!BK14*EF!$H45*EF!AJ63)*NtoN2O*kgtoGg=0,"NO",('Activity data'!BK14*EF!$H45*EF!AJ63)*NtoN2O*kgtoGg)</f>
        <v>0.12146891064801223</v>
      </c>
      <c r="BL45" s="27">
        <f>IF(('Activity data'!BL14*EF!$H45*EF!AK63)*NtoN2O*kgtoGg=0,"NO",('Activity data'!BL14*EF!$H45*EF!AK63)*NtoN2O*kgtoGg)</f>
        <v>0.12149511595965648</v>
      </c>
      <c r="BM45" s="27">
        <f>IF(('Activity data'!BM14*EF!$H45*EF!AL63)*NtoN2O*kgtoGg=0,"NO",('Activity data'!BM14*EF!$H45*EF!AL63)*NtoN2O*kgtoGg)</f>
        <v>0.12149935925035804</v>
      </c>
      <c r="BN45" s="27">
        <f>IF(('Activity data'!BN14*EF!$H45*EF!AM63)*NtoN2O*kgtoGg=0,"NO",('Activity data'!BN14*EF!$H45*EF!AM63)*NtoN2O*kgtoGg)</f>
        <v>0.12148225337283523</v>
      </c>
      <c r="BO45" s="27">
        <f>IF(('Activity data'!BO14*EF!$H45*EF!AN63)*NtoN2O*kgtoGg=0,"NO",('Activity data'!BO14*EF!$H45*EF!AN63)*NtoN2O*kgtoGg)</f>
        <v>0.12144427670451041</v>
      </c>
      <c r="BP45" s="27">
        <f>IF(('Activity data'!BP14*EF!$H45*EF!AO63)*NtoN2O*kgtoGg=0,"NO",('Activity data'!BP14*EF!$H45*EF!AO63)*NtoN2O*kgtoGg)</f>
        <v>0.12138294832268144</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9.7466979224281824E-2</v>
      </c>
      <c r="AE48" s="27">
        <f>IF(('Activity data'!AE17*EF!$H48*EF!$H66)*NtoN2O*kgtoGg=0,"NO",('Activity data'!AE17*EF!$H48*EF!$H66)*NtoN2O*kgtoGg)</f>
        <v>9.6937181363551519E-2</v>
      </c>
      <c r="AF48" s="27">
        <f>IF(('Activity data'!AF17*EF!$H48*EF!$H66)*NtoN2O*kgtoGg=0,"NO",('Activity data'!AF17*EF!$H48*EF!$H66)*NtoN2O*kgtoGg)</f>
        <v>9.6980665528366608E-2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9.2641437622218339E-2</v>
      </c>
      <c r="AJ48" s="27">
        <f>IF(('Activity data'!AJ17*EF!$H48*EF!I66)*NtoN2O*kgtoGg=0,"NO",('Activity data'!AJ17*EF!$H48*EF!I66)*NtoN2O*kgtoGg)</f>
        <v>9.1193054757597189E-2</v>
      </c>
      <c r="AK48" s="27">
        <f>IF(('Activity data'!AK17*EF!$H48*EF!J66)*NtoN2O*kgtoGg=0,"NO",('Activity data'!AK17*EF!$H48*EF!J66)*NtoN2O*kgtoGg)</f>
        <v>8.9872834352323558E-2</v>
      </c>
      <c r="AL48" s="27">
        <f>IF(('Activity data'!AL17*EF!$H48*EF!K66)*NtoN2O*kgtoGg=0,"NO",('Activity data'!AL17*EF!$H48*EF!K66)*NtoN2O*kgtoGg)</f>
        <v>8.0860772779409465E-2</v>
      </c>
      <c r="AM48" s="27">
        <f>IF(('Activity data'!AM17*EF!$H48*EF!L66)*NtoN2O*kgtoGg=0,"NO",('Activity data'!AM17*EF!$H48*EF!L66)*NtoN2O*kgtoGg)</f>
        <v>8.3748164551472229E-2</v>
      </c>
      <c r="AN48" s="27">
        <f>IF(('Activity data'!AN17*EF!$H48*EF!M66)*NtoN2O*kgtoGg=0,"NO",('Activity data'!AN17*EF!$H48*EF!M66)*NtoN2O*kgtoGg)</f>
        <v>0.26770254430249885</v>
      </c>
      <c r="AO48" s="27">
        <f>IF(('Activity data'!AO17*EF!$H48*EF!N66)*NtoN2O*kgtoGg=0,"NO",('Activity data'!AO17*EF!$H48*EF!N66)*NtoN2O*kgtoGg)</f>
        <v>0.26843638329557273</v>
      </c>
      <c r="AP48" s="27">
        <f>IF(('Activity data'!AP17*EF!$H48*EF!O66)*NtoN2O*kgtoGg=0,"NO",('Activity data'!AP17*EF!$H48*EF!O66)*NtoN2O*kgtoGg)</f>
        <v>0.26870741156063732</v>
      </c>
      <c r="AQ48" s="27">
        <f>IF(('Activity data'!AQ17*EF!$H48*EF!P66)*NtoN2O*kgtoGg=0,"NO",('Activity data'!AQ17*EF!$H48*EF!P66)*NtoN2O*kgtoGg)</f>
        <v>0.26852785801231227</v>
      </c>
      <c r="AR48" s="27">
        <f>IF(('Activity data'!AR17*EF!$H48*EF!Q66)*NtoN2O*kgtoGg=0,"NO",('Activity data'!AR17*EF!$H48*EF!Q66)*NtoN2O*kgtoGg)</f>
        <v>0.26792481068861962</v>
      </c>
      <c r="AS48" s="27">
        <f>IF(('Activity data'!AS17*EF!$H48*EF!R66)*NtoN2O*kgtoGg=0,"NO",('Activity data'!AS17*EF!$H48*EF!R66)*NtoN2O*kgtoGg)</f>
        <v>0.26689273021889548</v>
      </c>
      <c r="AT48" s="27">
        <f>IF(('Activity data'!AT17*EF!$H48*EF!S66)*NtoN2O*kgtoGg=0,"NO",('Activity data'!AT17*EF!$H48*EF!S66)*NtoN2O*kgtoGg)</f>
        <v>0.26543013343256128</v>
      </c>
      <c r="AU48" s="27">
        <f>IF(('Activity data'!AU17*EF!$H48*EF!T66)*NtoN2O*kgtoGg=0,"NO",('Activity data'!AU17*EF!$H48*EF!T66)*NtoN2O*kgtoGg)</f>
        <v>0.26353715747778594</v>
      </c>
      <c r="AV48" s="27">
        <f>IF(('Activity data'!AV17*EF!$H48*EF!U66)*NtoN2O*kgtoGg=0,"NO",('Activity data'!AV17*EF!$H48*EF!U66)*NtoN2O*kgtoGg)</f>
        <v>0.26121623026966229</v>
      </c>
      <c r="AW48" s="27">
        <f>IF(('Activity data'!AW17*EF!$H48*EF!V66)*NtoN2O*kgtoGg=0,"NO",('Activity data'!AW17*EF!$H48*EF!V66)*NtoN2O*kgtoGg)</f>
        <v>0.25847332541622875</v>
      </c>
      <c r="AX48" s="27">
        <f>IF(('Activity data'!AX17*EF!$H48*EF!W66)*NtoN2O*kgtoGg=0,"NO",('Activity data'!AX17*EF!$H48*EF!W66)*NtoN2O*kgtoGg)</f>
        <v>0.25531599764072704</v>
      </c>
      <c r="AY48" s="27">
        <f>IF(('Activity data'!AY17*EF!$H48*EF!X66)*NtoN2O*kgtoGg=0,"NO",('Activity data'!AY17*EF!$H48*EF!X66)*NtoN2O*kgtoGg)</f>
        <v>0.25175492240639524</v>
      </c>
      <c r="AZ48" s="27">
        <f>IF(('Activity data'!AZ17*EF!$H48*EF!Y66)*NtoN2O*kgtoGg=0,"NO",('Activity data'!AZ17*EF!$H48*EF!Y66)*NtoN2O*kgtoGg)</f>
        <v>0.2478037797344021</v>
      </c>
      <c r="BA48" s="27">
        <f>IF(('Activity data'!BA17*EF!$H48*EF!Z66)*NtoN2O*kgtoGg=0,"NO",('Activity data'!BA17*EF!$H48*EF!Z66)*NtoN2O*kgtoGg)</f>
        <v>0.24347738783336567</v>
      </c>
      <c r="BB48" s="27">
        <f>IF(('Activity data'!BB17*EF!$H48*EF!AA66)*NtoN2O*kgtoGg=0,"NO",('Activity data'!BB17*EF!$H48*EF!AA66)*NtoN2O*kgtoGg)</f>
        <v>0.23879237534138331</v>
      </c>
      <c r="BC48" s="27">
        <f>IF(('Activity data'!BC17*EF!$H48*EF!AB66)*NtoN2O*kgtoGg=0,"NO",('Activity data'!BC17*EF!$H48*EF!AB66)*NtoN2O*kgtoGg)</f>
        <v>-2.2251219051901461E-2</v>
      </c>
      <c r="BD48" s="27">
        <f>IF(('Activity data'!BD17*EF!$H48*EF!AC66)*NtoN2O*kgtoGg=0,"NO",('Activity data'!BD17*EF!$H48*EF!AC66)*NtoN2O*kgtoGg)</f>
        <v>-2.2010329292297307E-2</v>
      </c>
      <c r="BE48" s="27">
        <f>IF(('Activity data'!BE17*EF!$H48*EF!AD66)*NtoN2O*kgtoGg=0,"NO",('Activity data'!BE17*EF!$H48*EF!AD66)*NtoN2O*kgtoGg)</f>
        <v>-2.1768586076349947E-2</v>
      </c>
      <c r="BF48" s="27">
        <f>IF(('Activity data'!BF17*EF!$H48*EF!AE66)*NtoN2O*kgtoGg=0,"NO",('Activity data'!BF17*EF!$H48*EF!AE66)*NtoN2O*kgtoGg)</f>
        <v>-2.1526240200831197E-2</v>
      </c>
      <c r="BG48" s="27">
        <f>IF(('Activity data'!BG17*EF!$H48*EF!AF66)*NtoN2O*kgtoGg=0,"NO",('Activity data'!BG17*EF!$H48*EF!AF66)*NtoN2O*kgtoGg)</f>
        <v>-2.1283568844564598E-2</v>
      </c>
      <c r="BH48" s="27">
        <f>IF(('Activity data'!BH17*EF!$H48*EF!AG66)*NtoN2O*kgtoGg=0,"NO",('Activity data'!BH17*EF!$H48*EF!AG66)*NtoN2O*kgtoGg)</f>
        <v>-2.1039928732674035E-2</v>
      </c>
      <c r="BI48" s="27">
        <f>IF(('Activity data'!BI17*EF!$H48*EF!AH66)*NtoN2O*kgtoGg=0,"NO",('Activity data'!BI17*EF!$H48*EF!AH66)*NtoN2O*kgtoGg)</f>
        <v>-2.0794940089199746E-2</v>
      </c>
      <c r="BJ48" s="27">
        <f>IF(('Activity data'!BJ17*EF!$H48*EF!AI66)*NtoN2O*kgtoGg=0,"NO",('Activity data'!BJ17*EF!$H48*EF!AI66)*NtoN2O*kgtoGg)</f>
        <v>-2.054862658012397E-2</v>
      </c>
      <c r="BK48" s="27">
        <f>IF(('Activity data'!BK17*EF!$H48*EF!AJ66)*NtoN2O*kgtoGg=0,"NO",('Activity data'!BK17*EF!$H48*EF!AJ66)*NtoN2O*kgtoGg)</f>
        <v>-2.0300580022227385E-2</v>
      </c>
      <c r="BL48" s="27">
        <f>IF(('Activity data'!BL17*EF!$H48*EF!AK66)*NtoN2O*kgtoGg=0,"NO",('Activity data'!BL17*EF!$H48*EF!AK66)*NtoN2O*kgtoGg)</f>
        <v>-2.0050376976853562E-2</v>
      </c>
      <c r="BM48" s="27">
        <f>IF(('Activity data'!BM17*EF!$H48*EF!AL66)*NtoN2O*kgtoGg=0,"NO",('Activity data'!BM17*EF!$H48*EF!AL66)*NtoN2O*kgtoGg)</f>
        <v>-1.9798088456072588E-2</v>
      </c>
      <c r="BN48" s="27">
        <f>IF(('Activity data'!BN17*EF!$H48*EF!AM66)*NtoN2O*kgtoGg=0,"NO",('Activity data'!BN17*EF!$H48*EF!AM66)*NtoN2O*kgtoGg)</f>
        <v>-1.9543924397373666E-2</v>
      </c>
      <c r="BO48" s="27">
        <f>IF(('Activity data'!BO17*EF!$H48*EF!AN66)*NtoN2O*kgtoGg=0,"NO",('Activity data'!BO17*EF!$H48*EF!AN66)*NtoN2O*kgtoGg)</f>
        <v>-1.9288064378450123E-2</v>
      </c>
      <c r="BP48" s="27">
        <f>IF(('Activity data'!BP17*EF!$H48*EF!AO66)*NtoN2O*kgtoGg=0,"NO",('Activity data'!BP17*EF!$H48*EF!AO66)*NtoN2O*kgtoGg)</f>
        <v>-1.9030154173993289E-2</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3.8131055665722169E-2</v>
      </c>
      <c r="AE49" s="27">
        <f>IF(('Activity data'!AE18*EF!$H49*EF!$H67)*NtoN2O*kgtoGg=0,"NO",('Activity data'!AE18*EF!$H49*EF!$H67)*NtoN2O*kgtoGg)</f>
        <v>3.7923788015899962E-2</v>
      </c>
      <c r="AF49" s="27">
        <f>IF(('Activity data'!AF18*EF!$H49*EF!$H67)*NtoN2O*kgtoGg=0,"NO",('Activity data'!AF18*EF!$H49*EF!$H67)*NtoN2O*kgtoGg)</f>
        <v>3.7940799901590251E-2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3.6243206089281214E-2</v>
      </c>
      <c r="AJ49" s="27">
        <f>IF(('Activity data'!AJ18*EF!$H49*EF!I67)*NtoN2O*kgtoGg=0,"NO",('Activity data'!AJ18*EF!$H49*EF!I67)*NtoN2O*kgtoGg)</f>
        <v>3.567656938754183E-2</v>
      </c>
      <c r="AK49" s="27">
        <f>IF(('Activity data'!AK18*EF!$H49*EF!J67)*NtoN2O*kgtoGg=0,"NO",('Activity data'!AK18*EF!$H49*EF!J67)*NtoN2O*kgtoGg)</f>
        <v>3.5160072434777256E-2</v>
      </c>
      <c r="AL49" s="27">
        <f>IF(('Activity data'!AL18*EF!$H49*EF!K67)*NtoN2O*kgtoGg=0,"NO",('Activity data'!AL18*EF!$H49*EF!K67)*NtoN2O*kgtoGg)</f>
        <v>3.1634371482160743E-2</v>
      </c>
      <c r="AM49" s="27">
        <f>IF(('Activity data'!AM18*EF!$H49*EF!L67)*NtoN2O*kgtoGg=0,"NO",('Activity data'!AM18*EF!$H49*EF!L67)*NtoN2O*kgtoGg)</f>
        <v>3.2763977603798337E-2</v>
      </c>
      <c r="AN49" s="27">
        <f>IF(('Activity data'!AN18*EF!$H49*EF!M67)*NtoN2O*kgtoGg=0,"NO",('Activity data'!AN18*EF!$H49*EF!M67)*NtoN2O*kgtoGg)</f>
        <v>0.10473065544757326</v>
      </c>
      <c r="AO49" s="27">
        <f>IF(('Activity data'!AO18*EF!$H49*EF!N67)*NtoN2O*kgtoGg=0,"NO",('Activity data'!AO18*EF!$H49*EF!N67)*NtoN2O*kgtoGg)</f>
        <v>0.10501774811954566</v>
      </c>
      <c r="AP49" s="27">
        <f>IF(('Activity data'!AP18*EF!$H49*EF!O67)*NtoN2O*kgtoGg=0,"NO",('Activity data'!AP18*EF!$H49*EF!O67)*NtoN2O*kgtoGg)</f>
        <v>0.10512377986429053</v>
      </c>
      <c r="AQ49" s="27">
        <f>IF(('Activity data'!AQ18*EF!$H49*EF!P67)*NtoN2O*kgtoGg=0,"NO",('Activity data'!AQ18*EF!$H49*EF!P67)*NtoN2O*kgtoGg)</f>
        <v>0.10505353488080327</v>
      </c>
      <c r="AR49" s="27">
        <f>IF(('Activity data'!AR18*EF!$H49*EF!Q67)*NtoN2O*kgtoGg=0,"NO",('Activity data'!AR18*EF!$H49*EF!Q67)*NtoN2O*kgtoGg)</f>
        <v>0.10481761055800391</v>
      </c>
      <c r="AS49" s="27">
        <f>IF(('Activity data'!AS18*EF!$H49*EF!R67)*NtoN2O*kgtoGg=0,"NO",('Activity data'!AS18*EF!$H49*EF!R67)*NtoN2O*kgtoGg)</f>
        <v>0.10441383978193423</v>
      </c>
      <c r="AT49" s="27">
        <f>IF(('Activity data'!AT18*EF!$H49*EF!S67)*NtoN2O*kgtoGg=0,"NO",('Activity data'!AT18*EF!$H49*EF!S67)*NtoN2O*kgtoGg)</f>
        <v>0.10384164230623445</v>
      </c>
      <c r="AU49" s="27">
        <f>IF(('Activity data'!AU18*EF!$H49*EF!T67)*NtoN2O*kgtoGg=0,"NO",('Activity data'!AU18*EF!$H49*EF!T67)*NtoN2O*kgtoGg)</f>
        <v>0.10310107178604509</v>
      </c>
      <c r="AV49" s="27">
        <f>IF(('Activity data'!AV18*EF!$H49*EF!U67)*NtoN2O*kgtoGg=0,"NO",('Activity data'!AV18*EF!$H49*EF!U67)*NtoN2O*kgtoGg)</f>
        <v>0.10219307807090795</v>
      </c>
      <c r="AW49" s="27">
        <f>IF(('Activity data'!AW18*EF!$H49*EF!V67)*NtoN2O*kgtoGg=0,"NO",('Activity data'!AW18*EF!$H49*EF!V67)*NtoN2O*kgtoGg)</f>
        <v>0.10111999815723396</v>
      </c>
      <c r="AX49" s="27">
        <f>IF(('Activity data'!AX18*EF!$H49*EF!W67)*NtoN2O*kgtoGg=0,"NO",('Activity data'!AX18*EF!$H49*EF!W67)*NtoN2O*kgtoGg)</f>
        <v>9.9884787605714245E-2</v>
      </c>
      <c r="AY49" s="27">
        <f>IF(('Activity data'!AY18*EF!$H49*EF!X67)*NtoN2O*kgtoGg=0,"NO",('Activity data'!AY18*EF!$H49*EF!X67)*NtoN2O*kgtoGg)</f>
        <v>9.8491622873711313E-2</v>
      </c>
      <c r="AZ49" s="27">
        <f>IF(('Activity data'!AZ18*EF!$H49*EF!Y67)*NtoN2O*kgtoGg=0,"NO",('Activity data'!AZ18*EF!$H49*EF!Y67)*NtoN2O*kgtoGg)</f>
        <v>9.6945855862482944E-2</v>
      </c>
      <c r="BA49" s="27">
        <f>IF(('Activity data'!BA18*EF!$H49*EF!Z67)*NtoN2O*kgtoGg=0,"NO",('Activity data'!BA18*EF!$H49*EF!Z67)*NtoN2O*kgtoGg)</f>
        <v>9.5253283755261486E-2</v>
      </c>
      <c r="BB49" s="27">
        <f>IF(('Activity data'!BB18*EF!$H49*EF!AA67)*NtoN2O*kgtoGg=0,"NO",('Activity data'!BB18*EF!$H49*EF!AA67)*NtoN2O*kgtoGg)</f>
        <v>9.3420412011947257E-2</v>
      </c>
      <c r="BC49" s="27">
        <f>IF(('Activity data'!BC18*EF!$H49*EF!AB67)*NtoN2O*kgtoGg=0,"NO",('Activity data'!BC18*EF!$H49*EF!AB67)*NtoN2O*kgtoGg)</f>
        <v>-8.7051274087999644E-3</v>
      </c>
      <c r="BD49" s="27">
        <f>IF(('Activity data'!BD18*EF!$H49*EF!AC67)*NtoN2O*kgtoGg=0,"NO",('Activity data'!BD18*EF!$H49*EF!AC67)*NtoN2O*kgtoGg)</f>
        <v>-8.6108864575991286E-3</v>
      </c>
      <c r="BE49" s="27">
        <f>IF(('Activity data'!BE18*EF!$H49*EF!AD67)*NtoN2O*kgtoGg=0,"NO",('Activity data'!BE18*EF!$H49*EF!AD67)*NtoN2O*kgtoGg)</f>
        <v>-8.5163116169970788E-3</v>
      </c>
      <c r="BF49" s="27">
        <f>IF(('Activity data'!BF18*EF!$H49*EF!AE67)*NtoN2O*kgtoGg=0,"NO",('Activity data'!BF18*EF!$H49*EF!AE67)*NtoN2O*kgtoGg)</f>
        <v>-8.4215010037687853E-3</v>
      </c>
      <c r="BG49" s="27">
        <f>IF(('Activity data'!BG18*EF!$H49*EF!AF67)*NtoN2O*kgtoGg=0,"NO",('Activity data'!BG18*EF!$H49*EF!AF67)*NtoN2O*kgtoGg)</f>
        <v>-8.3265630558819938E-3</v>
      </c>
      <c r="BH49" s="27">
        <f>IF(('Activity data'!BH18*EF!$H49*EF!AG67)*NtoN2O*kgtoGg=0,"NO",('Activity data'!BH18*EF!$H49*EF!AG67)*NtoN2O*kgtoGg)</f>
        <v>-8.2312461111809163E-3</v>
      </c>
      <c r="BI49" s="27">
        <f>IF(('Activity data'!BI18*EF!$H49*EF!AH67)*NtoN2O*kgtoGg=0,"NO",('Activity data'!BI18*EF!$H49*EF!AH67)*NtoN2O*kgtoGg)</f>
        <v>-8.135401593620856E-3</v>
      </c>
      <c r="BJ49" s="27">
        <f>IF(('Activity data'!BJ18*EF!$H49*EF!AI67)*NtoN2O*kgtoGg=0,"NO",('Activity data'!BJ18*EF!$H49*EF!AI67)*NtoN2O*kgtoGg)</f>
        <v>-8.0390387618132202E-3</v>
      </c>
      <c r="BK49" s="27">
        <f>IF(('Activity data'!BK18*EF!$H49*EF!AJ67)*NtoN2O*kgtoGg=0,"NO",('Activity data'!BK18*EF!$H49*EF!AJ67)*NtoN2O*kgtoGg)</f>
        <v>-7.9419979262182108E-3</v>
      </c>
      <c r="BL49" s="27">
        <f>IF(('Activity data'!BL18*EF!$H49*EF!AK67)*NtoN2O*kgtoGg=0,"NO",('Activity data'!BL18*EF!$H49*EF!AK67)*NtoN2O*kgtoGg)</f>
        <v>-7.8441134290601709E-3</v>
      </c>
      <c r="BM49" s="27">
        <f>IF(('Activity data'!BM18*EF!$H49*EF!AL67)*NtoN2O*kgtoGg=0,"NO",('Activity data'!BM18*EF!$H49*EF!AL67)*NtoN2O*kgtoGg)</f>
        <v>-7.7454130516986675E-3</v>
      </c>
      <c r="BN49" s="27">
        <f>IF(('Activity data'!BN18*EF!$H49*EF!AM67)*NtoN2O*kgtoGg=0,"NO",('Activity data'!BN18*EF!$H49*EF!AM67)*NtoN2O*kgtoGg)</f>
        <v>-7.6459789259300508E-3</v>
      </c>
      <c r="BO49" s="27">
        <f>IF(('Activity data'!BO18*EF!$H49*EF!AN67)*NtoN2O*kgtoGg=0,"NO",('Activity data'!BO18*EF!$H49*EF!AN67)*NtoN2O*kgtoGg)</f>
        <v>-7.5458813061838152E-3</v>
      </c>
      <c r="BP49" s="27">
        <f>IF(('Activity data'!BP18*EF!$H49*EF!AO67)*NtoN2O*kgtoGg=0,"NO",('Activity data'!BP18*EF!$H49*EF!AO67)*NtoN2O*kgtoGg)</f>
        <v>-7.444981612347289E-3</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0.3278422472608899</v>
      </c>
      <c r="AE50" s="27">
        <f>IF(('Activity data'!AE19*EF!$H50*EF!$H68)*NtoN2O*kgtoGg=0,"NO",('Activity data'!AE19*EF!$H50*EF!$H68)*NtoN2O*kgtoGg)</f>
        <v>0.33450793008613738</v>
      </c>
      <c r="AF50" s="27">
        <f>IF(('Activity data'!AF19*EF!$H50*EF!$H68)*NtoN2O*kgtoGg=0,"NO",('Activity data'!AF19*EF!$H50*EF!$H68)*NtoN2O*kgtoGg)</f>
        <v>0.34229948156355033</v>
      </c>
      <c r="AG50" s="27">
        <f>IF(('Activity data'!AG19*EF!$H50*EF!$H68)*NtoN2O*kgtoGg=0,"NO",('Activity data'!AG19*EF!$H50*EF!$H68)*NtoN2O*kgtoGg)</f>
        <v>0.34828124731402305</v>
      </c>
      <c r="AH50" s="27">
        <f>IF(('Activity data'!AH19*EF!$H50*EF!$H68)*NtoN2O*kgtoGg=0,"NO",('Activity data'!AH19*EF!$H50*EF!$H68)*NtoN2O*kgtoGg)</f>
        <v>0.35308310351311478</v>
      </c>
      <c r="AI50" s="27">
        <f>IF(('Activity data'!AI19*EF!$H50*EF!H68)*NtoN2O*kgtoGg=0,"NO",('Activity data'!AI19*EF!$H50*EF!H68)*NtoN2O*kgtoGg)</f>
        <v>0.35667649320457162</v>
      </c>
      <c r="AJ50" s="27">
        <f>IF(('Activity data'!AJ19*EF!$H50*EF!I68)*NtoN2O*kgtoGg=0,"NO",('Activity data'!AJ19*EF!$H50*EF!I68)*NtoN2O*kgtoGg)</f>
        <v>0.36128421068096001</v>
      </c>
      <c r="AK50" s="27">
        <f>IF(('Activity data'!AK19*EF!$H50*EF!J68)*NtoN2O*kgtoGg=0,"NO",('Activity data'!AK19*EF!$H50*EF!J68)*NtoN2O*kgtoGg)</f>
        <v>0.36607496135357975</v>
      </c>
      <c r="AL50" s="27">
        <f>IF(('Activity data'!AL19*EF!$H50*EF!K68)*NtoN2O*kgtoGg=0,"NO",('Activity data'!AL19*EF!$H50*EF!K68)*NtoN2O*kgtoGg)</f>
        <v>0.35164354142672727</v>
      </c>
      <c r="AM50" s="27">
        <f>IF(('Activity data'!AM19*EF!$H50*EF!L68)*NtoN2O*kgtoGg=0,"NO",('Activity data'!AM19*EF!$H50*EF!L68)*NtoN2O*kgtoGg)</f>
        <v>0.36454239171647873</v>
      </c>
      <c r="AN50" s="27">
        <f>IF(('Activity data'!AN19*EF!$H50*EF!M68)*NtoN2O*kgtoGg=0,"NO",('Activity data'!AN19*EF!$H50*EF!M68)*NtoN2O*kgtoGg)</f>
        <v>0.81017234402499216</v>
      </c>
      <c r="AO50" s="27">
        <f>IF(('Activity data'!AO19*EF!$H50*EF!N68)*NtoN2O*kgtoGg=0,"NO",('Activity data'!AO19*EF!$H50*EF!N68)*NtoN2O*kgtoGg)</f>
        <v>0.82798351635276735</v>
      </c>
      <c r="AP50" s="27">
        <f>IF(('Activity data'!AP19*EF!$H50*EF!O68)*NtoN2O*kgtoGg=0,"NO",('Activity data'!AP19*EF!$H50*EF!O68)*NtoN2O*kgtoGg)</f>
        <v>0.84506426194084328</v>
      </c>
      <c r="AQ50" s="27">
        <f>IF(('Activity data'!AQ19*EF!$H50*EF!P68)*NtoN2O*kgtoGg=0,"NO",('Activity data'!AQ19*EF!$H50*EF!P68)*NtoN2O*kgtoGg)</f>
        <v>0.86126373168327053</v>
      </c>
      <c r="AR50" s="27">
        <f>IF(('Activity data'!AR19*EF!$H50*EF!Q68)*NtoN2O*kgtoGg=0,"NO",('Activity data'!AR19*EF!$H50*EF!Q68)*NtoN2O*kgtoGg)</f>
        <v>0.8763773651993314</v>
      </c>
      <c r="AS50" s="27">
        <f>IF(('Activity data'!AS19*EF!$H50*EF!R68)*NtoN2O*kgtoGg=0,"NO",('Activity data'!AS19*EF!$H50*EF!R68)*NtoN2O*kgtoGg)</f>
        <v>0.89033910907341196</v>
      </c>
      <c r="AT50" s="27">
        <f>IF(('Activity data'!AT19*EF!$H50*EF!S68)*NtoN2O*kgtoGg=0,"NO",('Activity data'!AT19*EF!$H50*EF!S68)*NtoN2O*kgtoGg)</f>
        <v>0.90308174157394194</v>
      </c>
      <c r="AU50" s="27">
        <f>IF(('Activity data'!AU19*EF!$H50*EF!T68)*NtoN2O*kgtoGg=0,"NO",('Activity data'!AU19*EF!$H50*EF!T68)*NtoN2O*kgtoGg)</f>
        <v>0.91454727526335933</v>
      </c>
      <c r="AV50" s="27">
        <f>IF(('Activity data'!AV19*EF!$H50*EF!U68)*NtoN2O*kgtoGg=0,"NO",('Activity data'!AV19*EF!$H50*EF!U68)*NtoN2O*kgtoGg)</f>
        <v>0.92468482420589437</v>
      </c>
      <c r="AW50" s="27">
        <f>IF(('Activity data'!AW19*EF!$H50*EF!V68)*NtoN2O*kgtoGg=0,"NO",('Activity data'!AW19*EF!$H50*EF!V68)*NtoN2O*kgtoGg)</f>
        <v>0.93344536277323964</v>
      </c>
      <c r="AX50" s="27">
        <f>IF(('Activity data'!AX19*EF!$H50*EF!W68)*NtoN2O*kgtoGg=0,"NO",('Activity data'!AX19*EF!$H50*EF!W68)*NtoN2O*kgtoGg)</f>
        <v>0.94079043302909848</v>
      </c>
      <c r="AY50" s="27">
        <f>IF(('Activity data'!AY19*EF!$H50*EF!X68)*NtoN2O*kgtoGg=0,"NO",('Activity data'!AY19*EF!$H50*EF!X68)*NtoN2O*kgtoGg)</f>
        <v>0.94668534064993604</v>
      </c>
      <c r="AZ50" s="27">
        <f>IF(('Activity data'!AZ19*EF!$H50*EF!Y68)*NtoN2O*kgtoGg=0,"NO",('Activity data'!AZ19*EF!$H50*EF!Y68)*NtoN2O*kgtoGg)</f>
        <v>0.95109922865749519</v>
      </c>
      <c r="BA50" s="27">
        <f>IF(('Activity data'!BA19*EF!$H50*EF!Z68)*NtoN2O*kgtoGg=0,"NO",('Activity data'!BA19*EF!$H50*EF!Z68)*NtoN2O*kgtoGg)</f>
        <v>0.95401351999914974</v>
      </c>
      <c r="BB50" s="27">
        <f>IF(('Activity data'!BB19*EF!$H50*EF!AA68)*NtoN2O*kgtoGg=0,"NO",('Activity data'!BB19*EF!$H50*EF!AA68)*NtoN2O*kgtoGg)</f>
        <v>0.95541860028387315</v>
      </c>
      <c r="BC50" s="27">
        <f>IF(('Activity data'!BC19*EF!$H50*EF!AB68)*NtoN2O*kgtoGg=0,"NO",('Activity data'!BC19*EF!$H50*EF!AB68)*NtoN2O*kgtoGg)</f>
        <v>0.12455157965260578</v>
      </c>
      <c r="BD50" s="27">
        <f>IF(('Activity data'!BD19*EF!$H50*EF!AC68)*NtoN2O*kgtoGg=0,"NO",('Activity data'!BD19*EF!$H50*EF!AC68)*NtoN2O*kgtoGg)</f>
        <v>0.12546570662729262</v>
      </c>
      <c r="BE50" s="27">
        <f>IF(('Activity data'!BE19*EF!$H50*EF!AD68)*NtoN2O*kgtoGg=0,"NO",('Activity data'!BE19*EF!$H50*EF!AD68)*NtoN2O*kgtoGg)</f>
        <v>0.12635717357285206</v>
      </c>
      <c r="BF50" s="27">
        <f>IF(('Activity data'!BF19*EF!$H50*EF!AE68)*NtoN2O*kgtoGg=0,"NO",('Activity data'!BF19*EF!$H50*EF!AE68)*NtoN2O*kgtoGg)</f>
        <v>0.12722732342881915</v>
      </c>
      <c r="BG50" s="27">
        <f>IF(('Activity data'!BG19*EF!$H50*EF!AF68)*NtoN2O*kgtoGg=0,"NO",('Activity data'!BG19*EF!$H50*EF!AF68)*NtoN2O*kgtoGg)</f>
        <v>0.12807770428267184</v>
      </c>
      <c r="BH50" s="27">
        <f>IF(('Activity data'!BH19*EF!$H50*EF!AG68)*NtoN2O*kgtoGg=0,"NO",('Activity data'!BH19*EF!$H50*EF!AG68)*NtoN2O*kgtoGg)</f>
        <v>0.12890482942711159</v>
      </c>
      <c r="BI50" s="27">
        <f>IF(('Activity data'!BI19*EF!$H50*EF!AH68)*NtoN2O*kgtoGg=0,"NO",('Activity data'!BI19*EF!$H50*EF!AH68)*NtoN2O*kgtoGg)</f>
        <v>0.12970640273413572</v>
      </c>
      <c r="BJ50" s="27">
        <f>IF(('Activity data'!BJ19*EF!$H50*EF!AI68)*NtoN2O*kgtoGg=0,"NO",('Activity data'!BJ19*EF!$H50*EF!AI68)*NtoN2O*kgtoGg)</f>
        <v>0.13048225510266878</v>
      </c>
      <c r="BK50" s="27">
        <f>IF(('Activity data'!BK19*EF!$H50*EF!AJ68)*NtoN2O*kgtoGg=0,"NO",('Activity data'!BK19*EF!$H50*EF!AJ68)*NtoN2O*kgtoGg)</f>
        <v>0.13122965143314799</v>
      </c>
      <c r="BL50" s="27">
        <f>IF(('Activity data'!BL19*EF!$H50*EF!AK68)*NtoN2O*kgtoGg=0,"NO",('Activity data'!BL19*EF!$H50*EF!AK68)*NtoN2O*kgtoGg)</f>
        <v>0.13194554686006624</v>
      </c>
      <c r="BM50" s="27">
        <f>IF(('Activity data'!BM19*EF!$H50*EF!AL68)*NtoN2O*kgtoGg=0,"NO",('Activity data'!BM19*EF!$H50*EF!AL68)*NtoN2O*kgtoGg)</f>
        <v>0.1326296750998292</v>
      </c>
      <c r="BN50" s="27">
        <f>IF(('Activity data'!BN19*EF!$H50*EF!AM68)*NtoN2O*kgtoGg=0,"NO",('Activity data'!BN19*EF!$H50*EF!AM68)*NtoN2O*kgtoGg)</f>
        <v>0.13328261317396048</v>
      </c>
      <c r="BO50" s="27">
        <f>IF(('Activity data'!BO19*EF!$H50*EF!AN68)*NtoN2O*kgtoGg=0,"NO",('Activity data'!BO19*EF!$H50*EF!AN68)*NtoN2O*kgtoGg)</f>
        <v>0.1339047918740231</v>
      </c>
      <c r="BP50" s="27">
        <f>IF(('Activity data'!BP19*EF!$H50*EF!AO68)*NtoN2O*kgtoGg=0,"NO",('Activity data'!BP19*EF!$H50*EF!AO68)*NtoN2O*kgtoGg)</f>
        <v>0.13449324202045793</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1.7017151675634967</v>
      </c>
      <c r="AE51" s="27">
        <f>IF(('Activity data'!AE20*EF!$H51*EF!$H69)*NtoN2O*kgtoGg=0,"NO",('Activity data'!AE20*EF!$H51*EF!$H69)*NtoN2O*kgtoGg)</f>
        <v>1.724123714732765</v>
      </c>
      <c r="AF51" s="27">
        <f>IF(('Activity data'!AF20*EF!$H51*EF!$H69)*NtoN2O*kgtoGg=0,"NO",('Activity data'!AF20*EF!$H51*EF!$H69)*NtoN2O*kgtoGg)</f>
        <v>1.7601182693498119</v>
      </c>
      <c r="AG51" s="27">
        <f>IF(('Activity data'!AG20*EF!$H51*EF!$H69)*NtoN2O*kgtoGg=0,"NO",('Activity data'!AG20*EF!$H51*EF!$H69)*NtoN2O*kgtoGg)</f>
        <v>1.7704533576020518</v>
      </c>
      <c r="AH51" s="27">
        <f>IF(('Activity data'!AH20*EF!$H51*EF!$H69)*NtoN2O*kgtoGg=0,"NO",('Activity data'!AH20*EF!$H51*EF!$H69)*NtoN2O*kgtoGg)</f>
        <v>1.7641159598844758</v>
      </c>
      <c r="AI51" s="27">
        <f>IF(('Activity data'!AI20*EF!$H51*EF!H69)*NtoN2O*kgtoGg=0,"NO",('Activity data'!AI20*EF!$H51*EF!H69)*NtoN2O*kgtoGg)</f>
        <v>1.741173502214217</v>
      </c>
      <c r="AJ51" s="27">
        <f>IF(('Activity data'!AJ20*EF!$H51*EF!I69)*NtoN2O*kgtoGg=0,"NO",('Activity data'!AJ20*EF!$H51*EF!I69)*NtoN2O*kgtoGg)</f>
        <v>1.7315152516158581</v>
      </c>
      <c r="AK51" s="27">
        <f>IF(('Activity data'!AK20*EF!$H51*EF!J69)*NtoN2O*kgtoGg=0,"NO",('Activity data'!AK20*EF!$H51*EF!J69)*NtoN2O*kgtoGg)</f>
        <v>1.7240481490859689</v>
      </c>
      <c r="AL51" s="27">
        <f>IF(('Activity data'!AL20*EF!$H51*EF!K69)*NtoN2O*kgtoGg=0,"NO",('Activity data'!AL20*EF!$H51*EF!K69)*NtoN2O*kgtoGg)</f>
        <v>1.5035639635767468</v>
      </c>
      <c r="AM51" s="27">
        <f>IF(('Activity data'!AM20*EF!$H51*EF!L69)*NtoN2O*kgtoGg=0,"NO",('Activity data'!AM20*EF!$H51*EF!L69)*NtoN2O*kgtoGg)</f>
        <v>1.6173540495561818</v>
      </c>
      <c r="AN51" s="27">
        <f>IF(('Activity data'!AN20*EF!$H51*EF!M69)*NtoN2O*kgtoGg=0,"NO",('Activity data'!AN20*EF!$H51*EF!M69)*NtoN2O*kgtoGg)</f>
        <v>7.0326605429040603</v>
      </c>
      <c r="AO51" s="27">
        <f>IF(('Activity data'!AO20*EF!$H51*EF!N69)*NtoN2O*kgtoGg=0,"NO",('Activity data'!AO20*EF!$H51*EF!N69)*NtoN2O*kgtoGg)</f>
        <v>7.1587444728308389</v>
      </c>
      <c r="AP51" s="27">
        <f>IF(('Activity data'!AP20*EF!$H51*EF!O69)*NtoN2O*kgtoGg=0,"NO",('Activity data'!AP20*EF!$H51*EF!O69)*NtoN2O*kgtoGg)</f>
        <v>7.2707564931151909</v>
      </c>
      <c r="AQ51" s="27">
        <f>IF(('Activity data'!AQ20*EF!$H51*EF!P69)*NtoN2O*kgtoGg=0,"NO",('Activity data'!AQ20*EF!$H51*EF!P69)*NtoN2O*kgtoGg)</f>
        <v>7.3691748844835665</v>
      </c>
      <c r="AR51" s="27">
        <f>IF(('Activity data'!AR20*EF!$H51*EF!Q69)*NtoN2O*kgtoGg=0,"NO",('Activity data'!AR20*EF!$H51*EF!Q69)*NtoN2O*kgtoGg)</f>
        <v>7.4553371690594963</v>
      </c>
      <c r="AS51" s="27">
        <f>IF(('Activity data'!AS20*EF!$H51*EF!R69)*NtoN2O*kgtoGg=0,"NO",('Activity data'!AS20*EF!$H51*EF!R69)*NtoN2O*kgtoGg)</f>
        <v>7.5285970501173791</v>
      </c>
      <c r="AT51" s="27">
        <f>IF(('Activity data'!AT20*EF!$H51*EF!S69)*NtoN2O*kgtoGg=0,"NO",('Activity data'!AT20*EF!$H51*EF!S69)*NtoN2O*kgtoGg)</f>
        <v>7.5884583464710351</v>
      </c>
      <c r="AU51" s="27">
        <f>IF(('Activity data'!AU20*EF!$H51*EF!T69)*NtoN2O*kgtoGg=0,"NO",('Activity data'!AU20*EF!$H51*EF!T69)*NtoN2O*kgtoGg)</f>
        <v>7.6344333579538368</v>
      </c>
      <c r="AV51" s="27">
        <f>IF(('Activity data'!AV20*EF!$H51*EF!U69)*NtoN2O*kgtoGg=0,"NO",('Activity data'!AV20*EF!$H51*EF!U69)*NtoN2O*kgtoGg)</f>
        <v>7.6660871188162911</v>
      </c>
      <c r="AW51" s="27">
        <f>IF(('Activity data'!AW20*EF!$H51*EF!V69)*NtoN2O*kgtoGg=0,"NO",('Activity data'!AW20*EF!$H51*EF!V69)*NtoN2O*kgtoGg)</f>
        <v>7.6831230278292386</v>
      </c>
      <c r="AX51" s="27">
        <f>IF(('Activity data'!AX20*EF!$H51*EF!W69)*NtoN2O*kgtoGg=0,"NO",('Activity data'!AX20*EF!$H51*EF!W69)*NtoN2O*kgtoGg)</f>
        <v>7.6852660983393646</v>
      </c>
      <c r="AY51" s="27">
        <f>IF(('Activity data'!AY20*EF!$H51*EF!X69)*NtoN2O*kgtoGg=0,"NO",('Activity data'!AY20*EF!$H51*EF!X69)*NtoN2O*kgtoGg)</f>
        <v>7.6723681593235442</v>
      </c>
      <c r="AZ51" s="27">
        <f>IF(('Activity data'!AZ20*EF!$H51*EF!Y69)*NtoN2O*kgtoGg=0,"NO",('Activity data'!AZ20*EF!$H51*EF!Y69)*NtoN2O*kgtoGg)</f>
        <v>7.6444112062228218</v>
      </c>
      <c r="BA51" s="27">
        <f>IF(('Activity data'!BA20*EF!$H51*EF!Z69)*NtoN2O*kgtoGg=0,"NO",('Activity data'!BA20*EF!$H51*EF!Z69)*NtoN2O*kgtoGg)</f>
        <v>7.601393060420655</v>
      </c>
      <c r="BB51" s="27">
        <f>IF(('Activity data'!BB20*EF!$H51*EF!AA69)*NtoN2O*kgtoGg=0,"NO",('Activity data'!BB20*EF!$H51*EF!AA69)*NtoN2O*kgtoGg)</f>
        <v>7.5433781605278138</v>
      </c>
      <c r="BC51" s="27">
        <f>IF(('Activity data'!BC20*EF!$H51*EF!AB69)*NtoN2O*kgtoGg=0,"NO",('Activity data'!BC20*EF!$H51*EF!AB69)*NtoN2O*kgtoGg)</f>
        <v>-1.6108210655566082</v>
      </c>
      <c r="BD51" s="27">
        <f>IF(('Activity data'!BD20*EF!$H51*EF!AC69)*NtoN2O*kgtoGg=0,"NO",('Activity data'!BD20*EF!$H51*EF!AC69)*NtoN2O*kgtoGg)</f>
        <v>-1.613100635371139</v>
      </c>
      <c r="BE51" s="27">
        <f>IF(('Activity data'!BE20*EF!$H51*EF!AD69)*NtoN2O*kgtoGg=0,"NO",('Activity data'!BE20*EF!$H51*EF!AD69)*NtoN2O*kgtoGg)</f>
        <v>-1.6151647470887973</v>
      </c>
      <c r="BF51" s="27">
        <f>IF(('Activity data'!BF20*EF!$H51*EF!AE69)*NtoN2O*kgtoGg=0,"NO",('Activity data'!BF20*EF!$H51*EF!AE69)*NtoN2O*kgtoGg)</f>
        <v>-1.6170309534265412</v>
      </c>
      <c r="BG51" s="27">
        <f>IF(('Activity data'!BG20*EF!$H51*EF!AF69)*NtoN2O*kgtoGg=0,"NO",('Activity data'!BG20*EF!$H51*EF!AF69)*NtoN2O*kgtoGg)</f>
        <v>-1.6187193219312461</v>
      </c>
      <c r="BH51" s="27">
        <f>IF(('Activity data'!BH20*EF!$H51*EF!AG69)*NtoN2O*kgtoGg=0,"NO",('Activity data'!BH20*EF!$H51*EF!AG69)*NtoN2O*kgtoGg)</f>
        <v>-1.6201827321446018</v>
      </c>
      <c r="BI51" s="27">
        <f>IF(('Activity data'!BI20*EF!$H51*EF!AH69)*NtoN2O*kgtoGg=0,"NO",('Activity data'!BI20*EF!$H51*EF!AH69)*NtoN2O*kgtoGg)</f>
        <v>-1.6213910531514668</v>
      </c>
      <c r="BJ51" s="27">
        <f>IF(('Activity data'!BJ20*EF!$H51*EF!AI69)*NtoN2O*kgtoGg=0,"NO",('Activity data'!BJ20*EF!$H51*EF!AI69)*NtoN2O*kgtoGg)</f>
        <v>-1.6223429170122639</v>
      </c>
      <c r="BK51" s="27">
        <f>IF(('Activity data'!BK20*EF!$H51*EF!AJ69)*NtoN2O*kgtoGg=0,"NO",('Activity data'!BK20*EF!$H51*EF!AJ69)*NtoN2O*kgtoGg)</f>
        <v>-1.623003587370585</v>
      </c>
      <c r="BL51" s="27">
        <f>IF(('Activity data'!BL20*EF!$H51*EF!AK69)*NtoN2O*kgtoGg=0,"NO",('Activity data'!BL20*EF!$H51*EF!AK69)*NtoN2O*kgtoGg)</f>
        <v>-1.6233351759618906</v>
      </c>
      <c r="BM51" s="27">
        <f>IF(('Activity data'!BM20*EF!$H51*EF!AL69)*NtoN2O*kgtoGg=0,"NO",('Activity data'!BM20*EF!$H51*EF!AL69)*NtoN2O*kgtoGg)</f>
        <v>-1.623336597056291</v>
      </c>
      <c r="BN51" s="27">
        <f>IF(('Activity data'!BN20*EF!$H51*EF!AM69)*NtoN2O*kgtoGg=0,"NO",('Activity data'!BN20*EF!$H51*EF!AM69)*NtoN2O*kgtoGg)</f>
        <v>-1.6230176880430305</v>
      </c>
      <c r="BO51" s="27">
        <f>IF(('Activity data'!BO20*EF!$H51*EF!AN69)*NtoN2O*kgtoGg=0,"NO",('Activity data'!BO20*EF!$H51*EF!AN69)*NtoN2O*kgtoGg)</f>
        <v>-1.6223862668543294</v>
      </c>
      <c r="BP51" s="27">
        <f>IF(('Activity data'!BP20*EF!$H51*EF!AO69)*NtoN2O*kgtoGg=0,"NO",('Activity data'!BP20*EF!$H51*EF!AO69)*NtoN2O*kgtoGg)</f>
        <v>-1.6214068147422027</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1.3660093635870426E-2</v>
      </c>
      <c r="AE52" s="27">
        <f>IF(('Activity data'!AE21*EF!$H52*EF!$H70)*NtoN2O*kgtoGg=0,"NO",('Activity data'!AE21*EF!$H52*EF!$H70)*NtoN2O*kgtoGg)</f>
        <v>1.3937830420255738E-2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1.4861520550190495E-2</v>
      </c>
      <c r="AJ52" s="27">
        <f>IF(('Activity data'!AJ21*EF!$H52*EF!I70)*NtoN2O*kgtoGg=0,"NO",('Activity data'!AJ21*EF!$H52*EF!I70)*NtoN2O*kgtoGg)</f>
        <v>1.5053508778373347E-2</v>
      </c>
      <c r="AK52" s="27">
        <f>IF(('Activity data'!AK21*EF!$H52*EF!J70)*NtoN2O*kgtoGg=0,"NO",('Activity data'!AK21*EF!$H52*EF!J70)*NtoN2O*kgtoGg)</f>
        <v>1.5253123389732505E-2</v>
      </c>
      <c r="AL52" s="27">
        <f>IF(('Activity data'!AL21*EF!$H52*EF!K70)*NtoN2O*kgtoGg=0,"NO",('Activity data'!AL21*EF!$H52*EF!K70)*NtoN2O*kgtoGg)</f>
        <v>1.4651814226113646E-2</v>
      </c>
      <c r="AM52" s="27">
        <f>IF(('Activity data'!AM21*EF!$H52*EF!L70)*NtoN2O*kgtoGg=0,"NO",('Activity data'!AM21*EF!$H52*EF!L70)*NtoN2O*kgtoGg)</f>
        <v>1.5189266321519962E-2</v>
      </c>
      <c r="AN52" s="27">
        <f>IF(('Activity data'!AN21*EF!$H52*EF!M70)*NtoN2O*kgtoGg=0,"NO",('Activity data'!AN21*EF!$H52*EF!M70)*NtoN2O*kgtoGg)</f>
        <v>3.3757181001041366E-2</v>
      </c>
      <c r="AO52" s="27">
        <f>IF(('Activity data'!AO21*EF!$H52*EF!N70)*NtoN2O*kgtoGg=0,"NO",('Activity data'!AO21*EF!$H52*EF!N70)*NtoN2O*kgtoGg)</f>
        <v>3.4499313181365336E-2</v>
      </c>
      <c r="AP52" s="27">
        <f>IF(('Activity data'!AP21*EF!$H52*EF!O70)*NtoN2O*kgtoGg=0,"NO",('Activity data'!AP21*EF!$H52*EF!O70)*NtoN2O*kgtoGg)</f>
        <v>3.5211010914201833E-2</v>
      </c>
      <c r="AQ52" s="27">
        <f>IF(('Activity data'!AQ21*EF!$H52*EF!P70)*NtoN2O*kgtoGg=0,"NO",('Activity data'!AQ21*EF!$H52*EF!P70)*NtoN2O*kgtoGg)</f>
        <v>3.5885988820136307E-2</v>
      </c>
      <c r="AR52" s="27">
        <f>IF(('Activity data'!AR21*EF!$H52*EF!Q70)*NtoN2O*kgtoGg=0,"NO",('Activity data'!AR21*EF!$H52*EF!Q70)*NtoN2O*kgtoGg)</f>
        <v>3.6515723549972179E-2</v>
      </c>
      <c r="AS52" s="27">
        <f>IF(('Activity data'!AS21*EF!$H52*EF!R70)*NtoN2O*kgtoGg=0,"NO",('Activity data'!AS21*EF!$H52*EF!R70)*NtoN2O*kgtoGg)</f>
        <v>3.7097462878058866E-2</v>
      </c>
      <c r="AT52" s="27">
        <f>IF(('Activity data'!AT21*EF!$H52*EF!S70)*NtoN2O*kgtoGg=0,"NO",('Activity data'!AT21*EF!$H52*EF!S70)*NtoN2O*kgtoGg)</f>
        <v>3.7628405898914287E-2</v>
      </c>
      <c r="AU52" s="27">
        <f>IF(('Activity data'!AU21*EF!$H52*EF!T70)*NtoN2O*kgtoGg=0,"NO",('Activity data'!AU21*EF!$H52*EF!T70)*NtoN2O*kgtoGg)</f>
        <v>3.8106136469306676E-2</v>
      </c>
      <c r="AV52" s="27">
        <f>IF(('Activity data'!AV21*EF!$H52*EF!U70)*NtoN2O*kgtoGg=0,"NO",('Activity data'!AV21*EF!$H52*EF!U70)*NtoN2O*kgtoGg)</f>
        <v>3.85285343419123E-2</v>
      </c>
      <c r="AW52" s="27">
        <f>IF(('Activity data'!AW21*EF!$H52*EF!V70)*NtoN2O*kgtoGg=0,"NO",('Activity data'!AW21*EF!$H52*EF!V70)*NtoN2O*kgtoGg)</f>
        <v>3.8893556782218362E-2</v>
      </c>
      <c r="AX52" s="27">
        <f>IF(('Activity data'!AX21*EF!$H52*EF!W70)*NtoN2O*kgtoGg=0,"NO",('Activity data'!AX21*EF!$H52*EF!W70)*NtoN2O*kgtoGg)</f>
        <v>3.9199601376212471E-2</v>
      </c>
      <c r="AY52" s="27">
        <f>IF(('Activity data'!AY21*EF!$H52*EF!X70)*NtoN2O*kgtoGg=0,"NO",('Activity data'!AY21*EF!$H52*EF!X70)*NtoN2O*kgtoGg)</f>
        <v>3.9445222527080714E-2</v>
      </c>
      <c r="AZ52" s="27">
        <f>IF(('Activity data'!AZ21*EF!$H52*EF!Y70)*NtoN2O*kgtoGg=0,"NO",('Activity data'!AZ21*EF!$H52*EF!Y70)*NtoN2O*kgtoGg)</f>
        <v>3.9629134527395672E-2</v>
      </c>
      <c r="BA52" s="27">
        <f>IF(('Activity data'!BA21*EF!$H52*EF!Z70)*NtoN2O*kgtoGg=0,"NO",('Activity data'!BA21*EF!$H52*EF!Z70)*NtoN2O*kgtoGg)</f>
        <v>3.9750563333297947E-2</v>
      </c>
      <c r="BB52" s="27">
        <f>IF(('Activity data'!BB21*EF!$H52*EF!AA70)*NtoN2O*kgtoGg=0,"NO",('Activity data'!BB21*EF!$H52*EF!AA70)*NtoN2O*kgtoGg)</f>
        <v>3.9809108345161416E-2</v>
      </c>
      <c r="BC52" s="27">
        <f>IF(('Activity data'!BC21*EF!$H52*EF!AB70)*NtoN2O*kgtoGg=0,"NO",('Activity data'!BC21*EF!$H52*EF!AB70)*NtoN2O*kgtoGg)</f>
        <v>5.189649152191912E-3</v>
      </c>
      <c r="BD52" s="27">
        <f>IF(('Activity data'!BD21*EF!$H52*EF!AC70)*NtoN2O*kgtoGg=0,"NO",('Activity data'!BD21*EF!$H52*EF!AC70)*NtoN2O*kgtoGg)</f>
        <v>5.2277377761371976E-3</v>
      </c>
      <c r="BE52" s="27">
        <f>IF(('Activity data'!BE21*EF!$H52*EF!AD70)*NtoN2O*kgtoGg=0,"NO",('Activity data'!BE21*EF!$H52*EF!AD70)*NtoN2O*kgtoGg)</f>
        <v>5.2648822322021753E-3</v>
      </c>
      <c r="BF52" s="27">
        <f>IF(('Activity data'!BF21*EF!$H52*EF!AE70)*NtoN2O*kgtoGg=0,"NO",('Activity data'!BF21*EF!$H52*EF!AE70)*NtoN2O*kgtoGg)</f>
        <v>5.3011384762008023E-3</v>
      </c>
      <c r="BG52" s="27">
        <f>IF(('Activity data'!BG21*EF!$H52*EF!AF70)*NtoN2O*kgtoGg=0,"NO",('Activity data'!BG21*EF!$H52*EF!AF70)*NtoN2O*kgtoGg)</f>
        <v>5.3365710117779979E-3</v>
      </c>
      <c r="BH52" s="27">
        <f>IF(('Activity data'!BH21*EF!$H52*EF!AG70)*NtoN2O*kgtoGg=0,"NO",('Activity data'!BH21*EF!$H52*EF!AG70)*NtoN2O*kgtoGg)</f>
        <v>5.3710345594629892E-3</v>
      </c>
      <c r="BI52" s="27">
        <f>IF(('Activity data'!BI21*EF!$H52*EF!AH70)*NtoN2O*kgtoGg=0,"NO",('Activity data'!BI21*EF!$H52*EF!AH70)*NtoN2O*kgtoGg)</f>
        <v>5.4044334472556589E-3</v>
      </c>
      <c r="BJ52" s="27">
        <f>IF(('Activity data'!BJ21*EF!$H52*EF!AI70)*NtoN2O*kgtoGg=0,"NO",('Activity data'!BJ21*EF!$H52*EF!AI70)*NtoN2O*kgtoGg)</f>
        <v>5.4367606292778717E-3</v>
      </c>
      <c r="BK52" s="27">
        <f>IF(('Activity data'!BK21*EF!$H52*EF!AJ70)*NtoN2O*kgtoGg=0,"NO",('Activity data'!BK21*EF!$H52*EF!AJ70)*NtoN2O*kgtoGg)</f>
        <v>5.4679021430478368E-3</v>
      </c>
      <c r="BL52" s="27">
        <f>IF(('Activity data'!BL21*EF!$H52*EF!AK70)*NtoN2O*kgtoGg=0,"NO",('Activity data'!BL21*EF!$H52*EF!AK70)*NtoN2O*kgtoGg)</f>
        <v>5.4977311191694326E-3</v>
      </c>
      <c r="BM52" s="27">
        <f>IF(('Activity data'!BM21*EF!$H52*EF!AL70)*NtoN2O*kgtoGg=0,"NO",('Activity data'!BM21*EF!$H52*EF!AL70)*NtoN2O*kgtoGg)</f>
        <v>5.5262364624928872E-3</v>
      </c>
      <c r="BN52" s="27">
        <f>IF(('Activity data'!BN21*EF!$H52*EF!AM70)*NtoN2O*kgtoGg=0,"NO",('Activity data'!BN21*EF!$H52*EF!AM70)*NtoN2O*kgtoGg)</f>
        <v>5.5534422155816918E-3</v>
      </c>
      <c r="BO52" s="27">
        <f>IF(('Activity data'!BO21*EF!$H52*EF!AN70)*NtoN2O*kgtoGg=0,"NO",('Activity data'!BO21*EF!$H52*EF!AN70)*NtoN2O*kgtoGg)</f>
        <v>5.5793663280842998E-3</v>
      </c>
      <c r="BP52" s="27">
        <f>IF(('Activity data'!BP21*EF!$H52*EF!AO70)*NtoN2O*kgtoGg=0,"NO",('Activity data'!BP21*EF!$H52*EF!AO70)*NtoN2O*kgtoGg)</f>
        <v>5.6038850841857524E-3</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7.0904798648479081E-2</v>
      </c>
      <c r="AE53" s="27">
        <f>IF(('Activity data'!AE22*EF!$H53*EF!$H71)*NtoN2O*kgtoGg=0,"NO",('Activity data'!AE22*EF!$H53*EF!$H71)*NtoN2O*kgtoGg)</f>
        <v>7.183848811386527E-2</v>
      </c>
      <c r="AF53" s="27">
        <f>IF(('Activity data'!AF22*EF!$H53*EF!$H71)*NtoN2O*kgtoGg=0,"NO",('Activity data'!AF22*EF!$H53*EF!$H71)*NtoN2O*kgtoGg)</f>
        <v>7.3338261222908901E-2</v>
      </c>
      <c r="AG53" s="27">
        <f>IF(('Activity data'!AG22*EF!$H53*EF!$H71)*NtoN2O*kgtoGg=0,"NO",('Activity data'!AG22*EF!$H53*EF!$H71)*NtoN2O*kgtoGg)</f>
        <v>7.3768889900085566E-2</v>
      </c>
      <c r="AH53" s="27">
        <f>IF(('Activity data'!AH22*EF!$H53*EF!$H71)*NtoN2O*kgtoGg=0,"NO",('Activity data'!AH22*EF!$H53*EF!$H71)*NtoN2O*kgtoGg)</f>
        <v>7.3504831661853232E-2</v>
      </c>
      <c r="AI53" s="27">
        <f>IF(('Activity data'!AI22*EF!$H53*EF!H71)*NtoN2O*kgtoGg=0,"NO",('Activity data'!AI22*EF!$H53*EF!H71)*NtoN2O*kgtoGg)</f>
        <v>7.2548895925592438E-2</v>
      </c>
      <c r="AJ53" s="27">
        <f>IF(('Activity data'!AJ22*EF!$H53*EF!I71)*NtoN2O*kgtoGg=0,"NO",('Activity data'!AJ22*EF!$H53*EF!I71)*NtoN2O*kgtoGg)</f>
        <v>7.2146468817327503E-2</v>
      </c>
      <c r="AK53" s="27">
        <f>IF(('Activity data'!AK22*EF!$H53*EF!J71)*NtoN2O*kgtoGg=0,"NO",('Activity data'!AK22*EF!$H53*EF!J71)*NtoN2O*kgtoGg)</f>
        <v>7.1835339545248775E-2</v>
      </c>
      <c r="AL53" s="27">
        <f>IF(('Activity data'!AL22*EF!$H53*EF!K71)*NtoN2O*kgtoGg=0,"NO",('Activity data'!AL22*EF!$H53*EF!K71)*NtoN2O*kgtoGg)</f>
        <v>6.264849848236452E-2</v>
      </c>
      <c r="AM53" s="27">
        <f>IF(('Activity data'!AM22*EF!$H53*EF!L71)*NtoN2O*kgtoGg=0,"NO",('Activity data'!AM22*EF!$H53*EF!L71)*NtoN2O*kgtoGg)</f>
        <v>6.7389752064840963E-2</v>
      </c>
      <c r="AN53" s="27">
        <f>IF(('Activity data'!AN22*EF!$H53*EF!M71)*NtoN2O*kgtoGg=0,"NO",('Activity data'!AN22*EF!$H53*EF!M71)*NtoN2O*kgtoGg)</f>
        <v>0.29302752262100273</v>
      </c>
      <c r="AO53" s="27">
        <f>IF(('Activity data'!AO22*EF!$H53*EF!N71)*NtoN2O*kgtoGg=0,"NO",('Activity data'!AO22*EF!$H53*EF!N71)*NtoN2O*kgtoGg)</f>
        <v>0.29828101970128529</v>
      </c>
      <c r="AP53" s="27">
        <f>IF(('Activity data'!AP22*EF!$H53*EF!O71)*NtoN2O*kgtoGg=0,"NO",('Activity data'!AP22*EF!$H53*EF!O71)*NtoN2O*kgtoGg)</f>
        <v>0.30294818721313321</v>
      </c>
      <c r="AQ53" s="27">
        <f>IF(('Activity data'!AQ22*EF!$H53*EF!P71)*NtoN2O*kgtoGg=0,"NO",('Activity data'!AQ22*EF!$H53*EF!P71)*NtoN2O*kgtoGg)</f>
        <v>0.30704895352014883</v>
      </c>
      <c r="AR53" s="27">
        <f>IF(('Activity data'!AR22*EF!$H53*EF!Q71)*NtoN2O*kgtoGg=0,"NO",('Activity data'!AR22*EF!$H53*EF!Q71)*NtoN2O*kgtoGg)</f>
        <v>0.31063904871081255</v>
      </c>
      <c r="AS53" s="27">
        <f>IF(('Activity data'!AS22*EF!$H53*EF!R71)*NtoN2O*kgtoGg=0,"NO",('Activity data'!AS22*EF!$H53*EF!R71)*NtoN2O*kgtoGg)</f>
        <v>0.31369154375489111</v>
      </c>
      <c r="AT53" s="27">
        <f>IF(('Activity data'!AT22*EF!$H53*EF!S71)*NtoN2O*kgtoGg=0,"NO",('Activity data'!AT22*EF!$H53*EF!S71)*NtoN2O*kgtoGg)</f>
        <v>0.31618576443629343</v>
      </c>
      <c r="AU53" s="27">
        <f>IF(('Activity data'!AU22*EF!$H53*EF!T71)*NtoN2O*kgtoGg=0,"NO",('Activity data'!AU22*EF!$H53*EF!T71)*NtoN2O*kgtoGg)</f>
        <v>0.31810138991474352</v>
      </c>
      <c r="AV53" s="27">
        <f>IF(('Activity data'!AV22*EF!$H53*EF!U71)*NtoN2O*kgtoGg=0,"NO",('Activity data'!AV22*EF!$H53*EF!U71)*NtoN2O*kgtoGg)</f>
        <v>0.31942029661734572</v>
      </c>
      <c r="AW53" s="27">
        <f>IF(('Activity data'!AW22*EF!$H53*EF!V71)*NtoN2O*kgtoGg=0,"NO",('Activity data'!AW22*EF!$H53*EF!V71)*NtoN2O*kgtoGg)</f>
        <v>0.320130126159552</v>
      </c>
      <c r="AX53" s="27">
        <f>IF(('Activity data'!AX22*EF!$H53*EF!W71)*NtoN2O*kgtoGg=0,"NO",('Activity data'!AX22*EF!$H53*EF!W71)*NtoN2O*kgtoGg)</f>
        <v>0.32021942076414051</v>
      </c>
      <c r="AY53" s="27">
        <f>IF(('Activity data'!AY22*EF!$H53*EF!X71)*NtoN2O*kgtoGg=0,"NO",('Activity data'!AY22*EF!$H53*EF!X71)*NtoN2O*kgtoGg)</f>
        <v>0.31968200663848134</v>
      </c>
      <c r="AZ53" s="27">
        <f>IF(('Activity data'!AZ22*EF!$H53*EF!Y71)*NtoN2O*kgtoGg=0,"NO",('Activity data'!AZ22*EF!$H53*EF!Y71)*NtoN2O*kgtoGg)</f>
        <v>0.31851713359261785</v>
      </c>
      <c r="BA53" s="27">
        <f>IF(('Activity data'!BA22*EF!$H53*EF!Z71)*NtoN2O*kgtoGg=0,"NO",('Activity data'!BA22*EF!$H53*EF!Z71)*NtoN2O*kgtoGg)</f>
        <v>0.31672471085086101</v>
      </c>
      <c r="BB53" s="27">
        <f>IF(('Activity data'!BB22*EF!$H53*EF!AA71)*NtoN2O*kgtoGg=0,"NO",('Activity data'!BB22*EF!$H53*EF!AA71)*NtoN2O*kgtoGg)</f>
        <v>0.31430742335532585</v>
      </c>
      <c r="BC53" s="27">
        <f>IF(('Activity data'!BC22*EF!$H53*EF!AB71)*NtoN2O*kgtoGg=0,"NO",('Activity data'!BC22*EF!$H53*EF!AB71)*NtoN2O*kgtoGg)</f>
        <v>-6.7117544398192078E-2</v>
      </c>
      <c r="BD53" s="27">
        <f>IF(('Activity data'!BD22*EF!$H53*EF!AC71)*NtoN2O*kgtoGg=0,"NO",('Activity data'!BD22*EF!$H53*EF!AC71)*NtoN2O*kgtoGg)</f>
        <v>-6.7212526473797524E-2</v>
      </c>
      <c r="BE53" s="27">
        <f>IF(('Activity data'!BE22*EF!$H53*EF!AD71)*NtoN2O*kgtoGg=0,"NO",('Activity data'!BE22*EF!$H53*EF!AD71)*NtoN2O*kgtoGg)</f>
        <v>-6.7298531128699962E-2</v>
      </c>
      <c r="BF53" s="27">
        <f>IF(('Activity data'!BF22*EF!$H53*EF!AE71)*NtoN2O*kgtoGg=0,"NO",('Activity data'!BF22*EF!$H53*EF!AE71)*NtoN2O*kgtoGg)</f>
        <v>-6.7376289726105959E-2</v>
      </c>
      <c r="BG53" s="27">
        <f>IF(('Activity data'!BG22*EF!$H53*EF!AF71)*NtoN2O*kgtoGg=0,"NO",('Activity data'!BG22*EF!$H53*EF!AF71)*NtoN2O*kgtoGg)</f>
        <v>-6.7446638413801982E-2</v>
      </c>
      <c r="BH53" s="27">
        <f>IF(('Activity data'!BH22*EF!$H53*EF!AG71)*NtoN2O*kgtoGg=0,"NO",('Activity data'!BH22*EF!$H53*EF!AG71)*NtoN2O*kgtoGg)</f>
        <v>-6.750761383935848E-2</v>
      </c>
      <c r="BI53" s="27">
        <f>IF(('Activity data'!BI22*EF!$H53*EF!AH71)*NtoN2O*kgtoGg=0,"NO",('Activity data'!BI22*EF!$H53*EF!AH71)*NtoN2O*kgtoGg)</f>
        <v>-6.7557960547977858E-2</v>
      </c>
      <c r="BJ53" s="27">
        <f>IF(('Activity data'!BJ22*EF!$H53*EF!AI71)*NtoN2O*kgtoGg=0,"NO",('Activity data'!BJ22*EF!$H53*EF!AI71)*NtoN2O*kgtoGg)</f>
        <v>-6.759762154217773E-2</v>
      </c>
      <c r="BK53" s="27">
        <f>IF(('Activity data'!BK22*EF!$H53*EF!AJ71)*NtoN2O*kgtoGg=0,"NO",('Activity data'!BK22*EF!$H53*EF!AJ71)*NtoN2O*kgtoGg)</f>
        <v>-6.7625149473774446E-2</v>
      </c>
      <c r="BL53" s="27">
        <f>IF(('Activity data'!BL22*EF!$H53*EF!AK71)*NtoN2O*kgtoGg=0,"NO",('Activity data'!BL22*EF!$H53*EF!AK71)*NtoN2O*kgtoGg)</f>
        <v>-6.7638965665078848E-2</v>
      </c>
      <c r="BM53" s="27">
        <f>IF(('Activity data'!BM22*EF!$H53*EF!AL71)*NtoN2O*kgtoGg=0,"NO",('Activity data'!BM22*EF!$H53*EF!AL71)*NtoN2O*kgtoGg)</f>
        <v>-6.7639024877345522E-2</v>
      </c>
      <c r="BN53" s="27">
        <f>IF(('Activity data'!BN22*EF!$H53*EF!AM71)*NtoN2O*kgtoGg=0,"NO",('Activity data'!BN22*EF!$H53*EF!AM71)*NtoN2O*kgtoGg)</f>
        <v>-6.7625737001792988E-2</v>
      </c>
      <c r="BO53" s="27">
        <f>IF(('Activity data'!BO22*EF!$H53*EF!AN71)*NtoN2O*kgtoGg=0,"NO",('Activity data'!BO22*EF!$H53*EF!AN71)*NtoN2O*kgtoGg)</f>
        <v>-6.7599427785597133E-2</v>
      </c>
      <c r="BP53" s="27">
        <f>IF(('Activity data'!BP22*EF!$H53*EF!AO71)*NtoN2O*kgtoGg=0,"NO",('Activity data'!BP22*EF!$H53*EF!AO71)*NtoN2O*kgtoGg)</f>
        <v>-6.7558617280925187E-2</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893.8099998865514</v>
      </c>
      <c r="AN86" s="22">
        <f>'Activity data'!AN45*EF!$H$149*CtoCO2*ttoGg</f>
        <v>900.67357822106953</v>
      </c>
      <c r="AO86" s="22">
        <f>'Activity data'!AO45*EF!$H$149*CtoCO2*ttoGg</f>
        <v>1065.3940139484962</v>
      </c>
      <c r="AP86" s="22">
        <f>'Activity data'!AP45*EF!$H$149*CtoCO2*ttoGg</f>
        <v>1069.5090816299301</v>
      </c>
      <c r="AQ86" s="22">
        <f>'Activity data'!AQ45*EF!$H$149*CtoCO2*ttoGg</f>
        <v>1073.3182252319168</v>
      </c>
      <c r="AR86" s="22">
        <f>'Activity data'!AR45*EF!$H$149*CtoCO2*ttoGg</f>
        <v>1076.8218555552182</v>
      </c>
      <c r="AS86" s="22">
        <f>'Activity data'!AS45*EF!$H$149*CtoCO2*ttoGg</f>
        <v>1080.0226317758113</v>
      </c>
      <c r="AT86" s="22">
        <f>'Activity data'!AT45*EF!$H$149*CtoCO2*ttoGg</f>
        <v>1082.9177749187229</v>
      </c>
      <c r="AU86" s="22">
        <f>'Activity data'!AU45*EF!$H$149*CtoCO2*ttoGg</f>
        <v>1085.5049609833559</v>
      </c>
      <c r="AV86" s="22">
        <f>'Activity data'!AV45*EF!$H$149*CtoCO2*ttoGg</f>
        <v>1087.7819132444117</v>
      </c>
      <c r="AW86" s="22">
        <f>'Activity data'!AW45*EF!$H$149*CtoCO2*ttoGg</f>
        <v>1089.7465011362146</v>
      </c>
      <c r="AX86" s="22">
        <f>'Activity data'!AX45*EF!$H$149*CtoCO2*ttoGg</f>
        <v>1091.3969473327843</v>
      </c>
      <c r="AY86" s="22">
        <f>'Activity data'!AY45*EF!$H$149*CtoCO2*ttoGg</f>
        <v>1092.7315009729246</v>
      </c>
      <c r="AZ86" s="22">
        <f>'Activity data'!AZ45*EF!$H$149*CtoCO2*ttoGg</f>
        <v>1093.7487030524378</v>
      </c>
      <c r="BA86" s="22">
        <f>'Activity data'!BA45*EF!$H$149*CtoCO2*ttoGg</f>
        <v>1094.4473857214566</v>
      </c>
      <c r="BB86" s="22">
        <f>'Activity data'!BB45*EF!$H$149*CtoCO2*ttoGg</f>
        <v>1094.8263628266327</v>
      </c>
      <c r="BC86" s="22">
        <f>'Activity data'!BC45*EF!$H$149*CtoCO2*ttoGg</f>
        <v>1094.8845593444271</v>
      </c>
      <c r="BD86" s="22">
        <f>'Activity data'!BD45*EF!$H$149*CtoCO2*ttoGg</f>
        <v>607.97020905828253</v>
      </c>
      <c r="BE86" s="22">
        <f>'Activity data'!BE45*EF!$H$149*CtoCO2*ttoGg</f>
        <v>607.55745037474526</v>
      </c>
      <c r="BF86" s="22">
        <f>'Activity data'!BF45*EF!$H$149*CtoCO2*ttoGg</f>
        <v>607.15409314091119</v>
      </c>
      <c r="BG86" s="22">
        <f>'Activity data'!BG45*EF!$H$149*CtoCO2*ttoGg</f>
        <v>606.75958690378332</v>
      </c>
      <c r="BH86" s="22">
        <f>'Activity data'!BH45*EF!$H$149*CtoCO2*ttoGg</f>
        <v>606.37328175345601</v>
      </c>
      <c r="BI86" s="22">
        <f>'Activity data'!BI45*EF!$H$149*CtoCO2*ttoGg</f>
        <v>605.99682053444815</v>
      </c>
      <c r="BJ86" s="22">
        <f>'Activity data'!BJ45*EF!$H$149*CtoCO2*ttoGg</f>
        <v>605.63131244884619</v>
      </c>
      <c r="BK86" s="22">
        <f>'Activity data'!BK45*EF!$H$149*CtoCO2*ttoGg</f>
        <v>605.27689810634104</v>
      </c>
      <c r="BL86" s="22">
        <f>'Activity data'!BL45*EF!$H$149*CtoCO2*ttoGg</f>
        <v>604.93489516166983</v>
      </c>
      <c r="BM86" s="22">
        <f>'Activity data'!BM45*EF!$H$149*CtoCO2*ttoGg</f>
        <v>604.60677047885349</v>
      </c>
      <c r="BN86" s="22">
        <f>'Activity data'!BN45*EF!$H$149*CtoCO2*ttoGg</f>
        <v>604.29271780451234</v>
      </c>
      <c r="BO86" s="22">
        <f>'Activity data'!BO45*EF!$H$149*CtoCO2*ttoGg</f>
        <v>603.99253980993103</v>
      </c>
      <c r="BP86" s="22">
        <f>'Activity data'!BP45*EF!$H$149*CtoCO2*ttoGg</f>
        <v>603.70610230649959</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469.91049414760272</v>
      </c>
      <c r="AN87" s="22">
        <f>'Activity data'!AN46*EF!$H$150*CtoCO2*ttoGg</f>
        <v>469.73756057025111</v>
      </c>
      <c r="AO87" s="22">
        <f>'Activity data'!AO46*EF!$H$150*CtoCO2*ttoGg</f>
        <v>465.58729188751397</v>
      </c>
      <c r="AP87" s="22">
        <f>'Activity data'!AP46*EF!$H$150*CtoCO2*ttoGg</f>
        <v>465.48360932711904</v>
      </c>
      <c r="AQ87" s="22">
        <f>'Activity data'!AQ46*EF!$H$150*CtoCO2*ttoGg</f>
        <v>465.38763477891212</v>
      </c>
      <c r="AR87" s="22">
        <f>'Activity data'!AR46*EF!$H$150*CtoCO2*ttoGg</f>
        <v>465.29935789242586</v>
      </c>
      <c r="AS87" s="22">
        <f>'Activity data'!AS46*EF!$H$150*CtoCO2*ttoGg</f>
        <v>465.21871166750475</v>
      </c>
      <c r="AT87" s="22">
        <f>'Activity data'!AT46*EF!$H$150*CtoCO2*ttoGg</f>
        <v>465.1457661227397</v>
      </c>
      <c r="AU87" s="22">
        <f>'Activity data'!AU46*EF!$H$150*CtoCO2*ttoGg</f>
        <v>465.080579813263</v>
      </c>
      <c r="AV87" s="22">
        <f>'Activity data'!AV46*EF!$H$150*CtoCO2*ttoGg</f>
        <v>465.02321010306639</v>
      </c>
      <c r="AW87" s="22">
        <f>'Activity data'!AW46*EF!$H$150*CtoCO2*ttoGg</f>
        <v>464.97371067352793</v>
      </c>
      <c r="AX87" s="22">
        <f>'Activity data'!AX46*EF!$H$150*CtoCO2*ttoGg</f>
        <v>464.93212630585725</v>
      </c>
      <c r="AY87" s="22">
        <f>'Activity data'!AY46*EF!$H$150*CtoCO2*ttoGg</f>
        <v>464.89850111446157</v>
      </c>
      <c r="AZ87" s="22">
        <f>'Activity data'!AZ46*EF!$H$150*CtoCO2*ttoGg</f>
        <v>464.87287186016789</v>
      </c>
      <c r="BA87" s="22">
        <f>'Activity data'!BA46*EF!$H$150*CtoCO2*ttoGg</f>
        <v>464.8552679679272</v>
      </c>
      <c r="BB87" s="22">
        <f>'Activity data'!BB46*EF!$H$150*CtoCO2*ttoGg</f>
        <v>464.84571932386154</v>
      </c>
      <c r="BC87" s="22">
        <f>'Activity data'!BC46*EF!$H$150*CtoCO2*ttoGg</f>
        <v>464.84425301408538</v>
      </c>
      <c r="BD87" s="22">
        <f>'Activity data'!BD46*EF!$H$150*CtoCO2*ttoGg</f>
        <v>477.11246594251554</v>
      </c>
      <c r="BE87" s="22">
        <f>'Activity data'!BE46*EF!$H$150*CtoCO2*ttoGg</f>
        <v>477.12286574160703</v>
      </c>
      <c r="BF87" s="22">
        <f>'Activity data'!BF46*EF!$H$150*CtoCO2*ttoGg</f>
        <v>477.13302866333646</v>
      </c>
      <c r="BG87" s="22">
        <f>'Activity data'!BG46*EF!$H$150*CtoCO2*ttoGg</f>
        <v>477.14296857682592</v>
      </c>
      <c r="BH87" s="22">
        <f>'Activity data'!BH46*EF!$H$150*CtoCO2*ttoGg</f>
        <v>477.15270185709755</v>
      </c>
      <c r="BI87" s="22">
        <f>'Activity data'!BI46*EF!$H$150*CtoCO2*ttoGg</f>
        <v>477.16218711131398</v>
      </c>
      <c r="BJ87" s="22">
        <f>'Activity data'!BJ46*EF!$H$150*CtoCO2*ttoGg</f>
        <v>477.17139639220409</v>
      </c>
      <c r="BK87" s="22">
        <f>'Activity data'!BK46*EF!$H$150*CtoCO2*ttoGg</f>
        <v>477.18032615698962</v>
      </c>
      <c r="BL87" s="22">
        <f>'Activity data'!BL46*EF!$H$150*CtoCO2*ttoGg</f>
        <v>477.18894320626106</v>
      </c>
      <c r="BM87" s="22">
        <f>'Activity data'!BM46*EF!$H$150*CtoCO2*ttoGg</f>
        <v>477.1972105811567</v>
      </c>
      <c r="BN87" s="22">
        <f>'Activity data'!BN46*EF!$H$150*CtoCO2*ttoGg</f>
        <v>477.20512340006883</v>
      </c>
      <c r="BO87" s="22">
        <f>'Activity data'!BO46*EF!$H$150*CtoCO2*ttoGg</f>
        <v>477.2126866348591</v>
      </c>
      <c r="BP87" s="22">
        <f>'Activity data'!BP46*EF!$H$150*CtoCO2*ttoGg</f>
        <v>477.21990366652125</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6.6035651430821094</v>
      </c>
      <c r="AN88" s="22">
        <f>'Activity data'!AN47*ttokg*SNEF*NtoN2O*kgtoGg</f>
        <v>6.6008394987584191</v>
      </c>
      <c r="AO88" s="22">
        <f>'Activity data'!AO47*ttokg*SNEF*NtoN2O*kgtoGg</f>
        <v>6.5354261970149441</v>
      </c>
      <c r="AP88" s="22">
        <f>'Activity data'!AP47*ttokg*SNEF*NtoN2O*kgtoGg</f>
        <v>6.5337920332710731</v>
      </c>
      <c r="AQ88" s="22">
        <f>'Activity data'!AQ47*ttokg*SNEF*NtoN2O*kgtoGg</f>
        <v>6.5322793572104443</v>
      </c>
      <c r="AR88" s="22">
        <f>'Activity data'!AR47*ttokg*SNEF*NtoN2O*kgtoGg</f>
        <v>6.5308880056970544</v>
      </c>
      <c r="AS88" s="22">
        <f>'Activity data'!AS47*ttokg*SNEF*NtoN2O*kgtoGg</f>
        <v>6.5296169227266478</v>
      </c>
      <c r="AT88" s="22">
        <f>'Activity data'!AT47*ttokg*SNEF*NtoN2O*kgtoGg</f>
        <v>6.5284672118777083</v>
      </c>
      <c r="AU88" s="22">
        <f>'Activity data'!AU47*ttokg*SNEF*NtoN2O*kgtoGg</f>
        <v>6.5274397960506132</v>
      </c>
      <c r="AV88" s="22">
        <f>'Activity data'!AV47*ttokg*SNEF*NtoN2O*kgtoGg</f>
        <v>6.5265355793719113</v>
      </c>
      <c r="AW88" s="22">
        <f>'Activity data'!AW47*ttokg*SNEF*NtoN2O*kgtoGg</f>
        <v>6.5257554079256641</v>
      </c>
      <c r="AX88" s="22">
        <f>'Activity data'!AX47*ttokg*SNEF*NtoN2O*kgtoGg</f>
        <v>6.5250999875184093</v>
      </c>
      <c r="AY88" s="22">
        <f>'Activity data'!AY47*ttokg*SNEF*NtoN2O*kgtoGg</f>
        <v>6.524570013447069</v>
      </c>
      <c r="AZ88" s="22">
        <f>'Activity data'!AZ47*ttokg*SNEF*NtoN2O*kgtoGg</f>
        <v>6.524166065107158</v>
      </c>
      <c r="BA88" s="22">
        <f>'Activity data'!BA47*ttokg*SNEF*NtoN2O*kgtoGg</f>
        <v>6.5238886062718322</v>
      </c>
      <c r="BB88" s="22">
        <f>'Activity data'!BB47*ttokg*SNEF*NtoN2O*kgtoGg</f>
        <v>6.523738107982866</v>
      </c>
      <c r="BC88" s="22">
        <f>'Activity data'!BC47*ttokg*SNEF*NtoN2O*kgtoGg</f>
        <v>6.5237149971504902</v>
      </c>
      <c r="BD88" s="22">
        <f>'Activity data'!BD47*ttokg*SNEF*NtoN2O*kgtoGg</f>
        <v>6.7170770118746468</v>
      </c>
      <c r="BE88" s="22">
        <f>'Activity data'!BE47*ttokg*SNEF*NtoN2O*kgtoGg</f>
        <v>6.7172409254060446</v>
      </c>
      <c r="BF88" s="22">
        <f>'Activity data'!BF47*ttokg*SNEF*NtoN2O*kgtoGg</f>
        <v>6.7174011054610014</v>
      </c>
      <c r="BG88" s="22">
        <f>'Activity data'!BG47*ttokg*SNEF*NtoN2O*kgtoGg</f>
        <v>6.717557770633813</v>
      </c>
      <c r="BH88" s="22">
        <f>'Activity data'!BH47*ttokg*SNEF*NtoN2O*kgtoGg</f>
        <v>6.7177111790148194</v>
      </c>
      <c r="BI88" s="22">
        <f>'Activity data'!BI47*ttokg*SNEF*NtoN2O*kgtoGg</f>
        <v>6.7178606782023653</v>
      </c>
      <c r="BJ88" s="22">
        <f>'Activity data'!BJ47*ttokg*SNEF*NtoN2O*kgtoGg</f>
        <v>6.7180058277133394</v>
      </c>
      <c r="BK88" s="22">
        <f>'Activity data'!BK47*ttokg*SNEF*NtoN2O*kgtoGg</f>
        <v>6.7181465717092257</v>
      </c>
      <c r="BL88" s="22">
        <f>'Activity data'!BL47*ttokg*SNEF*NtoN2O*kgtoGg</f>
        <v>6.7182823869267976</v>
      </c>
      <c r="BM88" s="22">
        <f>'Activity data'!BM47*ttokg*SNEF*NtoN2O*kgtoGg</f>
        <v>6.7184126908492701</v>
      </c>
      <c r="BN88" s="22">
        <f>'Activity data'!BN47*ttokg*SNEF*NtoN2O*kgtoGg</f>
        <v>6.7185374065365453</v>
      </c>
      <c r="BO88" s="22">
        <f>'Activity data'!BO47*ttokg*SNEF*NtoN2O*kgtoGg</f>
        <v>6.7186566123512304</v>
      </c>
      <c r="BP88" s="22">
        <f>'Activity data'!BP47*ttokg*SNEF*NtoN2O*kgtoGg</f>
        <v>6.7187703615819192</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4.358352994434192E-2</v>
      </c>
      <c r="AN89" s="22">
        <f>'Activity data'!AN48*ttokg*ONEF*NtoN2O*kgtoGg</f>
        <v>4.3565540691805578E-2</v>
      </c>
      <c r="AO89" s="22">
        <f>'Activity data'!AO48*ttokg*ONEF*NtoN2O*kgtoGg</f>
        <v>4.3133812900298642E-2</v>
      </c>
      <c r="AP89" s="22">
        <f>'Activity data'!AP48*ttokg*ONEF*NtoN2O*kgtoGg</f>
        <v>4.312302741958908E-2</v>
      </c>
      <c r="AQ89" s="22">
        <f>'Activity data'!AQ48*ttokg*ONEF*NtoN2O*kgtoGg</f>
        <v>4.3113043757588947E-2</v>
      </c>
      <c r="AR89" s="22">
        <f>'Activity data'!AR48*ttokg*ONEF*NtoN2O*kgtoGg</f>
        <v>4.3103860837600566E-2</v>
      </c>
      <c r="AS89" s="22">
        <f>'Activity data'!AS48*ttokg*ONEF*NtoN2O*kgtoGg</f>
        <v>4.3095471689995883E-2</v>
      </c>
      <c r="AT89" s="22">
        <f>'Activity data'!AT48*ttokg*ONEF*NtoN2O*kgtoGg</f>
        <v>4.3087883598392877E-2</v>
      </c>
      <c r="AU89" s="22">
        <f>'Activity data'!AU48*ttokg*ONEF*NtoN2O*kgtoGg</f>
        <v>4.3081102653934056E-2</v>
      </c>
      <c r="AV89" s="22">
        <f>'Activity data'!AV48*ttokg*ONEF*NtoN2O*kgtoGg</f>
        <v>4.3075134823854618E-2</v>
      </c>
      <c r="AW89" s="22">
        <f>'Activity data'!AW48*ttokg*ONEF*NtoN2O*kgtoGg</f>
        <v>4.3069985692309382E-2</v>
      </c>
      <c r="AX89" s="22">
        <f>'Activity data'!AX48*ttokg*ONEF*NtoN2O*kgtoGg</f>
        <v>4.3065659917621506E-2</v>
      </c>
      <c r="AY89" s="22">
        <f>'Activity data'!AY48*ttokg*ONEF*NtoN2O*kgtoGg</f>
        <v>4.3062162088750661E-2</v>
      </c>
      <c r="AZ89" s="22">
        <f>'Activity data'!AZ48*ttokg*ONEF*NtoN2O*kgtoGg</f>
        <v>4.3059496029707253E-2</v>
      </c>
      <c r="BA89" s="22">
        <f>'Activity data'!BA48*ttokg*ONEF*NtoN2O*kgtoGg</f>
        <v>4.3057664801394106E-2</v>
      </c>
      <c r="BB89" s="22">
        <f>'Activity data'!BB48*ttokg*ONEF*NtoN2O*kgtoGg</f>
        <v>4.3056671512686932E-2</v>
      </c>
      <c r="BC89" s="22">
        <f>'Activity data'!BC48*ttokg*ONEF*NtoN2O*kgtoGg</f>
        <v>4.3056518981193247E-2</v>
      </c>
      <c r="BD89" s="22">
        <f>'Activity data'!BD48*ttokg*ONEF*NtoN2O*kgtoGg</f>
        <v>4.4332708278372678E-2</v>
      </c>
      <c r="BE89" s="22">
        <f>'Activity data'!BE48*ttokg*ONEF*NtoN2O*kgtoGg</f>
        <v>4.4333790107679898E-2</v>
      </c>
      <c r="BF89" s="22">
        <f>'Activity data'!BF48*ttokg*ONEF*NtoN2O*kgtoGg</f>
        <v>4.4334847296042611E-2</v>
      </c>
      <c r="BG89" s="22">
        <f>'Activity data'!BG48*ttokg*ONEF*NtoN2O*kgtoGg</f>
        <v>4.4335881286183175E-2</v>
      </c>
      <c r="BH89" s="22">
        <f>'Activity data'!BH48*ttokg*ONEF*NtoN2O*kgtoGg</f>
        <v>4.433689378149782E-2</v>
      </c>
      <c r="BI89" s="22">
        <f>'Activity data'!BI48*ttokg*ONEF*NtoN2O*kgtoGg</f>
        <v>4.433788047613562E-2</v>
      </c>
      <c r="BJ89" s="22">
        <f>'Activity data'!BJ48*ttokg*ONEF*NtoN2O*kgtoGg</f>
        <v>4.4338838462908037E-2</v>
      </c>
      <c r="BK89" s="22">
        <f>'Activity data'!BK48*ttokg*ONEF*NtoN2O*kgtoGg</f>
        <v>4.4339767373280901E-2</v>
      </c>
      <c r="BL89" s="22">
        <f>'Activity data'!BL48*ttokg*ONEF*NtoN2O*kgtoGg</f>
        <v>4.4340663753716876E-2</v>
      </c>
      <c r="BM89" s="22">
        <f>'Activity data'!BM48*ttokg*ONEF*NtoN2O*kgtoGg</f>
        <v>4.4341523759605192E-2</v>
      </c>
      <c r="BN89" s="22">
        <f>'Activity data'!BN48*ttokg*ONEF*NtoN2O*kgtoGg</f>
        <v>4.4342346883141204E-2</v>
      </c>
      <c r="BO89" s="22">
        <f>'Activity data'!BO48*ttokg*ONEF*NtoN2O*kgtoGg</f>
        <v>4.4343133641518123E-2</v>
      </c>
      <c r="BP89" s="22">
        <f>'Activity data'!BP48*ttokg*ONEF*NtoN2O*kgtoGg</f>
        <v>4.4343884386440678E-2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2.9710792197336011</v>
      </c>
      <c r="AN90" s="22">
        <f>'Activity data'!AN85*CREF*NtoN2O*kgtoGg</f>
        <v>2.9914277552243997</v>
      </c>
      <c r="AO90" s="22">
        <f>'Activity data'!AO85*CREF*NtoN2O*kgtoGg</f>
        <v>3.4797764662170874</v>
      </c>
      <c r="AP90" s="22">
        <f>'Activity data'!AP85*CREF*NtoN2O*kgtoGg</f>
        <v>3.4919764582156594</v>
      </c>
      <c r="AQ90" s="22">
        <f>'Activity data'!AQ85*CREF*NtoN2O*kgtoGg</f>
        <v>3.5032694733160721</v>
      </c>
      <c r="AR90" s="22">
        <f>'Activity data'!AR85*CREF*NtoN2O*kgtoGg</f>
        <v>3.5136567294244192</v>
      </c>
      <c r="AS90" s="22">
        <f>'Activity data'!AS85*CREF*NtoN2O*kgtoGg</f>
        <v>3.5231461102325734</v>
      </c>
      <c r="AT90" s="22">
        <f>'Activity data'!AT85*CREF*NtoN2O*kgtoGg</f>
        <v>3.5317293768790967</v>
      </c>
      <c r="AU90" s="22">
        <f>'Activity data'!AU85*CREF*NtoN2O*kgtoGg</f>
        <v>3.539399639370707</v>
      </c>
      <c r="AV90" s="22">
        <f>'Activity data'!AV85*CREF*NtoN2O*kgtoGg</f>
        <v>3.5461501478717818</v>
      </c>
      <c r="AW90" s="22">
        <f>'Activity data'!AW85*CREF*NtoN2O*kgtoGg</f>
        <v>3.5519745858679355</v>
      </c>
      <c r="AX90" s="22">
        <f>'Activity data'!AX85*CREF*NtoN2O*kgtoGg</f>
        <v>3.5568676840988758</v>
      </c>
      <c r="AY90" s="22">
        <f>'Activity data'!AY85*CREF*NtoN2O*kgtoGg</f>
        <v>3.5608242517647808</v>
      </c>
      <c r="AZ90" s="22">
        <f>'Activity data'!AZ85*CREF*NtoN2O*kgtoGg</f>
        <v>3.5638399633378826</v>
      </c>
      <c r="BA90" s="22">
        <f>'Activity data'!BA85*CREF*NtoN2O*kgtoGg</f>
        <v>3.5659113564792468</v>
      </c>
      <c r="BB90" s="22">
        <f>'Activity data'!BB85*CREF*NtoN2O*kgtoGg</f>
        <v>3.5670349145853852</v>
      </c>
      <c r="BC90" s="22">
        <f>'Activity data'!BC85*CREF*NtoN2O*kgtoGg</f>
        <v>3.5672074505207347</v>
      </c>
      <c r="BD90" s="22">
        <f>'Activity data'!BD85*CREF*NtoN2O*kgtoGg</f>
        <v>2.1236464601919001</v>
      </c>
      <c r="BE90" s="22">
        <f>'Activity data'!BE85*CREF*NtoN2O*kgtoGg</f>
        <v>2.122422749423007</v>
      </c>
      <c r="BF90" s="22">
        <f>'Activity data'!BF85*CREF*NtoN2O*kgtoGg</f>
        <v>2.1212269112482072</v>
      </c>
      <c r="BG90" s="22">
        <f>'Activity data'!BG85*CREF*NtoN2O*kgtoGg</f>
        <v>2.1200573137327008</v>
      </c>
      <c r="BH90" s="22">
        <f>'Activity data'!BH85*CREF*NtoN2O*kgtoGg</f>
        <v>2.1189120300805597</v>
      </c>
      <c r="BI90" s="22">
        <f>'Activity data'!BI85*CREF*NtoN2O*kgtoGg</f>
        <v>2.1177959308532275</v>
      </c>
      <c r="BJ90" s="22">
        <f>'Activity data'!BJ85*CREF*NtoN2O*kgtoGg</f>
        <v>2.1167123045158354</v>
      </c>
      <c r="BK90" s="22">
        <f>'Activity data'!BK85*CREF*NtoN2O*kgtoGg</f>
        <v>2.1156615679356672</v>
      </c>
      <c r="BL90" s="22">
        <f>'Activity data'!BL85*CREF*NtoN2O*kgtoGg</f>
        <v>2.1146476275800086</v>
      </c>
      <c r="BM90" s="22">
        <f>'Activity data'!BM85*CREF*NtoN2O*kgtoGg</f>
        <v>2.1136748322787415</v>
      </c>
      <c r="BN90" s="22">
        <f>'Activity data'!BN85*CREF*NtoN2O*kgtoGg</f>
        <v>2.1127437564348668</v>
      </c>
      <c r="BO90" s="22">
        <f>'Activity data'!BO85*CREF*NtoN2O*kgtoGg</f>
        <v>2.111853815025504</v>
      </c>
      <c r="BP90" s="22">
        <f>'Activity data'!BP85*CREF*NtoN2O*kgtoGg</f>
        <v>2.1110046102200224</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0.32056321299147922</v>
      </c>
      <c r="AF91" s="22">
        <f>'Activity data'!AF50*ManureNEF*NtoN2O*kgtoGg</f>
        <v>0.32309177745176459</v>
      </c>
      <c r="AG91" s="22">
        <f>'Activity data'!AG50*ManureNEF*NtoN2O*kgtoGg</f>
        <v>0.32471664946511047</v>
      </c>
      <c r="AH91" s="22">
        <f>'Activity data'!AH50*ManureNEF*NtoN2O*kgtoGg</f>
        <v>0.32579638434951891</v>
      </c>
      <c r="AI91" s="22">
        <f>'Activity data'!AI50*ManureNEF*NtoN2O*kgtoGg</f>
        <v>0.32632035510276458</v>
      </c>
      <c r="AJ91" s="22">
        <f>'Activity data'!AJ50*ManureNEF*NtoN2O*kgtoGg</f>
        <v>0.32747800149861978</v>
      </c>
      <c r="AK91" s="22">
        <f>'Activity data'!AK50*ManureNEF*NtoN2O*kgtoGg</f>
        <v>0.32880601635823309</v>
      </c>
      <c r="AL91" s="22">
        <f>'Activity data'!AL50*ManureNEF*NtoN2O*kgtoGg</f>
        <v>0.3194631230654072</v>
      </c>
      <c r="AM91" s="22">
        <f>'Activity data'!AM50*ManureNEF*NtoN2O*kgtoGg</f>
        <v>0.32495993852650251</v>
      </c>
      <c r="AN91" s="22">
        <f>'Activity data'!AN50*ManureNEF*NtoN2O*kgtoGg</f>
        <v>0.55911956199622048</v>
      </c>
      <c r="AO91" s="22">
        <f>'Activity data'!AO50*ManureNEF*NtoN2O*kgtoGg</f>
        <v>0.56585948734565139</v>
      </c>
      <c r="AP91" s="22">
        <f>'Activity data'!AP50*ManureNEF*NtoN2O*kgtoGg</f>
        <v>0.57230378307872798</v>
      </c>
      <c r="AQ91" s="22">
        <f>'Activity data'!AQ50*ManureNEF*NtoN2O*kgtoGg</f>
        <v>0.57834283314741031</v>
      </c>
      <c r="AR91" s="22">
        <f>'Activity data'!AR50*ManureNEF*NtoN2O*kgtoGg</f>
        <v>0.58381536330507111</v>
      </c>
      <c r="AS91" s="22">
        <f>'Activity data'!AS50*ManureNEF*NtoN2O*kgtoGg</f>
        <v>0.58869581671270654</v>
      </c>
      <c r="AT91" s="22">
        <f>'Activity data'!AT50*ManureNEF*NtoN2O*kgtoGg</f>
        <v>0.59295576215312973</v>
      </c>
      <c r="AU91" s="22">
        <f>'Activity data'!AU50*ManureNEF*NtoN2O*kgtoGg</f>
        <v>0.59657368139031808</v>
      </c>
      <c r="AV91" s="22">
        <f>'Activity data'!AV50*ManureNEF*NtoN2O*kgtoGg</f>
        <v>0.59953250893616183</v>
      </c>
      <c r="AW91" s="22">
        <f>'Activity data'!AW50*ManureNEF*NtoN2O*kgtoGg</f>
        <v>0.60181430512751644</v>
      </c>
      <c r="AX91" s="22">
        <f>'Activity data'!AX50*ManureNEF*NtoN2O*kgtoGg</f>
        <v>0.60340833018876772</v>
      </c>
      <c r="AY91" s="22">
        <f>'Activity data'!AY50*ManureNEF*NtoN2O*kgtoGg</f>
        <v>0.60430428229357946</v>
      </c>
      <c r="AZ91" s="22">
        <f>'Activity data'!AZ50*ManureNEF*NtoN2O*kgtoGg</f>
        <v>0.60449220860104358</v>
      </c>
      <c r="BA91" s="22">
        <f>'Activity data'!BA50*ManureNEF*NtoN2O*kgtoGg</f>
        <v>0.60397029153121029</v>
      </c>
      <c r="BB91" s="22">
        <f>'Activity data'!BB50*ManureNEF*NtoN2O*kgtoGg</f>
        <v>0.60274150240431557</v>
      </c>
      <c r="BC91" s="22">
        <f>'Activity data'!BC50*ManureNEF*NtoN2O*kgtoGg</f>
        <v>0.19069698851099628</v>
      </c>
      <c r="BD91" s="22">
        <f>'Activity data'!BD50*ManureNEF*NtoN2O*kgtoGg</f>
        <v>0.19083619411236313</v>
      </c>
      <c r="BE91" s="22">
        <f>'Activity data'!BE50*ManureNEF*NtoN2O*kgtoGg</f>
        <v>0.19096537877553132</v>
      </c>
      <c r="BF91" s="22">
        <f>'Activity data'!BF50*ManureNEF*NtoN2O*kgtoGg</f>
        <v>0.19108541639025195</v>
      </c>
      <c r="BG91" s="22">
        <f>'Activity data'!BG50*ManureNEF*NtoN2O*kgtoGg</f>
        <v>0.19119738340555115</v>
      </c>
      <c r="BH91" s="22">
        <f>'Activity data'!BH50*ManureNEF*NtoN2O*kgtoGg</f>
        <v>0.19129776572073925</v>
      </c>
      <c r="BI91" s="22">
        <f>'Activity data'!BI50*ManureNEF*NtoN2O*kgtoGg</f>
        <v>0.19138420348192833</v>
      </c>
      <c r="BJ91" s="22">
        <f>'Activity data'!BJ50*ManureNEF*NtoN2O*kgtoGg</f>
        <v>0.19145631825873433</v>
      </c>
      <c r="BK91" s="22">
        <f>'Activity data'!BK50*ManureNEF*NtoN2O*kgtoGg</f>
        <v>0.19151143246366148</v>
      </c>
      <c r="BL91" s="22">
        <f>'Activity data'!BL50*ManureNEF*NtoN2O*kgtoGg</f>
        <v>0.19154663907394784</v>
      </c>
      <c r="BM91" s="22">
        <f>'Activity data'!BM50*ManureNEF*NtoN2O*kgtoGg</f>
        <v>0.19156157903173729</v>
      </c>
      <c r="BN91" s="22">
        <f>'Activity data'!BN50*ManureNEF*NtoN2O*kgtoGg</f>
        <v>0.19155666524405471</v>
      </c>
      <c r="BO91" s="22">
        <f>'Activity data'!BO50*ManureNEF*NtoN2O*kgtoGg</f>
        <v>0.19153218566591518</v>
      </c>
      <c r="BP91" s="22">
        <f>'Activity data'!BP50*ManureNEF*NtoN2O*kgtoGg</f>
        <v>0.1914854060866179</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0.93731746283627526</v>
      </c>
      <c r="AF92" s="22">
        <f>'Activity data'!AF51*ManureNEF*NtoN2O*kgtoGg</f>
        <v>0.94471091139331731</v>
      </c>
      <c r="AG92" s="22">
        <f>'Activity data'!AG51*ManureNEF*NtoN2O*kgtoGg</f>
        <v>0.94946198965576145</v>
      </c>
      <c r="AH92" s="22">
        <f>'Activity data'!AH51*ManureNEF*NtoN2O*kgtoGg</f>
        <v>0.95261910289076102</v>
      </c>
      <c r="AI92" s="22">
        <f>'Activity data'!AI51*ManureNEF*NtoN2O*kgtoGg</f>
        <v>0.954151178054501</v>
      </c>
      <c r="AJ92" s="22">
        <f>'Activity data'!AJ51*ManureNEF*NtoN2O*kgtoGg</f>
        <v>0.95753610227115837</v>
      </c>
      <c r="AK92" s="22">
        <f>'Activity data'!AK51*ManureNEF*NtoN2O*kgtoGg</f>
        <v>0.96141917889497153</v>
      </c>
      <c r="AL92" s="22">
        <f>'Activity data'!AL51*ManureNEF*NtoN2O*kgtoGg</f>
        <v>0.93410083205454864</v>
      </c>
      <c r="AM92" s="22">
        <f>'Activity data'!AM51*ManureNEF*NtoN2O*kgtoGg</f>
        <v>0.95017335975849948</v>
      </c>
      <c r="AN92" s="22">
        <f>'Activity data'!AN51*ManureNEF*NtoN2O*kgtoGg</f>
        <v>1.6348492529189775</v>
      </c>
      <c r="AO92" s="22">
        <f>'Activity data'!AO51*ManureNEF*NtoN2O*kgtoGg</f>
        <v>1.654556597592997</v>
      </c>
      <c r="AP92" s="22">
        <f>'Activity data'!AP51*ManureNEF*NtoN2O*kgtoGg</f>
        <v>1.6733995299117927</v>
      </c>
      <c r="AQ92" s="22">
        <f>'Activity data'!AQ51*ManureNEF*NtoN2O*kgtoGg</f>
        <v>1.6910575357556168</v>
      </c>
      <c r="AR92" s="22">
        <f>'Activity data'!AR51*ManureNEF*NtoN2O*kgtoGg</f>
        <v>1.7070590539423278</v>
      </c>
      <c r="AS92" s="22">
        <f>'Activity data'!AS51*ManureNEF*NtoN2O*kgtoGg</f>
        <v>1.7213293570218551</v>
      </c>
      <c r="AT92" s="22">
        <f>'Activity data'!AT51*ManureNEF*NtoN2O*kgtoGg</f>
        <v>1.7337853129463565</v>
      </c>
      <c r="AU92" s="22">
        <f>'Activity data'!AU51*ManureNEF*NtoN2O*kgtoGg</f>
        <v>1.7443640030228067</v>
      </c>
      <c r="AV92" s="22">
        <f>'Activity data'!AV51*ManureNEF*NtoN2O*kgtoGg</f>
        <v>1.753015528262897</v>
      </c>
      <c r="AW92" s="22">
        <f>'Activity data'!AW51*ManureNEF*NtoN2O*kgtoGg</f>
        <v>1.7596874336160764</v>
      </c>
      <c r="AX92" s="22">
        <f>'Activity data'!AX51*ManureNEF*NtoN2O*kgtoGg</f>
        <v>1.7643483162924332</v>
      </c>
      <c r="AY92" s="22">
        <f>'Activity data'!AY51*ManureNEF*NtoN2O*kgtoGg</f>
        <v>1.7669680540529458</v>
      </c>
      <c r="AZ92" s="22">
        <f>'Activity data'!AZ51*ManureNEF*NtoN2O*kgtoGg</f>
        <v>1.7675175450817782</v>
      </c>
      <c r="BA92" s="22">
        <f>'Activity data'!BA51*ManureNEF*NtoN2O*kgtoGg</f>
        <v>1.7659914748282959</v>
      </c>
      <c r="BB92" s="22">
        <f>'Activity data'!BB51*ManureNEF*NtoN2O*kgtoGg</f>
        <v>1.7623985313459991</v>
      </c>
      <c r="BC92" s="22">
        <f>'Activity data'!BC51*ManureNEF*NtoN2O*kgtoGg</f>
        <v>0.55759241920998737</v>
      </c>
      <c r="BD92" s="22">
        <f>'Activity data'!BD51*ManureNEF*NtoN2O*kgtoGg</f>
        <v>0.55799945231858428</v>
      </c>
      <c r="BE92" s="22">
        <f>'Activity data'!BE51*ManureNEF*NtoN2O*kgtoGg</f>
        <v>0.55837718449685969</v>
      </c>
      <c r="BF92" s="22">
        <f>'Activity data'!BF51*ManureNEF*NtoN2O*kgtoGg</f>
        <v>0.55872817097289618</v>
      </c>
      <c r="BG92" s="22">
        <f>'Activity data'!BG51*ManureNEF*NtoN2O*kgtoGg</f>
        <v>0.55905555925217576</v>
      </c>
      <c r="BH92" s="22">
        <f>'Activity data'!BH51*ManureNEF*NtoN2O*kgtoGg</f>
        <v>0.55934907420701951</v>
      </c>
      <c r="BI92" s="22">
        <f>'Activity data'!BI51*ManureNEF*NtoN2O*kgtoGg</f>
        <v>0.55960181569365119</v>
      </c>
      <c r="BJ92" s="22">
        <f>'Activity data'!BJ51*ManureNEF*NtoN2O*kgtoGg</f>
        <v>0.55981267719269234</v>
      </c>
      <c r="BK92" s="22">
        <f>'Activity data'!BK51*ManureNEF*NtoN2O*kgtoGg</f>
        <v>0.55997382951658647</v>
      </c>
      <c r="BL92" s="22">
        <f>'Activity data'!BL51*ManureNEF*NtoN2O*kgtoGg</f>
        <v>0.56007677261576738</v>
      </c>
      <c r="BM92" s="22">
        <f>'Activity data'!BM51*ManureNEF*NtoN2O*kgtoGg</f>
        <v>0.56012045661556076</v>
      </c>
      <c r="BN92" s="22">
        <f>'Activity data'!BN51*ManureNEF*NtoN2O*kgtoGg</f>
        <v>0.56010608884403601</v>
      </c>
      <c r="BO92" s="22">
        <f>'Activity data'!BO51*ManureNEF*NtoN2O*kgtoGg</f>
        <v>0.56003451127323822</v>
      </c>
      <c r="BP92" s="22">
        <f>'Activity data'!BP51*ManureNEF*NtoN2O*kgtoGg</f>
        <v>0.55989772915101532</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5.0141199304605817E-2</v>
      </c>
      <c r="AF93" s="22">
        <f>'Activity data'!AF52*ManureNEF*NtoN2O*kgtoGg</f>
        <v>5.0536707115294892E-2</v>
      </c>
      <c r="AG93" s="22">
        <f>'Activity data'!AG52*ManureNEF*NtoN2O*kgtoGg</f>
        <v>5.0790863013925151E-2</v>
      </c>
      <c r="AH93" s="22">
        <f>'Activity data'!AH52*ManureNEF*NtoN2O*kgtoGg</f>
        <v>5.0959750770976343E-2</v>
      </c>
      <c r="AI93" s="22">
        <f>'Activity data'!AI52*ManureNEF*NtoN2O*kgtoGg</f>
        <v>5.1041708153806126E-2</v>
      </c>
      <c r="AJ93" s="22">
        <f>'Activity data'!AJ52*ManureNEF*NtoN2O*kgtoGg</f>
        <v>5.122278251388987E-2</v>
      </c>
      <c r="AK93" s="22">
        <f>'Activity data'!AK52*ManureNEF*NtoN2O*kgtoGg</f>
        <v>5.1430505218981189E-2</v>
      </c>
      <c r="AL93" s="22">
        <f>'Activity data'!AL52*ManureNEF*NtoN2O*kgtoGg</f>
        <v>4.9969127694387626E-2</v>
      </c>
      <c r="AM93" s="22">
        <f>'Activity data'!AM52*ManureNEF*NtoN2O*kgtoGg</f>
        <v>5.08289173034428E-2</v>
      </c>
      <c r="AN93" s="22">
        <f>'Activity data'!AN52*ManureNEF*NtoN2O*kgtoGg</f>
        <v>8.7455217120941425E-2</v>
      </c>
      <c r="AO93" s="22">
        <f>'Activity data'!AO52*ManureNEF*NtoN2O*kgtoGg</f>
        <v>8.8509448943396227E-2</v>
      </c>
      <c r="AP93" s="22">
        <f>'Activity data'!AP52*ManureNEF*NtoN2O*kgtoGg</f>
        <v>8.9517439578736563E-2</v>
      </c>
      <c r="AQ93" s="22">
        <f>'Activity data'!AQ52*ManureNEF*NtoN2O*kgtoGg</f>
        <v>9.0462043328738057E-2</v>
      </c>
      <c r="AR93" s="22">
        <f>'Activity data'!AR52*ManureNEF*NtoN2O*kgtoGg</f>
        <v>9.1318034328999972E-2</v>
      </c>
      <c r="AS93" s="22">
        <f>'Activity data'!AS52*ManureNEF*NtoN2O*kgtoGg</f>
        <v>9.2081415082285539E-2</v>
      </c>
      <c r="AT93" s="22">
        <f>'Activity data'!AT52*ManureNEF*NtoN2O*kgtoGg</f>
        <v>9.2747738492765894E-2</v>
      </c>
      <c r="AU93" s="22">
        <f>'Activity data'!AU52*ManureNEF*NtoN2O*kgtoGg</f>
        <v>9.3313638765123857E-2</v>
      </c>
      <c r="AV93" s="22">
        <f>'Activity data'!AV52*ManureNEF*NtoN2O*kgtoGg</f>
        <v>9.3776446584834763E-2</v>
      </c>
      <c r="AW93" s="22">
        <f>'Activity data'!AW52*ManureNEF*NtoN2O*kgtoGg</f>
        <v>9.4133355902455834E-2</v>
      </c>
      <c r="AX93" s="22">
        <f>'Activity data'!AX52*ManureNEF*NtoN2O*kgtoGg</f>
        <v>9.4382686845787919E-2</v>
      </c>
      <c r="AY93" s="22">
        <f>'Activity data'!AY52*ManureNEF*NtoN2O*kgtoGg</f>
        <v>9.4522828044884072E-2</v>
      </c>
      <c r="AZ93" s="22">
        <f>'Activity data'!AZ52*ManureNEF*NtoN2O*kgtoGg</f>
        <v>9.4552222716684439E-2</v>
      </c>
      <c r="BA93" s="22">
        <f>'Activity data'!BA52*ManureNEF*NtoN2O*kgtoGg</f>
        <v>9.4470586562695413E-2</v>
      </c>
      <c r="BB93" s="22">
        <f>'Activity data'!BB52*ManureNEF*NtoN2O*kgtoGg</f>
        <v>9.4278384344792743E-2</v>
      </c>
      <c r="BC93" s="22">
        <f>'Activity data'!BC52*ManureNEF*NtoN2O*kgtoGg</f>
        <v>2.9828050506756527E-2</v>
      </c>
      <c r="BD93" s="22">
        <f>'Activity data'!BD52*ManureNEF*NtoN2O*kgtoGg</f>
        <v>2.9849824483056911E-2</v>
      </c>
      <c r="BE93" s="22">
        <f>'Activity data'!BE52*ManureNEF*NtoN2O*kgtoGg</f>
        <v>2.9870031024795022E-2</v>
      </c>
      <c r="BF93" s="22">
        <f>'Activity data'!BF52*ManureNEF*NtoN2O*kgtoGg</f>
        <v>2.9888806822265943E-2</v>
      </c>
      <c r="BG93" s="22">
        <f>'Activity data'!BG52*ManureNEF*NtoN2O*kgtoGg</f>
        <v>2.9906320249266097E-2</v>
      </c>
      <c r="BH93" s="22">
        <f>'Activity data'!BH52*ManureNEF*NtoN2O*kgtoGg</f>
        <v>2.9922021644399784E-2</v>
      </c>
      <c r="BI93" s="22">
        <f>'Activity data'!BI52*ManureNEF*NtoN2O*kgtoGg</f>
        <v>2.9935541888880673E-2</v>
      </c>
      <c r="BJ93" s="22">
        <f>'Activity data'!BJ52*ManureNEF*NtoN2O*kgtoGg</f>
        <v>2.9946821790160959E-2</v>
      </c>
      <c r="BK93" s="22">
        <f>'Activity data'!BK52*ManureNEF*NtoN2O*kgtoGg</f>
        <v>2.995544253085038E-2</v>
      </c>
      <c r="BL93" s="22">
        <f>'Activity data'!BL52*ManureNEF*NtoN2O*kgtoGg</f>
        <v>2.9960949406223684E-2</v>
      </c>
      <c r="BM93" s="22">
        <f>'Activity data'!BM52*ManureNEF*NtoN2O*kgtoGg</f>
        <v>2.9963286253905406E-2</v>
      </c>
      <c r="BN93" s="22">
        <f>'Activity data'!BN52*ManureNEF*NtoN2O*kgtoGg</f>
        <v>2.9962517659139858E-2</v>
      </c>
      <c r="BO93" s="22">
        <f>'Activity data'!BO52*ManureNEF*NtoN2O*kgtoGg</f>
        <v>2.995868866268411E-2</v>
      </c>
      <c r="BP93" s="22">
        <f>'Activity data'!BP52*ManureNEF*NtoN2O*kgtoGg</f>
        <v>2.9951371590375517E-2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0.39999978998352292</v>
      </c>
      <c r="AE94" s="22">
        <f>'Activity data'!AE53*ManureNEF*NtoN2O*kgtoGg</f>
        <v>0.39653071954810204</v>
      </c>
      <c r="AF94" s="22">
        <f>'Activity data'!AF53*ManureNEF*NtoN2O*kgtoGg</f>
        <v>0.39521014945095018</v>
      </c>
      <c r="AG94" s="22">
        <f>'Activity data'!AG53*ManureNEF*NtoN2O*kgtoGg</f>
        <v>0.38993263522397326</v>
      </c>
      <c r="AH94" s="22">
        <f>'Activity data'!AH53*ManureNEF*NtoN2O*kgtoGg</f>
        <v>0.382272194437701</v>
      </c>
      <c r="AI94" s="22">
        <f>'Activity data'!AI53*ManureNEF*NtoN2O*kgtoGg</f>
        <v>0.37238723301511389</v>
      </c>
      <c r="AJ94" s="22">
        <f>'Activity data'!AJ53*ManureNEF*NtoN2O*kgtoGg</f>
        <v>0.36459067483623864</v>
      </c>
      <c r="AK94" s="22">
        <f>'Activity data'!AK53*ManureNEF*NtoN2O*kgtoGg</f>
        <v>0.35721424445443944</v>
      </c>
      <c r="AL94" s="22">
        <f>'Activity data'!AL53*ManureNEF*NtoN2O*kgtoGg</f>
        <v>0.31946339774377674</v>
      </c>
      <c r="AM94" s="22">
        <f>'Activity data'!AM53*ManureNEF*NtoN2O*kgtoGg</f>
        <v>0.33177135164852617</v>
      </c>
      <c r="AN94" s="22">
        <f>'Activity data'!AN53*ManureNEF*NtoN2O*kgtoGg</f>
        <v>1.0456423232959036</v>
      </c>
      <c r="AO94" s="22">
        <f>'Activity data'!AO53*ManureNEF*NtoN2O*kgtoGg</f>
        <v>1.0506858527476302</v>
      </c>
      <c r="AP94" s="22">
        <f>'Activity data'!AP53*ManureNEF*NtoN2O*kgtoGg</f>
        <v>1.0539136991279403</v>
      </c>
      <c r="AQ94" s="22">
        <f>'Activity data'!AQ53*ManureNEF*NtoN2O*kgtoGg</f>
        <v>1.0553252049864941</v>
      </c>
      <c r="AR94" s="22">
        <f>'Activity data'!AR53*ManureNEF*NtoN2O*kgtoGg</f>
        <v>1.0549502713547947</v>
      </c>
      <c r="AS94" s="22">
        <f>'Activity data'!AS53*ManureNEF*NtoN2O*kgtoGg</f>
        <v>1.0527709267508603</v>
      </c>
      <c r="AT94" s="22">
        <f>'Activity data'!AT53*ManureNEF*NtoN2O*kgtoGg</f>
        <v>1.0487818326891256</v>
      </c>
      <c r="AU94" s="22">
        <f>'Activity data'!AU53*ManureNEF*NtoN2O*kgtoGg</f>
        <v>1.0429862897745465</v>
      </c>
      <c r="AV94" s="22">
        <f>'Activity data'!AV53*ManureNEF*NtoN2O*kgtoGg</f>
        <v>1.0353973298775558</v>
      </c>
      <c r="AW94" s="22">
        <f>'Activity data'!AW53*ManureNEF*NtoN2O*kgtoGg</f>
        <v>1.0174175581982712</v>
      </c>
      <c r="AX94" s="22">
        <f>'Activity data'!AX53*ManureNEF*NtoN2O*kgtoGg</f>
        <v>0.99774420575118894</v>
      </c>
      <c r="AY94" s="22">
        <f>'Activity data'!AY53*ManureNEF*NtoN2O*kgtoGg</f>
        <v>0.97646566881417607</v>
      </c>
      <c r="AZ94" s="22">
        <f>'Activity data'!AZ53*ManureNEF*NtoN2O*kgtoGg</f>
        <v>0.95368038799648891</v>
      </c>
      <c r="BA94" s="22">
        <f>'Activity data'!BA53*ManureNEF*NtoN2O*kgtoGg</f>
        <v>0.92949316172660157</v>
      </c>
      <c r="BB94" s="22">
        <f>'Activity data'!BB53*ManureNEF*NtoN2O*kgtoGg</f>
        <v>0.90401558532438187</v>
      </c>
      <c r="BC94" s="22">
        <f>'Activity data'!BC53*ManureNEF*NtoN2O*kgtoGg</f>
        <v>-6.9801929759449391E-2</v>
      </c>
      <c r="BD94" s="22">
        <f>'Activity data'!BD53*ManureNEF*NtoN2O*kgtoGg</f>
        <v>-6.8121301003411724E-2</v>
      </c>
      <c r="BE94" s="22">
        <f>'Activity data'!BE53*ManureNEF*NtoN2O*kgtoGg</f>
        <v>-6.6458158331925851E-2</v>
      </c>
      <c r="BF94" s="22">
        <f>'Activity data'!BF53*ManureNEF*NtoN2O*kgtoGg</f>
        <v>-6.481232997303113E-2</v>
      </c>
      <c r="BG94" s="22">
        <f>'Activity data'!BG53*ManureNEF*NtoN2O*kgtoGg</f>
        <v>-6.3506079477571004E-2</v>
      </c>
      <c r="BH94" s="22">
        <f>'Activity data'!BH53*ManureNEF*NtoN2O*kgtoGg</f>
        <v>-6.2212220196709189E-2</v>
      </c>
      <c r="BI94" s="22">
        <f>'Activity data'!BI53*ManureNEF*NtoN2O*kgtoGg</f>
        <v>-6.0929789794195444E-2</v>
      </c>
      <c r="BJ94" s="22">
        <f>'Activity data'!BJ53*ManureNEF*NtoN2O*kgtoGg</f>
        <v>-5.9658470603933263E-2</v>
      </c>
      <c r="BK94" s="22">
        <f>'Activity data'!BK53*ManureNEF*NtoN2O*kgtoGg</f>
        <v>-5.839733316411725E-2</v>
      </c>
      <c r="BL94" s="22">
        <f>'Activity data'!BL53*ManureNEF*NtoN2O*kgtoGg</f>
        <v>-5.7145467253207828E-2</v>
      </c>
      <c r="BM94" s="22">
        <f>'Activity data'!BM53*ManureNEF*NtoN2O*kgtoGg</f>
        <v>-5.590272668429646E-2</v>
      </c>
      <c r="BN94" s="22">
        <f>'Activity data'!BN53*ManureNEF*NtoN2O*kgtoGg</f>
        <v>-5.4669188235492674E-2</v>
      </c>
      <c r="BO94" s="22">
        <f>'Activity data'!BO53*ManureNEF*NtoN2O*kgtoGg</f>
        <v>-5.3444899006114648E-2</v>
      </c>
      <c r="BP94" s="22">
        <f>'Activity data'!BP53*ManureNEF*NtoN2O*kgtoGg</f>
        <v>-5.2229155811497792E-2</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2.6602988559851242</v>
      </c>
      <c r="AE95" s="22">
        <f>'Activity data'!AE54*ManureNEF*NtoN2O*kgtoGg</f>
        <v>2.6372269335947092</v>
      </c>
      <c r="AF95" s="22">
        <f>'Activity data'!AF54*ManureNEF*NtoN2O*kgtoGg</f>
        <v>2.6284441511866339</v>
      </c>
      <c r="AG95" s="22">
        <f>'Activity data'!AG54*ManureNEF*NtoN2O*kgtoGg</f>
        <v>2.5933447201068063</v>
      </c>
      <c r="AH95" s="22">
        <f>'Activity data'!AH54*ManureNEF*NtoN2O*kgtoGg</f>
        <v>2.5423970387070201</v>
      </c>
      <c r="AI95" s="22">
        <f>'Activity data'!AI54*ManureNEF*NtoN2O*kgtoGg</f>
        <v>2.4766546252796315</v>
      </c>
      <c r="AJ95" s="22">
        <f>'Activity data'!AJ54*ManureNEF*NtoN2O*kgtoGg</f>
        <v>2.4248016610449814</v>
      </c>
      <c r="AK95" s="22">
        <f>'Activity data'!AK54*ManureNEF*NtoN2O*kgtoGg</f>
        <v>2.3757428620222041</v>
      </c>
      <c r="AL95" s="22">
        <f>'Activity data'!AL54*ManureNEF*NtoN2O*kgtoGg</f>
        <v>2.1246713944072271</v>
      </c>
      <c r="AM95" s="22">
        <f>'Activity data'!AM54*ManureNEF*NtoN2O*kgtoGg</f>
        <v>2.2065285266163999</v>
      </c>
      <c r="AN95" s="22">
        <f>'Activity data'!AN54*ManureNEF*NtoN2O*kgtoGg</f>
        <v>6.9543063423815932</v>
      </c>
      <c r="AO95" s="22">
        <f>'Activity data'!AO54*ManureNEF*NtoN2O*kgtoGg</f>
        <v>6.9878495990695715</v>
      </c>
      <c r="AP95" s="22">
        <f>'Activity data'!AP54*ManureNEF*NtoN2O*kgtoGg</f>
        <v>7.0093172004230366</v>
      </c>
      <c r="AQ95" s="22">
        <f>'Activity data'!AQ54*ManureNEF*NtoN2O*kgtoGg</f>
        <v>7.0187047739037158</v>
      </c>
      <c r="AR95" s="22">
        <f>'Activity data'!AR54*ManureNEF*NtoN2O*kgtoGg</f>
        <v>7.0162111838157779</v>
      </c>
      <c r="AS95" s="22">
        <f>'Activity data'!AS54*ManureNEF*NtoN2O*kgtoGg</f>
        <v>7.0017169063140772</v>
      </c>
      <c r="AT95" s="22">
        <f>'Activity data'!AT54*ManureNEF*NtoN2O*kgtoGg</f>
        <v>6.9751864364623621</v>
      </c>
      <c r="AU95" s="22">
        <f>'Activity data'!AU54*ManureNEF*NtoN2O*kgtoGg</f>
        <v>6.9366417257611337</v>
      </c>
      <c r="AV95" s="22">
        <f>'Activity data'!AV54*ManureNEF*NtoN2O*kgtoGg</f>
        <v>6.8861694459309035</v>
      </c>
      <c r="AW95" s="22">
        <f>'Activity data'!AW54*ManureNEF*NtoN2O*kgtoGg</f>
        <v>6.7665904680738294</v>
      </c>
      <c r="AX95" s="22">
        <f>'Activity data'!AX54*ManureNEF*NtoN2O*kgtoGg</f>
        <v>6.6357479068551806</v>
      </c>
      <c r="AY95" s="22">
        <f>'Activity data'!AY54*ManureNEF*NtoN2O*kgtoGg</f>
        <v>6.4942296638758421</v>
      </c>
      <c r="AZ95" s="22">
        <f>'Activity data'!AZ54*ManureNEF*NtoN2O*kgtoGg</f>
        <v>6.3426904430800271</v>
      </c>
      <c r="BA95" s="22">
        <f>'Activity data'!BA54*ManureNEF*NtoN2O*kgtoGg</f>
        <v>6.181827232682128</v>
      </c>
      <c r="BB95" s="22">
        <f>'Activity data'!BB54*ManureNEF*NtoN2O*kgtoGg</f>
        <v>6.0123822253262711</v>
      </c>
      <c r="BC95" s="22">
        <f>'Activity data'!BC54*ManureNEF*NtoN2O*kgtoGg</f>
        <v>-0.46423522845416099</v>
      </c>
      <c r="BD95" s="22">
        <f>'Activity data'!BD54*ManureNEF*NtoN2O*kgtoGg</f>
        <v>-0.45305778569298638</v>
      </c>
      <c r="BE95" s="22">
        <f>'Activity data'!BE54*ManureNEF*NtoN2O*kgtoGg</f>
        <v>-0.44199663851969367</v>
      </c>
      <c r="BF95" s="22">
        <f>'Activity data'!BF54*ManureNEF*NtoN2O*kgtoGg</f>
        <v>-0.43105064452180719</v>
      </c>
      <c r="BG95" s="22">
        <f>'Activity data'!BG54*ManureNEF*NtoN2O*kgtoGg</f>
        <v>-0.42236309821373103</v>
      </c>
      <c r="BH95" s="22">
        <f>'Activity data'!BH54*ManureNEF*NtoN2O*kgtoGg</f>
        <v>-0.41375796278397442</v>
      </c>
      <c r="BI95" s="22">
        <f>'Activity data'!BI54*ManureNEF*NtoN2O*kgtoGg</f>
        <v>-0.40522883797411285</v>
      </c>
      <c r="BJ95" s="22">
        <f>'Activity data'!BJ54*ManureNEF*NtoN2O*kgtoGg</f>
        <v>-0.3967736110661545</v>
      </c>
      <c r="BK95" s="22">
        <f>'Activity data'!BK54*ManureNEF*NtoN2O*kgtoGg</f>
        <v>-0.38838610044140948</v>
      </c>
      <c r="BL95" s="22">
        <f>'Activity data'!BL54*ManureNEF*NtoN2O*kgtoGg</f>
        <v>-0.38006025244339864</v>
      </c>
      <c r="BM95" s="22">
        <f>'Activity data'!BM54*ManureNEF*NtoN2O*kgtoGg</f>
        <v>-0.37179509481944717</v>
      </c>
      <c r="BN95" s="22">
        <f>'Activity data'!BN54*ManureNEF*NtoN2O*kgtoGg</f>
        <v>-0.36359113820161632</v>
      </c>
      <c r="BO95" s="22">
        <f>'Activity data'!BO54*ManureNEF*NtoN2O*kgtoGg</f>
        <v>-0.35544869583572547</v>
      </c>
      <c r="BP95" s="22">
        <f>'Activity data'!BP54*ManureNEF*NtoN2O*kgtoGg</f>
        <v>-0.34736309101592239</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0.35516571939691516</v>
      </c>
      <c r="AF96" s="22">
        <f>'Activity data'!AF55*ManureNEF*NtoN2O*kgtoGg</f>
        <v>0.36891582276573964</v>
      </c>
      <c r="AG96" s="22">
        <f>'Activity data'!AG55*ManureNEF*NtoN2O*kgtoGg</f>
        <v>0.379170347917821</v>
      </c>
      <c r="AH96" s="22">
        <f>'Activity data'!AH55*ManureNEF*NtoN2O*kgtoGg</f>
        <v>0.38707850955818851</v>
      </c>
      <c r="AI96" s="22">
        <f>'Activity data'!AI55*ManureNEF*NtoN2O*kgtoGg</f>
        <v>0.39252728601928999</v>
      </c>
      <c r="AJ96" s="22">
        <f>'Activity data'!AJ55*ManureNEF*NtoN2O*kgtoGg</f>
        <v>0.3999671364536494</v>
      </c>
      <c r="AK96" s="22">
        <f>'Activity data'!AK55*ManureNEF*NtoN2O*kgtoGg</f>
        <v>0.40776627193753145</v>
      </c>
      <c r="AL96" s="22">
        <f>'Activity data'!AL55*ManureNEF*NtoN2O*kgtoGg</f>
        <v>0.37941149708510857</v>
      </c>
      <c r="AM96" s="22">
        <f>'Activity data'!AM55*ManureNEF*NtoN2O*kgtoGg</f>
        <v>0.40352229075935825</v>
      </c>
      <c r="AN96" s="22">
        <f>'Activity data'!AN55*ManureNEF*NtoN2O*kgtoGg</f>
        <v>1.3019992837200502</v>
      </c>
      <c r="AO96" s="22">
        <f>'Activity data'!AO55*ManureNEF*NtoN2O*kgtoGg</f>
        <v>1.3389713551242044</v>
      </c>
      <c r="AP96" s="22">
        <f>'Activity data'!AP55*ManureNEF*NtoN2O*kgtoGg</f>
        <v>1.3742225442034364</v>
      </c>
      <c r="AQ96" s="22">
        <f>'Activity data'!AQ55*ManureNEF*NtoN2O*kgtoGg</f>
        <v>1.4076173986220344</v>
      </c>
      <c r="AR96" s="22">
        <f>'Activity data'!AR55*ManureNEF*NtoN2O*kgtoGg</f>
        <v>1.4390577517114058</v>
      </c>
      <c r="AS96" s="22">
        <f>'Activity data'!AS55*ManureNEF*NtoN2O*kgtoGg</f>
        <v>1.4683777754211462</v>
      </c>
      <c r="AT96" s="22">
        <f>'Activity data'!AT55*ManureNEF*NtoN2O*kgtoGg</f>
        <v>1.4954226905831736</v>
      </c>
      <c r="AU96" s="22">
        <f>'Activity data'!AU55*ManureNEF*NtoN2O*kgtoGg</f>
        <v>1.5200446118078883</v>
      </c>
      <c r="AV96" s="22">
        <f>'Activity data'!AV55*ManureNEF*NtoN2O*kgtoGg</f>
        <v>1.5421052715646864</v>
      </c>
      <c r="AW96" s="22">
        <f>'Activity data'!AW55*ManureNEF*NtoN2O*kgtoGg</f>
        <v>1.5655788001500457</v>
      </c>
      <c r="AX96" s="22">
        <f>'Activity data'!AX55*ManureNEF*NtoN2O*kgtoGg</f>
        <v>1.5863184064827547</v>
      </c>
      <c r="AY96" s="22">
        <f>'Activity data'!AY55*ManureNEF*NtoN2O*kgtoGg</f>
        <v>1.604202691450189</v>
      </c>
      <c r="AZ96" s="22">
        <f>'Activity data'!AZ55*ManureNEF*NtoN2O*kgtoGg</f>
        <v>1.6191262740936789</v>
      </c>
      <c r="BA96" s="22">
        <f>'Activity data'!BA55*ManureNEF*NtoN2O*kgtoGg</f>
        <v>1.6309961254310048</v>
      </c>
      <c r="BB96" s="22">
        <f>'Activity data'!BB55*ManureNEF*NtoN2O*kgtoGg</f>
        <v>1.6397344068055653</v>
      </c>
      <c r="BC96" s="22">
        <f>'Activity data'!BC55*ManureNEF*NtoN2O*kgtoGg</f>
        <v>-0.13089608517240703</v>
      </c>
      <c r="BD96" s="22">
        <f>'Activity data'!BD55*ManureNEF*NtoN2O*kgtoGg</f>
        <v>-0.13209410170523925</v>
      </c>
      <c r="BE96" s="22">
        <f>'Activity data'!BE55*ManureNEF*NtoN2O*kgtoGg</f>
        <v>-0.13328419638855493</v>
      </c>
      <c r="BF96" s="22">
        <f>'Activity data'!BF55*ManureNEF*NtoN2O*kgtoGg</f>
        <v>-0.13446696197747518</v>
      </c>
      <c r="BG96" s="22">
        <f>'Activity data'!BG55*ManureNEF*NtoN2O*kgtoGg</f>
        <v>-0.13547441854530159</v>
      </c>
      <c r="BH96" s="22">
        <f>'Activity data'!BH55*ManureNEF*NtoN2O*kgtoGg</f>
        <v>-0.13647180135664599</v>
      </c>
      <c r="BI96" s="22">
        <f>'Activity data'!BI55*ManureNEF*NtoN2O*kgtoGg</f>
        <v>-0.1374575838778328</v>
      </c>
      <c r="BJ96" s="22">
        <f>'Activity data'!BJ55*ManureNEF*NtoN2O*kgtoGg</f>
        <v>-0.13843149499593352</v>
      </c>
      <c r="BK96" s="22">
        <f>'Activity data'!BK55*ManureNEF*NtoN2O*kgtoGg</f>
        <v>-0.13939171751336263</v>
      </c>
      <c r="BL96" s="22">
        <f>'Activity data'!BL55*ManureNEF*NtoN2O*kgtoGg</f>
        <v>-0.14033622294950923</v>
      </c>
      <c r="BM96" s="22">
        <f>'Activity data'!BM55*ManureNEF*NtoN2O*kgtoGg</f>
        <v>-0.14126464078823431</v>
      </c>
      <c r="BN96" s="22">
        <f>'Activity data'!BN55*ManureNEF*NtoN2O*kgtoGg</f>
        <v>-0.14217711138361663</v>
      </c>
      <c r="BO96" s="22">
        <f>'Activity data'!BO55*ManureNEF*NtoN2O*kgtoGg</f>
        <v>-0.14307369087756849</v>
      </c>
      <c r="BP96" s="22">
        <f>'Activity data'!BP55*ManureNEF*NtoN2O*kgtoGg</f>
        <v>-0.14395235507647042</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5.9207171446821721E-2</v>
      </c>
      <c r="AM97" s="22">
        <f>'Activity data'!AM56*ManureNEF*NtoN2O*kgtoGg</f>
        <v>5.9246576334297835E-2</v>
      </c>
      <c r="AN97" s="22">
        <f>'Activity data'!AN56*ManureNEF*NtoN2O*kgtoGg</f>
        <v>6.0018268189792646E-2</v>
      </c>
      <c r="AO97" s="22">
        <f>'Activity data'!AO56*ManureNEF*NtoN2O*kgtoGg</f>
        <v>6.0037093010318184E-2</v>
      </c>
      <c r="AP97" s="22">
        <f>'Activity data'!AP56*ManureNEF*NtoN2O*kgtoGg</f>
        <v>6.0117615700915394E-2</v>
      </c>
      <c r="AQ97" s="22">
        <f>'Activity data'!AQ56*ManureNEF*NtoN2O*kgtoGg</f>
        <v>6.0234013204612538E-2</v>
      </c>
      <c r="AR97" s="22">
        <f>'Activity data'!AR56*ManureNEF*NtoN2O*kgtoGg</f>
        <v>6.0342142496718161E-2</v>
      </c>
      <c r="AS97" s="22">
        <f>'Activity data'!AS56*ManureNEF*NtoN2O*kgtoGg</f>
        <v>6.0443342363168437E-2</v>
      </c>
      <c r="AT97" s="22">
        <f>'Activity data'!AT56*ManureNEF*NtoN2O*kgtoGg</f>
        <v>6.0537073159976813E-2</v>
      </c>
      <c r="AU97" s="22">
        <f>'Activity data'!AU56*ManureNEF*NtoN2O*kgtoGg</f>
        <v>6.0624179409324928E-2</v>
      </c>
      <c r="AV97" s="22">
        <f>'Activity data'!AV56*ManureNEF*NtoN2O*kgtoGg</f>
        <v>6.0705982424299358E-2</v>
      </c>
      <c r="AW97" s="22">
        <f>'Activity data'!AW56*ManureNEF*NtoN2O*kgtoGg</f>
        <v>6.0782405127579278E-2</v>
      </c>
      <c r="AX97" s="22">
        <f>'Activity data'!AX56*ManureNEF*NtoN2O*kgtoGg</f>
        <v>6.0854669862410914E-2</v>
      </c>
      <c r="AY97" s="22">
        <f>'Activity data'!AY56*ManureNEF*NtoN2O*kgtoGg</f>
        <v>6.0922951557005132E-2</v>
      </c>
      <c r="AZ97" s="22">
        <f>'Activity data'!AZ56*ManureNEF*NtoN2O*kgtoGg</f>
        <v>6.0986314332021271E-2</v>
      </c>
      <c r="BA97" s="22">
        <f>'Activity data'!BA56*ManureNEF*NtoN2O*kgtoGg</f>
        <v>6.1045337815494746E-2</v>
      </c>
      <c r="BB97" s="22">
        <f>'Activity data'!BB56*ManureNEF*NtoN2O*kgtoGg</f>
        <v>6.1100963630343091E-2</v>
      </c>
      <c r="BC97" s="22">
        <f>'Activity data'!BC56*ManureNEF*NtoN2O*kgtoGg</f>
        <v>5.9760031976995184E-2</v>
      </c>
      <c r="BD97" s="22">
        <f>'Activity data'!BD56*ManureNEF*NtoN2O*kgtoGg</f>
        <v>5.9814986740369232E-2</v>
      </c>
      <c r="BE97" s="22">
        <f>'Activity data'!BE56*ManureNEF*NtoN2O*kgtoGg</f>
        <v>5.9866245389547455E-2</v>
      </c>
      <c r="BF97" s="22">
        <f>'Activity data'!BF56*ManureNEF*NtoN2O*kgtoGg</f>
        <v>5.9914121191052938E-2</v>
      </c>
      <c r="BG97" s="22">
        <f>'Activity data'!BG56*ManureNEF*NtoN2O*kgtoGg</f>
        <v>5.9958994957515464E-2</v>
      </c>
      <c r="BH97" s="22">
        <f>'Activity data'!BH56*ManureNEF*NtoN2O*kgtoGg</f>
        <v>5.9999686326466663E-2</v>
      </c>
      <c r="BI97" s="22">
        <f>'Activity data'!BI56*ManureNEF*NtoN2O*kgtoGg</f>
        <v>6.0035407039000573E-2</v>
      </c>
      <c r="BJ97" s="22">
        <f>'Activity data'!BJ56*ManureNEF*NtoN2O*kgtoGg</f>
        <v>6.0066041639394212E-2</v>
      </c>
      <c r="BK97" s="22">
        <f>'Activity data'!BK56*ManureNEF*NtoN2O*kgtoGg</f>
        <v>6.0090693101993796E-2</v>
      </c>
      <c r="BL97" s="22">
        <f>'Activity data'!BL56*ManureNEF*NtoN2O*kgtoGg</f>
        <v>6.010838638445111E-2</v>
      </c>
      <c r="BM97" s="22">
        <f>'Activity data'!BM56*ManureNEF*NtoN2O*kgtoGg</f>
        <v>6.0119011530987615E-2</v>
      </c>
      <c r="BN97" s="22">
        <f>'Activity data'!BN56*ManureNEF*NtoN2O*kgtoGg</f>
        <v>6.0122720098989259E-2</v>
      </c>
      <c r="BO97" s="22">
        <f>'Activity data'!BO56*ManureNEF*NtoN2O*kgtoGg</f>
        <v>6.0119620565134202E-2</v>
      </c>
      <c r="BP97" s="22">
        <f>'Activity data'!BP56*ManureNEF*NtoN2O*kgtoGg</f>
        <v>6.0108795193871321E-2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4.8186589457144935E-2</v>
      </c>
      <c r="AM98" s="22">
        <f>'Activity data'!AM57*ManureNEF*NtoN2O*kgtoGg</f>
        <v>4.8218659679197723E-2</v>
      </c>
      <c r="AN98" s="22">
        <f>'Activity data'!AN57*ManureNEF*NtoN2O*kgtoGg</f>
        <v>4.884671195258742E-2</v>
      </c>
      <c r="AO98" s="22">
        <f>'Activity data'!AO57*ManureNEF*NtoN2O*kgtoGg</f>
        <v>4.8862032797615189E-2</v>
      </c>
      <c r="AP98" s="22">
        <f>'Activity data'!AP57*ManureNEF*NtoN2O*kgtoGg</f>
        <v>4.8927567322217112E-2</v>
      </c>
      <c r="AQ98" s="22">
        <f>'Activity data'!AQ57*ManureNEF*NtoN2O*kgtoGg</f>
        <v>4.9022299068176782E-2</v>
      </c>
      <c r="AR98" s="22">
        <f>'Activity data'!AR57*ManureNEF*NtoN2O*kgtoGg</f>
        <v>4.9110301613808693E-2</v>
      </c>
      <c r="AS98" s="22">
        <f>'Activity data'!AS57*ManureNEF*NtoN2O*kgtoGg</f>
        <v>4.9192664548882145E-2</v>
      </c>
      <c r="AT98" s="22">
        <f>'Activity data'!AT57*ManureNEF*NtoN2O*kgtoGg</f>
        <v>4.9268948676546534E-2</v>
      </c>
      <c r="AU98" s="22">
        <f>'Activity data'!AU57*ManureNEF*NtoN2O*kgtoGg</f>
        <v>4.9339841323060789E-2</v>
      </c>
      <c r="AV98" s="22">
        <f>'Activity data'!AV57*ManureNEF*NtoN2O*kgtoGg</f>
        <v>4.9406417857669777E-2</v>
      </c>
      <c r="AW98" s="22">
        <f>'Activity data'!AW57*ManureNEF*NtoN2O*kgtoGg</f>
        <v>4.9468615549911547E-2</v>
      </c>
      <c r="AX98" s="22">
        <f>'Activity data'!AX57*ManureNEF*NtoN2O*kgtoGg</f>
        <v>4.9527429221033953E-2</v>
      </c>
      <c r="AY98" s="22">
        <f>'Activity data'!AY57*ManureNEF*NtoN2O*kgtoGg</f>
        <v>4.9583001238822449E-2</v>
      </c>
      <c r="AZ98" s="22">
        <f>'Activity data'!AZ57*ManureNEF*NtoN2O*kgtoGg</f>
        <v>4.9634569924708931E-2</v>
      </c>
      <c r="BA98" s="22">
        <f>'Activity data'!BA57*ManureNEF*NtoN2O*kgtoGg</f>
        <v>4.9682607017124701E-2</v>
      </c>
      <c r="BB98" s="22">
        <f>'Activity data'!BB57*ManureNEF*NtoN2O*kgtoGg</f>
        <v>4.972787886912871E-2</v>
      </c>
      <c r="BC98" s="22">
        <f>'Activity data'!BC57*ManureNEF*NtoN2O*kgtoGg</f>
        <v>4.8636542777722926E-2</v>
      </c>
      <c r="BD98" s="22">
        <f>'Activity data'!BD57*ManureNEF*NtoN2O*kgtoGg</f>
        <v>4.8681268485043679E-2</v>
      </c>
      <c r="BE98" s="22">
        <f>'Activity data'!BE57*ManureNEF*NtoN2O*kgtoGg</f>
        <v>4.872298605782617E-2</v>
      </c>
      <c r="BF98" s="22">
        <f>'Activity data'!BF57*ManureNEF*NtoN2O*kgtoGg</f>
        <v>4.8761950452437537E-2</v>
      </c>
      <c r="BG98" s="22">
        <f>'Activity data'!BG57*ManureNEF*NtoN2O*kgtoGg</f>
        <v>4.8798471598594094E-2</v>
      </c>
      <c r="BH98" s="22">
        <f>'Activity data'!BH57*ManureNEF*NtoN2O*kgtoGg</f>
        <v>4.8831588841694647E-2</v>
      </c>
      <c r="BI98" s="22">
        <f>'Activity data'!BI57*ManureNEF*NtoN2O*kgtoGg</f>
        <v>4.8860660646138712E-2</v>
      </c>
      <c r="BJ98" s="22">
        <f>'Activity data'!BJ57*ManureNEF*NtoN2O*kgtoGg</f>
        <v>4.8885593046661804E-2</v>
      </c>
      <c r="BK98" s="22">
        <f>'Activity data'!BK57*ManureNEF*NtoN2O*kgtoGg</f>
        <v>4.8905655986315542E-2</v>
      </c>
      <c r="BL98" s="22">
        <f>'Activity data'!BL57*ManureNEF*NtoN2O*kgtoGg</f>
        <v>4.8920055913167046E-2</v>
      </c>
      <c r="BM98" s="22">
        <f>'Activity data'!BM57*ManureNEF*NtoN2O*kgtoGg</f>
        <v>4.8928703338159067E-2</v>
      </c>
      <c r="BN98" s="22">
        <f>'Activity data'!BN57*ManureNEF*NtoN2O*kgtoGg</f>
        <v>4.8931721608402395E-2</v>
      </c>
      <c r="BO98" s="22">
        <f>'Activity data'!BO57*ManureNEF*NtoN2O*kgtoGg</f>
        <v>4.8929199009167666E-2</v>
      </c>
      <c r="BP98" s="22">
        <f>'Activity data'!BP57*ManureNEF*NtoN2O*kgtoGg</f>
        <v>4.892038862846515E-2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7.214092738049376E-3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7.4155715935563154E-3</v>
      </c>
      <c r="AK99" s="22">
        <f>'Activity data'!AK58*ManureNEF*NtoN2O*kgtoGg</f>
        <v>7.4643602602570466E-3</v>
      </c>
      <c r="AL99" s="22">
        <f>'Activity data'!AL58*ManureNEF*NtoN2O*kgtoGg</f>
        <v>7.4461584032265975E-3</v>
      </c>
      <c r="AM99" s="22">
        <f>'Activity data'!AM58*ManureNEF*NtoN2O*kgtoGg</f>
        <v>7.4583442385416504E-3</v>
      </c>
      <c r="AN99" s="22">
        <f>'Activity data'!AN58*ManureNEF*NtoN2O*kgtoGg</f>
        <v>7.6095641103995637E-3</v>
      </c>
      <c r="AO99" s="22">
        <f>'Activity data'!AO58*ManureNEF*NtoN2O*kgtoGg</f>
        <v>7.616396041581105E-3</v>
      </c>
      <c r="AP99" s="22">
        <f>'Activity data'!AP58*ManureNEF*NtoN2O*kgtoGg</f>
        <v>7.6344836732780402E-3</v>
      </c>
      <c r="AQ99" s="22">
        <f>'Activity data'!AQ58*ManureNEF*NtoN2O*kgtoGg</f>
        <v>7.6588952719713966E-3</v>
      </c>
      <c r="AR99" s="22">
        <f>'Activity data'!AR58*ManureNEF*NtoN2O*kgtoGg</f>
        <v>7.6812841131364881E-3</v>
      </c>
      <c r="AS99" s="22">
        <f>'Activity data'!AS58*ManureNEF*NtoN2O*kgtoGg</f>
        <v>7.7019461381660883E-3</v>
      </c>
      <c r="AT99" s="22">
        <f>'Activity data'!AT58*ManureNEF*NtoN2O*kgtoGg</f>
        <v>7.7208179709042681E-3</v>
      </c>
      <c r="AU99" s="22">
        <f>'Activity data'!AU58*ManureNEF*NtoN2O*kgtoGg</f>
        <v>7.7380934023290734E-3</v>
      </c>
      <c r="AV99" s="22">
        <f>'Activity data'!AV58*ManureNEF*NtoN2O*kgtoGg</f>
        <v>7.754051159190669E-3</v>
      </c>
      <c r="AW99" s="22">
        <f>'Activity data'!AW58*ManureNEF*NtoN2O*kgtoGg</f>
        <v>7.7687040986248812E-3</v>
      </c>
      <c r="AX99" s="22">
        <f>'Activity data'!AX58*ManureNEF*NtoN2O*kgtoGg</f>
        <v>7.7823052319108766E-3</v>
      </c>
      <c r="AY99" s="22">
        <f>'Activity data'!AY58*ManureNEF*NtoN2O*kgtoGg</f>
        <v>7.7949088981362474E-3</v>
      </c>
      <c r="AZ99" s="22">
        <f>'Activity data'!AZ58*ManureNEF*NtoN2O*kgtoGg</f>
        <v>7.8063612121467459E-3</v>
      </c>
      <c r="BA99" s="22">
        <f>'Activity data'!BA58*ManureNEF*NtoN2O*kgtoGg</f>
        <v>7.8167890041067195E-3</v>
      </c>
      <c r="BB99" s="22">
        <f>'Activity data'!BB58*ManureNEF*NtoN2O*kgtoGg</f>
        <v>7.8263838677397213E-3</v>
      </c>
      <c r="BC99" s="22">
        <f>'Activity data'!BC58*ManureNEF*NtoN2O*kgtoGg</f>
        <v>7.5779321545979533E-3</v>
      </c>
      <c r="BD99" s="22">
        <f>'Activity data'!BD58*ManureNEF*NtoN2O*kgtoGg</f>
        <v>7.5875086550646472E-3</v>
      </c>
      <c r="BE99" s="22">
        <f>'Activity data'!BE58*ManureNEF*NtoN2O*kgtoGg</f>
        <v>7.5962279285727895E-3</v>
      </c>
      <c r="BF99" s="22">
        <f>'Activity data'!BF58*ManureNEF*NtoN2O*kgtoGg</f>
        <v>7.6041605420171859E-3</v>
      </c>
      <c r="BG99" s="22">
        <f>'Activity data'!BG58*ManureNEF*NtoN2O*kgtoGg</f>
        <v>7.6113882168756348E-3</v>
      </c>
      <c r="BH99" s="22">
        <f>'Activity data'!BH58*ManureNEF*NtoN2O*kgtoGg</f>
        <v>7.6177057736301935E-3</v>
      </c>
      <c r="BI99" s="22">
        <f>'Activity data'!BI58*ManureNEF*NtoN2O*kgtoGg</f>
        <v>7.6229804846382823E-3</v>
      </c>
      <c r="BJ99" s="22">
        <f>'Activity data'!BJ58*ManureNEF*NtoN2O*kgtoGg</f>
        <v>7.6272026599535862E-3</v>
      </c>
      <c r="BK99" s="22">
        <f>'Activity data'!BK58*ManureNEF*NtoN2O*kgtoGg</f>
        <v>7.6302198564372984E-3</v>
      </c>
      <c r="BL99" s="22">
        <f>'Activity data'!BL58*ManureNEF*NtoN2O*kgtoGg</f>
        <v>7.6318659754992515E-3</v>
      </c>
      <c r="BM99" s="22">
        <f>'Activity data'!BM58*ManureNEF*NtoN2O*kgtoGg</f>
        <v>7.6321325230528187E-3</v>
      </c>
      <c r="BN99" s="22">
        <f>'Activity data'!BN58*ManureNEF*NtoN2O*kgtoGg</f>
        <v>7.631057996199485E-3</v>
      </c>
      <c r="BO99" s="22">
        <f>'Activity data'!BO58*ManureNEF*NtoN2O*kgtoGg</f>
        <v>7.6286724448087007E-3</v>
      </c>
      <c r="BP99" s="22">
        <f>'Activity data'!BP58*ManureNEF*NtoN2O*kgtoGg</f>
        <v>7.6248200266524988E-3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8.7045671471293537E-2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8.8412215452112072E-2</v>
      </c>
      <c r="AI100" s="22">
        <f>'Activity data'!AI59*ManureNEF*NtoN2O*kgtoGg</f>
        <v>8.8924932944132923E-2</v>
      </c>
      <c r="AJ100" s="22">
        <f>'Activity data'!AJ59*ManureNEF*NtoN2O*kgtoGg</f>
        <v>8.9476727309038592E-2</v>
      </c>
      <c r="AK100" s="22">
        <f>'Activity data'!AK59*ManureNEF*NtoN2O*kgtoGg</f>
        <v>9.0065414259340087E-2</v>
      </c>
      <c r="AL100" s="22">
        <f>'Activity data'!AL59*ManureNEF*NtoN2O*kgtoGg</f>
        <v>8.9845789571278714E-2</v>
      </c>
      <c r="AM100" s="22">
        <f>'Activity data'!AM59*ManureNEF*NtoN2O*kgtoGg</f>
        <v>8.9992824583989703E-2</v>
      </c>
      <c r="AN100" s="22">
        <f>'Activity data'!AN59*ManureNEF*NtoN2O*kgtoGg</f>
        <v>9.1817452539803057E-2</v>
      </c>
      <c r="AO100" s="22">
        <f>'Activity data'!AO59*ManureNEF*NtoN2O*kgtoGg</f>
        <v>9.1899887027234312E-2</v>
      </c>
      <c r="AP100" s="22">
        <f>'Activity data'!AP59*ManureNEF*NtoN2O*kgtoGg</f>
        <v>9.211813346563695E-2</v>
      </c>
      <c r="AQ100" s="22">
        <f>'Activity data'!AQ59*ManureNEF*NtoN2O*kgtoGg</f>
        <v>9.2412685265441663E-2</v>
      </c>
      <c r="AR100" s="22">
        <f>'Activity data'!AR59*ManureNEF*NtoN2O*kgtoGg</f>
        <v>9.2682830352765116E-2</v>
      </c>
      <c r="AS100" s="22">
        <f>'Activity data'!AS59*ManureNEF*NtoN2O*kgtoGg</f>
        <v>9.293213957403032E-2</v>
      </c>
      <c r="AT100" s="22">
        <f>'Activity data'!AT59*ManureNEF*NtoN2O*kgtoGg</f>
        <v>9.3159848228775613E-2</v>
      </c>
      <c r="AU100" s="22">
        <f>'Activity data'!AU59*ManureNEF*NtoN2O*kgtoGg</f>
        <v>9.3368294610452568E-2</v>
      </c>
      <c r="AV100" s="22">
        <f>'Activity data'!AV59*ManureNEF*NtoN2O*kgtoGg</f>
        <v>9.356084185258419E-2</v>
      </c>
      <c r="AW100" s="22">
        <f>'Activity data'!AW59*ManureNEF*NtoN2O*kgtoGg</f>
        <v>9.3737645090135047E-2</v>
      </c>
      <c r="AX100" s="22">
        <f>'Activity data'!AX59*ManureNEF*NtoN2O*kgtoGg</f>
        <v>9.390175717222761E-2</v>
      </c>
      <c r="AY100" s="22">
        <f>'Activity data'!AY59*ManureNEF*NtoN2O*kgtoGg</f>
        <v>9.40538337575203E-2</v>
      </c>
      <c r="AZ100" s="22">
        <f>'Activity data'!AZ59*ManureNEF*NtoN2O*kgtoGg</f>
        <v>9.4192018058601723E-2</v>
      </c>
      <c r="BA100" s="22">
        <f>'Activity data'!BA59*ManureNEF*NtoN2O*kgtoGg</f>
        <v>9.4317840415768184E-2</v>
      </c>
      <c r="BB100" s="22">
        <f>'Activity data'!BB59*ManureNEF*NtoN2O*kgtoGg</f>
        <v>9.4433612610268142E-2</v>
      </c>
      <c r="BC100" s="22">
        <f>'Activity data'!BC59*ManureNEF*NtoN2O*kgtoGg</f>
        <v>9.1435779482264015E-2</v>
      </c>
      <c r="BD100" s="22">
        <f>'Activity data'!BD59*ManureNEF*NtoN2O*kgtoGg</f>
        <v>9.1551330105708581E-2</v>
      </c>
      <c r="BE100" s="22">
        <f>'Activity data'!BE59*ManureNEF*NtoN2O*kgtoGg</f>
        <v>9.1656537377754754E-2</v>
      </c>
      <c r="BF100" s="22">
        <f>'Activity data'!BF59*ManureNEF*NtoN2O*kgtoGg</f>
        <v>9.175225276274665E-2</v>
      </c>
      <c r="BG100" s="22">
        <f>'Activity data'!BG59*ManureNEF*NtoN2O*kgtoGg</f>
        <v>9.1839462316889414E-2</v>
      </c>
      <c r="BH100" s="22">
        <f>'Activity data'!BH59*ManureNEF*NtoN2O*kgtoGg</f>
        <v>9.1915690331932545E-2</v>
      </c>
      <c r="BI100" s="22">
        <f>'Activity data'!BI59*ManureNEF*NtoN2O*kgtoGg</f>
        <v>9.1979335308257068E-2</v>
      </c>
      <c r="BJ100" s="22">
        <f>'Activity data'!BJ59*ManureNEF*NtoN2O*kgtoGg</f>
        <v>9.2030280326395222E-2</v>
      </c>
      <c r="BK100" s="22">
        <f>'Activity data'!BK59*ManureNEF*NtoN2O*kgtoGg</f>
        <v>9.2066685998379513E-2</v>
      </c>
      <c r="BL100" s="22">
        <f>'Activity data'!BL59*ManureNEF*NtoN2O*kgtoGg</f>
        <v>9.2086548168755195E-2</v>
      </c>
      <c r="BM100" s="22">
        <f>'Activity data'!BM59*ManureNEF*NtoN2O*kgtoGg</f>
        <v>9.2089764347368611E-2</v>
      </c>
      <c r="BN100" s="22">
        <f>'Activity data'!BN59*ManureNEF*NtoN2O*kgtoGg</f>
        <v>9.2076799042532853E-2</v>
      </c>
      <c r="BO100" s="22">
        <f>'Activity data'!BO59*ManureNEF*NtoN2O*kgtoGg</f>
        <v>9.2048014837757555E-2</v>
      </c>
      <c r="BP100" s="22">
        <f>'Activity data'!BP59*ManureNEF*NtoN2O*kgtoGg</f>
        <v>9.2001531331463521E-2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0.12462873299340151</v>
      </c>
      <c r="AE103" s="22">
        <f>'Activity data'!AE62*ManureNEF*NtoN2O*kgtoGg</f>
        <v>0.12395129293471774</v>
      </c>
      <c r="AF103" s="22">
        <f>'Activity data'!AF62*ManureNEF*NtoN2O*kgtoGg</f>
        <v>0.12400689511310994</v>
      </c>
      <c r="AG103" s="22">
        <f>'Activity data'!AG62*ManureNEF*NtoN2O*kgtoGg</f>
        <v>0.12286841678965586</v>
      </c>
      <c r="AH103" s="22">
        <f>'Activity data'!AH62*ManureNEF*NtoN2O*kgtoGg</f>
        <v>0.12100901910044999</v>
      </c>
      <c r="AI103" s="22">
        <f>'Activity data'!AI62*ManureNEF*NtoN2O*kgtoGg</f>
        <v>0.11845842648899831</v>
      </c>
      <c r="AJ103" s="22">
        <f>'Activity data'!AJ62*ManureNEF*NtoN2O*kgtoGg</f>
        <v>0.11660641339960404</v>
      </c>
      <c r="AK103" s="22">
        <f>'Activity data'!AK62*ManureNEF*NtoN2O*kgtoGg</f>
        <v>0.1149182786313902</v>
      </c>
      <c r="AL103" s="22">
        <f>'Activity data'!AL62*ManureNEF*NtoN2O*kgtoGg</f>
        <v>0.10339476754661255</v>
      </c>
      <c r="AM103" s="22">
        <f>'Activity data'!AM62*ManureNEF*NtoN2O*kgtoGg</f>
        <v>0.10708680746691927</v>
      </c>
      <c r="AN103" s="22">
        <f>'Activity data'!AN62*ManureNEF*NtoN2O*kgtoGg</f>
        <v>0.34230494451620991</v>
      </c>
      <c r="AO103" s="22">
        <f>'Activity data'!AO62*ManureNEF*NtoN2O*kgtoGg</f>
        <v>0.34324328716985369</v>
      </c>
      <c r="AP103" s="22">
        <f>'Activity data'!AP62*ManureNEF*NtoN2O*kgtoGg</f>
        <v>0.3435898446352561</v>
      </c>
      <c r="AQ103" s="22">
        <f>'Activity data'!AQ62*ManureNEF*NtoN2O*kgtoGg</f>
        <v>0.34336025373780221</v>
      </c>
      <c r="AR103" s="22">
        <f>'Activity data'!AR62*ManureNEF*NtoN2O*kgtoGg</f>
        <v>0.34258915131434525</v>
      </c>
      <c r="AS103" s="22">
        <f>'Activity data'!AS62*ManureNEF*NtoN2O*kgtoGg</f>
        <v>0.34126945430195527</v>
      </c>
      <c r="AT103" s="22">
        <f>'Activity data'!AT62*ManureNEF*NtoN2O*kgtoGg</f>
        <v>0.3393992662053118</v>
      </c>
      <c r="AU103" s="22">
        <f>'Activity data'!AU62*ManureNEF*NtoN2O*kgtoGg</f>
        <v>0.33697876239255126</v>
      </c>
      <c r="AV103" s="22">
        <f>'Activity data'!AV62*ManureNEF*NtoN2O*kgtoGg</f>
        <v>0.3340110473815755</v>
      </c>
      <c r="AW103" s="22">
        <f>'Activity data'!AW62*ManureNEF*NtoN2O*kgtoGg</f>
        <v>0.33050375948442778</v>
      </c>
      <c r="AX103" s="22">
        <f>'Activity data'!AX62*ManureNEF*NtoN2O*kgtoGg</f>
        <v>0.32646655874795893</v>
      </c>
      <c r="AY103" s="22">
        <f>'Activity data'!AY62*ManureNEF*NtoN2O*kgtoGg</f>
        <v>0.32191309563582443</v>
      </c>
      <c r="AZ103" s="22">
        <f>'Activity data'!AZ62*ManureNEF*NtoN2O*kgtoGg</f>
        <v>0.31686086246920969</v>
      </c>
      <c r="BA103" s="22">
        <f>'Activity data'!BA62*ManureNEF*NtoN2O*kgtoGg</f>
        <v>0.31132880694281095</v>
      </c>
      <c r="BB103" s="22">
        <f>'Activity data'!BB62*ManureNEF*NtoN2O*kgtoGg</f>
        <v>0.30533819170490117</v>
      </c>
      <c r="BC103" s="22">
        <f>'Activity data'!BC62*ManureNEF*NtoN2O*kgtoGg</f>
        <v>-2.8452110243571058E-2</v>
      </c>
      <c r="BD103" s="22">
        <f>'Activity data'!BD62*ManureNEF*NtoN2O*kgtoGg</f>
        <v>-2.814409017595957E-2</v>
      </c>
      <c r="BE103" s="22">
        <f>'Activity data'!BE62*ManureNEF*NtoN2O*kgtoGg</f>
        <v>-2.7834978813803351E-2</v>
      </c>
      <c r="BF103" s="22">
        <f>'Activity data'!BF62*ManureNEF*NtoN2O*kgtoGg</f>
        <v>-2.7525096845033417E-2</v>
      </c>
      <c r="BG103" s="22">
        <f>'Activity data'!BG62*ManureNEF*NtoN2O*kgtoGg</f>
        <v>-2.7214798691689582E-2</v>
      </c>
      <c r="BH103" s="22">
        <f>'Activity data'!BH62*ManureNEF*NtoN2O*kgtoGg</f>
        <v>-2.6903261813323635E-2</v>
      </c>
      <c r="BI103" s="22">
        <f>'Activity data'!BI62*ManureNEF*NtoN2O*kgtoGg</f>
        <v>-2.659000059935173E-2</v>
      </c>
      <c r="BJ103" s="22">
        <f>'Activity data'!BJ62*ManureNEF*NtoN2O*kgtoGg</f>
        <v>-2.6275045310908511E-2</v>
      </c>
      <c r="BK103" s="22">
        <f>'Activity data'!BK62*ManureNEF*NtoN2O*kgtoGg</f>
        <v>-2.5957874013715753E-2</v>
      </c>
      <c r="BL103" s="22">
        <f>'Activity data'!BL62*ManureNEF*NtoN2O*kgtoGg</f>
        <v>-2.5637945266726723E-2</v>
      </c>
      <c r="BM103" s="22">
        <f>'Activity data'!BM62*ManureNEF*NtoN2O*kgtoGg</f>
        <v>-2.5315349871404581E-2</v>
      </c>
      <c r="BN103" s="22">
        <f>'Activity data'!BN62*ManureNEF*NtoN2O*kgtoGg</f>
        <v>-2.4990356269877063E-2</v>
      </c>
      <c r="BO103" s="22">
        <f>'Activity data'!BO62*ManureNEF*NtoN2O*kgtoGg</f>
        <v>-2.4663194083915266E-2</v>
      </c>
      <c r="BP103" s="22">
        <f>'Activity data'!BP62*ManureNEF*NtoN2O*kgtoGg</f>
        <v>-2.433341037395171E-2</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3.1618785484610064E-2</v>
      </c>
      <c r="AE104" s="22">
        <f>'Activity data'!AE63*ManureNEF*NtoN2O*kgtoGg</f>
        <v>3.1446916354757493E-2</v>
      </c>
      <c r="AF104" s="22">
        <f>'Activity data'!AF63*ManureNEF*NtoN2O*kgtoGg</f>
        <v>3.1461022839745618E-2</v>
      </c>
      <c r="AG104" s="22">
        <f>'Activity data'!AG63*ManureNEF*NtoN2O*kgtoGg</f>
        <v>3.1172186541537576E-2</v>
      </c>
      <c r="AH104" s="22">
        <f>'Activity data'!AH63*ManureNEF*NtoN2O*kgtoGg</f>
        <v>3.0700450247237825E-2</v>
      </c>
      <c r="AI104" s="22">
        <f>'Activity data'!AI63*ManureNEF*NtoN2O*kgtoGg</f>
        <v>3.0053355161673637E-2</v>
      </c>
      <c r="AJ104" s="22">
        <f>'Activity data'!AJ63*ManureNEF*NtoN2O*kgtoGg</f>
        <v>2.9583492368545915E-2</v>
      </c>
      <c r="AK104" s="22">
        <f>'Activity data'!AK63*ManureNEF*NtoN2O*kgtoGg</f>
        <v>2.9155206131309674E-2</v>
      </c>
      <c r="AL104" s="22">
        <f>'Activity data'!AL63*ManureNEF*NtoN2O*kgtoGg</f>
        <v>2.6231647363859134E-2</v>
      </c>
      <c r="AM104" s="22">
        <f>'Activity data'!AM63*ManureNEF*NtoN2O*kgtoGg</f>
        <v>2.716833199056537E-2</v>
      </c>
      <c r="AN104" s="22">
        <f>'Activity data'!AN63*ManureNEF*NtoN2O*kgtoGg</f>
        <v>8.684407159585289E-2</v>
      </c>
      <c r="AO104" s="22">
        <f>'Activity data'!AO63*ManureNEF*NtoN2O*kgtoGg</f>
        <v>8.7082132710364829E-2</v>
      </c>
      <c r="AP104" s="22">
        <f>'Activity data'!AP63*ManureNEF*NtoN2O*kgtoGg</f>
        <v>8.7170055662748783E-2</v>
      </c>
      <c r="AQ104" s="22">
        <f>'Activity data'!AQ63*ManureNEF*NtoN2O*kgtoGg</f>
        <v>8.7111807575317793E-2</v>
      </c>
      <c r="AR104" s="22">
        <f>'Activity data'!AR63*ManureNEF*NtoN2O*kgtoGg</f>
        <v>8.6916175945850438E-2</v>
      </c>
      <c r="AS104" s="22">
        <f>'Activity data'!AS63*ManureNEF*NtoN2O*kgtoGg</f>
        <v>8.6581363774233103E-2</v>
      </c>
      <c r="AT104" s="22">
        <f>'Activity data'!AT63*ManureNEF*NtoN2O*kgtoGg</f>
        <v>8.6106889912360693E-2</v>
      </c>
      <c r="AU104" s="22">
        <f>'Activity data'!AU63*ManureNEF*NtoN2O*kgtoGg</f>
        <v>8.5492798851799182E-2</v>
      </c>
      <c r="AV104" s="22">
        <f>'Activity data'!AV63*ManureNEF*NtoN2O*kgtoGg</f>
        <v>8.4739878220595588E-2</v>
      </c>
      <c r="AW104" s="22">
        <f>'Activity data'!AW63*ManureNEF*NtoN2O*kgtoGg</f>
        <v>8.3850065887683914E-2</v>
      </c>
      <c r="AX104" s="22">
        <f>'Activity data'!AX63*ManureNEF*NtoN2O*kgtoGg</f>
        <v>8.2825812643839453E-2</v>
      </c>
      <c r="AY104" s="22">
        <f>'Activity data'!AY63*ManureNEF*NtoN2O*kgtoGg</f>
        <v>8.1670581663819047E-2</v>
      </c>
      <c r="AZ104" s="22">
        <f>'Activity data'!AZ63*ManureNEF*NtoN2O*kgtoGg</f>
        <v>8.0388810816306083E-2</v>
      </c>
      <c r="BA104" s="22">
        <f>'Activity data'!BA63*ManureNEF*NtoN2O*kgtoGg</f>
        <v>7.8985307203801092E-2</v>
      </c>
      <c r="BB104" s="22">
        <f>'Activity data'!BB63*ManureNEF*NtoN2O*kgtoGg</f>
        <v>7.7465465241367507E-2</v>
      </c>
      <c r="BC104" s="22">
        <f>'Activity data'!BC63*ManureNEF*NtoN2O*kgtoGg</f>
        <v>-7.2184090198813182E-3</v>
      </c>
      <c r="BD104" s="22">
        <f>'Activity data'!BD63*ManureNEF*NtoN2O*kgtoGg</f>
        <v>-7.1402631524810738E-3</v>
      </c>
      <c r="BE104" s="22">
        <f>'Activity data'!BE63*ManureNEF*NtoN2O*kgtoGg</f>
        <v>-7.0618404194874671E-3</v>
      </c>
      <c r="BF104" s="22">
        <f>'Activity data'!BF63*ManureNEF*NtoN2O*kgtoGg</f>
        <v>-6.9832221806532197E-3</v>
      </c>
      <c r="BG104" s="22">
        <f>'Activity data'!BG63*ManureNEF*NtoN2O*kgtoGg</f>
        <v>-6.9044983542032711E-3</v>
      </c>
      <c r="BH104" s="22">
        <f>'Activity data'!BH63*ManureNEF*NtoN2O*kgtoGg</f>
        <v>-6.8254602584848501E-3</v>
      </c>
      <c r="BI104" s="22">
        <f>'Activity data'!BI63*ManureNEF*NtoN2O*kgtoGg</f>
        <v>-6.7459846922384176E-3</v>
      </c>
      <c r="BJ104" s="22">
        <f>'Activity data'!BJ63*ManureNEF*NtoN2O*kgtoGg</f>
        <v>-6.66607933282939E-3</v>
      </c>
      <c r="BK104" s="22">
        <f>'Activity data'!BK63*ManureNEF*NtoN2O*kgtoGg</f>
        <v>-6.5856117635382473E-3</v>
      </c>
      <c r="BL104" s="22">
        <f>'Activity data'!BL63*ManureNEF*NtoN2O*kgtoGg</f>
        <v>-6.5044446187038276E-3</v>
      </c>
      <c r="BM104" s="22">
        <f>'Activity data'!BM63*ManureNEF*NtoN2O*kgtoGg</f>
        <v>-6.4226009350040626E-3</v>
      </c>
      <c r="BN104" s="22">
        <f>'Activity data'!BN63*ManureNEF*NtoN2O*kgtoGg</f>
        <v>-6.3401488172318849E-3</v>
      </c>
      <c r="BO104" s="22">
        <f>'Activity data'!BO63*ManureNEF*NtoN2O*kgtoGg</f>
        <v>-6.2571465213074788E-3</v>
      </c>
      <c r="BP104" s="22">
        <f>'Activity data'!BP63*ManureNEF*NtoN2O*kgtoGg</f>
        <v>-6.1734791347329209E-3</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0.15700744358616767</v>
      </c>
      <c r="AE105" s="22">
        <f>'Activity data'!AE64*ManureNEF*NtoN2O*kgtoGg</f>
        <v>0.16019971617730661</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0.17081649742586288</v>
      </c>
      <c r="AJ105" s="22">
        <f>'Activity data'!AJ64*ManureNEF*NtoN2O*kgtoGg</f>
        <v>0.17302318661183388</v>
      </c>
      <c r="AK105" s="22">
        <f>'Activity data'!AK64*ManureNEF*NtoN2O*kgtoGg</f>
        <v>0.17531753251219057</v>
      </c>
      <c r="AL105" s="22">
        <f>'Activity data'!AL64*ManureNEF*NtoN2O*kgtoGg</f>
        <v>0.16840615861524894</v>
      </c>
      <c r="AM105" s="22">
        <f>'Activity data'!AM64*ManureNEF*NtoN2O*kgtoGg</f>
        <v>0.17458356718938842</v>
      </c>
      <c r="AN105" s="22">
        <f>'Activity data'!AN64*ManureNEF*NtoN2O*kgtoGg</f>
        <v>0.38800090489360167</v>
      </c>
      <c r="AO105" s="22">
        <f>'Activity data'!AO64*ManureNEF*NtoN2O*kgtoGg</f>
        <v>0.39653088130091707</v>
      </c>
      <c r="AP105" s="22">
        <f>'Activity data'!AP64*ManureNEF*NtoN2O*kgtoGg</f>
        <v>0.40471104789547857</v>
      </c>
      <c r="AQ105" s="22">
        <f>'Activity data'!AQ64*ManureNEF*NtoN2O*kgtoGg</f>
        <v>0.41246916129593358</v>
      </c>
      <c r="AR105" s="22">
        <f>'Activity data'!AR64*ManureNEF*NtoN2O*kgtoGg</f>
        <v>0.41970725517029195</v>
      </c>
      <c r="AS105" s="22">
        <f>'Activity data'!AS64*ManureNEF*NtoN2O*kgtoGg</f>
        <v>0.42639369577393321</v>
      </c>
      <c r="AT105" s="22">
        <f>'Activity data'!AT64*ManureNEF*NtoN2O*kgtoGg</f>
        <v>0.43249628984221433</v>
      </c>
      <c r="AU105" s="22">
        <f>'Activity data'!AU64*ManureNEF*NtoN2O*kgtoGg</f>
        <v>0.4379872665206837</v>
      </c>
      <c r="AV105" s="22">
        <f>'Activity data'!AV64*ManureNEF*NtoN2O*kgtoGg</f>
        <v>0.44284225594622417</v>
      </c>
      <c r="AW105" s="22">
        <f>'Activity data'!AW64*ManureNEF*NtoN2O*kgtoGg</f>
        <v>0.44703777917847665</v>
      </c>
      <c r="AX105" s="22">
        <f>'Activity data'!AX64*ManureNEF*NtoN2O*kgtoGg</f>
        <v>0.4505554182669968</v>
      </c>
      <c r="AY105" s="22">
        <f>'Activity data'!AY64*ManureNEF*NtoN2O*kgtoGg</f>
        <v>0.45337855769901697</v>
      </c>
      <c r="AZ105" s="22">
        <f>'Activity data'!AZ64*ManureNEF*NtoN2O*kgtoGg</f>
        <v>0.45549241971080034</v>
      </c>
      <c r="BA105" s="22">
        <f>'Activity data'!BA64*ManureNEF*NtoN2O*kgtoGg</f>
        <v>0.45688810753700776</v>
      </c>
      <c r="BB105" s="22">
        <f>'Activity data'!BB64*ManureNEF*NtoN2O*kgtoGg</f>
        <v>0.45756101673458949</v>
      </c>
      <c r="BC105" s="22">
        <f>'Activity data'!BC64*ManureNEF*NtoN2O*kgtoGg</f>
        <v>5.9649191888050651E-2</v>
      </c>
      <c r="BD105" s="22">
        <f>'Activity data'!BD64*ManureNEF*NtoN2O*kgtoGg</f>
        <v>6.0086977867764617E-2</v>
      </c>
      <c r="BE105" s="22">
        <f>'Activity data'!BE64*ManureNEF*NtoN2O*kgtoGg</f>
        <v>6.051391169747472E-2</v>
      </c>
      <c r="BF105" s="22">
        <f>'Activity data'!BF64*ManureNEF*NtoN2O*kgtoGg</f>
        <v>6.0930636526454876E-2</v>
      </c>
      <c r="BG105" s="22">
        <f>'Activity data'!BG64*ManureNEF*NtoN2O*kgtoGg</f>
        <v>6.1337893751701338E-2</v>
      </c>
      <c r="BH105" s="22">
        <f>'Activity data'!BH64*ManureNEF*NtoN2O*kgtoGg</f>
        <v>6.173401354876637E-2</v>
      </c>
      <c r="BI105" s="22">
        <f>'Activity data'!BI64*ManureNEF*NtoN2O*kgtoGg</f>
        <v>6.2117896275395594E-2</v>
      </c>
      <c r="BJ105" s="22">
        <f>'Activity data'!BJ64*ManureNEF*NtoN2O*kgtoGg</f>
        <v>6.2489460947128449E-2</v>
      </c>
      <c r="BK105" s="22">
        <f>'Activity data'!BK64*ManureNEF*NtoN2O*kgtoGg</f>
        <v>6.2847397693153853E-2</v>
      </c>
      <c r="BL105" s="22">
        <f>'Activity data'!BL64*ManureNEF*NtoN2O*kgtoGg</f>
        <v>6.3190248292167767E-2</v>
      </c>
      <c r="BM105" s="22">
        <f>'Activity data'!BM64*ManureNEF*NtoN2O*kgtoGg</f>
        <v>6.3517885217877365E-2</v>
      </c>
      <c r="BN105" s="22">
        <f>'Activity data'!BN64*ManureNEF*NtoN2O*kgtoGg</f>
        <v>6.3830584812563373E-2</v>
      </c>
      <c r="BO105" s="22">
        <f>'Activity data'!BO64*ManureNEF*NtoN2O*kgtoGg</f>
        <v>6.4128553387287249E-2</v>
      </c>
      <c r="BP105" s="22">
        <f>'Activity data'!BP64*ManureNEF*NtoN2O*kgtoGg</f>
        <v>6.4410368967620674E-2</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0.78620275218739066</v>
      </c>
      <c r="AE106" s="22">
        <f>'Activity data'!AE65*ManureNEF*NtoN2O*kgtoGg</f>
        <v>0.79655563720176403</v>
      </c>
      <c r="AF106" s="22">
        <f>'Activity data'!AF65*ManureNEF*NtoN2O*kgtoGg</f>
        <v>0.81318534024672162</v>
      </c>
      <c r="AG106" s="22">
        <f>'Activity data'!AG65*ManureNEF*NtoN2O*kgtoGg</f>
        <v>0.81796021384654061</v>
      </c>
      <c r="AH106" s="22">
        <f>'Activity data'!AH65*ManureNEF*NtoN2O*kgtoGg</f>
        <v>0.81503229757580642</v>
      </c>
      <c r="AI106" s="22">
        <f>'Activity data'!AI65*ManureNEF*NtoN2O*kgtoGg</f>
        <v>0.80443274266431919</v>
      </c>
      <c r="AJ106" s="22">
        <f>'Activity data'!AJ65*ManureNEF*NtoN2O*kgtoGg</f>
        <v>0.7999705721751077</v>
      </c>
      <c r="AK106" s="22">
        <f>'Activity data'!AK65*ManureNEF*NtoN2O*kgtoGg</f>
        <v>0.79652072541357855</v>
      </c>
      <c r="AL106" s="22">
        <f>'Activity data'!AL65*ManureNEF*NtoN2O*kgtoGg</f>
        <v>0.69465569137892269</v>
      </c>
      <c r="AM106" s="22">
        <f>'Activity data'!AM65*ManureNEF*NtoN2O*kgtoGg</f>
        <v>0.74722740283446698</v>
      </c>
      <c r="AN106" s="22">
        <f>'Activity data'!AN65*ManureNEF*NtoN2O*kgtoGg</f>
        <v>3.2491319225574986</v>
      </c>
      <c r="AO106" s="22">
        <f>'Activity data'!AO65*ManureNEF*NtoN2O*kgtoGg</f>
        <v>3.3073834646513305</v>
      </c>
      <c r="AP106" s="22">
        <f>'Activity data'!AP65*ManureNEF*NtoN2O*kgtoGg</f>
        <v>3.3591336989468359</v>
      </c>
      <c r="AQ106" s="22">
        <f>'Activity data'!AQ65*ManureNEF*NtoN2O*kgtoGg</f>
        <v>3.4046035940471189</v>
      </c>
      <c r="AR106" s="22">
        <f>'Activity data'!AR65*ManureNEF*NtoN2O*kgtoGg</f>
        <v>3.4444110933040832</v>
      </c>
      <c r="AS106" s="22">
        <f>'Activity data'!AS65*ManureNEF*NtoN2O*kgtoGg</f>
        <v>3.4782576037016457</v>
      </c>
      <c r="AT106" s="22">
        <f>'Activity data'!AT65*ManureNEF*NtoN2O*kgtoGg</f>
        <v>3.505913886515494</v>
      </c>
      <c r="AU106" s="22">
        <f>'Activity data'!AU65*ManureNEF*NtoN2O*kgtoGg</f>
        <v>3.5271546213039011</v>
      </c>
      <c r="AV106" s="22">
        <f>'Activity data'!AV65*ManureNEF*NtoN2O*kgtoGg</f>
        <v>3.5417788512464328</v>
      </c>
      <c r="AW106" s="22">
        <f>'Activity data'!AW65*ManureNEF*NtoN2O*kgtoGg</f>
        <v>3.549649544772171</v>
      </c>
      <c r="AX106" s="22">
        <f>'Activity data'!AX65*ManureNEF*NtoN2O*kgtoGg</f>
        <v>3.5506396563756342</v>
      </c>
      <c r="AY106" s="22">
        <f>'Activity data'!AY65*ManureNEF*NtoN2O*kgtoGg</f>
        <v>3.5446807301434013</v>
      </c>
      <c r="AZ106" s="22">
        <f>'Activity data'!AZ65*ManureNEF*NtoN2O*kgtoGg</f>
        <v>3.5317644478597843</v>
      </c>
      <c r="BA106" s="22">
        <f>'Activity data'!BA65*ManureNEF*NtoN2O*kgtoGg</f>
        <v>3.5118898029906984</v>
      </c>
      <c r="BB106" s="22">
        <f>'Activity data'!BB65*ManureNEF*NtoN2O*kgtoGg</f>
        <v>3.4850865665660411</v>
      </c>
      <c r="BC106" s="22">
        <f>'Activity data'!BC65*ManureNEF*NtoN2O*kgtoGg</f>
        <v>-0.74420912451247578</v>
      </c>
      <c r="BD106" s="22">
        <f>'Activity data'!BD65*ManureNEF*NtoN2O*kgtoGg</f>
        <v>-0.74526229962435608</v>
      </c>
      <c r="BE106" s="22">
        <f>'Activity data'!BE65*ManureNEF*NtoN2O*kgtoGg</f>
        <v>-0.74621593178570578</v>
      </c>
      <c r="BF106" s="22">
        <f>'Activity data'!BF65*ManureNEF*NtoN2O*kgtoGg</f>
        <v>-0.74707813045846294</v>
      </c>
      <c r="BG106" s="22">
        <f>'Activity data'!BG65*ManureNEF*NtoN2O*kgtoGg</f>
        <v>-0.74785816697127483</v>
      </c>
      <c r="BH106" s="22">
        <f>'Activity data'!BH65*ManureNEF*NtoN2O*kgtoGg</f>
        <v>-0.74853427138595596</v>
      </c>
      <c r="BI106" s="22">
        <f>'Activity data'!BI65*ManureNEF*NtoN2O*kgtoGg</f>
        <v>-0.74909252303654383</v>
      </c>
      <c r="BJ106" s="22">
        <f>'Activity data'!BJ65*ManureNEF*NtoN2O*kgtoGg</f>
        <v>-0.74953228992663867</v>
      </c>
      <c r="BK106" s="22">
        <f>'Activity data'!BK65*ManureNEF*NtoN2O*kgtoGg</f>
        <v>-0.74983752364841638</v>
      </c>
      <c r="BL106" s="22">
        <f>'Activity data'!BL65*ManureNEF*NtoN2O*kgtoGg</f>
        <v>-0.74999071959333552</v>
      </c>
      <c r="BM106" s="22">
        <f>'Activity data'!BM65*ManureNEF*NtoN2O*kgtoGg</f>
        <v>-0.74999137614758737</v>
      </c>
      <c r="BN106" s="22">
        <f>'Activity data'!BN65*ManureNEF*NtoN2O*kgtoGg</f>
        <v>-0.74984403824480428</v>
      </c>
      <c r="BO106" s="22">
        <f>'Activity data'!BO65*ManureNEF*NtoN2O*kgtoGg</f>
        <v>-0.749552317817198</v>
      </c>
      <c r="BP106" s="22">
        <f>'Activity data'!BP65*ManureNEF*NtoN2O*kgtoGg</f>
        <v>-0.74909980498727913</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1.0836040032789309</v>
      </c>
      <c r="AF108" s="22">
        <f>'Activity data'!AF67*UDCPPEF*NtoN2O*kgtoGg</f>
        <v>1.0921513426512339</v>
      </c>
      <c r="AG108" s="22">
        <f>'Activity data'!AG67*UDCPPEF*NtoN2O*kgtoGg</f>
        <v>1.0976439186771809</v>
      </c>
      <c r="AH108" s="22">
        <f>'Activity data'!AH67*UDCPPEF*NtoN2O*kgtoGg</f>
        <v>1.1012937605673541</v>
      </c>
      <c r="AI108" s="22">
        <f>'Activity data'!AI67*UDCPPEF*NtoN2O*kgtoGg</f>
        <v>1.1030649457277466</v>
      </c>
      <c r="AJ108" s="22">
        <f>'Activity data'!AJ67*UDCPPEF*NtoN2O*kgtoGg</f>
        <v>1.1069781529146336</v>
      </c>
      <c r="AK108" s="22">
        <f>'Activity data'!AK67*UDCPPEF*NtoN2O*kgtoGg</f>
        <v>1.1114672588381174</v>
      </c>
      <c r="AL108" s="22">
        <f>'Activity data'!AL67*UDCPPEF*NtoN2O*kgtoGg</f>
        <v>1.0798853549763567</v>
      </c>
      <c r="AM108" s="22">
        <f>'Activity data'!AM67*UDCPPEF*NtoN2O*kgtoGg</f>
        <v>1.098466311859537</v>
      </c>
      <c r="AN108" s="22">
        <f>'Activity data'!AN67*UDCPPEF*NtoN2O*kgtoGg</f>
        <v>1.889999136322517</v>
      </c>
      <c r="AO108" s="22">
        <f>'Activity data'!AO67*UDCPPEF*NtoN2O*kgtoGg</f>
        <v>1.9127821937491298</v>
      </c>
      <c r="AP108" s="22">
        <f>'Activity data'!AP67*UDCPPEF*NtoN2O*kgtoGg</f>
        <v>1.9345659305338647</v>
      </c>
      <c r="AQ108" s="22">
        <f>'Activity data'!AQ67*UDCPPEF*NtoN2O*kgtoGg</f>
        <v>1.9549798101221001</v>
      </c>
      <c r="AR108" s="22">
        <f>'Activity data'!AR67*UDCPPEF*NtoN2O*kgtoGg</f>
        <v>1.9734786750778357</v>
      </c>
      <c r="AS108" s="22">
        <f>'Activity data'!AS67*UDCPPEF*NtoN2O*kgtoGg</f>
        <v>1.9899761352853818</v>
      </c>
      <c r="AT108" s="22">
        <f>'Activity data'!AT67*UDCPPEF*NtoN2O*kgtoGg</f>
        <v>2.0043760843310485</v>
      </c>
      <c r="AU108" s="22">
        <f>'Activity data'!AU67*UDCPPEF*NtoN2O*kgtoGg</f>
        <v>2.0166057838413951</v>
      </c>
      <c r="AV108" s="22">
        <f>'Activity data'!AV67*UDCPPEF*NtoN2O*kgtoGg</f>
        <v>2.0266075471247365</v>
      </c>
      <c r="AW108" s="22">
        <f>'Activity data'!AW67*UDCPPEF*NtoN2O*kgtoGg</f>
        <v>2.0343207325041344</v>
      </c>
      <c r="AX108" s="22">
        <f>'Activity data'!AX67*UDCPPEF*NtoN2O*kgtoGg</f>
        <v>2.0397090361762231</v>
      </c>
      <c r="AY108" s="22">
        <f>'Activity data'!AY67*UDCPPEF*NtoN2O*kgtoGg</f>
        <v>2.0427376347432897</v>
      </c>
      <c r="AZ108" s="22">
        <f>'Activity data'!AZ67*UDCPPEF*NtoN2O*kgtoGg</f>
        <v>2.0433728844876047</v>
      </c>
      <c r="BA108" s="22">
        <f>'Activity data'!BA67*UDCPPEF*NtoN2O*kgtoGg</f>
        <v>2.0416086414199954</v>
      </c>
      <c r="BB108" s="22">
        <f>'Activity data'!BB67*UDCPPEF*NtoN2O*kgtoGg</f>
        <v>2.0374549495329468</v>
      </c>
      <c r="BC108" s="22">
        <f>'Activity data'!BC67*UDCPPEF*NtoN2O*kgtoGg</f>
        <v>0.64461551353755753</v>
      </c>
      <c r="BD108" s="22">
        <f>'Activity data'!BD67*UDCPPEF*NtoN2O*kgtoGg</f>
        <v>0.64508607204460633</v>
      </c>
      <c r="BE108" s="22">
        <f>'Activity data'!BE67*UDCPPEF*NtoN2O*kgtoGg</f>
        <v>0.64552275664376835</v>
      </c>
      <c r="BF108" s="22">
        <f>'Activity data'!BF67*UDCPPEF*NtoN2O*kgtoGg</f>
        <v>0.64592852135594947</v>
      </c>
      <c r="BG108" s="22">
        <f>'Activity data'!BG67*UDCPPEF*NtoN2O*kgtoGg</f>
        <v>0.64630700491581017</v>
      </c>
      <c r="BH108" s="22">
        <f>'Activity data'!BH67*UDCPPEF*NtoN2O*kgtoGg</f>
        <v>0.64664632856302828</v>
      </c>
      <c r="BI108" s="22">
        <f>'Activity data'!BI67*UDCPPEF*NtoN2O*kgtoGg</f>
        <v>0.64693851525277601</v>
      </c>
      <c r="BJ108" s="22">
        <f>'Activity data'!BJ67*UDCPPEF*NtoN2O*kgtoGg</f>
        <v>0.64718228577189862</v>
      </c>
      <c r="BK108" s="22">
        <f>'Activity data'!BK67*UDCPPEF*NtoN2O*kgtoGg</f>
        <v>0.64736858903651606</v>
      </c>
      <c r="BL108" s="22">
        <f>'Activity data'!BL67*UDCPPEF*NtoN2O*kgtoGg</f>
        <v>0.64748759839973102</v>
      </c>
      <c r="BM108" s="22">
        <f>'Activity data'!BM67*UDCPPEF*NtoN2O*kgtoGg</f>
        <v>0.64753810013359636</v>
      </c>
      <c r="BN108" s="22">
        <f>'Activity data'!BN67*UDCPPEF*NtoN2O*kgtoGg</f>
        <v>0.6475214899931051</v>
      </c>
      <c r="BO108" s="22">
        <f>'Activity data'!BO67*UDCPPEF*NtoN2O*kgtoGg</f>
        <v>0.6474387413563446</v>
      </c>
      <c r="BP108" s="22">
        <f>'Activity data'!BP67*UDCPPEF*NtoN2O*kgtoGg</f>
        <v>0.64728061173527773</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0.73794174034663862</v>
      </c>
      <c r="AF109" s="22">
        <f>'Activity data'!AF68*UDCPPEF*NtoN2O*kgtoGg</f>
        <v>0.74376253694082328</v>
      </c>
      <c r="AG109" s="22">
        <f>'Activity data'!AG68*UDCPPEF*NtoN2O*kgtoGg</f>
        <v>0.74750301879518044</v>
      </c>
      <c r="AH109" s="22">
        <f>'Activity data'!AH68*UDCPPEF*NtoN2O*kgtoGg</f>
        <v>0.74998858609492669</v>
      </c>
      <c r="AI109" s="22">
        <f>'Activity data'!AI68*UDCPPEF*NtoN2O*kgtoGg</f>
        <v>0.75119477530775858</v>
      </c>
      <c r="AJ109" s="22">
        <f>'Activity data'!AJ68*UDCPPEF*NtoN2O*kgtoGg</f>
        <v>0.7538596961765357</v>
      </c>
      <c r="AK109" s="22">
        <f>'Activity data'!AK68*UDCPPEF*NtoN2O*kgtoGg</f>
        <v>0.75691680802528449</v>
      </c>
      <c r="AL109" s="22">
        <f>'Activity data'!AL68*UDCPPEF*NtoN2O*kgtoGg</f>
        <v>0.73540931540926791</v>
      </c>
      <c r="AM109" s="22">
        <f>'Activity data'!AM68*UDCPPEF*NtoN2O*kgtoGg</f>
        <v>0.74806307417925111</v>
      </c>
      <c r="AN109" s="22">
        <f>'Activity data'!AN68*UDCPPEF*NtoN2O*kgtoGg</f>
        <v>1.2871023433755899</v>
      </c>
      <c r="AO109" s="22">
        <f>'Activity data'!AO68*UDCPPEF*NtoN2O*kgtoGg</f>
        <v>1.3026177613667917</v>
      </c>
      <c r="AP109" s="22">
        <f>'Activity data'!AP68*UDCPPEF*NtoN2O*kgtoGg</f>
        <v>1.3174526351634348</v>
      </c>
      <c r="AQ109" s="22">
        <f>'Activity data'!AQ68*UDCPPEF*NtoN2O*kgtoGg</f>
        <v>1.3313546268365786</v>
      </c>
      <c r="AR109" s="22">
        <f>'Activity data'!AR68*UDCPPEF*NtoN2O*kgtoGg</f>
        <v>1.3439524804422922</v>
      </c>
      <c r="AS109" s="22">
        <f>'Activity data'!AS68*UDCPPEF*NtoN2O*kgtoGg</f>
        <v>1.3551873637207013</v>
      </c>
      <c r="AT109" s="22">
        <f>'Activity data'!AT68*UDCPPEF*NtoN2O*kgtoGg</f>
        <v>1.3649938275465159</v>
      </c>
      <c r="AU109" s="22">
        <f>'Activity data'!AU68*UDCPPEF*NtoN2O*kgtoGg</f>
        <v>1.3733223365897391</v>
      </c>
      <c r="AV109" s="22">
        <f>'Activity data'!AV68*UDCPPEF*NtoN2O*kgtoGg</f>
        <v>1.3801336058186369</v>
      </c>
      <c r="AW109" s="22">
        <f>'Activity data'!AW68*UDCPPEF*NtoN2O*kgtoGg</f>
        <v>1.3853863378362978</v>
      </c>
      <c r="AX109" s="22">
        <f>'Activity data'!AX68*UDCPPEF*NtoN2O*kgtoGg</f>
        <v>1.3890558095042369</v>
      </c>
      <c r="AY109" s="22">
        <f>'Activity data'!AY68*UDCPPEF*NtoN2O*kgtoGg</f>
        <v>1.3911183058503465</v>
      </c>
      <c r="AZ109" s="22">
        <f>'Activity data'!AZ68*UDCPPEF*NtoN2O*kgtoGg</f>
        <v>1.3915509152726599</v>
      </c>
      <c r="BA109" s="22">
        <f>'Activity data'!BA68*UDCPPEF*NtoN2O*kgtoGg</f>
        <v>1.3903494536725116</v>
      </c>
      <c r="BB109" s="22">
        <f>'Activity data'!BB68*UDCPPEF*NtoN2O*kgtoGg</f>
        <v>1.3875207610775073</v>
      </c>
      <c r="BC109" s="22">
        <f>'Activity data'!BC68*UDCPPEF*NtoN2O*kgtoGg</f>
        <v>0.43898757523499138</v>
      </c>
      <c r="BD109" s="22">
        <f>'Activity data'!BD68*UDCPPEF*NtoN2O*kgtoGg</f>
        <v>0.43930802879789405</v>
      </c>
      <c r="BE109" s="22">
        <f>'Activity data'!BE68*UDCPPEF*NtoN2O*kgtoGg</f>
        <v>0.43960541399775782</v>
      </c>
      <c r="BF109" s="22">
        <f>'Activity data'!BF68*UDCPPEF*NtoN2O*kgtoGg</f>
        <v>0.43988174254303092</v>
      </c>
      <c r="BG109" s="22">
        <f>'Activity data'!BG68*UDCPPEF*NtoN2O*kgtoGg</f>
        <v>0.44013949243691386</v>
      </c>
      <c r="BH109" s="22">
        <f>'Activity data'!BH68*UDCPPEF*NtoN2O*kgtoGg</f>
        <v>0.44037057416235159</v>
      </c>
      <c r="BI109" s="22">
        <f>'Activity data'!BI68*UDCPPEF*NtoN2O*kgtoGg</f>
        <v>0.44056955529723674</v>
      </c>
      <c r="BJ109" s="22">
        <f>'Activity data'!BJ68*UDCPPEF*NtoN2O*kgtoGg</f>
        <v>0.4407355646886586</v>
      </c>
      <c r="BK109" s="22">
        <f>'Activity data'!BK68*UDCPPEF*NtoN2O*kgtoGg</f>
        <v>0.44086243848656637</v>
      </c>
      <c r="BL109" s="22">
        <f>'Activity data'!BL68*UDCPPEF*NtoN2O*kgtoGg</f>
        <v>0.44094348467718814</v>
      </c>
      <c r="BM109" s="22">
        <f>'Activity data'!BM68*UDCPPEF*NtoN2O*kgtoGg</f>
        <v>0.44097787670348765</v>
      </c>
      <c r="BN109" s="22">
        <f>'Activity data'!BN68*UDCPPEF*NtoN2O*kgtoGg</f>
        <v>0.44096656508416521</v>
      </c>
      <c r="BO109" s="22">
        <f>'Activity data'!BO68*UDCPPEF*NtoN2O*kgtoGg</f>
        <v>0.44091021269635783</v>
      </c>
      <c r="BP109" s="22">
        <f>'Activity data'!BP68*UDCPPEF*NtoN2O*kgtoGg</f>
        <v>0.44080252534247472</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15.353527292296841</v>
      </c>
      <c r="AE110" s="22">
        <f>'Activity data'!AE69*UDCPPEF*NtoN2O*kgtoGg</f>
        <v>15.220371053361493</v>
      </c>
      <c r="AF110" s="22">
        <f>'Activity data'!AF69*UDCPPEF*NtoN2O*kgtoGg</f>
        <v>15.169682504177887</v>
      </c>
      <c r="AG110" s="22">
        <f>'Activity data'!AG69*UDCPPEF*NtoN2O*kgtoGg</f>
        <v>14.967111251021194</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13.711253827544137</v>
      </c>
      <c r="AL110" s="22">
        <f>'Activity data'!AL69*UDCPPEF*NtoN2O*kgtoGg</f>
        <v>12.262231428549004</v>
      </c>
      <c r="AM110" s="22">
        <f>'Activity data'!AM69*UDCPPEF*NtoN2O*kgtoGg</f>
        <v>12.73465794206464</v>
      </c>
      <c r="AN110" s="22">
        <f>'Activity data'!AN69*UDCPPEF*NtoN2O*kgtoGg</f>
        <v>40.135765944691244</v>
      </c>
      <c r="AO110" s="22">
        <f>'Activity data'!AO69*UDCPPEF*NtoN2O*kgtoGg</f>
        <v>40.329355964050443</v>
      </c>
      <c r="AP110" s="22">
        <f>'Activity data'!AP69*UDCPPEF*NtoN2O*kgtoGg</f>
        <v>40.453253097840147</v>
      </c>
      <c r="AQ110" s="22">
        <f>'Activity data'!AQ69*UDCPPEF*NtoN2O*kgtoGg</f>
        <v>40.507432110592688</v>
      </c>
      <c r="AR110" s="22">
        <f>'Activity data'!AR69*UDCPPEF*NtoN2O*kgtoGg</f>
        <v>40.493040718668887</v>
      </c>
      <c r="AS110" s="22">
        <f>'Activity data'!AS69*UDCPPEF*NtoN2O*kgtoGg</f>
        <v>40.409389107608789</v>
      </c>
      <c r="AT110" s="22">
        <f>'Activity data'!AT69*UDCPPEF*NtoN2O*kgtoGg</f>
        <v>40.256272365845206</v>
      </c>
      <c r="AU110" s="22">
        <f>'Activity data'!AU69*UDCPPEF*NtoN2O*kgtoGg</f>
        <v>40.033817183265413</v>
      </c>
      <c r="AV110" s="22">
        <f>'Activity data'!AV69*UDCPPEF*NtoN2O*kgtoGg</f>
        <v>39.742523773077906</v>
      </c>
      <c r="AW110" s="22">
        <f>'Activity data'!AW69*UDCPPEF*NtoN2O*kgtoGg</f>
        <v>39.052391122761925</v>
      </c>
      <c r="AX110" s="22">
        <f>'Activity data'!AX69*UDCPPEF*NtoN2O*kgtoGg</f>
        <v>38.297252341964814</v>
      </c>
      <c r="AY110" s="22">
        <f>'Activity data'!AY69*UDCPPEF*NtoN2O*kgtoGg</f>
        <v>37.480500419129982</v>
      </c>
      <c r="AZ110" s="22">
        <f>'Activity data'!AZ69*UDCPPEF*NtoN2O*kgtoGg</f>
        <v>36.605913882693514</v>
      </c>
      <c r="BA110" s="22">
        <f>'Activity data'!BA69*UDCPPEF*NtoN2O*kgtoGg</f>
        <v>35.67751529859683</v>
      </c>
      <c r="BB110" s="22">
        <f>'Activity data'!BB69*UDCPPEF*NtoN2O*kgtoGg</f>
        <v>34.699588123562123</v>
      </c>
      <c r="BC110" s="22">
        <f>'Activity data'!BC69*UDCPPEF*NtoN2O*kgtoGg</f>
        <v>-2.6792659907667447</v>
      </c>
      <c r="BD110" s="22">
        <f>'Activity data'!BD69*UDCPPEF*NtoN2O*kgtoGg</f>
        <v>-2.6147570082117628</v>
      </c>
      <c r="BE110" s="22">
        <f>'Activity data'!BE69*UDCPPEF*NtoN2O*kgtoGg</f>
        <v>-2.5509192087001833</v>
      </c>
      <c r="BF110" s="22">
        <f>'Activity data'!BF69*UDCPPEF*NtoN2O*kgtoGg</f>
        <v>-2.4877459989648312</v>
      </c>
      <c r="BG110" s="22">
        <f>'Activity data'!BG69*UDCPPEF*NtoN2O*kgtoGg</f>
        <v>-2.4376070910582812</v>
      </c>
      <c r="BH110" s="22">
        <f>'Activity data'!BH69*UDCPPEF*NtoN2O*kgtoGg</f>
        <v>-2.3879438055302513</v>
      </c>
      <c r="BI110" s="22">
        <f>'Activity data'!BI69*UDCPPEF*NtoN2O*kgtoGg</f>
        <v>-2.3387192042216429</v>
      </c>
      <c r="BJ110" s="22">
        <f>'Activity data'!BJ69*UDCPPEF*NtoN2O*kgtoGg</f>
        <v>-2.2899210938883474</v>
      </c>
      <c r="BK110" s="22">
        <f>'Activity data'!BK69*UDCPPEF*NtoN2O*kgtoGg</f>
        <v>-2.2415137982186422</v>
      </c>
      <c r="BL110" s="22">
        <f>'Activity data'!BL69*UDCPPEF*NtoN2O*kgtoGg</f>
        <v>-2.1934623794160584</v>
      </c>
      <c r="BM110" s="22">
        <f>'Activity data'!BM69*UDCPPEF*NtoN2O*kgtoGg</f>
        <v>-2.145761226265924</v>
      </c>
      <c r="BN110" s="22">
        <f>'Activity data'!BN69*UDCPPEF*NtoN2O*kgtoGg</f>
        <v>-2.0984132858067897</v>
      </c>
      <c r="BO110" s="22">
        <f>'Activity data'!BO69*UDCPPEF*NtoN2O*kgtoGg</f>
        <v>-2.0514203658912691</v>
      </c>
      <c r="BP110" s="22">
        <f>'Activity data'!BP69*UDCPPEF*NtoN2O*kgtoGg</f>
        <v>-2.0047554755928445</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9.6543103644621429</v>
      </c>
      <c r="AE111" s="22">
        <f>'Activity data'!AE70*UDCPPEF*NtoN2O*kgtoGg</f>
        <v>9.5705816138517683</v>
      </c>
      <c r="AF111" s="22">
        <f>'Activity data'!AF70*UDCPPEF*NtoN2O*kgtoGg</f>
        <v>9.5387086131772989</v>
      </c>
      <c r="AG111" s="22">
        <f>'Activity data'!AG70*UDCPPEF*NtoN2O*kgtoGg</f>
        <v>9.4113316455488931</v>
      </c>
      <c r="AH111" s="22">
        <f>'Activity data'!AH70*UDCPPEF*NtoN2O*kgtoGg</f>
        <v>9.2264408662754782</v>
      </c>
      <c r="AI111" s="22">
        <f>'Activity data'!AI70*UDCPPEF*NtoN2O*kgtoGg</f>
        <v>8.987859527224467</v>
      </c>
      <c r="AJ111" s="22">
        <f>'Activity data'!AJ70*UDCPPEF*NtoN2O*kgtoGg</f>
        <v>8.7996834473406569</v>
      </c>
      <c r="AK111" s="22">
        <f>'Activity data'!AK70*UDCPPEF*NtoN2O*kgtoGg</f>
        <v>8.6216474831450949</v>
      </c>
      <c r="AL111" s="22">
        <f>'Activity data'!AL70*UDCPPEF*NtoN2O*kgtoGg</f>
        <v>7.7105010280907447</v>
      </c>
      <c r="AM111" s="22">
        <f>'Activity data'!AM70*UDCPPEF*NtoN2O*kgtoGg</f>
        <v>8.0075632014304841</v>
      </c>
      <c r="AN111" s="22">
        <f>'Activity data'!AN70*UDCPPEF*NtoN2O*kgtoGg</f>
        <v>25.237402048965457</v>
      </c>
      <c r="AO111" s="22">
        <f>'Activity data'!AO70*UDCPPEF*NtoN2O*kgtoGg</f>
        <v>25.359131609526678</v>
      </c>
      <c r="AP111" s="22">
        <f>'Activity data'!AP70*UDCPPEF*NtoN2O*kgtoGg</f>
        <v>25.43703822734167</v>
      </c>
      <c r="AQ111" s="22">
        <f>'Activity data'!AQ70*UDCPPEF*NtoN2O*kgtoGg</f>
        <v>25.471106034328002</v>
      </c>
      <c r="AR111" s="22">
        <f>'Activity data'!AR70*UDCPPEF*NtoN2O*kgtoGg</f>
        <v>25.462056715460484</v>
      </c>
      <c r="AS111" s="22">
        <f>'Activity data'!AS70*UDCPPEF*NtoN2O*kgtoGg</f>
        <v>25.40945651484947</v>
      </c>
      <c r="AT111" s="22">
        <f>'Activity data'!AT70*UDCPPEF*NtoN2O*kgtoGg</f>
        <v>25.313176583935984</v>
      </c>
      <c r="AU111" s="22">
        <f>'Activity data'!AU70*UDCPPEF*NtoN2O*kgtoGg</f>
        <v>25.173296585423468</v>
      </c>
      <c r="AV111" s="22">
        <f>'Activity data'!AV70*UDCPPEF*NtoN2O*kgtoGg</f>
        <v>24.9901310537815</v>
      </c>
      <c r="AW111" s="22">
        <f>'Activity data'!AW70*UDCPPEF*NtoN2O*kgtoGg</f>
        <v>24.5561750857518</v>
      </c>
      <c r="AX111" s="22">
        <f>'Activity data'!AX70*UDCPPEF*NtoN2O*kgtoGg</f>
        <v>24.081343210361542</v>
      </c>
      <c r="AY111" s="22">
        <f>'Activity data'!AY70*UDCPPEF*NtoN2O*kgtoGg</f>
        <v>23.567768941484907</v>
      </c>
      <c r="AZ111" s="22">
        <f>'Activity data'!AZ70*UDCPPEF*NtoN2O*kgtoGg</f>
        <v>23.017828220854938</v>
      </c>
      <c r="BA111" s="22">
        <f>'Activity data'!BA70*UDCPPEF*NtoN2O*kgtoGg</f>
        <v>22.434050441185143</v>
      </c>
      <c r="BB111" s="22">
        <f>'Activity data'!BB70*UDCPPEF*NtoN2O*kgtoGg</f>
        <v>21.819129043522761</v>
      </c>
      <c r="BC111" s="22">
        <f>'Activity data'!BC70*UDCPPEF*NtoN2O*kgtoGg</f>
        <v>-1.6847246193901004</v>
      </c>
      <c r="BD111" s="22">
        <f>'Activity data'!BD70*UDCPPEF*NtoN2O*kgtoGg</f>
        <v>-1.644161319047128</v>
      </c>
      <c r="BE111" s="22">
        <f>'Activity data'!BE70*UDCPPEF*NtoN2O*kgtoGg</f>
        <v>-1.6040200591440494</v>
      </c>
      <c r="BF111" s="22">
        <f>'Activity data'!BF70*UDCPPEF*NtoN2O*kgtoGg</f>
        <v>-1.5642966938291387</v>
      </c>
      <c r="BG111" s="22">
        <f>'Activity data'!BG70*UDCPPEF*NtoN2O*kgtoGg</f>
        <v>-1.5327693080337013</v>
      </c>
      <c r="BH111" s="22">
        <f>'Activity data'!BH70*UDCPPEF*NtoN2O*kgtoGg</f>
        <v>-1.5015409939741007</v>
      </c>
      <c r="BI111" s="22">
        <f>'Activity data'!BI70*UDCPPEF*NtoN2O*kgtoGg</f>
        <v>-1.4705885249060549</v>
      </c>
      <c r="BJ111" s="22">
        <f>'Activity data'!BJ70*UDCPPEF*NtoN2O*kgtoGg</f>
        <v>-1.4399042337078187</v>
      </c>
      <c r="BK111" s="22">
        <f>'Activity data'!BK70*UDCPPEF*NtoN2O*kgtoGg</f>
        <v>-1.4094656870857605</v>
      </c>
      <c r="BL111" s="22">
        <f>'Activity data'!BL70*UDCPPEF*NtoN2O*kgtoGg</f>
        <v>-1.3792509161252371</v>
      </c>
      <c r="BM111" s="22">
        <f>'Activity data'!BM70*UDCPPEF*NtoN2O*kgtoGg</f>
        <v>-1.3492563924899292</v>
      </c>
      <c r="BN111" s="22">
        <f>'Activity data'!BN70*UDCPPEF*NtoN2O*kgtoGg</f>
        <v>-1.3194839692800588</v>
      </c>
      <c r="BO111" s="22">
        <f>'Activity data'!BO70*UDCPPEF*NtoN2O*kgtoGg</f>
        <v>-1.2899347832748098</v>
      </c>
      <c r="BP111" s="22">
        <f>'Activity data'!BP70*UDCPPEF*NtoN2O*kgtoGg</f>
        <v>-1.2605918625577832</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5.8850501739310754</v>
      </c>
      <c r="AM113" s="22">
        <f>'Activity data'!AM72*UDSOEF*NtoN2O*kgtoGg</f>
        <v>5.8889669247946657</v>
      </c>
      <c r="AN113" s="22">
        <f>'Activity data'!AN72*UDSOEF*NtoN2O*kgtoGg</f>
        <v>5.9656712357324011</v>
      </c>
      <c r="AO113" s="22">
        <f>'Activity data'!AO72*UDSOEF*NtoN2O*kgtoGg</f>
        <v>5.9675423775316272</v>
      </c>
      <c r="AP113" s="22">
        <f>'Activity data'!AP72*UDSOEF*NtoN2O*kgtoGg</f>
        <v>5.9755461389464104</v>
      </c>
      <c r="AQ113" s="22">
        <f>'Activity data'!AQ72*UDSOEF*NtoN2O*kgtoGg</f>
        <v>5.9871157703379936</v>
      </c>
      <c r="AR113" s="22">
        <f>'Activity data'!AR72*UDSOEF*NtoN2O*kgtoGg</f>
        <v>5.9978635614207825</v>
      </c>
      <c r="AS113" s="22">
        <f>'Activity data'!AS72*UDSOEF*NtoN2O*kgtoGg</f>
        <v>6.0079225842908377</v>
      </c>
      <c r="AT113" s="22">
        <f>'Activity data'!AT72*UDSOEF*NtoN2O*kgtoGg</f>
        <v>6.0172391996362506</v>
      </c>
      <c r="AU113" s="22">
        <f>'Activity data'!AU72*UDSOEF*NtoN2O*kgtoGg</f>
        <v>6.0258973509268747</v>
      </c>
      <c r="AV113" s="22">
        <f>'Activity data'!AV72*UDSOEF*NtoN2O*kgtoGg</f>
        <v>6.0340283734996341</v>
      </c>
      <c r="AW113" s="22">
        <f>'Activity data'!AW72*UDSOEF*NtoN2O*kgtoGg</f>
        <v>6.0416246060545662</v>
      </c>
      <c r="AX113" s="22">
        <f>'Activity data'!AX72*UDSOEF*NtoN2O*kgtoGg</f>
        <v>6.0488075465649391</v>
      </c>
      <c r="AY113" s="22">
        <f>'Activity data'!AY72*UDSOEF*NtoN2O*kgtoGg</f>
        <v>6.0555945824734003</v>
      </c>
      <c r="AZ113" s="22">
        <f>'Activity data'!AZ72*UDSOEF*NtoN2O*kgtoGg</f>
        <v>6.0618926896286194</v>
      </c>
      <c r="BA113" s="22">
        <f>'Activity data'!BA72*UDSOEF*NtoN2O*kgtoGg</f>
        <v>6.0677594816606231</v>
      </c>
      <c r="BB113" s="22">
        <f>'Activity data'!BB72*UDSOEF*NtoN2O*kgtoGg</f>
        <v>6.0732885536184407</v>
      </c>
      <c r="BC113" s="22">
        <f>'Activity data'!BC72*UDSOEF*NtoN2O*kgtoGg</f>
        <v>5.9400031784362666</v>
      </c>
      <c r="BD113" s="22">
        <f>'Activity data'!BD72*UDSOEF*NtoN2O*kgtoGg</f>
        <v>5.9454655494945321</v>
      </c>
      <c r="BE113" s="22">
        <f>'Activity data'!BE72*UDSOEF*NtoN2O*kgtoGg</f>
        <v>5.9505605357080302</v>
      </c>
      <c r="BF113" s="22">
        <f>'Activity data'!BF72*UDSOEF*NtoN2O*kgtoGg</f>
        <v>5.9553192750142969</v>
      </c>
      <c r="BG113" s="22">
        <f>'Activity data'!BG72*UDSOEF*NtoN2O*kgtoGg</f>
        <v>5.9597796192711163</v>
      </c>
      <c r="BH113" s="22">
        <f>'Activity data'!BH72*UDSOEF*NtoN2O*kgtoGg</f>
        <v>5.9638242432933737</v>
      </c>
      <c r="BI113" s="22">
        <f>'Activity data'!BI72*UDSOEF*NtoN2O*kgtoGg</f>
        <v>5.9673747960452372</v>
      </c>
      <c r="BJ113" s="22">
        <f>'Activity data'!BJ72*UDSOEF*NtoN2O*kgtoGg</f>
        <v>5.9704198015060506</v>
      </c>
      <c r="BK113" s="22">
        <f>'Activity data'!BK72*UDSOEF*NtoN2O*kgtoGg</f>
        <v>5.9728700974873359</v>
      </c>
      <c r="BL113" s="22">
        <f>'Activity data'!BL72*UDSOEF*NtoN2O*kgtoGg</f>
        <v>5.9746287671291771</v>
      </c>
      <c r="BM113" s="22">
        <f>'Activity data'!BM72*UDSOEF*NtoN2O*kgtoGg</f>
        <v>5.9756848810921417</v>
      </c>
      <c r="BN113" s="22">
        <f>'Activity data'!BN72*UDSOEF*NtoN2O*kgtoGg</f>
        <v>5.9760535038151961</v>
      </c>
      <c r="BO113" s="22">
        <f>'Activity data'!BO72*UDSOEF*NtoN2O*kgtoGg</f>
        <v>5.9757454176187608</v>
      </c>
      <c r="BP113" s="22">
        <f>'Activity data'!BP72*UDSOEF*NtoN2O*kgtoGg</f>
        <v>5.9746694018004627</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0.65694536678362214</v>
      </c>
      <c r="AM114" s="22">
        <f>'Activity data'!AM73*UDSOEF*NtoN2O*kgtoGg</f>
        <v>0.65738259182956638</v>
      </c>
      <c r="AN114" s="22">
        <f>'Activity data'!AN73*UDSOEF*NtoN2O*kgtoGg</f>
        <v>0.66594505777184321</v>
      </c>
      <c r="AO114" s="22">
        <f>'Activity data'!AO73*UDSOEF*NtoN2O*kgtoGg</f>
        <v>0.66615393244568089</v>
      </c>
      <c r="AP114" s="22">
        <f>'Activity data'!AP73*UDSOEF*NtoN2O*kgtoGg</f>
        <v>0.66704738854594903</v>
      </c>
      <c r="AQ114" s="22">
        <f>'Activity data'!AQ73*UDSOEF*NtoN2O*kgtoGg</f>
        <v>0.66833890102476579</v>
      </c>
      <c r="AR114" s="22">
        <f>'Activity data'!AR73*UDSOEF*NtoN2O*kgtoGg</f>
        <v>0.66953867185871263</v>
      </c>
      <c r="AS114" s="22">
        <f>'Activity data'!AS73*UDSOEF*NtoN2O*kgtoGg</f>
        <v>0.67066155582291842</v>
      </c>
      <c r="AT114" s="22">
        <f>'Activity data'!AT73*UDSOEF*NtoN2O*kgtoGg</f>
        <v>0.67170156518637059</v>
      </c>
      <c r="AU114" s="22">
        <f>'Activity data'!AU73*UDSOEF*NtoN2O*kgtoGg</f>
        <v>0.67266807051889643</v>
      </c>
      <c r="AV114" s="22">
        <f>'Activity data'!AV73*UDSOEF*NtoN2O*kgtoGg</f>
        <v>0.67357573272202431</v>
      </c>
      <c r="AW114" s="22">
        <f>'Activity data'!AW73*UDSOEF*NtoN2O*kgtoGg</f>
        <v>0.67442369656846346</v>
      </c>
      <c r="AX114" s="22">
        <f>'Activity data'!AX73*UDSOEF*NtoN2O*kgtoGg</f>
        <v>0.67522552481949083</v>
      </c>
      <c r="AY114" s="22">
        <f>'Activity data'!AY73*UDSOEF*NtoN2O*kgtoGg</f>
        <v>0.67598315842710355</v>
      </c>
      <c r="AZ114" s="22">
        <f>'Activity data'!AZ73*UDSOEF*NtoN2O*kgtoGg</f>
        <v>0.676686213149297</v>
      </c>
      <c r="BA114" s="22">
        <f>'Activity data'!BA73*UDSOEF*NtoN2O*kgtoGg</f>
        <v>0.67734112036833483</v>
      </c>
      <c r="BB114" s="22">
        <f>'Activity data'!BB73*UDSOEF*NtoN2O*kgtoGg</f>
        <v>0.67795832805526179</v>
      </c>
      <c r="BC114" s="22">
        <f>'Activity data'!BC73*UDSOEF*NtoN2O*kgtoGg</f>
        <v>0.66307974467906339</v>
      </c>
      <c r="BD114" s="22">
        <f>'Activity data'!BD73*UDSOEF*NtoN2O*kgtoGg</f>
        <v>0.66368950657612846</v>
      </c>
      <c r="BE114" s="22">
        <f>'Activity data'!BE73*UDSOEF*NtoN2O*kgtoGg</f>
        <v>0.6642582574767768</v>
      </c>
      <c r="BF114" s="22">
        <f>'Activity data'!BF73*UDSOEF*NtoN2O*kgtoGg</f>
        <v>0.66478947329424454</v>
      </c>
      <c r="BG114" s="22">
        <f>'Activity data'!BG73*UDSOEF*NtoN2O*kgtoGg</f>
        <v>0.66528737941350879</v>
      </c>
      <c r="BH114" s="22">
        <f>'Activity data'!BH73*UDSOEF*NtoN2O*kgtoGg</f>
        <v>0.66573887887965999</v>
      </c>
      <c r="BI114" s="22">
        <f>'Activity data'!BI73*UDSOEF*NtoN2O*kgtoGg</f>
        <v>0.66613522540363546</v>
      </c>
      <c r="BJ114" s="22">
        <f>'Activity data'!BJ73*UDSOEF*NtoN2O*kgtoGg</f>
        <v>0.66647513792267787</v>
      </c>
      <c r="BK114" s="22">
        <f>'Activity data'!BK73*UDSOEF*NtoN2O*kgtoGg</f>
        <v>0.66674866330386928</v>
      </c>
      <c r="BL114" s="22">
        <f>'Activity data'!BL73*UDSOEF*NtoN2O*kgtoGg</f>
        <v>0.6669449827639865</v>
      </c>
      <c r="BM114" s="22">
        <f>'Activity data'!BM73*UDSOEF*NtoN2O*kgtoGg</f>
        <v>0.66706287626604011</v>
      </c>
      <c r="BN114" s="22">
        <f>'Activity data'!BN73*UDSOEF*NtoN2O*kgtoGg</f>
        <v>0.6671040254462246</v>
      </c>
      <c r="BO114" s="22">
        <f>'Activity data'!BO73*UDSOEF*NtoN2O*kgtoGg</f>
        <v>0.66706963392986762</v>
      </c>
      <c r="BP114" s="22">
        <f>'Activity data'!BP73*UDSOEF*NtoN2O*kgtoGg</f>
        <v>0.66694951879311848</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0.73708994755228441</v>
      </c>
      <c r="AK115" s="22">
        <f>'Activity data'!AK74*UDSOEF*NtoN2O*kgtoGg</f>
        <v>0.74193942345928476</v>
      </c>
      <c r="AL115" s="22">
        <f>'Activity data'!AL74*UDSOEF*NtoN2O*kgtoGg</f>
        <v>0.74013020273035457</v>
      </c>
      <c r="AM115" s="22">
        <f>'Activity data'!AM74*UDSOEF*NtoN2O*kgtoGg</f>
        <v>0.74134144539721225</v>
      </c>
      <c r="AN115" s="22">
        <f>'Activity data'!AN74*UDSOEF*NtoN2O*kgtoGg</f>
        <v>0.75637233627465528</v>
      </c>
      <c r="AO115" s="22">
        <f>'Activity data'!AO74*UDSOEF*NtoN2O*kgtoGg</f>
        <v>0.75705141377161567</v>
      </c>
      <c r="AP115" s="22">
        <f>'Activity data'!AP74*UDSOEF*NtoN2O*kgtoGg</f>
        <v>0.7588492807776368</v>
      </c>
      <c r="AQ115" s="22">
        <f>'Activity data'!AQ74*UDSOEF*NtoN2O*kgtoGg</f>
        <v>0.76127573486462674</v>
      </c>
      <c r="AR115" s="22">
        <f>'Activity data'!AR74*UDSOEF*NtoN2O*kgtoGg</f>
        <v>0.76350113172742184</v>
      </c>
      <c r="AS115" s="22">
        <f>'Activity data'!AS74*UDSOEF*NtoN2O*kgtoGg</f>
        <v>0.76555488722735199</v>
      </c>
      <c r="AT115" s="22">
        <f>'Activity data'!AT74*UDSOEF*NtoN2O*kgtoGg</f>
        <v>0.76743070192723151</v>
      </c>
      <c r="AU115" s="22">
        <f>'Activity data'!AU74*UDSOEF*NtoN2O*kgtoGg</f>
        <v>0.76914783818331145</v>
      </c>
      <c r="AV115" s="22">
        <f>'Activity data'!AV74*UDSOEF*NtoN2O*kgtoGg</f>
        <v>0.77073400076292786</v>
      </c>
      <c r="AW115" s="22">
        <f>'Activity data'!AW74*UDSOEF*NtoN2O*kgtoGg</f>
        <v>0.77219046763440091</v>
      </c>
      <c r="AX115" s="22">
        <f>'Activity data'!AX74*UDSOEF*NtoN2O*kgtoGg</f>
        <v>0.77354238750921345</v>
      </c>
      <c r="AY115" s="22">
        <f>'Activity data'!AY74*UDSOEF*NtoN2O*kgtoGg</f>
        <v>0.77479516156173556</v>
      </c>
      <c r="AZ115" s="22">
        <f>'Activity data'!AZ74*UDSOEF*NtoN2O*kgtoGg</f>
        <v>0.77593349397844169</v>
      </c>
      <c r="BA115" s="22">
        <f>'Activity data'!BA74*UDSOEF*NtoN2O*kgtoGg</f>
        <v>0.77696999137205336</v>
      </c>
      <c r="BB115" s="22">
        <f>'Activity data'!BB74*UDSOEF*NtoN2O*kgtoGg</f>
        <v>0.77792369769702041</v>
      </c>
      <c r="BC115" s="22">
        <f>'Activity data'!BC74*UDSOEF*NtoN2O*kgtoGg</f>
        <v>0.75322819608955549</v>
      </c>
      <c r="BD115" s="22">
        <f>'Activity data'!BD74*UDSOEF*NtoN2O*kgtoGg</f>
        <v>0.7541800771600401</v>
      </c>
      <c r="BE115" s="22">
        <f>'Activity data'!BE74*UDSOEF*NtoN2O*kgtoGg</f>
        <v>0.75504675193645199</v>
      </c>
      <c r="BF115" s="22">
        <f>'Activity data'!BF74*UDSOEF*NtoN2O*kgtoGg</f>
        <v>0.75583523459809387</v>
      </c>
      <c r="BG115" s="22">
        <f>'Activity data'!BG74*UDSOEF*NtoN2O*kgtoGg</f>
        <v>0.75655364806293945</v>
      </c>
      <c r="BH115" s="22">
        <f>'Activity data'!BH74*UDSOEF*NtoN2O*kgtoGg</f>
        <v>0.75718159798131446</v>
      </c>
      <c r="BI115" s="22">
        <f>'Activity data'!BI74*UDSOEF*NtoN2O*kgtoGg</f>
        <v>0.75770589154537149</v>
      </c>
      <c r="BJ115" s="22">
        <f>'Activity data'!BJ74*UDSOEF*NtoN2O*kgtoGg</f>
        <v>0.75812556559779631</v>
      </c>
      <c r="BK115" s="22">
        <f>'Activity data'!BK74*UDSOEF*NtoN2O*kgtoGg</f>
        <v>0.75842546765792429</v>
      </c>
      <c r="BL115" s="22">
        <f>'Activity data'!BL74*UDSOEF*NtoN2O*kgtoGg</f>
        <v>0.75858908792613033</v>
      </c>
      <c r="BM115" s="22">
        <f>'Activity data'!BM74*UDSOEF*NtoN2O*kgtoGg</f>
        <v>0.7586155821106717</v>
      </c>
      <c r="BN115" s="22">
        <f>'Activity data'!BN74*UDSOEF*NtoN2O*kgtoGg</f>
        <v>0.75850877673067174</v>
      </c>
      <c r="BO115" s="22">
        <f>'Activity data'!BO74*UDSOEF*NtoN2O*kgtoGg</f>
        <v>0.75827165867074431</v>
      </c>
      <c r="BP115" s="22">
        <f>'Activity data'!BP74*UDSOEF*NtoN2O*kgtoGg</f>
        <v>0.75788873758895325</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1.1867254191644503</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1.2198688909683484</v>
      </c>
      <c r="AK116" s="22">
        <f>'Activity data'!AK75*UDSOEF*NtoN2O*kgtoGg</f>
        <v>1.2278946750888551</v>
      </c>
      <c r="AL116" s="22">
        <f>'Activity data'!AL75*UDSOEF*NtoN2O*kgtoGg</f>
        <v>1.2249004515324955</v>
      </c>
      <c r="AM116" s="22">
        <f>'Activity data'!AM75*UDSOEF*NtoN2O*kgtoGg</f>
        <v>1.2269050335426288</v>
      </c>
      <c r="AN116" s="22">
        <f>'Activity data'!AN75*UDSOEF*NtoN2O*kgtoGg</f>
        <v>1.2517808526279679</v>
      </c>
      <c r="AO116" s="22">
        <f>'Activity data'!AO75*UDSOEF*NtoN2O*kgtoGg</f>
        <v>1.2529047120915915</v>
      </c>
      <c r="AP116" s="22">
        <f>'Activity data'!AP75*UDSOEF*NtoN2O*kgtoGg</f>
        <v>1.2558801454671604</v>
      </c>
      <c r="AQ116" s="22">
        <f>'Activity data'!AQ75*UDSOEF*NtoN2O*kgtoGg</f>
        <v>1.2598958776934803</v>
      </c>
      <c r="AR116" s="22">
        <f>'Activity data'!AR75*UDSOEF*NtoN2O*kgtoGg</f>
        <v>1.2635788642977572</v>
      </c>
      <c r="AS116" s="22">
        <f>'Activity data'!AS75*UDSOEF*NtoN2O*kgtoGg</f>
        <v>1.2669777879329793</v>
      </c>
      <c r="AT116" s="22">
        <f>'Activity data'!AT75*UDSOEF*NtoN2O*kgtoGg</f>
        <v>1.270082223158562</v>
      </c>
      <c r="AU116" s="22">
        <f>'Activity data'!AU75*UDSOEF*NtoN2O*kgtoGg</f>
        <v>1.2729240487828319</v>
      </c>
      <c r="AV116" s="22">
        <f>'Activity data'!AV75*UDSOEF*NtoN2O*kgtoGg</f>
        <v>1.2755491156329737</v>
      </c>
      <c r="AW116" s="22">
        <f>'Activity data'!AW75*UDSOEF*NtoN2O*kgtoGg</f>
        <v>1.2779595387205978</v>
      </c>
      <c r="AX116" s="22">
        <f>'Activity data'!AX75*UDSOEF*NtoN2O*kgtoGg</f>
        <v>1.2801969386523735</v>
      </c>
      <c r="AY116" s="22">
        <f>'Activity data'!AY75*UDSOEF*NtoN2O*kgtoGg</f>
        <v>1.2822702542621691</v>
      </c>
      <c r="AZ116" s="22">
        <f>'Activity data'!AZ75*UDSOEF*NtoN2O*kgtoGg</f>
        <v>1.2841541712892999</v>
      </c>
      <c r="BA116" s="22">
        <f>'Activity data'!BA75*UDSOEF*NtoN2O*kgtoGg</f>
        <v>1.2858695534217459</v>
      </c>
      <c r="BB116" s="22">
        <f>'Activity data'!BB75*UDSOEF*NtoN2O*kgtoGg</f>
        <v>1.2874479180172889</v>
      </c>
      <c r="BC116" s="22">
        <f>'Activity data'!BC75*UDSOEF*NtoN2O*kgtoGg</f>
        <v>1.2465773644873634</v>
      </c>
      <c r="BD116" s="22">
        <f>'Activity data'!BD75*UDSOEF*NtoN2O*kgtoGg</f>
        <v>1.2481527083238142</v>
      </c>
      <c r="BE116" s="22">
        <f>'Activity data'!BE75*UDSOEF*NtoN2O*kgtoGg</f>
        <v>1.249587037474337</v>
      </c>
      <c r="BF116" s="22">
        <f>'Activity data'!BF75*UDSOEF*NtoN2O*kgtoGg</f>
        <v>1.2508919602632027</v>
      </c>
      <c r="BG116" s="22">
        <f>'Activity data'!BG75*UDSOEF*NtoN2O*kgtoGg</f>
        <v>1.2520809199546599</v>
      </c>
      <c r="BH116" s="22">
        <f>'Activity data'!BH75*UDSOEF*NtoN2O*kgtoGg</f>
        <v>1.25312016431426</v>
      </c>
      <c r="BI116" s="22">
        <f>'Activity data'!BI75*UDSOEF*NtoN2O*kgtoGg</f>
        <v>1.2539878595129963</v>
      </c>
      <c r="BJ116" s="22">
        <f>'Activity data'!BJ75*UDSOEF*NtoN2O*kgtoGg</f>
        <v>1.2546824115450788</v>
      </c>
      <c r="BK116" s="22">
        <f>'Activity data'!BK75*UDSOEF*NtoN2O*kgtoGg</f>
        <v>1.255178743362793</v>
      </c>
      <c r="BL116" s="22">
        <f>'Activity data'!BL75*UDSOEF*NtoN2O*kgtoGg</f>
        <v>1.2554495315831169</v>
      </c>
      <c r="BM116" s="22">
        <f>'Activity data'!BM75*UDSOEF*NtoN2O*kgtoGg</f>
        <v>1.2554933789203664</v>
      </c>
      <c r="BN116" s="22">
        <f>'Activity data'!BN75*UDSOEF*NtoN2O*kgtoGg</f>
        <v>1.2553166181859641</v>
      </c>
      <c r="BO116" s="22">
        <f>'Activity data'!BO75*UDSOEF*NtoN2O*kgtoGg</f>
        <v>1.2549241926132744</v>
      </c>
      <c r="BP116" s="22">
        <f>'Activity data'!BP75*UDSOEF*NtoN2O*kgtoGg</f>
        <v>1.2542904660010414</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0.19240499933397137</v>
      </c>
      <c r="AF117" s="22">
        <f>'Activity data'!AF76*UDSOEF*NtoN2O*kgtoGg</f>
        <v>0.19381280191845887</v>
      </c>
      <c r="AG117" s="22">
        <f>'Activity data'!AG76*UDSOEF*NtoN2O*kgtoGg</f>
        <v>0.19411375969056666</v>
      </c>
      <c r="AH117" s="22">
        <f>'Activity data'!AH76*UDSOEF*NtoN2O*kgtoGg</f>
        <v>0.19368291106027899</v>
      </c>
      <c r="AI117" s="22">
        <f>'Activity data'!AI76*UDSOEF*NtoN2O*kgtoGg</f>
        <v>0.19253602379697465</v>
      </c>
      <c r="AJ117" s="22">
        <f>'Activity data'!AJ76*UDSOEF*NtoN2O*kgtoGg</f>
        <v>0.19190012409058904</v>
      </c>
      <c r="AK117" s="22">
        <f>'Activity data'!AK76*UDSOEF*NtoN2O*kgtoGg</f>
        <v>0.19132863754616411</v>
      </c>
      <c r="AL117" s="22">
        <f>'Activity data'!AL76*UDSOEF*NtoN2O*kgtoGg</f>
        <v>0.18281131471006393</v>
      </c>
      <c r="AM117" s="22">
        <f>'Activity data'!AM76*UDSOEF*NtoN2O*kgtoGg</f>
        <v>0.18736784640695911</v>
      </c>
      <c r="AN117" s="22">
        <f>'Activity data'!AN76*UDSOEF*NtoN2O*kgtoGg</f>
        <v>0.40219801863685228</v>
      </c>
      <c r="AO117" s="22">
        <f>'Activity data'!AO76*UDSOEF*NtoN2O*kgtoGg</f>
        <v>0.40734903420411533</v>
      </c>
      <c r="AP117" s="22">
        <f>'Activity data'!AP76*UDSOEF*NtoN2O*kgtoGg</f>
        <v>0.41149752828946928</v>
      </c>
      <c r="AQ117" s="22">
        <f>'Activity data'!AQ76*UDSOEF*NtoN2O*kgtoGg</f>
        <v>0.41483621581205343</v>
      </c>
      <c r="AR117" s="22">
        <f>'Activity data'!AR76*UDSOEF*NtoN2O*kgtoGg</f>
        <v>0.41773635782756013</v>
      </c>
      <c r="AS117" s="22">
        <f>'Activity data'!AS76*UDSOEF*NtoN2O*kgtoGg</f>
        <v>0.42016501076041057</v>
      </c>
      <c r="AT117" s="22">
        <f>'Activity data'!AT76*UDSOEF*NtoN2O*kgtoGg</f>
        <v>0.42210855342477654</v>
      </c>
      <c r="AU117" s="22">
        <f>'Activity data'!AU76*UDSOEF*NtoN2O*kgtoGg</f>
        <v>0.42354330417098807</v>
      </c>
      <c r="AV117" s="22">
        <f>'Activity data'!AV76*UDSOEF*NtoN2O*kgtoGg</f>
        <v>0.42444389710723196</v>
      </c>
      <c r="AW117" s="22">
        <f>'Activity data'!AW76*UDSOEF*NtoN2O*kgtoGg</f>
        <v>0.42480049297226147</v>
      </c>
      <c r="AX117" s="22">
        <f>'Activity data'!AX76*UDSOEF*NtoN2O*kgtoGg</f>
        <v>0.42459446865621531</v>
      </c>
      <c r="AY117" s="22">
        <f>'Activity data'!AY76*UDSOEF*NtoN2O*kgtoGg</f>
        <v>0.42381980556219867</v>
      </c>
      <c r="AZ117" s="22">
        <f>'Activity data'!AZ76*UDSOEF*NtoN2O*kgtoGg</f>
        <v>0.42248350599041806</v>
      </c>
      <c r="BA117" s="22">
        <f>'Activity data'!BA76*UDSOEF*NtoN2O*kgtoGg</f>
        <v>0.42058207160696442</v>
      </c>
      <c r="BB117" s="22">
        <f>'Activity data'!BB76*UDSOEF*NtoN2O*kgtoGg</f>
        <v>0.41811210592034348</v>
      </c>
      <c r="BC117" s="22">
        <f>'Activity data'!BC76*UDSOEF*NtoN2O*kgtoGg</f>
        <v>6.1557811520144383E-2</v>
      </c>
      <c r="BD117" s="22">
        <f>'Activity data'!BD76*UDSOEF*NtoN2O*kgtoGg</f>
        <v>6.1557811520144383E-2</v>
      </c>
      <c r="BE117" s="22">
        <f>'Activity data'!BE76*UDSOEF*NtoN2O*kgtoGg</f>
        <v>6.1557811520144383E-2</v>
      </c>
      <c r="BF117" s="22">
        <f>'Activity data'!BF76*UDSOEF*NtoN2O*kgtoGg</f>
        <v>6.1557811520144383E-2</v>
      </c>
      <c r="BG117" s="22">
        <f>'Activity data'!BG76*UDSOEF*NtoN2O*kgtoGg</f>
        <v>6.1557811520144383E-2</v>
      </c>
      <c r="BH117" s="22">
        <f>'Activity data'!BH76*UDSOEF*NtoN2O*kgtoGg</f>
        <v>6.1557811520144383E-2</v>
      </c>
      <c r="BI117" s="22">
        <f>'Activity data'!BI76*UDSOEF*NtoN2O*kgtoGg</f>
        <v>6.1557811520144383E-2</v>
      </c>
      <c r="BJ117" s="22">
        <f>'Activity data'!BJ76*UDSOEF*NtoN2O*kgtoGg</f>
        <v>6.1557811520144383E-2</v>
      </c>
      <c r="BK117" s="22">
        <f>'Activity data'!BK76*UDSOEF*NtoN2O*kgtoGg</f>
        <v>6.1557811520144383E-2</v>
      </c>
      <c r="BL117" s="22">
        <f>'Activity data'!BL76*UDSOEF*NtoN2O*kgtoGg</f>
        <v>6.1557811520144383E-2</v>
      </c>
      <c r="BM117" s="22">
        <f>'Activity data'!BM76*UDSOEF*NtoN2O*kgtoGg</f>
        <v>6.1557811520144383E-2</v>
      </c>
      <c r="BN117" s="22">
        <f>'Activity data'!BN76*UDSOEF*NtoN2O*kgtoGg</f>
        <v>6.1557811520144383E-2</v>
      </c>
      <c r="BO117" s="22">
        <f>'Activity data'!BO76*UDSOEF*NtoN2O*kgtoGg</f>
        <v>6.1557811520144383E-2</v>
      </c>
      <c r="BP117" s="22">
        <f>'Activity data'!BP76*UDSOEF*NtoN2O*kgtoGg</f>
        <v>6.1557811520144383E-2</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0.66035651430821074</v>
      </c>
      <c r="AN135" s="22">
        <f>'Activity data'!AN47*ttokg*FracGASF*MSVolatEF*NtoN2O*kgtoGg</f>
        <v>0.66008394987584207</v>
      </c>
      <c r="AO135" s="22">
        <f>'Activity data'!AO47*ttokg*FracGASF*MSVolatEF*NtoN2O*kgtoGg</f>
        <v>0.65354261970149441</v>
      </c>
      <c r="AP135" s="22">
        <f>'Activity data'!AP47*ttokg*FracGASF*MSVolatEF*NtoN2O*kgtoGg</f>
        <v>0.65337920332710719</v>
      </c>
      <c r="AQ135" s="22">
        <f>'Activity data'!AQ47*ttokg*FracGASF*MSVolatEF*NtoN2O*kgtoGg</f>
        <v>0.65322793572104454</v>
      </c>
      <c r="AR135" s="22">
        <f>'Activity data'!AR47*ttokg*FracGASF*MSVolatEF*NtoN2O*kgtoGg</f>
        <v>0.65308880056970553</v>
      </c>
      <c r="AS135" s="22">
        <f>'Activity data'!AS47*ttokg*FracGASF*MSVolatEF*NtoN2O*kgtoGg</f>
        <v>0.65296169227266498</v>
      </c>
      <c r="AT135" s="22">
        <f>'Activity data'!AT47*ttokg*FracGASF*MSVolatEF*NtoN2O*kgtoGg</f>
        <v>0.65284672118777098</v>
      </c>
      <c r="AU135" s="22">
        <f>'Activity data'!AU47*ttokg*FracGASF*MSVolatEF*NtoN2O*kgtoGg</f>
        <v>0.65274397960506148</v>
      </c>
      <c r="AV135" s="22">
        <f>'Activity data'!AV47*ttokg*FracGASF*MSVolatEF*NtoN2O*kgtoGg</f>
        <v>0.65265355793719104</v>
      </c>
      <c r="AW135" s="22">
        <f>'Activity data'!AW47*ttokg*FracGASF*MSVolatEF*NtoN2O*kgtoGg</f>
        <v>0.65257554079256641</v>
      </c>
      <c r="AX135" s="22">
        <f>'Activity data'!AX47*ttokg*FracGASF*MSVolatEF*NtoN2O*kgtoGg</f>
        <v>0.65250999875184101</v>
      </c>
      <c r="AY135" s="22">
        <f>'Activity data'!AY47*ttokg*FracGASF*MSVolatEF*NtoN2O*kgtoGg</f>
        <v>0.65245700134470697</v>
      </c>
      <c r="AZ135" s="22">
        <f>'Activity data'!AZ47*ttokg*FracGASF*MSVolatEF*NtoN2O*kgtoGg</f>
        <v>0.65241660651071587</v>
      </c>
      <c r="BA135" s="22">
        <f>'Activity data'!BA47*ttokg*FracGASF*MSVolatEF*NtoN2O*kgtoGg</f>
        <v>0.65238886062718315</v>
      </c>
      <c r="BB135" s="22">
        <f>'Activity data'!BB47*ttokg*FracGASF*MSVolatEF*NtoN2O*kgtoGg</f>
        <v>0.6523738107982866</v>
      </c>
      <c r="BC135" s="22">
        <f>'Activity data'!BC47*ttokg*FracGASF*MSVolatEF*NtoN2O*kgtoGg</f>
        <v>0.65237149971504915</v>
      </c>
      <c r="BD135" s="22">
        <f>'Activity data'!BD47*ttokg*FracGASF*MSVolatEF*NtoN2O*kgtoGg</f>
        <v>0.6717077011874647</v>
      </c>
      <c r="BE135" s="22">
        <f>'Activity data'!BE47*ttokg*FracGASF*MSVolatEF*NtoN2O*kgtoGg</f>
        <v>0.67172409254060461</v>
      </c>
      <c r="BF135" s="22">
        <f>'Activity data'!BF47*ttokg*FracGASF*MSVolatEF*NtoN2O*kgtoGg</f>
        <v>0.67174011054610017</v>
      </c>
      <c r="BG135" s="22">
        <f>'Activity data'!BG47*ttokg*FracGASF*MSVolatEF*NtoN2O*kgtoGg</f>
        <v>0.67175577706338141</v>
      </c>
      <c r="BH135" s="22">
        <f>'Activity data'!BH47*ttokg*FracGASF*MSVolatEF*NtoN2O*kgtoGg</f>
        <v>0.67177111790148203</v>
      </c>
      <c r="BI135" s="22">
        <f>'Activity data'!BI47*ttokg*FracGASF*MSVolatEF*NtoN2O*kgtoGg</f>
        <v>0.67178606782023664</v>
      </c>
      <c r="BJ135" s="22">
        <f>'Activity data'!BJ47*ttokg*FracGASF*MSVolatEF*NtoN2O*kgtoGg</f>
        <v>0.67180058277133392</v>
      </c>
      <c r="BK135" s="22">
        <f>'Activity data'!BK47*ttokg*FracGASF*MSVolatEF*NtoN2O*kgtoGg</f>
        <v>0.67181465717092259</v>
      </c>
      <c r="BL135" s="22">
        <f>'Activity data'!BL47*ttokg*FracGASF*MSVolatEF*NtoN2O*kgtoGg</f>
        <v>0.67182823869267982</v>
      </c>
      <c r="BM135" s="22">
        <f>'Activity data'!BM47*ttokg*FracGASF*MSVolatEF*NtoN2O*kgtoGg</f>
        <v>0.67184126908492714</v>
      </c>
      <c r="BN135" s="22">
        <f>'Activity data'!BN47*ttokg*FracGASF*MSVolatEF*NtoN2O*kgtoGg</f>
        <v>0.67185374065365466</v>
      </c>
      <c r="BO135" s="22">
        <f>'Activity data'!BO47*ttokg*FracGASF*MSVolatEF*NtoN2O*kgtoGg</f>
        <v>0.67186566123512315</v>
      </c>
      <c r="BP135" s="22">
        <f>'Activity data'!BP47*ttokg*FracGASF*MSVolatEF*NtoN2O*kgtoGg</f>
        <v>0.67187703615819216</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8.716705988868383E-3</v>
      </c>
      <c r="AN136" s="22">
        <f>'Activity data'!AN48*ttokg*FracGASM*MSVolatEF*NtoN2O*kgtoGg</f>
        <v>8.7131081383611166E-3</v>
      </c>
      <c r="AO136" s="22">
        <f>'Activity data'!AO48*ttokg*FracGASM*MSVolatEF*NtoN2O*kgtoGg</f>
        <v>8.6267625800597308E-3</v>
      </c>
      <c r="AP136" s="22">
        <f>'Activity data'!AP48*ttokg*FracGASM*MSVolatEF*NtoN2O*kgtoGg</f>
        <v>8.624605483917816E-3</v>
      </c>
      <c r="AQ136" s="22">
        <f>'Activity data'!AQ48*ttokg*FracGASM*MSVolatEF*NtoN2O*kgtoGg</f>
        <v>8.6226087515177911E-3</v>
      </c>
      <c r="AR136" s="22">
        <f>'Activity data'!AR48*ttokg*FracGASM*MSVolatEF*NtoN2O*kgtoGg</f>
        <v>8.6207721675201129E-3</v>
      </c>
      <c r="AS136" s="22">
        <f>'Activity data'!AS48*ttokg*FracGASM*MSVolatEF*NtoN2O*kgtoGg</f>
        <v>8.6190943379991763E-3</v>
      </c>
      <c r="AT136" s="22">
        <f>'Activity data'!AT48*ttokg*FracGASM*MSVolatEF*NtoN2O*kgtoGg</f>
        <v>8.6175767196785755E-3</v>
      </c>
      <c r="AU136" s="22">
        <f>'Activity data'!AU48*ttokg*FracGASM*MSVolatEF*NtoN2O*kgtoGg</f>
        <v>8.6162205307868112E-3</v>
      </c>
      <c r="AV136" s="22">
        <f>'Activity data'!AV48*ttokg*FracGASM*MSVolatEF*NtoN2O*kgtoGg</f>
        <v>8.6150269647709242E-3</v>
      </c>
      <c r="AW136" s="22">
        <f>'Activity data'!AW48*ttokg*FracGASM*MSVolatEF*NtoN2O*kgtoGg</f>
        <v>8.6139971384618756E-3</v>
      </c>
      <c r="AX136" s="22">
        <f>'Activity data'!AX48*ttokg*FracGASM*MSVolatEF*NtoN2O*kgtoGg</f>
        <v>8.6131319835243015E-3</v>
      </c>
      <c r="AY136" s="22">
        <f>'Activity data'!AY48*ttokg*FracGASM*MSVolatEF*NtoN2O*kgtoGg</f>
        <v>8.6124324177501328E-3</v>
      </c>
      <c r="AZ136" s="22">
        <f>'Activity data'!AZ48*ttokg*FracGASM*MSVolatEF*NtoN2O*kgtoGg</f>
        <v>8.6118992059414506E-3</v>
      </c>
      <c r="BA136" s="22">
        <f>'Activity data'!BA48*ttokg*FracGASM*MSVolatEF*NtoN2O*kgtoGg</f>
        <v>8.6115329602788199E-3</v>
      </c>
      <c r="BB136" s="22">
        <f>'Activity data'!BB48*ttokg*FracGASM*MSVolatEF*NtoN2O*kgtoGg</f>
        <v>8.611334302537384E-3</v>
      </c>
      <c r="BC136" s="22">
        <f>'Activity data'!BC48*ttokg*FracGASM*MSVolatEF*NtoN2O*kgtoGg</f>
        <v>8.6113037962386486E-3</v>
      </c>
      <c r="BD136" s="22">
        <f>'Activity data'!BD48*ttokg*FracGASM*MSVolatEF*NtoN2O*kgtoGg</f>
        <v>8.8665416556745359E-3</v>
      </c>
      <c r="BE136" s="22">
        <f>'Activity data'!BE48*ttokg*FracGASM*MSVolatEF*NtoN2O*kgtoGg</f>
        <v>8.8667580215359802E-3</v>
      </c>
      <c r="BF136" s="22">
        <f>'Activity data'!BF48*ttokg*FracGASM*MSVolatEF*NtoN2O*kgtoGg</f>
        <v>8.8669694592085242E-3</v>
      </c>
      <c r="BG136" s="22">
        <f>'Activity data'!BG48*ttokg*FracGASM*MSVolatEF*NtoN2O*kgtoGg</f>
        <v>8.8671762572366322E-3</v>
      </c>
      <c r="BH136" s="22">
        <f>'Activity data'!BH48*ttokg*FracGASM*MSVolatEF*NtoN2O*kgtoGg</f>
        <v>8.8673787562995633E-3</v>
      </c>
      <c r="BI136" s="22">
        <f>'Activity data'!BI48*ttokg*FracGASM*MSVolatEF*NtoN2O*kgtoGg</f>
        <v>8.8675760952271251E-3</v>
      </c>
      <c r="BJ136" s="22">
        <f>'Activity data'!BJ48*ttokg*FracGASM*MSVolatEF*NtoN2O*kgtoGg</f>
        <v>8.8677676925816105E-3</v>
      </c>
      <c r="BK136" s="22">
        <f>'Activity data'!BK48*ttokg*FracGASM*MSVolatEF*NtoN2O*kgtoGg</f>
        <v>8.867953474656182E-3</v>
      </c>
      <c r="BL136" s="22">
        <f>'Activity data'!BL48*ttokg*FracGASM*MSVolatEF*NtoN2O*kgtoGg</f>
        <v>8.8681327507433762E-3</v>
      </c>
      <c r="BM136" s="22">
        <f>'Activity data'!BM48*ttokg*FracGASM*MSVolatEF*NtoN2O*kgtoGg</f>
        <v>8.8683047519210381E-3</v>
      </c>
      <c r="BN136" s="22">
        <f>'Activity data'!BN48*ttokg*FracGASM*MSVolatEF*NtoN2O*kgtoGg</f>
        <v>8.8684693766282394E-3</v>
      </c>
      <c r="BO136" s="22">
        <f>'Activity data'!BO48*ttokg*FracGASM*MSVolatEF*NtoN2O*kgtoGg</f>
        <v>8.8686267283036267E-3</v>
      </c>
      <c r="BP136" s="22">
        <f>'Activity data'!BP48*ttokg*FracGASM*MSVolatEF*NtoN2O*kgtoGg</f>
        <v>8.8687768772881346E-3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1.2019035107607596</v>
      </c>
      <c r="AF137" s="22">
        <f>SUM('Activity data'!AF50:AF65)*FracGASM*MSVolatEF*NtoN2O*kgtoGg</f>
        <v>1.2088775122881088</v>
      </c>
      <c r="AG137" s="22">
        <f>SUM('Activity data'!AG50:AG65)*FracGASM*MSVolatEF*NtoN2O*kgtoGg</f>
        <v>1.2055442230548157</v>
      </c>
      <c r="AH137" s="22">
        <f>SUM('Activity data'!AH50:AH65)*FracGASM*MSVolatEF*NtoN2O*kgtoGg</f>
        <v>1.195843583832628</v>
      </c>
      <c r="AI137" s="22">
        <f>SUM('Activity data'!AI50:AI65)*FracGASM*MSVolatEF*NtoN2O*kgtoGg</f>
        <v>1.1799964998501227</v>
      </c>
      <c r="AJ137" s="22">
        <f>SUM('Activity data'!AJ50:AJ65)*FracGASM*MSVolatEF*NtoN2O*kgtoGg</f>
        <v>1.169776622170569</v>
      </c>
      <c r="AK137" s="22">
        <f>SUM('Activity data'!AK50:AK65)*FracGASM*MSVolatEF*NtoN2O*kgtoGg</f>
        <v>1.1606871439933113</v>
      </c>
      <c r="AL137" s="22">
        <f>SUM('Activity data'!AL50:AL65)*FracGASM*MSVolatEF*NtoN2O*kgtoGg</f>
        <v>1.0648906691667142</v>
      </c>
      <c r="AM137" s="22">
        <f>SUM('Activity data'!AM50:AM65)*FracGASM*MSVolatEF*NtoN2O*kgtoGg</f>
        <v>1.1057533797860197</v>
      </c>
      <c r="AN137" s="22">
        <f>SUM('Activity data'!AN50:AN65)*FracGASM*MSVolatEF*NtoN2O*kgtoGg</f>
        <v>3.1715891643578864</v>
      </c>
      <c r="AO137" s="22">
        <f>SUM('Activity data'!AO50:AO65)*FracGASM*MSVolatEF*NtoN2O*kgtoGg</f>
        <v>3.205817503106533</v>
      </c>
      <c r="AP137" s="22">
        <f>SUM('Activity data'!AP50:AP65)*FracGASM*MSVolatEF*NtoN2O*kgtoGg</f>
        <v>3.2352153287252081</v>
      </c>
      <c r="AQ137" s="22">
        <f>SUM('Activity data'!AQ50:AQ65)*FracGASM*MSVolatEF*NtoN2O*kgtoGg</f>
        <v>3.2596764998420773</v>
      </c>
      <c r="AR137" s="22">
        <f>SUM('Activity data'!AR50:AR65)*FracGASM*MSVolatEF*NtoN2O*kgtoGg</f>
        <v>3.2791703785538746</v>
      </c>
      <c r="AS137" s="22">
        <f>SUM('Activity data'!AS50:AS65)*FracGASM*MSVolatEF*NtoN2O*kgtoGg</f>
        <v>3.2935488814957896</v>
      </c>
      <c r="AT137" s="22">
        <f>SUM('Activity data'!AT50:AT65)*FracGASM*MSVolatEF*NtoN2O*kgtoGg</f>
        <v>3.3026965587676997</v>
      </c>
      <c r="AU137" s="22">
        <f>SUM('Activity data'!AU50:AU65)*FracGASM*MSVolatEF*NtoN2O*kgtoGg</f>
        <v>3.3065215616671835</v>
      </c>
      <c r="AV137" s="22">
        <f>SUM('Activity data'!AV50:AV65)*FracGASM*MSVolatEF*NtoN2O*kgtoGg</f>
        <v>3.3049591714491218</v>
      </c>
      <c r="AW137" s="22">
        <f>SUM('Activity data'!AW50:AW65)*FracGASM*MSVolatEF*NtoN2O*kgtoGg</f>
        <v>3.2856040880514414</v>
      </c>
      <c r="AX137" s="22">
        <f>SUM('Activity data'!AX50:AX65)*FracGASM*MSVolatEF*NtoN2O*kgtoGg</f>
        <v>3.2609006919876253</v>
      </c>
      <c r="AY137" s="22">
        <f>SUM('Activity data'!AY50:AY65)*FracGASM*MSVolatEF*NtoN2O*kgtoGg</f>
        <v>3.2309381698250323</v>
      </c>
      <c r="AZ137" s="22">
        <f>SUM('Activity data'!AZ50:AZ65)*FracGASM*MSVolatEF*NtoN2O*kgtoGg</f>
        <v>3.1958369771906554</v>
      </c>
      <c r="BA137" s="22">
        <f>SUM('Activity data'!BA50:BA65)*FracGASM*MSVolatEF*NtoN2O*kgtoGg</f>
        <v>3.1557406943377502</v>
      </c>
      <c r="BB137" s="22">
        <f>SUM('Activity data'!BB50:BB65)*FracGASM*MSVolatEF*NtoN2O*kgtoGg</f>
        <v>3.1108181429551416</v>
      </c>
      <c r="BC137" s="22">
        <f>SUM('Activity data'!BC50:BC65)*FracGASM*MSVolatEF*NtoN2O*kgtoGg</f>
        <v>-7.9927190130914927E-2</v>
      </c>
      <c r="BD137" s="22">
        <f>SUM('Activity data'!BD50:BD65)*FracGASM*MSVolatEF*NtoN2O*kgtoGg</f>
        <v>-7.7482459717295754E-2</v>
      </c>
      <c r="BE137" s="22">
        <f>SUM('Activity data'!BE50:BE65)*FracGASM*MSVolatEF*NtoN2O*kgtoGg</f>
        <v>-7.5056648302161827E-2</v>
      </c>
      <c r="BF137" s="22">
        <f>SUM('Activity data'!BF50:BF65)*FracGASM*MSVolatEF*NtoN2O*kgtoGg</f>
        <v>-7.2650174059267963E-2</v>
      </c>
      <c r="BG137" s="22">
        <f>SUM('Activity data'!BG50:BG65)*FracGASM*MSVolatEF*NtoN2O*kgtoGg</f>
        <v>-7.0723117301040472E-2</v>
      </c>
      <c r="BH137" s="22">
        <f>SUM('Activity data'!BH50:BH65)*FracGASM*MSVolatEF*NtoN2O*kgtoGg</f>
        <v>-6.8807486280089009E-2</v>
      </c>
      <c r="BI137" s="22">
        <f>SUM('Activity data'!BI50:BI65)*FracGASM*MSVolatEF*NtoN2O*kgtoGg</f>
        <v>-6.6901375831276963E-2</v>
      </c>
      <c r="BJ137" s="22">
        <f>SUM('Activity data'!BJ50:BJ65)*FracGASM*MSVolatEF*NtoN2O*kgtoGg</f>
        <v>-6.5004519075055389E-2</v>
      </c>
      <c r="BK137" s="22">
        <f>SUM('Activity data'!BK50:BK65)*FracGASM*MSVolatEF*NtoN2O*kgtoGg</f>
        <v>-6.3114960679436297E-2</v>
      </c>
      <c r="BL137" s="22">
        <f>SUM('Activity data'!BL50:BL65)*FracGASM*MSVolatEF*NtoN2O*kgtoGg</f>
        <v>-6.1230717258980515E-2</v>
      </c>
      <c r="BM137" s="22">
        <f>SUM('Activity data'!BM50:BM65)*FracGASM*MSVolatEF*NtoN2O*kgtoGg</f>
        <v>-5.9351794077464999E-2</v>
      </c>
      <c r="BN137" s="22">
        <f>SUM('Activity data'!BN50:BN65)*FracGASM*MSVolatEF*NtoN2O*kgtoGg</f>
        <v>-5.7478765169344234E-2</v>
      </c>
      <c r="BO137" s="22">
        <f>SUM('Activity data'!BO50:BO65)*FracGASM*MSVolatEF*NtoN2O*kgtoGg</f>
        <v>-5.5612099659167281E-2</v>
      </c>
      <c r="BP137" s="22">
        <f>SUM('Activity data'!BP50:BP65)*FracGASM*MSVolatEF*NtoN2O*kgtoGg</f>
        <v>-5.3750177084754498E-2</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3.9236983289257736</v>
      </c>
      <c r="AM138" s="22">
        <f>SUM('Activity data'!AM66:AM81)*FracGASM*MSVolatEF*NtoN2O*kgtoGg</f>
        <v>4.0061959356333121</v>
      </c>
      <c r="AN138" s="22">
        <f>SUM('Activity data'!AN66:AN81)*FracGASM*MSVolatEF*NtoN2O*kgtoGg</f>
        <v>8.6703485618299432</v>
      </c>
      <c r="AO138" s="22">
        <f>SUM('Activity data'!AO66:AO81)*FracGASM*MSVolatEF*NtoN2O*kgtoGg</f>
        <v>8.7075171611639437</v>
      </c>
      <c r="AP138" s="22">
        <f>SUM('Activity data'!AP66:AP81)*FracGASM*MSVolatEF*NtoN2O*kgtoGg</f>
        <v>8.7349231997789492</v>
      </c>
      <c r="AQ138" s="22">
        <f>SUM('Activity data'!AQ66:AQ81)*FracGASM*MSVolatEF*NtoN2O*kgtoGg</f>
        <v>8.7517078724202371</v>
      </c>
      <c r="AR138" s="22">
        <f>SUM('Activity data'!AR66:AR81)*FracGASM*MSVolatEF*NtoN2O*kgtoGg</f>
        <v>8.7566246906771106</v>
      </c>
      <c r="AS138" s="22">
        <f>SUM('Activity data'!AS66:AS81)*FracGASM*MSVolatEF*NtoN2O*kgtoGg</f>
        <v>8.749585391639048</v>
      </c>
      <c r="AT138" s="22">
        <f>SUM('Activity data'!AT66:AT81)*FracGASM*MSVolatEF*NtoN2O*kgtoGg</f>
        <v>8.7305224491182276</v>
      </c>
      <c r="AU138" s="22">
        <f>SUM('Activity data'!AU66:AU81)*FracGASM*MSVolatEF*NtoN2O*kgtoGg</f>
        <v>8.6994684257142971</v>
      </c>
      <c r="AV138" s="22">
        <f>SUM('Activity data'!AV66:AV81)*FracGASM*MSVolatEF*NtoN2O*kgtoGg</f>
        <v>8.6565339362109501</v>
      </c>
      <c r="AW138" s="22">
        <f>SUM('Activity data'!AW66:AW81)*FracGASM*MSVolatEF*NtoN2O*kgtoGg</f>
        <v>8.5479552025611873</v>
      </c>
      <c r="AX138" s="22">
        <f>SUM('Activity data'!AX66:AX81)*FracGASM*MSVolatEF*NtoN2O*kgtoGg</f>
        <v>8.4281375273268431</v>
      </c>
      <c r="AY138" s="22">
        <f>SUM('Activity data'!AY66:AY81)*FracGASM*MSVolatEF*NtoN2O*kgtoGg</f>
        <v>8.2976332368638914</v>
      </c>
      <c r="AZ138" s="22">
        <f>SUM('Activity data'!AZ66:AZ81)*FracGASM*MSVolatEF*NtoN2O*kgtoGg</f>
        <v>8.1570247194237986</v>
      </c>
      <c r="BA138" s="22">
        <f>SUM('Activity data'!BA66:BA81)*FracGASM*MSVolatEF*NtoN2O*kgtoGg</f>
        <v>8.0069849414591072</v>
      </c>
      <c r="BB138" s="22">
        <f>SUM('Activity data'!BB66:BB81)*FracGASM*MSVolatEF*NtoN2O*kgtoGg</f>
        <v>7.8482435227169196</v>
      </c>
      <c r="BC138" s="22">
        <f>SUM('Activity data'!BC66:BC81)*FracGASM*MSVolatEF*NtoN2O*kgtoGg</f>
        <v>1.4117786211897634</v>
      </c>
      <c r="BD138" s="22">
        <f>SUM('Activity data'!BD66:BD81)*FracGASM*MSVolatEF*NtoN2O*kgtoGg</f>
        <v>1.4240848222590068</v>
      </c>
      <c r="BE138" s="22">
        <f>SUM('Activity data'!BE66:BE81)*FracGASM*MSVolatEF*NtoN2O*kgtoGg</f>
        <v>1.4361490833885919</v>
      </c>
      <c r="BF138" s="22">
        <f>SUM('Activity data'!BF66:BF81)*FracGASM*MSVolatEF*NtoN2O*kgtoGg</f>
        <v>1.4479836223342117</v>
      </c>
      <c r="BG138" s="22">
        <f>SUM('Activity data'!BG66:BG81)*FracGASM*MSVolatEF*NtoN2O*kgtoGg</f>
        <v>1.4575869997562623</v>
      </c>
      <c r="BH138" s="22">
        <f>SUM('Activity data'!BH66:BH81)*FracGASM*MSVolatEF*NtoN2O*kgtoGg</f>
        <v>1.4669658638055674</v>
      </c>
      <c r="BI138" s="22">
        <f>SUM('Activity data'!BI66:BI81)*FracGASM*MSVolatEF*NtoN2O*kgtoGg</f>
        <v>1.4761004652334226</v>
      </c>
      <c r="BJ138" s="22">
        <f>SUM('Activity data'!BJ66:BJ81)*FracGASM*MSVolatEF*NtoN2O*kgtoGg</f>
        <v>1.4849895121905028</v>
      </c>
      <c r="BK138" s="22">
        <f>SUM('Activity data'!BK66:BK81)*FracGASM*MSVolatEF*NtoN2O*kgtoGg</f>
        <v>1.4936094251739955</v>
      </c>
      <c r="BL138" s="22">
        <f>SUM('Activity data'!BL66:BL81)*FracGASM*MSVolatEF*NtoN2O*kgtoGg</f>
        <v>1.5019339292237881</v>
      </c>
      <c r="BM138" s="22">
        <f>SUM('Activity data'!BM66:BM81)*FracGASM*MSVolatEF*NtoN2O*kgtoGg</f>
        <v>1.5099608560757101</v>
      </c>
      <c r="BN138" s="22">
        <f>SUM('Activity data'!BN66:BN81)*FracGASM*MSVolatEF*NtoN2O*kgtoGg</f>
        <v>1.5176953414243965</v>
      </c>
      <c r="BO138" s="22">
        <f>SUM('Activity data'!BO66:BO81)*FracGASM*MSVolatEF*NtoN2O*kgtoGg</f>
        <v>1.5251412376449351</v>
      </c>
      <c r="BP138" s="22">
        <f>SUM('Activity data'!BP66:BP81)*FracGASM*MSVolatEF*NtoN2O*kgtoGg</f>
        <v>1.5322728813191711</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2.2782299743633269E-4</v>
      </c>
      <c r="AN139" s="22">
        <f>'Activity data'!AN47*FracLEACH*MSLeachEF*NtoN2O*kgtoGg</f>
        <v>2.2772896270716546E-4</v>
      </c>
      <c r="AO139" s="22">
        <f>'Activity data'!AO47*FracLEACH*MSLeachEF*NtoN2O*kgtoGg</f>
        <v>2.2547220379701556E-4</v>
      </c>
      <c r="AP139" s="22">
        <f>'Activity data'!AP47*FracLEACH*MSLeachEF*NtoN2O*kgtoGg</f>
        <v>2.2541582514785201E-4</v>
      </c>
      <c r="AQ139" s="22">
        <f>'Activity data'!AQ47*FracLEACH*MSLeachEF*NtoN2O*kgtoGg</f>
        <v>2.2536363782376035E-4</v>
      </c>
      <c r="AR139" s="22">
        <f>'Activity data'!AR47*FracLEACH*MSLeachEF*NtoN2O*kgtoGg</f>
        <v>2.2531563619654834E-4</v>
      </c>
      <c r="AS139" s="22">
        <f>'Activity data'!AS47*FracLEACH*MSLeachEF*NtoN2O*kgtoGg</f>
        <v>2.252717838340693E-4</v>
      </c>
      <c r="AT139" s="22">
        <f>'Activity data'!AT47*FracLEACH*MSLeachEF*NtoN2O*kgtoGg</f>
        <v>2.2523211880978096E-4</v>
      </c>
      <c r="AU139" s="22">
        <f>'Activity data'!AU47*FracLEACH*MSLeachEF*NtoN2O*kgtoGg</f>
        <v>2.2519667296374613E-4</v>
      </c>
      <c r="AV139" s="22">
        <f>'Activity data'!AV47*FracLEACH*MSLeachEF*NtoN2O*kgtoGg</f>
        <v>2.2516547748833096E-4</v>
      </c>
      <c r="AW139" s="22">
        <f>'Activity data'!AW47*FracLEACH*MSLeachEF*NtoN2O*kgtoGg</f>
        <v>2.2513856157343538E-4</v>
      </c>
      <c r="AX139" s="22">
        <f>'Activity data'!AX47*FracLEACH*MSLeachEF*NtoN2O*kgtoGg</f>
        <v>2.2511594956938508E-4</v>
      </c>
      <c r="AY139" s="22">
        <f>'Activity data'!AY47*FracLEACH*MSLeachEF*NtoN2O*kgtoGg</f>
        <v>2.2509766546392388E-4</v>
      </c>
      <c r="AZ139" s="22">
        <f>'Activity data'!AZ47*FracLEACH*MSLeachEF*NtoN2O*kgtoGg</f>
        <v>2.2508372924619698E-4</v>
      </c>
      <c r="BA139" s="22">
        <f>'Activity data'!BA47*FracLEACH*MSLeachEF*NtoN2O*kgtoGg</f>
        <v>2.2507415691637819E-4</v>
      </c>
      <c r="BB139" s="22">
        <f>'Activity data'!BB47*FracLEACH*MSLeachEF*NtoN2O*kgtoGg</f>
        <v>2.2506896472540883E-4</v>
      </c>
      <c r="BC139" s="22">
        <f>'Activity data'!BC47*FracLEACH*MSLeachEF*NtoN2O*kgtoGg</f>
        <v>2.2506816740169194E-4</v>
      </c>
      <c r="BD139" s="22">
        <f>'Activity data'!BD47*FracLEACH*MSLeachEF*NtoN2O*kgtoGg</f>
        <v>2.3173915690967529E-4</v>
      </c>
      <c r="BE139" s="22">
        <f>'Activity data'!BE47*FracLEACH*MSLeachEF*NtoN2O*kgtoGg</f>
        <v>2.3174481192650851E-4</v>
      </c>
      <c r="BF139" s="22">
        <f>'Activity data'!BF47*FracLEACH*MSLeachEF*NtoN2O*kgtoGg</f>
        <v>2.3175033813840453E-4</v>
      </c>
      <c r="BG139" s="22">
        <f>'Activity data'!BG47*FracLEACH*MSLeachEF*NtoN2O*kgtoGg</f>
        <v>2.317557430868665E-4</v>
      </c>
      <c r="BH139" s="22">
        <f>'Activity data'!BH47*FracLEACH*MSLeachEF*NtoN2O*kgtoGg</f>
        <v>2.3176103567601125E-4</v>
      </c>
      <c r="BI139" s="22">
        <f>'Activity data'!BI47*FracLEACH*MSLeachEF*NtoN2O*kgtoGg</f>
        <v>2.3176619339798155E-4</v>
      </c>
      <c r="BJ139" s="22">
        <f>'Activity data'!BJ47*FracLEACH*MSLeachEF*NtoN2O*kgtoGg</f>
        <v>2.3177120105611021E-4</v>
      </c>
      <c r="BK139" s="22">
        <f>'Activity data'!BK47*FracLEACH*MSLeachEF*NtoN2O*kgtoGg</f>
        <v>2.3177605672396827E-4</v>
      </c>
      <c r="BL139" s="22">
        <f>'Activity data'!BL47*FracLEACH*MSLeachEF*NtoN2O*kgtoGg</f>
        <v>2.3178074234897451E-4</v>
      </c>
      <c r="BM139" s="22">
        <f>'Activity data'!BM47*FracLEACH*MSLeachEF*NtoN2O*kgtoGg</f>
        <v>2.3178523783429981E-4</v>
      </c>
      <c r="BN139" s="22">
        <f>'Activity data'!BN47*FracLEACH*MSLeachEF*NtoN2O*kgtoGg</f>
        <v>2.3178954052551076E-4</v>
      </c>
      <c r="BO139" s="22">
        <f>'Activity data'!BO47*FracLEACH*MSLeachEF*NtoN2O*kgtoGg</f>
        <v>2.3179365312611745E-4</v>
      </c>
      <c r="BP139" s="22">
        <f>'Activity data'!BP47*FracLEACH*MSLeachEF*NtoN2O*kgtoGg</f>
        <v>2.3179757747457624E-4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1.5036317830797959E-6</v>
      </c>
      <c r="AN140" s="22">
        <f>'Activity data'!AN48*FracLEACH*MSLeachEF*NtoN2O*kgtoGg</f>
        <v>1.5030111538672925E-6</v>
      </c>
      <c r="AO140" s="22">
        <f>'Activity data'!AO48*FracLEACH*MSLeachEF*NtoN2O*kgtoGg</f>
        <v>1.488116545060303E-6</v>
      </c>
      <c r="AP140" s="22">
        <f>'Activity data'!AP48*FracLEACH*MSLeachEF*NtoN2O*kgtoGg</f>
        <v>1.487744445975823E-6</v>
      </c>
      <c r="AQ140" s="22">
        <f>'Activity data'!AQ48*FracLEACH*MSLeachEF*NtoN2O*kgtoGg</f>
        <v>1.4874000096368187E-6</v>
      </c>
      <c r="AR140" s="22">
        <f>'Activity data'!AR48*FracLEACH*MSLeachEF*NtoN2O*kgtoGg</f>
        <v>1.4870831988972194E-6</v>
      </c>
      <c r="AS140" s="22">
        <f>'Activity data'!AS48*FracLEACH*MSLeachEF*NtoN2O*kgtoGg</f>
        <v>1.4867937733048578E-6</v>
      </c>
      <c r="AT140" s="22">
        <f>'Activity data'!AT48*FracLEACH*MSLeachEF*NtoN2O*kgtoGg</f>
        <v>1.4865319841445543E-6</v>
      </c>
      <c r="AU140" s="22">
        <f>'Activity data'!AU48*FracLEACH*MSLeachEF*NtoN2O*kgtoGg</f>
        <v>1.4862980415607246E-6</v>
      </c>
      <c r="AV140" s="22">
        <f>'Activity data'!AV48*FracLEACH*MSLeachEF*NtoN2O*kgtoGg</f>
        <v>1.4860921514229842E-6</v>
      </c>
      <c r="AW140" s="22">
        <f>'Activity data'!AW48*FracLEACH*MSLeachEF*NtoN2O*kgtoGg</f>
        <v>1.4859145063846736E-6</v>
      </c>
      <c r="AX140" s="22">
        <f>'Activity data'!AX48*FracLEACH*MSLeachEF*NtoN2O*kgtoGg</f>
        <v>1.4857652671579419E-6</v>
      </c>
      <c r="AY140" s="22">
        <f>'Activity data'!AY48*FracLEACH*MSLeachEF*NtoN2O*kgtoGg</f>
        <v>1.4856445920618978E-6</v>
      </c>
      <c r="AZ140" s="22">
        <f>'Activity data'!AZ48*FracLEACH*MSLeachEF*NtoN2O*kgtoGg</f>
        <v>1.4855526130249004E-6</v>
      </c>
      <c r="BA140" s="22">
        <f>'Activity data'!BA48*FracLEACH*MSLeachEF*NtoN2O*kgtoGg</f>
        <v>1.4854894356480966E-6</v>
      </c>
      <c r="BB140" s="22">
        <f>'Activity data'!BB48*FracLEACH*MSLeachEF*NtoN2O*kgtoGg</f>
        <v>1.4854551671876988E-6</v>
      </c>
      <c r="BC140" s="22">
        <f>'Activity data'!BC48*FracLEACH*MSLeachEF*NtoN2O*kgtoGg</f>
        <v>1.4854499048511669E-6</v>
      </c>
      <c r="BD140" s="22">
        <f>'Activity data'!BD48*FracLEACH*MSLeachEF*NtoN2O*kgtoGg</f>
        <v>1.5294784356038574E-6</v>
      </c>
      <c r="BE140" s="22">
        <f>'Activity data'!BE48*FracLEACH*MSLeachEF*NtoN2O*kgtoGg</f>
        <v>1.5295157587149565E-6</v>
      </c>
      <c r="BF140" s="22">
        <f>'Activity data'!BF48*FracLEACH*MSLeachEF*NtoN2O*kgtoGg</f>
        <v>1.5295522317134702E-6</v>
      </c>
      <c r="BG140" s="22">
        <f>'Activity data'!BG48*FracLEACH*MSLeachEF*NtoN2O*kgtoGg</f>
        <v>1.5295879043733193E-6</v>
      </c>
      <c r="BH140" s="22">
        <f>'Activity data'!BH48*FracLEACH*MSLeachEF*NtoN2O*kgtoGg</f>
        <v>1.5296228354616745E-6</v>
      </c>
      <c r="BI140" s="22">
        <f>'Activity data'!BI48*FracLEACH*MSLeachEF*NtoN2O*kgtoGg</f>
        <v>1.5296568764266789E-6</v>
      </c>
      <c r="BJ140" s="22">
        <f>'Activity data'!BJ48*FracLEACH*MSLeachEF*NtoN2O*kgtoGg</f>
        <v>1.5296899269703273E-6</v>
      </c>
      <c r="BK140" s="22">
        <f>'Activity data'!BK48*FracLEACH*MSLeachEF*NtoN2O*kgtoGg</f>
        <v>1.5297219743781909E-6</v>
      </c>
      <c r="BL140" s="22">
        <f>'Activity data'!BL48*FracLEACH*MSLeachEF*NtoN2O*kgtoGg</f>
        <v>1.5297528995032323E-6</v>
      </c>
      <c r="BM140" s="22">
        <f>'Activity data'!BM48*FracLEACH*MSLeachEF*NtoN2O*kgtoGg</f>
        <v>1.529782569706379E-6</v>
      </c>
      <c r="BN140" s="22">
        <f>'Activity data'!BN48*FracLEACH*MSLeachEF*NtoN2O*kgtoGg</f>
        <v>1.5298109674683716E-6</v>
      </c>
      <c r="BO140" s="22">
        <f>'Activity data'!BO48*FracLEACH*MSLeachEF*NtoN2O*kgtoGg</f>
        <v>1.5298381106323754E-6</v>
      </c>
      <c r="BP140" s="22">
        <f>'Activity data'!BP48*FracLEACH*MSLeachEF*NtoN2O*kgtoGg</f>
        <v>1.5298640113322035E-6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0.20732835560623103</v>
      </c>
      <c r="AF141" s="22">
        <f>SUM('Activity data'!AF50:AF65)*FracLEACH*MSLeachEF*NtoN2O*kgtoGg</f>
        <v>0.20853137086969875</v>
      </c>
      <c r="AG141" s="22">
        <f>SUM('Activity data'!AG50:AG65)*FracLEACH*MSLeachEF*NtoN2O*kgtoGg</f>
        <v>0.20795637847695569</v>
      </c>
      <c r="AH141" s="22">
        <f>SUM('Activity data'!AH50:AH65)*FracLEACH*MSLeachEF*NtoN2O*kgtoGg</f>
        <v>0.20628301821112832</v>
      </c>
      <c r="AI141" s="22">
        <f>SUM('Activity data'!AI50:AI65)*FracLEACH*MSLeachEF*NtoN2O*kgtoGg</f>
        <v>0.20354939622414611</v>
      </c>
      <c r="AJ141" s="22">
        <f>SUM('Activity data'!AJ50:AJ65)*FracLEACH*MSLeachEF*NtoN2O*kgtoGg</f>
        <v>0.20178646732442315</v>
      </c>
      <c r="AK141" s="22">
        <f>SUM('Activity data'!AK50:AK65)*FracLEACH*MSLeachEF*NtoN2O*kgtoGg</f>
        <v>0.20021853233884618</v>
      </c>
      <c r="AL141" s="22">
        <f>SUM('Activity data'!AL50:AL65)*FracLEACH*MSLeachEF*NtoN2O*kgtoGg</f>
        <v>0.18369364043125816</v>
      </c>
      <c r="AM141" s="22">
        <f>SUM('Activity data'!AM50:AM65)*FracLEACH*MSLeachEF*NtoN2O*kgtoGg</f>
        <v>0.19074245801308834</v>
      </c>
      <c r="AN141" s="22">
        <f>SUM('Activity data'!AN50:AN65)*FracLEACH*MSLeachEF*NtoN2O*kgtoGg</f>
        <v>0.54709913085173534</v>
      </c>
      <c r="AO141" s="22">
        <f>SUM('Activity data'!AO50:AO65)*FracLEACH*MSLeachEF*NtoN2O*kgtoGg</f>
        <v>0.55300351928587688</v>
      </c>
      <c r="AP141" s="22">
        <f>SUM('Activity data'!AP50:AP65)*FracLEACH*MSLeachEF*NtoN2O*kgtoGg</f>
        <v>0.55807464420509822</v>
      </c>
      <c r="AQ141" s="22">
        <f>SUM('Activity data'!AQ50:AQ65)*FracLEACH*MSLeachEF*NtoN2O*kgtoGg</f>
        <v>0.56229419622275822</v>
      </c>
      <c r="AR141" s="22">
        <f>SUM('Activity data'!AR50:AR65)*FracLEACH*MSLeachEF*NtoN2O*kgtoGg</f>
        <v>0.56565689030054322</v>
      </c>
      <c r="AS141" s="22">
        <f>SUM('Activity data'!AS50:AS65)*FracLEACH*MSLeachEF*NtoN2O*kgtoGg</f>
        <v>0.56813718205802377</v>
      </c>
      <c r="AT141" s="22">
        <f>SUM('Activity data'!AT50:AT65)*FracLEACH*MSLeachEF*NtoN2O*kgtoGg</f>
        <v>0.56971515638742798</v>
      </c>
      <c r="AU141" s="22">
        <f>SUM('Activity data'!AU50:AU65)*FracLEACH*MSLeachEF*NtoN2O*kgtoGg</f>
        <v>0.57037496938758903</v>
      </c>
      <c r="AV141" s="22">
        <f>SUM('Activity data'!AV50:AV65)*FracLEACH*MSLeachEF*NtoN2O*kgtoGg</f>
        <v>0.57010545707497351</v>
      </c>
      <c r="AW141" s="22">
        <f>SUM('Activity data'!AW50:AW65)*FracLEACH*MSLeachEF*NtoN2O*kgtoGg</f>
        <v>0.56676670518887351</v>
      </c>
      <c r="AX141" s="22">
        <f>SUM('Activity data'!AX50:AX65)*FracLEACH*MSLeachEF*NtoN2O*kgtoGg</f>
        <v>0.56250536936786533</v>
      </c>
      <c r="AY141" s="22">
        <f>SUM('Activity data'!AY50:AY65)*FracLEACH*MSLeachEF*NtoN2O*kgtoGg</f>
        <v>0.55733683429481795</v>
      </c>
      <c r="AZ141" s="22">
        <f>SUM('Activity data'!AZ50:AZ65)*FracLEACH*MSLeachEF*NtoN2O*kgtoGg</f>
        <v>0.55128187856538813</v>
      </c>
      <c r="BA141" s="22">
        <f>SUM('Activity data'!BA50:BA65)*FracLEACH*MSLeachEF*NtoN2O*kgtoGg</f>
        <v>0.54436526977326183</v>
      </c>
      <c r="BB141" s="22">
        <f>SUM('Activity data'!BB50:BB65)*FracLEACH*MSLeachEF*NtoN2O*kgtoGg</f>
        <v>0.53661612965976202</v>
      </c>
      <c r="BC141" s="22">
        <f>SUM('Activity data'!BC50:BC65)*FracLEACH*MSLeachEF*NtoN2O*kgtoGg</f>
        <v>-1.3787440297582821E-2</v>
      </c>
      <c r="BD141" s="22">
        <f>SUM('Activity data'!BD50:BD65)*FracLEACH*MSLeachEF*NtoN2O*kgtoGg</f>
        <v>-1.3365724301233515E-2</v>
      </c>
      <c r="BE141" s="22">
        <f>SUM('Activity data'!BE50:BE65)*FracLEACH*MSLeachEF*NtoN2O*kgtoGg</f>
        <v>-1.2947271832122912E-2</v>
      </c>
      <c r="BF141" s="22">
        <f>SUM('Activity data'!BF50:BF65)*FracLEACH*MSLeachEF*NtoN2O*kgtoGg</f>
        <v>-1.2532155025223722E-2</v>
      </c>
      <c r="BG141" s="22">
        <f>SUM('Activity data'!BG50:BG65)*FracLEACH*MSLeachEF*NtoN2O*kgtoGg</f>
        <v>-1.2199737734429479E-2</v>
      </c>
      <c r="BH141" s="22">
        <f>SUM('Activity data'!BH50:BH65)*FracLEACH*MSLeachEF*NtoN2O*kgtoGg</f>
        <v>-1.1869291383315354E-2</v>
      </c>
      <c r="BI141" s="22">
        <f>SUM('Activity data'!BI50:BI65)*FracLEACH*MSLeachEF*NtoN2O*kgtoGg</f>
        <v>-1.1540487330895275E-2</v>
      </c>
      <c r="BJ141" s="22">
        <f>SUM('Activity data'!BJ50:BJ65)*FracLEACH*MSLeachEF*NtoN2O*kgtoGg</f>
        <v>-1.1213279540447051E-2</v>
      </c>
      <c r="BK141" s="22">
        <f>SUM('Activity data'!BK50:BK65)*FracLEACH*MSLeachEF*NtoN2O*kgtoGg</f>
        <v>-1.0887330717202761E-2</v>
      </c>
      <c r="BL141" s="22">
        <f>SUM('Activity data'!BL50:BL65)*FracLEACH*MSLeachEF*NtoN2O*kgtoGg</f>
        <v>-1.0562298727174138E-2</v>
      </c>
      <c r="BM141" s="22">
        <f>SUM('Activity data'!BM50:BM65)*FracLEACH*MSLeachEF*NtoN2O*kgtoGg</f>
        <v>-1.0238184478362713E-2</v>
      </c>
      <c r="BN141" s="22">
        <f>SUM('Activity data'!BN50:BN65)*FracLEACH*MSLeachEF*NtoN2O*kgtoGg</f>
        <v>-9.9150869917118811E-3</v>
      </c>
      <c r="BO141" s="22">
        <f>SUM('Activity data'!BO50:BO65)*FracLEACH*MSLeachEF*NtoN2O*kgtoGg</f>
        <v>-9.5930871912063547E-3</v>
      </c>
      <c r="BP141" s="22">
        <f>SUM('Activity data'!BP50:BP65)*FracLEACH*MSLeachEF*NtoN2O*kgtoGg</f>
        <v>-9.27190554712015E-3</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0.10250223308080923</v>
      </c>
      <c r="AN143" s="22">
        <f>'Activity data'!AN85*FracLEACH*MSLeachEF*NtoN2O*kgtoGg</f>
        <v>0.10320425755524179</v>
      </c>
      <c r="AO143" s="22">
        <f>'Activity data'!AO85*FracLEACH*MSLeachEF*NtoN2O*kgtoGg</f>
        <v>0.12005228808448951</v>
      </c>
      <c r="AP143" s="22">
        <f>'Activity data'!AP85*FracLEACH*MSLeachEF*NtoN2O*kgtoGg</f>
        <v>0.12047318780844027</v>
      </c>
      <c r="AQ143" s="22">
        <f>'Activity data'!AQ85*FracLEACH*MSLeachEF*NtoN2O*kgtoGg</f>
        <v>0.12086279682940448</v>
      </c>
      <c r="AR143" s="22">
        <f>'Activity data'!AR85*FracLEACH*MSLeachEF*NtoN2O*kgtoGg</f>
        <v>0.12122115716514245</v>
      </c>
      <c r="AS143" s="22">
        <f>'Activity data'!AS85*FracLEACH*MSLeachEF*NtoN2O*kgtoGg</f>
        <v>0.12154854080302378</v>
      </c>
      <c r="AT143" s="22">
        <f>'Activity data'!AT85*FracLEACH*MSLeachEF*NtoN2O*kgtoGg</f>
        <v>0.12184466350232884</v>
      </c>
      <c r="AU143" s="22">
        <f>'Activity data'!AU85*FracLEACH*MSLeachEF*NtoN2O*kgtoGg</f>
        <v>0.1221092875582894</v>
      </c>
      <c r="AV143" s="22">
        <f>'Activity data'!AV85*FracLEACH*MSLeachEF*NtoN2O*kgtoGg</f>
        <v>0.12234218010157646</v>
      </c>
      <c r="AW143" s="22">
        <f>'Activity data'!AW85*FracLEACH*MSLeachEF*NtoN2O*kgtoGg</f>
        <v>0.12254312321244377</v>
      </c>
      <c r="AX143" s="22">
        <f>'Activity data'!AX85*FracLEACH*MSLeachEF*NtoN2O*kgtoGg</f>
        <v>0.12271193510141119</v>
      </c>
      <c r="AY143" s="22">
        <f>'Activity data'!AY85*FracLEACH*MSLeachEF*NtoN2O*kgtoGg</f>
        <v>0.12284843668588494</v>
      </c>
      <c r="AZ143" s="22">
        <f>'Activity data'!AZ85*FracLEACH*MSLeachEF*NtoN2O*kgtoGg</f>
        <v>0.12295247873515695</v>
      </c>
      <c r="BA143" s="22">
        <f>'Activity data'!BA85*FracLEACH*MSLeachEF*NtoN2O*kgtoGg</f>
        <v>0.12302394179853401</v>
      </c>
      <c r="BB143" s="22">
        <f>'Activity data'!BB85*FracLEACH*MSLeachEF*NtoN2O*kgtoGg</f>
        <v>0.12306270455319578</v>
      </c>
      <c r="BC143" s="22">
        <f>'Activity data'!BC85*FracLEACH*MSLeachEF*NtoN2O*kgtoGg</f>
        <v>0.12306865704296534</v>
      </c>
      <c r="BD143" s="22">
        <f>'Activity data'!BD85*FracLEACH*MSLeachEF*NtoN2O*kgtoGg</f>
        <v>7.3265802876620559E-2</v>
      </c>
      <c r="BE143" s="22">
        <f>'Activity data'!BE85*FracLEACH*MSLeachEF*NtoN2O*kgtoGg</f>
        <v>7.322358485509374E-2</v>
      </c>
      <c r="BF143" s="22">
        <f>'Activity data'!BF85*FracLEACH*MSLeachEF*NtoN2O*kgtoGg</f>
        <v>7.3182328438063146E-2</v>
      </c>
      <c r="BG143" s="22">
        <f>'Activity data'!BG85*FracLEACH*MSLeachEF*NtoN2O*kgtoGg</f>
        <v>7.3141977323778182E-2</v>
      </c>
      <c r="BH143" s="22">
        <f>'Activity data'!BH85*FracLEACH*MSLeachEF*NtoN2O*kgtoGg</f>
        <v>7.3102465037779299E-2</v>
      </c>
      <c r="BI143" s="22">
        <f>'Activity data'!BI85*FracLEACH*MSLeachEF*NtoN2O*kgtoGg</f>
        <v>7.3063959614436361E-2</v>
      </c>
      <c r="BJ143" s="22">
        <f>'Activity data'!BJ85*FracLEACH*MSLeachEF*NtoN2O*kgtoGg</f>
        <v>7.3026574505796304E-2</v>
      </c>
      <c r="BK143" s="22">
        <f>'Activity data'!BK85*FracLEACH*MSLeachEF*NtoN2O*kgtoGg</f>
        <v>7.299032409378052E-2</v>
      </c>
      <c r="BL143" s="22">
        <f>'Activity data'!BL85*FracLEACH*MSLeachEF*NtoN2O*kgtoGg</f>
        <v>7.2955343151510282E-2</v>
      </c>
      <c r="BM143" s="22">
        <f>'Activity data'!BM85*FracLEACH*MSLeachEF*NtoN2O*kgtoGg</f>
        <v>7.2921781713616574E-2</v>
      </c>
      <c r="BN143" s="22">
        <f>'Activity data'!BN85*FracLEACH*MSLeachEF*NtoN2O*kgtoGg</f>
        <v>7.2889659597002901E-2</v>
      </c>
      <c r="BO143" s="22">
        <f>'Activity data'!BO85*FracLEACH*MSLeachEF*NtoN2O*kgtoGg</f>
        <v>7.2858956618379891E-2</v>
      </c>
      <c r="BP143" s="22">
        <f>'Activity data'!BP85*FracLEACH*MSLeachEF*NtoN2O*kgtoGg</f>
        <v>7.282965905259077E-2</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0.39831175345583053</v>
      </c>
      <c r="AF156" s="22">
        <f>Constants!$H63*'Activity data'!AF5*Constants!$H81*EF!$H206*MMVolatEF*NtoN2O*kgtoGg</f>
        <v>0.40145358914715529</v>
      </c>
      <c r="AG156" s="22">
        <f>Constants!$H63*'Activity data'!AG5*Constants!$H81*EF!$H206*MMVolatEF*NtoN2O*kgtoGg</f>
        <v>0.40347255325329029</v>
      </c>
      <c r="AH156" s="22">
        <f>Constants!$H63*'Activity data'!AH5*Constants!$H81*EF!$H206*MMVolatEF*NtoN2O*kgtoGg</f>
        <v>0.40481416413578281</v>
      </c>
      <c r="AI156" s="22">
        <f>Constants!$H63*'Activity data'!AI5*Constants!$H81*EF!$H206*MMVolatEF*NtoN2O*kgtoGg</f>
        <v>0.40546521734783819</v>
      </c>
      <c r="AJ156" s="22">
        <f>Constants!$H63*'Activity data'!AJ5*Constants!$H81*EF!$H206*MMVolatEF*NtoN2O*kgtoGg</f>
        <v>0.40690363619044922</v>
      </c>
      <c r="AK156" s="22">
        <f>Constants!$H63*'Activity data'!AK5*Constants!$H81*EF!$H206*MMVolatEF*NtoN2O*kgtoGg</f>
        <v>0.40855374420631202</v>
      </c>
      <c r="AL156" s="22">
        <f>Constants!$H63*'Activity data'!AL5*Constants!$H81*EF!$H206*MMVolatEF*NtoN2O*kgtoGg</f>
        <v>0.39694485067455443</v>
      </c>
      <c r="AM156" s="22">
        <f>Constants!$H63*'Activity data'!AM5*Constants!$H81*EF!$H206*MMVolatEF*NtoN2O*kgtoGg</f>
        <v>0.40377484899001992</v>
      </c>
      <c r="AN156" s="22">
        <f>Constants!$H63*'Activity data'!AN5*Constants!$H81*EF!$H206*MMVolatEF*NtoN2O*kgtoGg</f>
        <v>0.69472691845052781</v>
      </c>
      <c r="AO156" s="22">
        <f>Constants!$H63*'Activity data'!AO5*Constants!$H81*EF!$H206*MMVolatEF*NtoN2O*kgtoGg</f>
        <v>0.70310152718694741</v>
      </c>
      <c r="AP156" s="22">
        <f>Constants!$H63*'Activity data'!AP5*Constants!$H81*EF!$H206*MMVolatEF*NtoN2O*kgtoGg</f>
        <v>0.71110880509409102</v>
      </c>
      <c r="AQ156" s="22">
        <f>Constants!$H63*'Activity data'!AQ5*Constants!$H81*EF!$H206*MMVolatEF*NtoN2O*kgtoGg</f>
        <v>0.718612550142118</v>
      </c>
      <c r="AR156" s="22">
        <f>Constants!$H63*'Activity data'!AR5*Constants!$H81*EF!$H206*MMVolatEF*NtoN2O*kgtoGg</f>
        <v>0.7254123730618981</v>
      </c>
      <c r="AS156" s="22">
        <f>Constants!$H63*'Activity data'!AS5*Constants!$H81*EF!$H206*MMVolatEF*NtoN2O*kgtoGg</f>
        <v>0.73147651852735551</v>
      </c>
      <c r="AT156" s="22">
        <f>Constants!$H63*'Activity data'!AT5*Constants!$H81*EF!$H206*MMVolatEF*NtoN2O*kgtoGg</f>
        <v>0.73676965969026942</v>
      </c>
      <c r="AU156" s="22">
        <f>Constants!$H63*'Activity data'!AU5*Constants!$H81*EF!$H206*MMVolatEF*NtoN2O*kgtoGg</f>
        <v>0.74126505933946241</v>
      </c>
      <c r="AV156" s="22">
        <f>Constants!$H63*'Activity data'!AV5*Constants!$H81*EF!$H206*MMVolatEF*NtoN2O*kgtoGg</f>
        <v>0.74494151296918631</v>
      </c>
      <c r="AW156" s="22">
        <f>Constants!$H63*'Activity data'!AW5*Constants!$H81*EF!$H206*MMVolatEF*NtoN2O*kgtoGg</f>
        <v>0.74777672987859323</v>
      </c>
      <c r="AX156" s="22">
        <f>Constants!$H63*'Activity data'!AX5*Constants!$H81*EF!$H206*MMVolatEF*NtoN2O*kgtoGg</f>
        <v>0.7497573654957449</v>
      </c>
      <c r="AY156" s="22">
        <f>Constants!$H63*'Activity data'!AY5*Constants!$H81*EF!$H206*MMVolatEF*NtoN2O*kgtoGg</f>
        <v>0.75087061941702216</v>
      </c>
      <c r="AZ156" s="22">
        <f>Constants!$H63*'Activity data'!AZ5*Constants!$H81*EF!$H206*MMVolatEF*NtoN2O*kgtoGg</f>
        <v>0.75110412486622213</v>
      </c>
      <c r="BA156" s="22">
        <f>Constants!$H63*'Activity data'!BA5*Constants!$H81*EF!$H206*MMVolatEF*NtoN2O*kgtoGg</f>
        <v>0.75045562343243666</v>
      </c>
      <c r="BB156" s="22">
        <f>Constants!$H63*'Activity data'!BB5*Constants!$H81*EF!$H206*MMVolatEF*NtoN2O*kgtoGg</f>
        <v>0.74892880709192955</v>
      </c>
      <c r="BC156" s="22">
        <f>Constants!$H63*'Activity data'!BC5*Constants!$H81*EF!$H206*MMVolatEF*NtoN2O*kgtoGg</f>
        <v>0.2369481237841857</v>
      </c>
      <c r="BD156" s="22">
        <f>Constants!$H63*'Activity data'!BD5*Constants!$H81*EF!$H206*MMVolatEF*NtoN2O*kgtoGg</f>
        <v>0.23712109193812289</v>
      </c>
      <c r="BE156" s="22">
        <f>Constants!$H63*'Activity data'!BE5*Constants!$H81*EF!$H206*MMVolatEF*NtoN2O*kgtoGg</f>
        <v>0.23728160870243259</v>
      </c>
      <c r="BF156" s="22">
        <f>Constants!$H63*'Activity data'!BF5*Constants!$H81*EF!$H206*MMVolatEF*NtoN2O*kgtoGg</f>
        <v>0.2374307599177384</v>
      </c>
      <c r="BG156" s="22">
        <f>Constants!$H63*'Activity data'!BG5*Constants!$H81*EF!$H206*MMVolatEF*NtoN2O*kgtoGg</f>
        <v>0.2375698831121214</v>
      </c>
      <c r="BH156" s="22">
        <f>Constants!$H63*'Activity data'!BH5*Constants!$H81*EF!$H206*MMVolatEF*NtoN2O*kgtoGg</f>
        <v>0.23769461188435137</v>
      </c>
      <c r="BI156" s="22">
        <f>Constants!$H63*'Activity data'!BI5*Constants!$H81*EF!$H206*MMVolatEF*NtoN2O*kgtoGg</f>
        <v>0.2378020140279184</v>
      </c>
      <c r="BJ156" s="22">
        <f>Constants!$H63*'Activity data'!BJ5*Constants!$H81*EF!$H206*MMVolatEF*NtoN2O*kgtoGg</f>
        <v>0.23789161932894973</v>
      </c>
      <c r="BK156" s="22">
        <f>Constants!$H63*'Activity data'!BK5*Constants!$H81*EF!$H206*MMVolatEF*NtoN2O*kgtoGg</f>
        <v>0.23796010078507188</v>
      </c>
      <c r="BL156" s="22">
        <f>Constants!$H63*'Activity data'!BL5*Constants!$H81*EF!$H206*MMVolatEF*NtoN2O*kgtoGg</f>
        <v>0.2380038463120322</v>
      </c>
      <c r="BM156" s="22">
        <f>Constants!$H63*'Activity data'!BM5*Constants!$H81*EF!$H206*MMVolatEF*NtoN2O*kgtoGg</f>
        <v>0.23802240976704672</v>
      </c>
      <c r="BN156" s="22">
        <f>Constants!$H63*'Activity data'!BN5*Constants!$H81*EF!$H206*MMVolatEF*NtoN2O*kgtoGg</f>
        <v>0.23801630420250081</v>
      </c>
      <c r="BO156" s="22">
        <f>Constants!$H63*'Activity data'!BO5*Constants!$H81*EF!$H206*MMVolatEF*NtoN2O*kgtoGg</f>
        <v>0.23798588741324539</v>
      </c>
      <c r="BP156" s="22">
        <f>Constants!$H63*'Activity data'!BP5*Constants!$H81*EF!$H206*MMVolatEF*NtoN2O*kgtoGg</f>
        <v>0.23792776204046176</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3.1424516095088999E-2</v>
      </c>
      <c r="AF157" s="22">
        <f>Constants!$H64*'Activity data'!AF6*Constants!$H82*EF!$H207*MMVolatEF*NtoN2O*kgtoGg</f>
        <v>3.1672388936885787E-2</v>
      </c>
      <c r="AG157" s="22">
        <f>Constants!$H64*'Activity data'!AG6*Constants!$H82*EF!$H207*MMVolatEF*NtoN2O*kgtoGg</f>
        <v>3.1831673641638247E-2</v>
      </c>
      <c r="AH157" s="22">
        <f>Constants!$H64*'Activity data'!AH6*Constants!$H82*EF!$H207*MMVolatEF*NtoN2O*kgtoGg</f>
        <v>3.1937519056453263E-2</v>
      </c>
      <c r="AI157" s="22">
        <f>Constants!$H64*'Activity data'!AI6*Constants!$H82*EF!$H207*MMVolatEF*NtoN2O*kgtoGg</f>
        <v>3.1988883426104654E-2</v>
      </c>
      <c r="AJ157" s="22">
        <f>Constants!$H64*'Activity data'!AJ6*Constants!$H82*EF!$H207*MMVolatEF*NtoN2O*kgtoGg</f>
        <v>3.2102366434524382E-2</v>
      </c>
      <c r="AK157" s="22">
        <f>Constants!$H64*'Activity data'!AK6*Constants!$H82*EF!$H207*MMVolatEF*NtoN2O*kgtoGg</f>
        <v>3.2232550506305399E-2</v>
      </c>
      <c r="AL157" s="22">
        <f>Constants!$H64*'Activity data'!AL6*Constants!$H82*EF!$H207*MMVolatEF*NtoN2O*kgtoGg</f>
        <v>3.1316675294314346E-2</v>
      </c>
      <c r="AM157" s="22">
        <f>Constants!$H64*'Activity data'!AM6*Constants!$H82*EF!$H207*MMVolatEF*NtoN2O*kgtoGg</f>
        <v>3.1855523043926581E-2</v>
      </c>
      <c r="AN157" s="22">
        <f>Constants!$H64*'Activity data'!AN6*Constants!$H82*EF!$H207*MMVolatEF*NtoN2O*kgtoGg</f>
        <v>5.4809974953353012E-2</v>
      </c>
      <c r="AO157" s="22">
        <f>Constants!$H64*'Activity data'!AO6*Constants!$H82*EF!$H207*MMVolatEF*NtoN2O*kgtoGg</f>
        <v>5.547068361872478E-2</v>
      </c>
      <c r="AP157" s="22">
        <f>Constants!$H64*'Activity data'!AP6*Constants!$H82*EF!$H207*MMVolatEF*NtoN2O*kgtoGg</f>
        <v>5.6102411985482069E-2</v>
      </c>
      <c r="AQ157" s="22">
        <f>Constants!$H64*'Activity data'!AQ6*Constants!$H82*EF!$H207*MMVolatEF*NtoN2O*kgtoGg</f>
        <v>5.6694414493540908E-2</v>
      </c>
      <c r="AR157" s="22">
        <f>Constants!$H64*'Activity data'!AR6*Constants!$H82*EF!$H207*MMVolatEF*NtoN2O*kgtoGg</f>
        <v>5.7230881577257239E-2</v>
      </c>
      <c r="AS157" s="22">
        <f>Constants!$H64*'Activity data'!AS6*Constants!$H82*EF!$H207*MMVolatEF*NtoN2O*kgtoGg</f>
        <v>5.7709307923276061E-2</v>
      </c>
      <c r="AT157" s="22">
        <f>Constants!$H64*'Activity data'!AT6*Constants!$H82*EF!$H207*MMVolatEF*NtoN2O*kgtoGg</f>
        <v>5.812690644560041E-2</v>
      </c>
      <c r="AU157" s="22">
        <f>Constants!$H64*'Activity data'!AU6*Constants!$H82*EF!$H207*MMVolatEF*NtoN2O*kgtoGg</f>
        <v>5.8481567731400452E-2</v>
      </c>
      <c r="AV157" s="22">
        <f>Constants!$H64*'Activity data'!AV6*Constants!$H82*EF!$H207*MMVolatEF*NtoN2O*kgtoGg</f>
        <v>5.8771618866617373E-2</v>
      </c>
      <c r="AW157" s="22">
        <f>Constants!$H64*'Activity data'!AW6*Constants!$H82*EF!$H207*MMVolatEF*NtoN2O*kgtoGg</f>
        <v>5.8995301242619896E-2</v>
      </c>
      <c r="AX157" s="22">
        <f>Constants!$H64*'Activity data'!AX6*Constants!$H82*EF!$H207*MMVolatEF*NtoN2O*kgtoGg</f>
        <v>5.9151562049110484E-2</v>
      </c>
      <c r="AY157" s="22">
        <f>Constants!$H64*'Activity data'!AY6*Constants!$H82*EF!$H207*MMVolatEF*NtoN2O*kgtoGg</f>
        <v>5.9239391407555408E-2</v>
      </c>
      <c r="AZ157" s="22">
        <f>Constants!$H64*'Activity data'!AZ6*Constants!$H82*EF!$H207*MMVolatEF*NtoN2O*kgtoGg</f>
        <v>5.9257813650140552E-2</v>
      </c>
      <c r="BA157" s="22">
        <f>Constants!$H64*'Activity data'!BA6*Constants!$H82*EF!$H207*MMVolatEF*NtoN2O*kgtoGg</f>
        <v>5.9206650601179869E-2</v>
      </c>
      <c r="BB157" s="22">
        <f>Constants!$H64*'Activity data'!BB6*Constants!$H82*EF!$H207*MMVolatEF*NtoN2O*kgtoGg</f>
        <v>5.9086193536455466E-2</v>
      </c>
      <c r="BC157" s="22">
        <f>Constants!$H64*'Activity data'!BC6*Constants!$H82*EF!$H207*MMVolatEF*NtoN2O*kgtoGg</f>
        <v>1.8693849892589171E-2</v>
      </c>
      <c r="BD157" s="22">
        <f>Constants!$H64*'Activity data'!BD6*Constants!$H82*EF!$H207*MMVolatEF*NtoN2O*kgtoGg</f>
        <v>1.870749608929358E-2</v>
      </c>
      <c r="BE157" s="22">
        <f>Constants!$H64*'Activity data'!BE6*Constants!$H82*EF!$H207*MMVolatEF*NtoN2O*kgtoGg</f>
        <v>1.8720159942669283E-2</v>
      </c>
      <c r="BF157" s="22">
        <f>Constants!$H64*'Activity data'!BF6*Constants!$H82*EF!$H207*MMVolatEF*NtoN2O*kgtoGg</f>
        <v>1.873192711932253E-2</v>
      </c>
      <c r="BG157" s="22">
        <f>Constants!$H64*'Activity data'!BG6*Constants!$H82*EF!$H207*MMVolatEF*NtoN2O*kgtoGg</f>
        <v>1.8742903142558495E-2</v>
      </c>
      <c r="BH157" s="22">
        <f>Constants!$H64*'Activity data'!BH6*Constants!$H82*EF!$H207*MMVolatEF*NtoN2O*kgtoGg</f>
        <v>1.8752743528327825E-2</v>
      </c>
      <c r="BI157" s="22">
        <f>Constants!$H64*'Activity data'!BI6*Constants!$H82*EF!$H207*MMVolatEF*NtoN2O*kgtoGg</f>
        <v>1.8761216942330506E-2</v>
      </c>
      <c r="BJ157" s="22">
        <f>Constants!$H64*'Activity data'!BJ6*Constants!$H82*EF!$H207*MMVolatEF*NtoN2O*kgtoGg</f>
        <v>1.8768286287385059E-2</v>
      </c>
      <c r="BK157" s="22">
        <f>Constants!$H64*'Activity data'!BK6*Constants!$H82*EF!$H207*MMVolatEF*NtoN2O*kgtoGg</f>
        <v>1.8773689082058967E-2</v>
      </c>
      <c r="BL157" s="22">
        <f>Constants!$H64*'Activity data'!BL6*Constants!$H82*EF!$H207*MMVolatEF*NtoN2O*kgtoGg</f>
        <v>1.8777140353592202E-2</v>
      </c>
      <c r="BM157" s="22">
        <f>Constants!$H64*'Activity data'!BM6*Constants!$H82*EF!$H207*MMVolatEF*NtoN2O*kgtoGg</f>
        <v>1.8778604903874292E-2</v>
      </c>
      <c r="BN157" s="22">
        <f>Constants!$H64*'Activity data'!BN6*Constants!$H82*EF!$H207*MMVolatEF*NtoN2O*kgtoGg</f>
        <v>1.877812320980005E-2</v>
      </c>
      <c r="BO157" s="22">
        <f>Constants!$H64*'Activity data'!BO6*Constants!$H82*EF!$H207*MMVolatEF*NtoN2O*kgtoGg</f>
        <v>1.8775723499333995E-2</v>
      </c>
      <c r="BP157" s="22">
        <f>Constants!$H64*'Activity data'!BP6*Constants!$H82*EF!$H207*MMVolatEF*NtoN2O*kgtoGg</f>
        <v>1.8771137740323057E-2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2.9129279224209421E-4</v>
      </c>
      <c r="AF158" s="22">
        <f>Constants!$H65*'Activity data'!AF7*Constants!$H83*EF!$H208*MMVolatEF*NtoN2O*kgtoGg</f>
        <v>2.9359047510821973E-4</v>
      </c>
      <c r="AG158" s="22">
        <f>Constants!$H65*'Activity data'!AG7*Constants!$H83*EF!$H208*MMVolatEF*NtoN2O*kgtoGg</f>
        <v>2.9506698110336069E-4</v>
      </c>
      <c r="AH158" s="22">
        <f>Constants!$H65*'Activity data'!AH7*Constants!$H83*EF!$H208*MMVolatEF*NtoN2O*kgtoGg</f>
        <v>2.960481260901027E-4</v>
      </c>
      <c r="AI158" s="22">
        <f>Constants!$H65*'Activity data'!AI7*Constants!$H83*EF!$H208*MMVolatEF*NtoN2O*kgtoGg</f>
        <v>2.9652425341095731E-4</v>
      </c>
      <c r="AJ158" s="22">
        <f>Constants!$H65*'Activity data'!AJ7*Constants!$H83*EF!$H208*MMVolatEF*NtoN2O*kgtoGg</f>
        <v>2.9757619585915883E-4</v>
      </c>
      <c r="AK158" s="22">
        <f>Constants!$H65*'Activity data'!AK7*Constants!$H83*EF!$H208*MMVolatEF*NtoN2O*kgtoGg</f>
        <v>2.9878295053629658E-4</v>
      </c>
      <c r="AL158" s="22">
        <f>Constants!$H65*'Activity data'!AL7*Constants!$H83*EF!$H208*MMVolatEF*NtoN2O*kgtoGg</f>
        <v>2.9029315081944787E-4</v>
      </c>
      <c r="AM158" s="22">
        <f>Constants!$H65*'Activity data'!AM7*Constants!$H83*EF!$H208*MMVolatEF*NtoN2O*kgtoGg</f>
        <v>2.9528805559707279E-4</v>
      </c>
      <c r="AN158" s="22">
        <f>Constants!$H65*'Activity data'!AN7*Constants!$H83*EF!$H208*MMVolatEF*NtoN2O*kgtoGg</f>
        <v>5.0806671449036449E-4</v>
      </c>
      <c r="AO158" s="22">
        <f>Constants!$H65*'Activity data'!AO7*Constants!$H83*EF!$H208*MMVolatEF*NtoN2O*kgtoGg</f>
        <v>5.1419122159215467E-4</v>
      </c>
      <c r="AP158" s="22">
        <f>Constants!$H65*'Activity data'!AP7*Constants!$H83*EF!$H208*MMVolatEF*NtoN2O*kgtoGg</f>
        <v>5.200470928276717E-4</v>
      </c>
      <c r="AQ158" s="22">
        <f>Constants!$H65*'Activity data'!AQ7*Constants!$H83*EF!$H208*MMVolatEF*NtoN2O*kgtoGg</f>
        <v>5.2553472111970217E-4</v>
      </c>
      <c r="AR158" s="22">
        <f>Constants!$H65*'Activity data'!AR7*Constants!$H83*EF!$H208*MMVolatEF*NtoN2O*kgtoGg</f>
        <v>5.3050755806932593E-4</v>
      </c>
      <c r="AS158" s="22">
        <f>Constants!$H65*'Activity data'!AS7*Constants!$H83*EF!$H208*MMVolatEF*NtoN2O*kgtoGg</f>
        <v>5.3494238041606622E-4</v>
      </c>
      <c r="AT158" s="22">
        <f>Constants!$H65*'Activity data'!AT7*Constants!$H83*EF!$H208*MMVolatEF*NtoN2O*kgtoGg</f>
        <v>5.3881335297888784E-4</v>
      </c>
      <c r="AU158" s="22">
        <f>Constants!$H65*'Activity data'!AU7*Constants!$H83*EF!$H208*MMVolatEF*NtoN2O*kgtoGg</f>
        <v>5.42100922338055E-4</v>
      </c>
      <c r="AV158" s="22">
        <f>Constants!$H65*'Activity data'!AV7*Constants!$H83*EF!$H208*MMVolatEF*NtoN2O*kgtoGg</f>
        <v>5.4478958124419888E-4</v>
      </c>
      <c r="AW158" s="22">
        <f>Constants!$H65*'Activity data'!AW7*Constants!$H83*EF!$H208*MMVolatEF*NtoN2O*kgtoGg</f>
        <v>5.4686302809327551E-4</v>
      </c>
      <c r="AX158" s="22">
        <f>Constants!$H65*'Activity data'!AX7*Constants!$H83*EF!$H208*MMVolatEF*NtoN2O*kgtoGg</f>
        <v>5.4831150375167243E-4</v>
      </c>
      <c r="AY158" s="22">
        <f>Constants!$H65*'Activity data'!AY7*Constants!$H83*EF!$H208*MMVolatEF*NtoN2O*kgtoGg</f>
        <v>5.4912564704618944E-4</v>
      </c>
      <c r="AZ158" s="22">
        <f>Constants!$H65*'Activity data'!AZ7*Constants!$H83*EF!$H208*MMVolatEF*NtoN2O*kgtoGg</f>
        <v>5.4929641392341823E-4</v>
      </c>
      <c r="BA158" s="22">
        <f>Constants!$H65*'Activity data'!BA7*Constants!$H83*EF!$H208*MMVolatEF*NtoN2O*kgtoGg</f>
        <v>5.4882215276546513E-4</v>
      </c>
      <c r="BB158" s="22">
        <f>Constants!$H65*'Activity data'!BB7*Constants!$H83*EF!$H208*MMVolatEF*NtoN2O*kgtoGg</f>
        <v>5.4770556358322664E-4</v>
      </c>
      <c r="BC158" s="22">
        <f>Constants!$H65*'Activity data'!BC7*Constants!$H83*EF!$H208*MMVolatEF*NtoN2O*kgtoGg</f>
        <v>1.7328456917170714E-4</v>
      </c>
      <c r="BD158" s="22">
        <f>Constants!$H65*'Activity data'!BD7*Constants!$H83*EF!$H208*MMVolatEF*NtoN2O*kgtoGg</f>
        <v>1.7341106399916873E-4</v>
      </c>
      <c r="BE158" s="22">
        <f>Constants!$H65*'Activity data'!BE7*Constants!$H83*EF!$H208*MMVolatEF*NtoN2O*kgtoGg</f>
        <v>1.7352845289385181E-4</v>
      </c>
      <c r="BF158" s="22">
        <f>Constants!$H65*'Activity data'!BF7*Constants!$H83*EF!$H208*MMVolatEF*NtoN2O*kgtoGg</f>
        <v>1.7363752995119643E-4</v>
      </c>
      <c r="BG158" s="22">
        <f>Constants!$H65*'Activity data'!BG7*Constants!$H83*EF!$H208*MMVolatEF*NtoN2O*kgtoGg</f>
        <v>1.7373927333036077E-4</v>
      </c>
      <c r="BH158" s="22">
        <f>Constants!$H65*'Activity data'!BH7*Constants!$H83*EF!$H208*MMVolatEF*NtoN2O*kgtoGg</f>
        <v>1.7383048980092826E-4</v>
      </c>
      <c r="BI158" s="22">
        <f>Constants!$H65*'Activity data'!BI7*Constants!$H83*EF!$H208*MMVolatEF*NtoN2O*kgtoGg</f>
        <v>1.7390903498575136E-4</v>
      </c>
      <c r="BJ158" s="22">
        <f>Constants!$H65*'Activity data'!BJ7*Constants!$H83*EF!$H208*MMVolatEF*NtoN2O*kgtoGg</f>
        <v>1.7397456500868103E-4</v>
      </c>
      <c r="BK158" s="22">
        <f>Constants!$H65*'Activity data'!BK7*Constants!$H83*EF!$H208*MMVolatEF*NtoN2O*kgtoGg</f>
        <v>1.7402464677101302E-4</v>
      </c>
      <c r="BL158" s="22">
        <f>Constants!$H65*'Activity data'!BL7*Constants!$H83*EF!$H208*MMVolatEF*NtoN2O*kgtoGg</f>
        <v>1.7405663868836374E-4</v>
      </c>
      <c r="BM158" s="22">
        <f>Constants!$H65*'Activity data'!BM7*Constants!$H83*EF!$H208*MMVolatEF*NtoN2O*kgtoGg</f>
        <v>1.7407021448821884E-4</v>
      </c>
      <c r="BN158" s="22">
        <f>Constants!$H65*'Activity data'!BN7*Constants!$H83*EF!$H208*MMVolatEF*NtoN2O*kgtoGg</f>
        <v>1.7406574937532841E-4</v>
      </c>
      <c r="BO158" s="22">
        <f>Constants!$H65*'Activity data'!BO7*Constants!$H83*EF!$H208*MMVolatEF*NtoN2O*kgtoGg</f>
        <v>1.7404350501172027E-4</v>
      </c>
      <c r="BP158" s="22">
        <f>Constants!$H65*'Activity data'!BP7*Constants!$H83*EF!$H208*MMVolatEF*NtoN2O*kgtoGg</f>
        <v>1.740009968457137E-4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3.2323215352203878E-3</v>
      </c>
      <c r="AE159" s="22">
        <f>Constants!$H66*'Activity data'!AE8*Constants!$H84*EF!$H209*MMVolatEF*NtoN2O*kgtoGg</f>
        <v>3.2042886428129457E-3</v>
      </c>
      <c r="AF159" s="22">
        <f>Constants!$H66*'Activity data'!AF8*Constants!$H84*EF!$H209*MMVolatEF*NtoN2O*kgtoGg</f>
        <v>3.193617369300608E-3</v>
      </c>
      <c r="AG159" s="22">
        <f>Constants!$H66*'Activity data'!AG8*Constants!$H84*EF!$H209*MMVolatEF*NtoN2O*kgtoGg</f>
        <v>3.1509707896886733E-3</v>
      </c>
      <c r="AH159" s="22">
        <f>Constants!$H66*'Activity data'!AH8*Constants!$H84*EF!$H209*MMVolatEF*NtoN2O*kgtoGg</f>
        <v>3.0890682378804119E-3</v>
      </c>
      <c r="AI159" s="22">
        <f>Constants!$H66*'Activity data'!AI8*Constants!$H84*EF!$H209*MMVolatEF*NtoN2O*kgtoGg</f>
        <v>3.0091897617382946E-3</v>
      </c>
      <c r="AJ159" s="22">
        <f>Constants!$H66*'Activity data'!AJ8*Constants!$H84*EF!$H209*MMVolatEF*NtoN2O*kgtoGg</f>
        <v>2.9461872714039491E-3</v>
      </c>
      <c r="AK159" s="22">
        <f>Constants!$H66*'Activity data'!AK8*Constants!$H84*EF!$H209*MMVolatEF*NtoN2O*kgtoGg</f>
        <v>2.8865797531671873E-3</v>
      </c>
      <c r="AL159" s="22">
        <f>Constants!$H66*'Activity data'!AL8*Constants!$H84*EF!$H209*MMVolatEF*NtoN2O*kgtoGg</f>
        <v>2.5815224060103171E-3</v>
      </c>
      <c r="AM159" s="22">
        <f>Constants!$H66*'Activity data'!AM8*Constants!$H84*EF!$H209*MMVolatEF*NtoN2O*kgtoGg</f>
        <v>2.6809806193820299E-3</v>
      </c>
      <c r="AN159" s="22">
        <f>Constants!$H66*'Activity data'!AN8*Constants!$H84*EF!$H209*MMVolatEF*NtoN2O*kgtoGg</f>
        <v>8.4496349357244746E-3</v>
      </c>
      <c r="AO159" s="22">
        <f>Constants!$H66*'Activity data'!AO8*Constants!$H84*EF!$H209*MMVolatEF*NtoN2O*kgtoGg</f>
        <v>8.490390729273779E-3</v>
      </c>
      <c r="AP159" s="22">
        <f>Constants!$H66*'Activity data'!AP8*Constants!$H84*EF!$H209*MMVolatEF*NtoN2O*kgtoGg</f>
        <v>8.5164743363873984E-3</v>
      </c>
      <c r="AQ159" s="22">
        <f>Constants!$H66*'Activity data'!AQ8*Constants!$H84*EF!$H209*MMVolatEF*NtoN2O*kgtoGg</f>
        <v>8.5278804443353062E-3</v>
      </c>
      <c r="AR159" s="22">
        <f>Constants!$H66*'Activity data'!AR8*Constants!$H84*EF!$H209*MMVolatEF*NtoN2O*kgtoGg</f>
        <v>8.5248506776145015E-3</v>
      </c>
      <c r="AS159" s="22">
        <f>Constants!$H66*'Activity data'!AS8*Constants!$H84*EF!$H209*MMVolatEF*NtoN2O*kgtoGg</f>
        <v>8.5072398121281648E-3</v>
      </c>
      <c r="AT159" s="22">
        <f>Constants!$H66*'Activity data'!AT8*Constants!$H84*EF!$H209*MMVolatEF*NtoN2O*kgtoGg</f>
        <v>8.4750047085989932E-3</v>
      </c>
      <c r="AU159" s="22">
        <f>Constants!$H66*'Activity data'!AU8*Constants!$H84*EF!$H209*MMVolatEF*NtoN2O*kgtoGg</f>
        <v>8.4281720385821924E-3</v>
      </c>
      <c r="AV159" s="22">
        <f>Constants!$H66*'Activity data'!AV8*Constants!$H84*EF!$H209*MMVolatEF*NtoN2O*kgtoGg</f>
        <v>8.3668471101216637E-3</v>
      </c>
      <c r="AW159" s="22">
        <f>Constants!$H66*'Activity data'!AW8*Constants!$H84*EF!$H209*MMVolatEF*NtoN2O*kgtoGg</f>
        <v>8.2215560258446178E-3</v>
      </c>
      <c r="AX159" s="22">
        <f>Constants!$H66*'Activity data'!AX8*Constants!$H84*EF!$H209*MMVolatEF*NtoN2O*kgtoGg</f>
        <v>8.0625794404136485E-3</v>
      </c>
      <c r="AY159" s="22">
        <f>Constants!$H66*'Activity data'!AY8*Constants!$H84*EF!$H209*MMVolatEF*NtoN2O*kgtoGg</f>
        <v>7.8906316671852623E-3</v>
      </c>
      <c r="AZ159" s="22">
        <f>Constants!$H66*'Activity data'!AZ8*Constants!$H84*EF!$H209*MMVolatEF*NtoN2O*kgtoGg</f>
        <v>7.7065081858302149E-3</v>
      </c>
      <c r="BA159" s="22">
        <f>Constants!$H66*'Activity data'!BA8*Constants!$H84*EF!$H209*MMVolatEF*NtoN2O*kgtoGg</f>
        <v>7.5110558523361756E-3</v>
      </c>
      <c r="BB159" s="22">
        <f>Constants!$H66*'Activity data'!BB8*Constants!$H84*EF!$H209*MMVolatEF*NtoN2O*kgtoGg</f>
        <v>7.3051764470657117E-3</v>
      </c>
      <c r="BC159" s="22">
        <f>Constants!$H66*'Activity data'!BC8*Constants!$H84*EF!$H209*MMVolatEF*NtoN2O*kgtoGg</f>
        <v>-5.6405599805615676E-4</v>
      </c>
      <c r="BD159" s="22">
        <f>Constants!$H66*'Activity data'!BD8*Constants!$H84*EF!$H209*MMVolatEF*NtoN2O*kgtoGg</f>
        <v>-5.5047515962352916E-4</v>
      </c>
      <c r="BE159" s="22">
        <f>Constants!$H66*'Activity data'!BE8*Constants!$H84*EF!$H209*MMVolatEF*NtoN2O*kgtoGg</f>
        <v>-5.3703562288424922E-4</v>
      </c>
      <c r="BF159" s="22">
        <f>Constants!$H66*'Activity data'!BF8*Constants!$H84*EF!$H209*MMVolatEF*NtoN2O*kgtoGg</f>
        <v>-5.2373599978206974E-4</v>
      </c>
      <c r="BG159" s="22">
        <f>Constants!$H66*'Activity data'!BG8*Constants!$H84*EF!$H209*MMVolatEF*NtoN2O*kgtoGg</f>
        <v>-5.1318044022279606E-4</v>
      </c>
      <c r="BH159" s="22">
        <f>Constants!$H66*'Activity data'!BH8*Constants!$H84*EF!$H209*MMVolatEF*NtoN2O*kgtoGg</f>
        <v>-5.0272501169057937E-4</v>
      </c>
      <c r="BI159" s="22">
        <f>Constants!$H66*'Activity data'!BI8*Constants!$H84*EF!$H209*MMVolatEF*NtoN2O*kgtoGg</f>
        <v>-4.9236193773087231E-4</v>
      </c>
      <c r="BJ159" s="22">
        <f>Constants!$H66*'Activity data'!BJ8*Constants!$H84*EF!$H209*MMVolatEF*NtoN2O*kgtoGg</f>
        <v>-4.8208865134491532E-4</v>
      </c>
      <c r="BK159" s="22">
        <f>Constants!$H66*'Activity data'!BK8*Constants!$H84*EF!$H209*MMVolatEF*NtoN2O*kgtoGg</f>
        <v>-4.7189764173024049E-4</v>
      </c>
      <c r="BL159" s="22">
        <f>Constants!$H66*'Activity data'!BL8*Constants!$H84*EF!$H209*MMVolatEF*NtoN2O*kgtoGg</f>
        <v>-4.6178155356127546E-4</v>
      </c>
      <c r="BM159" s="22">
        <f>Constants!$H66*'Activity data'!BM8*Constants!$H84*EF!$H209*MMVolatEF*NtoN2O*kgtoGg</f>
        <v>-4.5173920552966836E-4</v>
      </c>
      <c r="BN159" s="22">
        <f>Constants!$H66*'Activity data'!BN8*Constants!$H84*EF!$H209*MMVolatEF*NtoN2O*kgtoGg</f>
        <v>-4.4177121806458731E-4</v>
      </c>
      <c r="BO159" s="22">
        <f>Constants!$H66*'Activity data'!BO8*Constants!$H84*EF!$H209*MMVolatEF*NtoN2O*kgtoGg</f>
        <v>-4.31877971766583E-4</v>
      </c>
      <c r="BP159" s="22">
        <f>Constants!$H66*'Activity data'!BP8*Constants!$H84*EF!$H209*MMVolatEF*NtoN2O*kgtoGg</f>
        <v>-4.220537843353357E-4</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1.6090517274103568E-2</v>
      </c>
      <c r="AE160" s="22">
        <f>Constants!$H67*'Activity data'!AE9*Constants!$H85*EF!$H210*MMVolatEF*NtoN2O*kgtoGg</f>
        <v>1.5950969356419611E-2</v>
      </c>
      <c r="AF160" s="22">
        <f>Constants!$H67*'Activity data'!AF9*Constants!$H85*EF!$H210*MMVolatEF*NtoN2O*kgtoGg</f>
        <v>1.5897847688628834E-2</v>
      </c>
      <c r="AG160" s="22">
        <f>Constants!$H67*'Activity data'!AG9*Constants!$H85*EF!$H210*MMVolatEF*NtoN2O*kgtoGg</f>
        <v>1.5685552742581491E-2</v>
      </c>
      <c r="AH160" s="22">
        <f>Constants!$H67*'Activity data'!AH9*Constants!$H85*EF!$H210*MMVolatEF*NtoN2O*kgtoGg</f>
        <v>1.5377401443792458E-2</v>
      </c>
      <c r="AI160" s="22">
        <f>Constants!$H67*'Activity data'!AI9*Constants!$H85*EF!$H210*MMVolatEF*NtoN2O*kgtoGg</f>
        <v>1.4979765878707448E-2</v>
      </c>
      <c r="AJ160" s="22">
        <f>Constants!$H67*'Activity data'!AJ9*Constants!$H85*EF!$H210*MMVolatEF*NtoN2O*kgtoGg</f>
        <v>1.4666139078901096E-2</v>
      </c>
      <c r="AK160" s="22">
        <f>Constants!$H67*'Activity data'!AK9*Constants!$H85*EF!$H210*MMVolatEF*NtoN2O*kgtoGg</f>
        <v>1.4369412471908493E-2</v>
      </c>
      <c r="AL160" s="22">
        <f>Constants!$H67*'Activity data'!AL9*Constants!$H85*EF!$H210*MMVolatEF*NtoN2O*kgtoGg</f>
        <v>1.2850835046817909E-2</v>
      </c>
      <c r="AM160" s="22">
        <f>Constants!$H67*'Activity data'!AM9*Constants!$H85*EF!$H210*MMVolatEF*NtoN2O*kgtoGg</f>
        <v>1.3345938669050808E-2</v>
      </c>
      <c r="AN160" s="22">
        <f>Constants!$H67*'Activity data'!AN9*Constants!$H85*EF!$H210*MMVolatEF*NtoN2O*kgtoGg</f>
        <v>4.2062336748275767E-2</v>
      </c>
      <c r="AO160" s="22">
        <f>Constants!$H67*'Activity data'!AO9*Constants!$H85*EF!$H210*MMVolatEF*NtoN2O*kgtoGg</f>
        <v>4.2265219349211125E-2</v>
      </c>
      <c r="AP160" s="22">
        <f>Constants!$H67*'Activity data'!AP9*Constants!$H85*EF!$H210*MMVolatEF*NtoN2O*kgtoGg</f>
        <v>4.2395063712236107E-2</v>
      </c>
      <c r="AQ160" s="22">
        <f>Constants!$H67*'Activity data'!AQ9*Constants!$H85*EF!$H210*MMVolatEF*NtoN2O*kgtoGg</f>
        <v>4.2451843390546674E-2</v>
      </c>
      <c r="AR160" s="22">
        <f>Constants!$H67*'Activity data'!AR9*Constants!$H85*EF!$H210*MMVolatEF*NtoN2O*kgtoGg</f>
        <v>4.2436761192434141E-2</v>
      </c>
      <c r="AS160" s="22">
        <f>Constants!$H67*'Activity data'!AS9*Constants!$H85*EF!$H210*MMVolatEF*NtoN2O*kgtoGg</f>
        <v>4.234909419141579E-2</v>
      </c>
      <c r="AT160" s="22">
        <f>Constants!$H67*'Activity data'!AT9*Constants!$H85*EF!$H210*MMVolatEF*NtoN2O*kgtoGg</f>
        <v>4.2188627639893318E-2</v>
      </c>
      <c r="AU160" s="22">
        <f>Constants!$H67*'Activity data'!AU9*Constants!$H85*EF!$H210*MMVolatEF*NtoN2O*kgtoGg</f>
        <v>4.195549430903911E-2</v>
      </c>
      <c r="AV160" s="22">
        <f>Constants!$H67*'Activity data'!AV9*Constants!$H85*EF!$H210*MMVolatEF*NtoN2O*kgtoGg</f>
        <v>4.1650218422969176E-2</v>
      </c>
      <c r="AW160" s="22">
        <f>Constants!$H67*'Activity data'!AW9*Constants!$H85*EF!$H210*MMVolatEF*NtoN2O*kgtoGg</f>
        <v>4.0926958476252988E-2</v>
      </c>
      <c r="AX160" s="22">
        <f>Constants!$H67*'Activity data'!AX9*Constants!$H85*EF!$H210*MMVolatEF*NtoN2O*kgtoGg</f>
        <v>4.0135572017269229E-2</v>
      </c>
      <c r="AY160" s="22">
        <f>Constants!$H67*'Activity data'!AY9*Constants!$H85*EF!$H210*MMVolatEF*NtoN2O*kgtoGg</f>
        <v>3.9279614902474849E-2</v>
      </c>
      <c r="AZ160" s="22">
        <f>Constants!$H67*'Activity data'!AZ9*Constants!$H85*EF!$H210*MMVolatEF*NtoN2O*kgtoGg</f>
        <v>3.8363047034758228E-2</v>
      </c>
      <c r="BA160" s="22">
        <f>Constants!$H67*'Activity data'!BA9*Constants!$H85*EF!$H210*MMVolatEF*NtoN2O*kgtoGg</f>
        <v>3.7390084068641902E-2</v>
      </c>
      <c r="BB160" s="22">
        <f>Constants!$H67*'Activity data'!BB9*Constants!$H85*EF!$H210*MMVolatEF*NtoN2O*kgtoGg</f>
        <v>3.6365215072537933E-2</v>
      </c>
      <c r="BC160" s="22">
        <f>Constants!$H67*'Activity data'!BC9*Constants!$H85*EF!$H210*MMVolatEF*NtoN2O*kgtoGg</f>
        <v>-2.8078743656501674E-3</v>
      </c>
      <c r="BD160" s="22">
        <f>Constants!$H67*'Activity data'!BD9*Constants!$H85*EF!$H210*MMVolatEF*NtoN2O*kgtoGg</f>
        <v>-2.7402688650785463E-3</v>
      </c>
      <c r="BE160" s="22">
        <f>Constants!$H67*'Activity data'!BE9*Constants!$H85*EF!$H210*MMVolatEF*NtoN2O*kgtoGg</f>
        <v>-2.6733667652400826E-3</v>
      </c>
      <c r="BF160" s="22">
        <f>Constants!$H67*'Activity data'!BF9*Constants!$H85*EF!$H210*MMVolatEF*NtoN2O*kgtoGg</f>
        <v>-2.6071611563818981E-3</v>
      </c>
      <c r="BG160" s="22">
        <f>Constants!$H67*'Activity data'!BG9*Constants!$H85*EF!$H210*MMVolatEF*NtoN2O*kgtoGg</f>
        <v>-2.554615513389502E-3</v>
      </c>
      <c r="BH160" s="22">
        <f>Constants!$H67*'Activity data'!BH9*Constants!$H85*EF!$H210*MMVolatEF*NtoN2O*kgtoGg</f>
        <v>-2.5025683232901678E-3</v>
      </c>
      <c r="BI160" s="22">
        <f>Constants!$H67*'Activity data'!BI9*Constants!$H85*EF!$H210*MMVolatEF*NtoN2O*kgtoGg</f>
        <v>-2.4509808748434249E-3</v>
      </c>
      <c r="BJ160" s="22">
        <f>Constants!$H67*'Activity data'!BJ9*Constants!$H85*EF!$H210*MMVolatEF*NtoN2O*kgtoGg</f>
        <v>-2.3998403895130306E-3</v>
      </c>
      <c r="BK160" s="22">
        <f>Constants!$H67*'Activity data'!BK9*Constants!$H85*EF!$H210*MMVolatEF*NtoN2O*kgtoGg</f>
        <v>-2.3491094784762676E-3</v>
      </c>
      <c r="BL160" s="22">
        <f>Constants!$H67*'Activity data'!BL9*Constants!$H85*EF!$H210*MMVolatEF*NtoN2O*kgtoGg</f>
        <v>-2.2987515268753948E-3</v>
      </c>
      <c r="BM160" s="22">
        <f>Constants!$H67*'Activity data'!BM9*Constants!$H85*EF!$H210*MMVolatEF*NtoN2O*kgtoGg</f>
        <v>-2.2487606541498821E-3</v>
      </c>
      <c r="BN160" s="22">
        <f>Constants!$H67*'Activity data'!BN9*Constants!$H85*EF!$H210*MMVolatEF*NtoN2O*kgtoGg</f>
        <v>-2.1991399488000989E-3</v>
      </c>
      <c r="BO160" s="22">
        <f>Constants!$H67*'Activity data'!BO9*Constants!$H85*EF!$H210*MMVolatEF*NtoN2O*kgtoGg</f>
        <v>-2.1498913054580166E-3</v>
      </c>
      <c r="BP160" s="22">
        <f>Constants!$H67*'Activity data'!BP9*Constants!$H85*EF!$H210*MMVolatEF*NtoN2O*kgtoGg</f>
        <v>-2.1009864375963051E-3</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0.16370016056893644</v>
      </c>
      <c r="AF161" s="22">
        <f>Constants!$H68*'Activity data'!AF10*Constants!$H86*EF!$H211*MMVolatEF*NtoN2O*kgtoGg</f>
        <v>0.17003774892948584</v>
      </c>
      <c r="AG161" s="22">
        <f>Constants!$H68*'Activity data'!AG10*Constants!$H86*EF!$H211*MMVolatEF*NtoN2O*kgtoGg</f>
        <v>0.17476418316081979</v>
      </c>
      <c r="AH161" s="22">
        <f>Constants!$H68*'Activity data'!AH10*Constants!$H86*EF!$H211*MMVolatEF*NtoN2O*kgtoGg</f>
        <v>0.1784091501709566</v>
      </c>
      <c r="AI161" s="22">
        <f>Constants!$H68*'Activity data'!AI10*Constants!$H86*EF!$H211*MMVolatEF*NtoN2O*kgtoGg</f>
        <v>0.18092055691117109</v>
      </c>
      <c r="AJ161" s="22">
        <f>Constants!$H68*'Activity data'!AJ10*Constants!$H86*EF!$H211*MMVolatEF*NtoN2O*kgtoGg</f>
        <v>0.18434967364231722</v>
      </c>
      <c r="AK161" s="22">
        <f>Constants!$H68*'Activity data'!AK10*Constants!$H86*EF!$H211*MMVolatEF*NtoN2O*kgtoGg</f>
        <v>0.18794438918293385</v>
      </c>
      <c r="AL161" s="22">
        <f>Constants!$H68*'Activity data'!AL10*Constants!$H86*EF!$H211*MMVolatEF*NtoN2O*kgtoGg</f>
        <v>0.17487533171838066</v>
      </c>
      <c r="AM161" s="22">
        <f>Constants!$H68*'Activity data'!AM10*Constants!$H86*EF!$H211*MMVolatEF*NtoN2O*kgtoGg</f>
        <v>0.18598828710895501</v>
      </c>
      <c r="AN161" s="22">
        <f>Constants!$H68*'Activity data'!AN10*Constants!$H86*EF!$H211*MMVolatEF*NtoN2O*kgtoGg</f>
        <v>0.60010716171461598</v>
      </c>
      <c r="AO161" s="22">
        <f>Constants!$H68*'Activity data'!AO10*Constants!$H86*EF!$H211*MMVolatEF*NtoN2O*kgtoGg</f>
        <v>0.61714803501653059</v>
      </c>
      <c r="AP161" s="22">
        <f>Constants!$H68*'Activity data'!AP10*Constants!$H86*EF!$H211*MMVolatEF*NtoN2O*kgtoGg</f>
        <v>0.63339573291461304</v>
      </c>
      <c r="AQ161" s="22">
        <f>Constants!$H68*'Activity data'!AQ10*Constants!$H86*EF!$H211*MMVolatEF*NtoN2O*kgtoGg</f>
        <v>0.64878782379484634</v>
      </c>
      <c r="AR161" s="22">
        <f>Constants!$H68*'Activity data'!AR10*Constants!$H86*EF!$H211*MMVolatEF*NtoN2O*kgtoGg</f>
        <v>0.6632790614565599</v>
      </c>
      <c r="AS161" s="22">
        <f>Constants!$H68*'Activity data'!AS10*Constants!$H86*EF!$H211*MMVolatEF*NtoN2O*kgtoGg</f>
        <v>0.67679301375274348</v>
      </c>
      <c r="AT161" s="22">
        <f>Constants!$H68*'Activity data'!AT10*Constants!$H86*EF!$H211*MMVolatEF*NtoN2O*kgtoGg</f>
        <v>0.68925834109941053</v>
      </c>
      <c r="AU161" s="22">
        <f>Constants!$H68*'Activity data'!AU10*Constants!$H86*EF!$H211*MMVolatEF*NtoN2O*kgtoGg</f>
        <v>0.70060688133816351</v>
      </c>
      <c r="AV161" s="22">
        <f>Constants!$H68*'Activity data'!AV10*Constants!$H86*EF!$H211*MMVolatEF*NtoN2O*kgtoGg</f>
        <v>0.71077490529773002</v>
      </c>
      <c r="AW161" s="22">
        <f>Constants!$H68*'Activity data'!AW10*Constants!$H86*EF!$H211*MMVolatEF*NtoN2O*kgtoGg</f>
        <v>0.72159413752844115</v>
      </c>
      <c r="AX161" s="22">
        <f>Constants!$H68*'Activity data'!AX10*Constants!$H86*EF!$H211*MMVolatEF*NtoN2O*kgtoGg</f>
        <v>0.73115327204335434</v>
      </c>
      <c r="AY161" s="22">
        <f>Constants!$H68*'Activity data'!AY10*Constants!$H86*EF!$H211*MMVolatEF*NtoN2O*kgtoGg</f>
        <v>0.7393963545283444</v>
      </c>
      <c r="AZ161" s="22">
        <f>Constants!$H68*'Activity data'!AZ10*Constants!$H86*EF!$H211*MMVolatEF*NtoN2O*kgtoGg</f>
        <v>0.74627481362949688</v>
      </c>
      <c r="BA161" s="22">
        <f>Constants!$H68*'Activity data'!BA10*Constants!$H86*EF!$H211*MMVolatEF*NtoN2O*kgtoGg</f>
        <v>0.75174577116771069</v>
      </c>
      <c r="BB161" s="22">
        <f>Constants!$H68*'Activity data'!BB10*Constants!$H86*EF!$H211*MMVolatEF*NtoN2O*kgtoGg</f>
        <v>0.75577335036803739</v>
      </c>
      <c r="BC161" s="22">
        <f>Constants!$H68*'Activity data'!BC10*Constants!$H86*EF!$H211*MMVolatEF*NtoN2O*kgtoGg</f>
        <v>-6.0331583230930269E-2</v>
      </c>
      <c r="BD161" s="22">
        <f>Constants!$H68*'Activity data'!BD10*Constants!$H86*EF!$H211*MMVolatEF*NtoN2O*kgtoGg</f>
        <v>-6.0883763489548361E-2</v>
      </c>
      <c r="BE161" s="22">
        <f>Constants!$H68*'Activity data'!BE10*Constants!$H86*EF!$H211*MMVolatEF*NtoN2O*kgtoGg</f>
        <v>-6.1432292472249253E-2</v>
      </c>
      <c r="BF161" s="22">
        <f>Constants!$H68*'Activity data'!BF10*Constants!$H86*EF!$H211*MMVolatEF*NtoN2O*kgtoGg</f>
        <v>-6.1977443387012172E-2</v>
      </c>
      <c r="BG161" s="22">
        <f>Constants!$H68*'Activity data'!BG10*Constants!$H86*EF!$H211*MMVolatEF*NtoN2O*kgtoGg</f>
        <v>-6.2441792261108069E-2</v>
      </c>
      <c r="BH161" s="22">
        <f>Constants!$H68*'Activity data'!BH10*Constants!$H86*EF!$H211*MMVolatEF*NtoN2O*kgtoGg</f>
        <v>-6.2901498019431304E-2</v>
      </c>
      <c r="BI161" s="22">
        <f>Constants!$H68*'Activity data'!BI10*Constants!$H86*EF!$H211*MMVolatEF*NtoN2O*kgtoGg</f>
        <v>-6.3355857064212845E-2</v>
      </c>
      <c r="BJ161" s="22">
        <f>Constants!$H68*'Activity data'!BJ10*Constants!$H86*EF!$H211*MMVolatEF*NtoN2O*kgtoGg</f>
        <v>-6.3804744436236446E-2</v>
      </c>
      <c r="BK161" s="22">
        <f>Constants!$H68*'Activity data'!BK10*Constants!$H86*EF!$H211*MMVolatEF*NtoN2O*kgtoGg</f>
        <v>-6.4247322567233908E-2</v>
      </c>
      <c r="BL161" s="22">
        <f>Constants!$H68*'Activity data'!BL10*Constants!$H86*EF!$H211*MMVolatEF*NtoN2O*kgtoGg</f>
        <v>-6.4682656506044156E-2</v>
      </c>
      <c r="BM161" s="22">
        <f>Constants!$H68*'Activity data'!BM10*Constants!$H86*EF!$H211*MMVolatEF*NtoN2O*kgtoGg</f>
        <v>-6.5110575477313207E-2</v>
      </c>
      <c r="BN161" s="22">
        <f>Constants!$H68*'Activity data'!BN10*Constants!$H86*EF!$H211*MMVolatEF*NtoN2O*kgtoGg</f>
        <v>-6.5531144171927541E-2</v>
      </c>
      <c r="BO161" s="22">
        <f>Constants!$H68*'Activity data'!BO10*Constants!$H86*EF!$H211*MMVolatEF*NtoN2O*kgtoGg</f>
        <v>-6.5944388466371143E-2</v>
      </c>
      <c r="BP161" s="22">
        <f>Constants!$H68*'Activity data'!BP10*Constants!$H86*EF!$H211*MMVolatEF*NtoN2O*kgtoGg</f>
        <v>-6.6349375385408998E-2</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1.188899025036581E-4</v>
      </c>
      <c r="AM162" s="22">
        <f>Constants!$H69*'Activity data'!AM11*Constants!$H87*EF!$H212*MMVolatEF*NtoN2O*kgtoGg</f>
        <v>1.189690287837306E-4</v>
      </c>
      <c r="AN162" s="22">
        <f>Constants!$H69*'Activity data'!AN11*Constants!$H87*EF!$H212*MMVolatEF*NtoN2O*kgtoGg</f>
        <v>1.205186108228768E-4</v>
      </c>
      <c r="AO162" s="22">
        <f>Constants!$H69*'Activity data'!AO11*Constants!$H87*EF!$H212*MMVolatEF*NtoN2O*kgtoGg</f>
        <v>1.2055641166730559E-4</v>
      </c>
      <c r="AP162" s="22">
        <f>Constants!$H69*'Activity data'!AP11*Constants!$H87*EF!$H212*MMVolatEF*NtoN2O*kgtoGg</f>
        <v>1.2071810381709918E-4</v>
      </c>
      <c r="AQ162" s="22">
        <f>Constants!$H69*'Activity data'!AQ11*Constants!$H87*EF!$H212*MMVolatEF*NtoN2O*kgtoGg</f>
        <v>1.2095183374420191E-4</v>
      </c>
      <c r="AR162" s="22">
        <f>Constants!$H69*'Activity data'!AR11*Constants!$H87*EF!$H212*MMVolatEF*NtoN2O*kgtoGg</f>
        <v>1.2116896083678348E-4</v>
      </c>
      <c r="AS162" s="22">
        <f>Constants!$H69*'Activity data'!AS11*Constants!$H87*EF!$H212*MMVolatEF*NtoN2O*kgtoGg</f>
        <v>1.2137217342001694E-4</v>
      </c>
      <c r="AT162" s="22">
        <f>Constants!$H69*'Activity data'!AT11*Constants!$H87*EF!$H212*MMVolatEF*NtoN2O*kgtoGg</f>
        <v>1.2156038787143942E-4</v>
      </c>
      <c r="AU162" s="22">
        <f>Constants!$H69*'Activity data'!AU11*Constants!$H87*EF!$H212*MMVolatEF*NtoN2O*kgtoGg</f>
        <v>1.2173530001872475E-4</v>
      </c>
      <c r="AV162" s="22">
        <f>Constants!$H69*'Activity data'!AV11*Constants!$H87*EF!$H212*MMVolatEF*NtoN2O*kgtoGg</f>
        <v>1.2189956310100272E-4</v>
      </c>
      <c r="AW162" s="22">
        <f>Constants!$H69*'Activity data'!AW11*Constants!$H87*EF!$H212*MMVolatEF*NtoN2O*kgtoGg</f>
        <v>1.2205302234453671E-4</v>
      </c>
      <c r="AX162" s="22">
        <f>Constants!$H69*'Activity data'!AX11*Constants!$H87*EF!$H212*MMVolatEF*NtoN2O*kgtoGg</f>
        <v>1.2219813225383718E-4</v>
      </c>
      <c r="AY162" s="22">
        <f>Constants!$H69*'Activity data'!AY11*Constants!$H87*EF!$H212*MMVolatEF*NtoN2O*kgtoGg</f>
        <v>1.2233524409037175E-4</v>
      </c>
      <c r="AZ162" s="22">
        <f>Constants!$H69*'Activity data'!AZ11*Constants!$H87*EF!$H212*MMVolatEF*NtoN2O*kgtoGg</f>
        <v>1.2246247857835598E-4</v>
      </c>
      <c r="BA162" s="22">
        <f>Constants!$H69*'Activity data'!BA11*Constants!$H87*EF!$H212*MMVolatEF*NtoN2O*kgtoGg</f>
        <v>1.2258099962950754E-4</v>
      </c>
      <c r="BB162" s="22">
        <f>Constants!$H69*'Activity data'!BB11*Constants!$H87*EF!$H212*MMVolatEF*NtoN2O*kgtoGg</f>
        <v>1.226926980528978E-4</v>
      </c>
      <c r="BC162" s="22">
        <f>Constants!$H69*'Activity data'!BC11*Constants!$H87*EF!$H212*MMVolatEF*NtoN2O*kgtoGg</f>
        <v>1.2000006421083369E-4</v>
      </c>
      <c r="BD162" s="22">
        <f>Constants!$H69*'Activity data'!BD11*Constants!$H87*EF!$H212*MMVolatEF*NtoN2O*kgtoGg</f>
        <v>1.2011041514130369E-4</v>
      </c>
      <c r="BE162" s="22">
        <f>Constants!$H69*'Activity data'!BE11*Constants!$H87*EF!$H212*MMVolatEF*NtoN2O*kgtoGg</f>
        <v>1.2021334415571778E-4</v>
      </c>
      <c r="BF162" s="22">
        <f>Constants!$H69*'Activity data'!BF11*Constants!$H87*EF!$H212*MMVolatEF*NtoN2O*kgtoGg</f>
        <v>1.2030948030331916E-4</v>
      </c>
      <c r="BG162" s="22">
        <f>Constants!$H69*'Activity data'!BG11*Constants!$H87*EF!$H212*MMVolatEF*NtoN2O*kgtoGg</f>
        <v>1.2039958826810335E-4</v>
      </c>
      <c r="BH162" s="22">
        <f>Constants!$H69*'Activity data'!BH11*Constants!$H87*EF!$H212*MMVolatEF*NtoN2O*kgtoGg</f>
        <v>1.2048129784431056E-4</v>
      </c>
      <c r="BI162" s="22">
        <f>Constants!$H69*'Activity data'!BI11*Constants!$H87*EF!$H212*MMVolatEF*NtoN2O*kgtoGg</f>
        <v>1.2055302618273209E-4</v>
      </c>
      <c r="BJ162" s="22">
        <f>Constants!$H69*'Activity data'!BJ11*Constants!$H87*EF!$H212*MMVolatEF*NtoN2O*kgtoGg</f>
        <v>1.2061454144456668E-4</v>
      </c>
      <c r="BK162" s="22">
        <f>Constants!$H69*'Activity data'!BK11*Constants!$H87*EF!$H212*MMVolatEF*NtoN2O*kgtoGg</f>
        <v>1.2066404237348151E-4</v>
      </c>
      <c r="BL162" s="22">
        <f>Constants!$H69*'Activity data'!BL11*Constants!$H87*EF!$H212*MMVolatEF*NtoN2O*kgtoGg</f>
        <v>1.206995710531147E-4</v>
      </c>
      <c r="BM162" s="22">
        <f>Constants!$H69*'Activity data'!BM11*Constants!$H87*EF!$H212*MMVolatEF*NtoN2O*kgtoGg</f>
        <v>1.2072090668873017E-4</v>
      </c>
      <c r="BN162" s="22">
        <f>Constants!$H69*'Activity data'!BN11*Constants!$H87*EF!$H212*MMVolatEF*NtoN2O*kgtoGg</f>
        <v>1.2072835361242823E-4</v>
      </c>
      <c r="BO162" s="22">
        <f>Constants!$H69*'Activity data'!BO11*Constants!$H87*EF!$H212*MMVolatEF*NtoN2O*kgtoGg</f>
        <v>1.2072212964886386E-4</v>
      </c>
      <c r="BP162" s="22">
        <f>Constants!$H69*'Activity data'!BP11*Constants!$H87*EF!$H212*MMVolatEF*NtoN2O*kgtoGg</f>
        <v>1.2070039195556491E-4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8.1588376197320827E-4</v>
      </c>
      <c r="AM163" s="22">
        <f>Constants!$H70*'Activity data'!AM12*Constants!$H88*EF!$H213*MMVolatEF*NtoN2O*kgtoGg</f>
        <v>8.1642676727220354E-4</v>
      </c>
      <c r="AN163" s="22">
        <f>Constants!$H70*'Activity data'!AN12*Constants!$H88*EF!$H213*MMVolatEF*NtoN2O*kgtoGg</f>
        <v>8.2706079755535391E-4</v>
      </c>
      <c r="AO163" s="22">
        <f>Constants!$H70*'Activity data'!AO12*Constants!$H88*EF!$H213*MMVolatEF*NtoN2O*kgtoGg</f>
        <v>8.2732020642447472E-4</v>
      </c>
      <c r="AP163" s="22">
        <f>Constants!$H70*'Activity data'!AP12*Constants!$H88*EF!$H213*MMVolatEF*NtoN2O*kgtoGg</f>
        <v>8.2842982125867857E-4</v>
      </c>
      <c r="AQ163" s="22">
        <f>Constants!$H70*'Activity data'!AQ12*Constants!$H88*EF!$H213*MMVolatEF*NtoN2O*kgtoGg</f>
        <v>8.3003379643398353E-4</v>
      </c>
      <c r="AR163" s="22">
        <f>Constants!$H70*'Activity data'!AR12*Constants!$H88*EF!$H213*MMVolatEF*NtoN2O*kgtoGg</f>
        <v>8.3152383440517541E-4</v>
      </c>
      <c r="AS163" s="22">
        <f>Constants!$H70*'Activity data'!AS12*Constants!$H88*EF!$H213*MMVolatEF*NtoN2O*kgtoGg</f>
        <v>8.3291838384459249E-4</v>
      </c>
      <c r="AT163" s="22">
        <f>Constants!$H70*'Activity data'!AT12*Constants!$H88*EF!$H213*MMVolatEF*NtoN2O*kgtoGg</f>
        <v>8.342100083766216E-4</v>
      </c>
      <c r="AU163" s="22">
        <f>Constants!$H70*'Activity data'!AU12*Constants!$H88*EF!$H213*MMVolatEF*NtoN2O*kgtoGg</f>
        <v>8.3541034564443633E-4</v>
      </c>
      <c r="AV163" s="22">
        <f>Constants!$H70*'Activity data'!AV12*Constants!$H88*EF!$H213*MMVolatEF*NtoN2O*kgtoGg</f>
        <v>8.3653760354186898E-4</v>
      </c>
      <c r="AW163" s="22">
        <f>Constants!$H70*'Activity data'!AW12*Constants!$H88*EF!$H213*MMVolatEF*NtoN2O*kgtoGg</f>
        <v>8.3759071993180138E-4</v>
      </c>
      <c r="AX163" s="22">
        <f>Constants!$H70*'Activity data'!AX12*Constants!$H88*EF!$H213*MMVolatEF*NtoN2O*kgtoGg</f>
        <v>8.385865388887226E-4</v>
      </c>
      <c r="AY163" s="22">
        <f>Constants!$H70*'Activity data'!AY12*Constants!$H88*EF!$H213*MMVolatEF*NtoN2O*kgtoGg</f>
        <v>8.3952747094978998E-4</v>
      </c>
      <c r="AZ163" s="22">
        <f>Constants!$H70*'Activity data'!AZ12*Constants!$H88*EF!$H213*MMVolatEF*NtoN2O*kgtoGg</f>
        <v>8.404006195563853E-4</v>
      </c>
      <c r="BA163" s="22">
        <f>Constants!$H70*'Activity data'!BA12*Constants!$H88*EF!$H213*MMVolatEF*NtoN2O*kgtoGg</f>
        <v>8.4121397207035167E-4</v>
      </c>
      <c r="BB163" s="22">
        <f>Constants!$H70*'Activity data'!BB12*Constants!$H88*EF!$H213*MMVolatEF*NtoN2O*kgtoGg</f>
        <v>8.4198050419766407E-4</v>
      </c>
      <c r="BC163" s="22">
        <f>Constants!$H70*'Activity data'!BC12*Constants!$H88*EF!$H213*MMVolatEF*NtoN2O*kgtoGg</f>
        <v>8.2350226355303057E-4</v>
      </c>
      <c r="BD163" s="22">
        <f>Constants!$H70*'Activity data'!BD12*Constants!$H88*EF!$H213*MMVolatEF*NtoN2O*kgtoGg</f>
        <v>8.2425954848970833E-4</v>
      </c>
      <c r="BE163" s="22">
        <f>Constants!$H70*'Activity data'!BE12*Constants!$H88*EF!$H213*MMVolatEF*NtoN2O*kgtoGg</f>
        <v>8.2496590041470697E-4</v>
      </c>
      <c r="BF163" s="22">
        <f>Constants!$H70*'Activity data'!BF12*Constants!$H88*EF!$H213*MMVolatEF*NtoN2O*kgtoGg</f>
        <v>8.256256361880137E-4</v>
      </c>
      <c r="BG163" s="22">
        <f>Constants!$H70*'Activity data'!BG12*Constants!$H88*EF!$H213*MMVolatEF*NtoN2O*kgtoGg</f>
        <v>8.2624400346516431E-4</v>
      </c>
      <c r="BH163" s="22">
        <f>Constants!$H70*'Activity data'!BH12*Constants!$H88*EF!$H213*MMVolatEF*NtoN2O*kgtoGg</f>
        <v>8.2680473667312636E-4</v>
      </c>
      <c r="BI163" s="22">
        <f>Constants!$H70*'Activity data'!BI12*Constants!$H88*EF!$H213*MMVolatEF*NtoN2O*kgtoGg</f>
        <v>8.2729697348516047E-4</v>
      </c>
      <c r="BJ163" s="22">
        <f>Constants!$H70*'Activity data'!BJ12*Constants!$H88*EF!$H213*MMVolatEF*NtoN2O*kgtoGg</f>
        <v>8.2771912290397116E-4</v>
      </c>
      <c r="BK163" s="22">
        <f>Constants!$H70*'Activity data'!BK12*Constants!$H88*EF!$H213*MMVolatEF*NtoN2O*kgtoGg</f>
        <v>8.2805882378061209E-4</v>
      </c>
      <c r="BL163" s="22">
        <f>Constants!$H70*'Activity data'!BL12*Constants!$H88*EF!$H213*MMVolatEF*NtoN2O*kgtoGg</f>
        <v>8.2830263988430608E-4</v>
      </c>
      <c r="BM163" s="22">
        <f>Constants!$H70*'Activity data'!BM12*Constants!$H88*EF!$H213*MMVolatEF*NtoN2O*kgtoGg</f>
        <v>8.2844905600782401E-4</v>
      </c>
      <c r="BN163" s="22">
        <f>Constants!$H70*'Activity data'!BN12*Constants!$H88*EF!$H213*MMVolatEF*NtoN2O*kgtoGg</f>
        <v>8.2850016063482762E-4</v>
      </c>
      <c r="BO163" s="22">
        <f>Constants!$H70*'Activity data'!BO12*Constants!$H88*EF!$H213*MMVolatEF*NtoN2O*kgtoGg</f>
        <v>8.2845744859031962E-4</v>
      </c>
      <c r="BP163" s="22">
        <f>Constants!$H70*'Activity data'!BP12*Constants!$H88*EF!$H213*MMVolatEF*NtoN2O*kgtoGg</f>
        <v>8.2830827333984093E-4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1.4486129996083085E-5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1.489070601115726E-5</v>
      </c>
      <c r="AK164" s="22">
        <f>Constants!$H71*'Activity data'!AK13*Constants!$H89*EF!$H214*MMVolatEF*NtoN2O*kgtoGg</f>
        <v>1.4988675221399694E-5</v>
      </c>
      <c r="AL164" s="22">
        <f>Constants!$H71*'Activity data'!AL13*Constants!$H89*EF!$H214*MMVolatEF*NtoN2O*kgtoGg</f>
        <v>1.4952125307683929E-5</v>
      </c>
      <c r="AM164" s="22">
        <f>Constants!$H71*'Activity data'!AM13*Constants!$H89*EF!$H214*MMVolatEF*NtoN2O*kgtoGg</f>
        <v>1.497659485650934E-5</v>
      </c>
      <c r="AN164" s="22">
        <f>Constants!$H71*'Activity data'!AN13*Constants!$H89*EF!$H214*MMVolatEF*NtoN2O*kgtoGg</f>
        <v>1.5280249217669806E-5</v>
      </c>
      <c r="AO164" s="22">
        <f>Constants!$H71*'Activity data'!AO13*Constants!$H89*EF!$H214*MMVolatEF*NtoN2O*kgtoGg</f>
        <v>1.5293967954982136E-5</v>
      </c>
      <c r="AP164" s="22">
        <f>Constants!$H71*'Activity data'!AP13*Constants!$H89*EF!$H214*MMVolatEF*NtoN2O*kgtoGg</f>
        <v>1.5330288500558316E-5</v>
      </c>
      <c r="AQ164" s="22">
        <f>Constants!$H71*'Activity data'!AQ13*Constants!$H89*EF!$H214*MMVolatEF*NtoN2O*kgtoGg</f>
        <v>1.5379307775042966E-5</v>
      </c>
      <c r="AR164" s="22">
        <f>Constants!$H71*'Activity data'!AR13*Constants!$H89*EF!$H214*MMVolatEF*NtoN2O*kgtoGg</f>
        <v>1.5424265287422665E-5</v>
      </c>
      <c r="AS164" s="22">
        <f>Constants!$H71*'Activity data'!AS13*Constants!$H89*EF!$H214*MMVolatEF*NtoN2O*kgtoGg</f>
        <v>1.5465755297522265E-5</v>
      </c>
      <c r="AT164" s="22">
        <f>Constants!$H71*'Activity data'!AT13*Constants!$H89*EF!$H214*MMVolatEF*NtoN2O*kgtoGg</f>
        <v>1.5503650543984476E-5</v>
      </c>
      <c r="AU164" s="22">
        <f>Constants!$H71*'Activity data'!AU13*Constants!$H89*EF!$H214*MMVolatEF*NtoN2O*kgtoGg</f>
        <v>1.5538340165319424E-5</v>
      </c>
      <c r="AV164" s="22">
        <f>Constants!$H71*'Activity data'!AV13*Constants!$H89*EF!$H214*MMVolatEF*NtoN2O*kgtoGg</f>
        <v>1.5570383853796525E-5</v>
      </c>
      <c r="AW164" s="22">
        <f>Constants!$H71*'Activity data'!AW13*Constants!$H89*EF!$H214*MMVolatEF*NtoN2O*kgtoGg</f>
        <v>1.5599807426957594E-5</v>
      </c>
      <c r="AX164" s="22">
        <f>Constants!$H71*'Activity data'!AX13*Constants!$H89*EF!$H214*MMVolatEF*NtoN2O*kgtoGg</f>
        <v>1.5627118939580073E-5</v>
      </c>
      <c r="AY164" s="22">
        <f>Constants!$H71*'Activity data'!AY13*Constants!$H89*EF!$H214*MMVolatEF*NtoN2O*kgtoGg</f>
        <v>1.5652427506297688E-5</v>
      </c>
      <c r="AZ164" s="22">
        <f>Constants!$H71*'Activity data'!AZ13*Constants!$H89*EF!$H214*MMVolatEF*NtoN2O*kgtoGg</f>
        <v>1.56754241207766E-5</v>
      </c>
      <c r="BA164" s="22">
        <f>Constants!$H71*'Activity data'!BA13*Constants!$H89*EF!$H214*MMVolatEF*NtoN2O*kgtoGg</f>
        <v>1.5696363462061687E-5</v>
      </c>
      <c r="BB164" s="22">
        <f>Constants!$H71*'Activity data'!BB13*Constants!$H89*EF!$H214*MMVolatEF*NtoN2O*kgtoGg</f>
        <v>1.5715630256505464E-5</v>
      </c>
      <c r="BC164" s="22">
        <f>Constants!$H71*'Activity data'!BC13*Constants!$H89*EF!$H214*MMVolatEF*NtoN2O*kgtoGg</f>
        <v>1.5216731234132435E-5</v>
      </c>
      <c r="BD164" s="22">
        <f>Constants!$H71*'Activity data'!BD13*Constants!$H89*EF!$H214*MMVolatEF*NtoN2O*kgtoGg</f>
        <v>1.5235961154748287E-5</v>
      </c>
      <c r="BE164" s="22">
        <f>Constants!$H71*'Activity data'!BE13*Constants!$H89*EF!$H214*MMVolatEF*NtoN2O*kgtoGg</f>
        <v>1.525346973608994E-5</v>
      </c>
      <c r="BF164" s="22">
        <f>Constants!$H71*'Activity data'!BF13*Constants!$H89*EF!$H214*MMVolatEF*NtoN2O*kgtoGg</f>
        <v>1.5269398678749372E-5</v>
      </c>
      <c r="BG164" s="22">
        <f>Constants!$H71*'Activity data'!BG13*Constants!$H89*EF!$H214*MMVolatEF*NtoN2O*kgtoGg</f>
        <v>1.528391208207959E-5</v>
      </c>
      <c r="BH164" s="22">
        <f>Constants!$H71*'Activity data'!BH13*Constants!$H89*EF!$H214*MMVolatEF*NtoN2O*kgtoGg</f>
        <v>1.5296597939016457E-5</v>
      </c>
      <c r="BI164" s="22">
        <f>Constants!$H71*'Activity data'!BI13*Constants!$H89*EF!$H214*MMVolatEF*NtoN2O*kgtoGg</f>
        <v>1.5307189728189323E-5</v>
      </c>
      <c r="BJ164" s="22">
        <f>Constants!$H71*'Activity data'!BJ13*Constants!$H89*EF!$H214*MMVolatEF*NtoN2O*kgtoGg</f>
        <v>1.5315667991874673E-5</v>
      </c>
      <c r="BK164" s="22">
        <f>Constants!$H71*'Activity data'!BK13*Constants!$H89*EF!$H214*MMVolatEF*NtoN2O*kgtoGg</f>
        <v>1.5321726619352006E-5</v>
      </c>
      <c r="BL164" s="22">
        <f>Constants!$H71*'Activity data'!BL13*Constants!$H89*EF!$H214*MMVolatEF*NtoN2O*kgtoGg</f>
        <v>1.5325032079315766E-5</v>
      </c>
      <c r="BM164" s="22">
        <f>Constants!$H71*'Activity data'!BM13*Constants!$H89*EF!$H214*MMVolatEF*NtoN2O*kgtoGg</f>
        <v>1.5325567315367108E-5</v>
      </c>
      <c r="BN164" s="22">
        <f>Constants!$H71*'Activity data'!BN13*Constants!$H89*EF!$H214*MMVolatEF*NtoN2O*kgtoGg</f>
        <v>1.532340963092266E-5</v>
      </c>
      <c r="BO164" s="22">
        <f>Constants!$H71*'Activity data'!BO13*Constants!$H89*EF!$H214*MMVolatEF*NtoN2O*kgtoGg</f>
        <v>1.5318619367085747E-5</v>
      </c>
      <c r="BP164" s="22">
        <f>Constants!$H71*'Activity data'!BP13*Constants!$H89*EF!$H214*MMVolatEF*NtoN2O*kgtoGg</f>
        <v>1.5310883587655619E-5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1.4738364076719787E-3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1.5149984613639169E-3</v>
      </c>
      <c r="AK165" s="22">
        <f>Constants!$H72*'Activity data'!AK14*Constants!$H90*EF!$H215*MMVolatEF*NtoN2O*kgtoGg</f>
        <v>1.5249659674490626E-3</v>
      </c>
      <c r="AL165" s="22">
        <f>Constants!$H72*'Activity data'!AL14*Constants!$H90*EF!$H215*MMVolatEF*NtoN2O*kgtoGg</f>
        <v>1.5212473349677769E-3</v>
      </c>
      <c r="AM165" s="22">
        <f>Constants!$H72*'Activity data'!AM14*Constants!$H90*EF!$H215*MMVolatEF*NtoN2O*kgtoGg</f>
        <v>1.5237368964964909E-3</v>
      </c>
      <c r="AN165" s="22">
        <f>Constants!$H72*'Activity data'!AN14*Constants!$H90*EF!$H215*MMVolatEF*NtoN2O*kgtoGg</f>
        <v>1.5546310589089282E-3</v>
      </c>
      <c r="AO165" s="22">
        <f>Constants!$H72*'Activity data'!AO14*Constants!$H90*EF!$H215*MMVolatEF*NtoN2O*kgtoGg</f>
        <v>1.5560268198556864E-3</v>
      </c>
      <c r="AP165" s="22">
        <f>Constants!$H72*'Activity data'!AP14*Constants!$H90*EF!$H215*MMVolatEF*NtoN2O*kgtoGg</f>
        <v>1.5597221161446995E-3</v>
      </c>
      <c r="AQ165" s="22">
        <f>Constants!$H72*'Activity data'!AQ14*Constants!$H90*EF!$H215*MMVolatEF*NtoN2O*kgtoGg</f>
        <v>1.5647093964902903E-3</v>
      </c>
      <c r="AR165" s="22">
        <f>Constants!$H72*'Activity data'!AR14*Constants!$H90*EF!$H215*MMVolatEF*NtoN2O*kgtoGg</f>
        <v>1.5692834282407637E-3</v>
      </c>
      <c r="AS165" s="22">
        <f>Constants!$H72*'Activity data'!AS14*Constants!$H90*EF!$H215*MMVolatEF*NtoN2O*kgtoGg</f>
        <v>1.5735046721103132E-3</v>
      </c>
      <c r="AT165" s="22">
        <f>Constants!$H72*'Activity data'!AT14*Constants!$H90*EF!$H215*MMVolatEF*NtoN2O*kgtoGg</f>
        <v>1.5773601803743434E-3</v>
      </c>
      <c r="AU165" s="22">
        <f>Constants!$H72*'Activity data'!AU14*Constants!$H90*EF!$H215*MMVolatEF*NtoN2O*kgtoGg</f>
        <v>1.5808895444560981E-3</v>
      </c>
      <c r="AV165" s="22">
        <f>Constants!$H72*'Activity data'!AV14*Constants!$H90*EF!$H215*MMVolatEF*NtoN2O*kgtoGg</f>
        <v>1.5841497081248222E-3</v>
      </c>
      <c r="AW165" s="22">
        <f>Constants!$H72*'Activity data'!AW14*Constants!$H90*EF!$H215*MMVolatEF*NtoN2O*kgtoGg</f>
        <v>1.5871432980884847E-3</v>
      </c>
      <c r="AX165" s="22">
        <f>Constants!$H72*'Activity data'!AX14*Constants!$H90*EF!$H215*MMVolatEF*NtoN2O*kgtoGg</f>
        <v>1.5899220044553674E-3</v>
      </c>
      <c r="AY165" s="22">
        <f>Constants!$H72*'Activity data'!AY14*Constants!$H90*EF!$H215*MMVolatEF*NtoN2O*kgtoGg</f>
        <v>1.5924969286804358E-3</v>
      </c>
      <c r="AZ165" s="22">
        <f>Constants!$H72*'Activity data'!AZ14*Constants!$H90*EF!$H215*MMVolatEF*NtoN2O*kgtoGg</f>
        <v>1.5948366320850983E-3</v>
      </c>
      <c r="BA165" s="22">
        <f>Constants!$H72*'Activity data'!BA14*Constants!$H90*EF!$H215*MMVolatEF*NtoN2O*kgtoGg</f>
        <v>1.5969670260237814E-3</v>
      </c>
      <c r="BB165" s="22">
        <f>Constants!$H72*'Activity data'!BB14*Constants!$H90*EF!$H215*MMVolatEF*NtoN2O*kgtoGg</f>
        <v>1.5989272530214718E-3</v>
      </c>
      <c r="BC165" s="22">
        <f>Constants!$H72*'Activity data'!BC14*Constants!$H90*EF!$H215*MMVolatEF*NtoN2O*kgtoGg</f>
        <v>1.54816866234721E-3</v>
      </c>
      <c r="BD165" s="22">
        <f>Constants!$H72*'Activity data'!BD14*Constants!$H90*EF!$H215*MMVolatEF*NtoN2O*kgtoGg</f>
        <v>1.5501251377569953E-3</v>
      </c>
      <c r="BE165" s="22">
        <f>Constants!$H72*'Activity data'!BE14*Constants!$H90*EF!$H215*MMVolatEF*NtoN2O*kgtoGg</f>
        <v>1.5519064820245804E-3</v>
      </c>
      <c r="BF165" s="22">
        <f>Constants!$H72*'Activity data'!BF14*Constants!$H90*EF!$H215*MMVolatEF*NtoN2O*kgtoGg</f>
        <v>1.5535271119397841E-3</v>
      </c>
      <c r="BG165" s="22">
        <f>Constants!$H72*'Activity data'!BG14*Constants!$H90*EF!$H215*MMVolatEF*NtoN2O*kgtoGg</f>
        <v>1.5550037231694973E-3</v>
      </c>
      <c r="BH165" s="22">
        <f>Constants!$H72*'Activity data'!BH14*Constants!$H90*EF!$H215*MMVolatEF*NtoN2O*kgtoGg</f>
        <v>1.5562943976160978E-3</v>
      </c>
      <c r="BI165" s="22">
        <f>Constants!$H72*'Activity data'!BI14*Constants!$H90*EF!$H215*MMVolatEF*NtoN2O*kgtoGg</f>
        <v>1.5573720190725925E-3</v>
      </c>
      <c r="BJ165" s="22">
        <f>Constants!$H72*'Activity data'!BJ14*Constants!$H90*EF!$H215*MMVolatEF*NtoN2O*kgtoGg</f>
        <v>1.5582346078866301E-3</v>
      </c>
      <c r="BK165" s="22">
        <f>Constants!$H72*'Activity data'!BK14*Constants!$H90*EF!$H215*MMVolatEF*NtoN2O*kgtoGg</f>
        <v>1.5588510199828238E-3</v>
      </c>
      <c r="BL165" s="22">
        <f>Constants!$H72*'Activity data'!BL14*Constants!$H90*EF!$H215*MMVolatEF*NtoN2O*kgtoGg</f>
        <v>1.5591873214822584E-3</v>
      </c>
      <c r="BM165" s="22">
        <f>Constants!$H72*'Activity data'!BM14*Constants!$H90*EF!$H215*MMVolatEF*NtoN2O*kgtoGg</f>
        <v>1.5592417770462618E-3</v>
      </c>
      <c r="BN165" s="22">
        <f>Constants!$H72*'Activity data'!BN14*Constants!$H90*EF!$H215*MMVolatEF*NtoN2O*kgtoGg</f>
        <v>1.5590222516180525E-3</v>
      </c>
      <c r="BO165" s="22">
        <f>Constants!$H72*'Activity data'!BO14*Constants!$H90*EF!$H215*MMVolatEF*NtoN2O*kgtoGg</f>
        <v>1.5585348843745505E-3</v>
      </c>
      <c r="BP165" s="22">
        <f>Constants!$H72*'Activity data'!BP14*Constants!$H90*EF!$H215*MMVolatEF*NtoN2O*kgtoGg</f>
        <v>1.5577478368077457E-3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0.13004550543955865</v>
      </c>
      <c r="AF168" s="22">
        <f>Constants!$H75*'Activity data'!AF17*Constants!$H93*EF!$H218*MMVolatEF*NtoN2O*kgtoGg</f>
        <v>0.13010384136507711</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0.1205683722616282</v>
      </c>
      <c r="AL168" s="22">
        <f>Constants!$H75*'Activity data'!AL17*Constants!$H93*EF!$H218*MMVolatEF*NtoN2O*kgtoGg</f>
        <v>0.10847829407061217</v>
      </c>
      <c r="AM168" s="22">
        <f>Constants!$H75*'Activity data'!AM17*Constants!$H93*EF!$H218*MMVolatEF*NtoN2O*kgtoGg</f>
        <v>0.1123518575177655</v>
      </c>
      <c r="AN168" s="22">
        <f>Constants!$H75*'Activity data'!AN17*Constants!$H93*EF!$H218*MMVolatEF*NtoN2O*kgtoGg</f>
        <v>0.35913477358816853</v>
      </c>
      <c r="AO168" s="22">
        <f>Constants!$H75*'Activity data'!AO17*Constants!$H93*EF!$H218*MMVolatEF*NtoN2O*kgtoGg</f>
        <v>0.36011925097262676</v>
      </c>
      <c r="AP168" s="22">
        <f>Constants!$H75*'Activity data'!AP17*Constants!$H93*EF!$H218*MMVolatEF*NtoN2O*kgtoGg</f>
        <v>0.36048284734734032</v>
      </c>
      <c r="AQ168" s="22">
        <f>Constants!$H75*'Activity data'!AQ17*Constants!$H93*EF!$H218*MMVolatEF*NtoN2O*kgtoGg</f>
        <v>0.36024196834078215</v>
      </c>
      <c r="AR168" s="22">
        <f>Constants!$H75*'Activity data'!AR17*Constants!$H93*EF!$H218*MMVolatEF*NtoN2O*kgtoGg</f>
        <v>0.35943295375101947</v>
      </c>
      <c r="AS168" s="22">
        <f>Constants!$H75*'Activity data'!AS17*Constants!$H93*EF!$H218*MMVolatEF*NtoN2O*kgtoGg</f>
        <v>0.35804837226792258</v>
      </c>
      <c r="AT168" s="22">
        <f>Constants!$H75*'Activity data'!AT17*Constants!$H93*EF!$H218*MMVolatEF*NtoN2O*kgtoGg</f>
        <v>0.35608623415272644</v>
      </c>
      <c r="AU168" s="22">
        <f>Constants!$H75*'Activity data'!AU17*Constants!$H93*EF!$H218*MMVolatEF*NtoN2O*kgtoGg</f>
        <v>0.35354672339575033</v>
      </c>
      <c r="AV168" s="22">
        <f>Constants!$H75*'Activity data'!AV17*Constants!$H93*EF!$H218*MMVolatEF*NtoN2O*kgtoGg</f>
        <v>0.350433097152205</v>
      </c>
      <c r="AW168" s="22">
        <f>Constants!$H75*'Activity data'!AW17*Constants!$H93*EF!$H218*MMVolatEF*NtoN2O*kgtoGg</f>
        <v>0.34675336928081568</v>
      </c>
      <c r="AX168" s="22">
        <f>Constants!$H75*'Activity data'!AX17*Constants!$H93*EF!$H218*MMVolatEF*NtoN2O*kgtoGg</f>
        <v>0.34251767477610762</v>
      </c>
      <c r="AY168" s="22">
        <f>Constants!$H75*'Activity data'!AY17*Constants!$H93*EF!$H218*MMVolatEF*NtoN2O*kgtoGg</f>
        <v>0.33774033524299119</v>
      </c>
      <c r="AZ168" s="22">
        <f>Constants!$H75*'Activity data'!AZ17*Constants!$H93*EF!$H218*MMVolatEF*NtoN2O*kgtoGg</f>
        <v>0.33243970303339465</v>
      </c>
      <c r="BA168" s="22">
        <f>Constants!$H75*'Activity data'!BA17*Constants!$H93*EF!$H218*MMVolatEF*NtoN2O*kgtoGg</f>
        <v>0.32663565742792322</v>
      </c>
      <c r="BB168" s="22">
        <f>Constants!$H75*'Activity data'!BB17*Constants!$H93*EF!$H218*MMVolatEF*NtoN2O*kgtoGg</f>
        <v>0.32035050647820129</v>
      </c>
      <c r="BC168" s="22">
        <f>Constants!$H75*'Activity data'!BC17*Constants!$H93*EF!$H218*MMVolatEF*NtoN2O*kgtoGg</f>
        <v>-2.9850992029554574E-2</v>
      </c>
      <c r="BD168" s="22">
        <f>Constants!$H75*'Activity data'!BD17*Constants!$H93*EF!$H218*MMVolatEF*NtoN2O*kgtoGg</f>
        <v>-2.9527827789556205E-2</v>
      </c>
      <c r="BE168" s="22">
        <f>Constants!$H75*'Activity data'!BE17*Constants!$H93*EF!$H218*MMVolatEF*NtoN2O*kgtoGg</f>
        <v>-2.9203518600220937E-2</v>
      </c>
      <c r="BF168" s="22">
        <f>Constants!$H75*'Activity data'!BF17*Constants!$H93*EF!$H218*MMVolatEF*NtoN2O*kgtoGg</f>
        <v>-2.8878400916482732E-2</v>
      </c>
      <c r="BG168" s="22">
        <f>Constants!$H75*'Activity data'!BG17*Constants!$H93*EF!$H218*MMVolatEF*NtoN2O*kgtoGg</f>
        <v>-2.8552846585961845E-2</v>
      </c>
      <c r="BH168" s="22">
        <f>Constants!$H75*'Activity data'!BH17*Constants!$H93*EF!$H218*MMVolatEF*NtoN2O*kgtoGg</f>
        <v>-2.8225992627032188E-2</v>
      </c>
      <c r="BI168" s="22">
        <f>Constants!$H75*'Activity data'!BI17*Constants!$H93*EF!$H218*MMVolatEF*NtoN2O*kgtoGg</f>
        <v>-2.7897329553488923E-2</v>
      </c>
      <c r="BJ168" s="22">
        <f>Constants!$H75*'Activity data'!BJ17*Constants!$H93*EF!$H218*MMVolatEF*NtoN2O*kgtoGg</f>
        <v>-2.756688911429131E-2</v>
      </c>
      <c r="BK168" s="22">
        <f>Constants!$H75*'Activity data'!BK17*Constants!$H93*EF!$H218*MMVolatEF*NtoN2O*kgtoGg</f>
        <v>-2.7234123713642547E-2</v>
      </c>
      <c r="BL168" s="22">
        <f>Constants!$H75*'Activity data'!BL17*Constants!$H93*EF!$H218*MMVolatEF*NtoN2O*kgtoGg</f>
        <v>-2.6898465289903917E-2</v>
      </c>
      <c r="BM168" s="22">
        <f>Constants!$H75*'Activity data'!BM17*Constants!$H93*EF!$H218*MMVolatEF*NtoN2O*kgtoGg</f>
        <v>-2.6560009108900318E-2</v>
      </c>
      <c r="BN168" s="22">
        <f>Constants!$H75*'Activity data'!BN17*Constants!$H93*EF!$H218*MMVolatEF*NtoN2O*kgtoGg</f>
        <v>-2.6219036811035483E-2</v>
      </c>
      <c r="BO168" s="22">
        <f>Constants!$H75*'Activity data'!BO17*Constants!$H93*EF!$H218*MMVolatEF*NtoN2O*kgtoGg</f>
        <v>-2.5875789307707536E-2</v>
      </c>
      <c r="BP168" s="22">
        <f>Constants!$H75*'Activity data'!BP17*Constants!$H93*EF!$H218*MMVolatEF*NtoN2O*kgtoGg</f>
        <v>-2.5529791390037318E-2</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1.2655466337890211E-2</v>
      </c>
      <c r="AF169" s="22">
        <f>Constants!$H76*'Activity data'!AF18*Constants!$H94*EF!$H219*MMVolatEF*NtoN2O*kgtoGg</f>
        <v>1.2661143337946407E-2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1.2094642930917438E-2</v>
      </c>
      <c r="AJ169" s="22">
        <f>Constants!$H76*'Activity data'!AJ18*Constants!$H94*EF!$H219*MMVolatEF*NtoN2O*kgtoGg</f>
        <v>1.1905551806853844E-2</v>
      </c>
      <c r="AK169" s="22">
        <f>Constants!$H76*'Activity data'!AK18*Constants!$H94*EF!$H219*MMVolatEF*NtoN2O*kgtoGg</f>
        <v>1.1733192711380723E-2</v>
      </c>
      <c r="AL169" s="22">
        <f>Constants!$H76*'Activity data'!AL18*Constants!$H94*EF!$H219*MMVolatEF*NtoN2O*kgtoGg</f>
        <v>1.0556638573260382E-2</v>
      </c>
      <c r="AM169" s="22">
        <f>Constants!$H76*'Activity data'!AM18*Constants!$H94*EF!$H219*MMVolatEF*NtoN2O*kgtoGg</f>
        <v>1.0933597020593381E-2</v>
      </c>
      <c r="AN169" s="22">
        <f>Constants!$H76*'Activity data'!AN18*Constants!$H94*EF!$H219*MMVolatEF*NtoN2O*kgtoGg</f>
        <v>3.4949443447111525E-2</v>
      </c>
      <c r="AO169" s="22">
        <f>Constants!$H76*'Activity data'!AO18*Constants!$H94*EF!$H219*MMVolatEF*NtoN2O*kgtoGg</f>
        <v>3.504524852978097E-2</v>
      </c>
      <c r="AP169" s="22">
        <f>Constants!$H76*'Activity data'!AP18*Constants!$H94*EF!$H219*MMVolatEF*NtoN2O*kgtoGg</f>
        <v>3.5080632156959869E-2</v>
      </c>
      <c r="AQ169" s="22">
        <f>Constants!$H76*'Activity data'!AQ18*Constants!$H94*EF!$H219*MMVolatEF*NtoN2O*kgtoGg</f>
        <v>3.5057190853481544E-2</v>
      </c>
      <c r="AR169" s="22">
        <f>Constants!$H76*'Activity data'!AR18*Constants!$H94*EF!$H219*MMVolatEF*NtoN2O*kgtoGg</f>
        <v>3.4978461051378834E-2</v>
      </c>
      <c r="AS169" s="22">
        <f>Constants!$H76*'Activity data'!AS18*Constants!$H94*EF!$H219*MMVolatEF*NtoN2O*kgtoGg</f>
        <v>3.484371956767917E-2</v>
      </c>
      <c r="AT169" s="22">
        <f>Constants!$H76*'Activity data'!AT18*Constants!$H94*EF!$H219*MMVolatEF*NtoN2O*kgtoGg</f>
        <v>3.465277276960857E-2</v>
      </c>
      <c r="AU169" s="22">
        <f>Constants!$H76*'Activity data'!AU18*Constants!$H94*EF!$H219*MMVolatEF*NtoN2O*kgtoGg</f>
        <v>3.4405638562309424E-2</v>
      </c>
      <c r="AV169" s="22">
        <f>Constants!$H76*'Activity data'!AV18*Constants!$H94*EF!$H219*MMVolatEF*NtoN2O*kgtoGg</f>
        <v>3.4102633918044564E-2</v>
      </c>
      <c r="AW169" s="22">
        <f>Constants!$H76*'Activity data'!AW18*Constants!$H94*EF!$H219*MMVolatEF*NtoN2O*kgtoGg</f>
        <v>3.3744538710897186E-2</v>
      </c>
      <c r="AX169" s="22">
        <f>Constants!$H76*'Activity data'!AX18*Constants!$H94*EF!$H219*MMVolatEF*NtoN2O*kgtoGg</f>
        <v>3.3332339234715881E-2</v>
      </c>
      <c r="AY169" s="22">
        <f>Constants!$H76*'Activity data'!AY18*Constants!$H94*EF!$H219*MMVolatEF*NtoN2O*kgtoGg</f>
        <v>3.2867429206171077E-2</v>
      </c>
      <c r="AZ169" s="22">
        <f>Constants!$H76*'Activity data'!AZ18*Constants!$H94*EF!$H219*MMVolatEF*NtoN2O*kgtoGg</f>
        <v>3.2351594596806102E-2</v>
      </c>
      <c r="BA169" s="22">
        <f>Constants!$H76*'Activity data'!BA18*Constants!$H94*EF!$H219*MMVolatEF*NtoN2O*kgtoGg</f>
        <v>3.1786769972261424E-2</v>
      </c>
      <c r="BB169" s="22">
        <f>Constants!$H76*'Activity data'!BB18*Constants!$H94*EF!$H219*MMVolatEF*NtoN2O*kgtoGg</f>
        <v>3.117512625567229E-2</v>
      </c>
      <c r="BC169" s="22">
        <f>Constants!$H76*'Activity data'!BC18*Constants!$H94*EF!$H219*MMVolatEF*NtoN2O*kgtoGg</f>
        <v>-2.9049694836107746E-3</v>
      </c>
      <c r="BD169" s="22">
        <f>Constants!$H76*'Activity data'!BD18*Constants!$H94*EF!$H219*MMVolatEF*NtoN2O*kgtoGg</f>
        <v>-2.8735205369740911E-3</v>
      </c>
      <c r="BE169" s="22">
        <f>Constants!$H76*'Activity data'!BE18*Constants!$H94*EF!$H219*MMVolatEF*NtoN2O*kgtoGg</f>
        <v>-2.8419601688181263E-3</v>
      </c>
      <c r="BF169" s="22">
        <f>Constants!$H76*'Activity data'!BF18*Constants!$H94*EF!$H219*MMVolatEF*NtoN2O*kgtoGg</f>
        <v>-2.8103211214823929E-3</v>
      </c>
      <c r="BG169" s="22">
        <f>Constants!$H76*'Activity data'!BG18*Constants!$H94*EF!$H219*MMVolatEF*NtoN2O*kgtoGg</f>
        <v>-2.7786395815696092E-3</v>
      </c>
      <c r="BH169" s="22">
        <f>Constants!$H76*'Activity data'!BH18*Constants!$H94*EF!$H219*MMVolatEF*NtoN2O*kgtoGg</f>
        <v>-2.7468315674390254E-3</v>
      </c>
      <c r="BI169" s="22">
        <f>Constants!$H76*'Activity data'!BI18*Constants!$H94*EF!$H219*MMVolatEF*NtoN2O*kgtoGg</f>
        <v>-2.714847498095948E-3</v>
      </c>
      <c r="BJ169" s="22">
        <f>Constants!$H76*'Activity data'!BJ18*Constants!$H94*EF!$H219*MMVolatEF*NtoN2O*kgtoGg</f>
        <v>-2.6826904632118271E-3</v>
      </c>
      <c r="BK169" s="22">
        <f>Constants!$H76*'Activity data'!BK18*Constants!$H94*EF!$H219*MMVolatEF*NtoN2O*kgtoGg</f>
        <v>-2.6503071731312461E-3</v>
      </c>
      <c r="BL169" s="22">
        <f>Constants!$H76*'Activity data'!BL18*Constants!$H94*EF!$H219*MMVolatEF*NtoN2O*kgtoGg</f>
        <v>-2.61764234655154E-3</v>
      </c>
      <c r="BM169" s="22">
        <f>Constants!$H76*'Activity data'!BM18*Constants!$H94*EF!$H219*MMVolatEF*NtoN2O*kgtoGg</f>
        <v>-2.5847052543309036E-3</v>
      </c>
      <c r="BN169" s="22">
        <f>Constants!$H76*'Activity data'!BN18*Constants!$H94*EF!$H219*MMVolatEF*NtoN2O*kgtoGg</f>
        <v>-2.5515233044957585E-3</v>
      </c>
      <c r="BO169" s="22">
        <f>Constants!$H76*'Activity data'!BO18*Constants!$H94*EF!$H219*MMVolatEF*NtoN2O*kgtoGg</f>
        <v>-2.5181199415017898E-3</v>
      </c>
      <c r="BP169" s="22">
        <f>Constants!$H76*'Activity data'!BP18*Constants!$H94*EF!$H219*MMVolatEF*NtoN2O*kgtoGg</f>
        <v>-2.4844489200754436E-3</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6.4453339767617121E-2</v>
      </c>
      <c r="AE170" s="22">
        <f>Constants!$H77*'Activity data'!AE19*Constants!$H95*EF!$H220*MMVolatEF*NtoN2O*kgtoGg</f>
        <v>6.5763803942104557E-2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7.0122113289878357E-2</v>
      </c>
      <c r="AJ170" s="22">
        <f>Constants!$H77*'Activity data'!AJ19*Constants!$H95*EF!$H220*MMVolatEF*NtoN2O*kgtoGg</f>
        <v>7.1027984276732931E-2</v>
      </c>
      <c r="AK170" s="22">
        <f>Constants!$H77*'Activity data'!AK19*Constants!$H95*EF!$H220*MMVolatEF*NtoN2O*kgtoGg</f>
        <v>7.1969839340941866E-2</v>
      </c>
      <c r="AL170" s="22">
        <f>Constants!$H77*'Activity data'!AL19*Constants!$H95*EF!$H220*MMVolatEF*NtoN2O*kgtoGg</f>
        <v>6.9132641817907584E-2</v>
      </c>
      <c r="AM170" s="22">
        <f>Constants!$H77*'Activity data'!AM19*Constants!$H95*EF!$H220*MMVolatEF*NtoN2O*kgtoGg</f>
        <v>7.1668538235416565E-2</v>
      </c>
      <c r="AN170" s="22">
        <f>Constants!$H77*'Activity data'!AN19*Constants!$H95*EF!$H220*MMVolatEF*NtoN2O*kgtoGg</f>
        <v>0.15927878056001546</v>
      </c>
      <c r="AO170" s="22">
        <f>Constants!$H77*'Activity data'!AO19*Constants!$H95*EF!$H220*MMVolatEF*NtoN2O*kgtoGg</f>
        <v>0.16278043280676852</v>
      </c>
      <c r="AP170" s="22">
        <f>Constants!$H77*'Activity data'!AP19*Constants!$H95*EF!$H220*MMVolatEF*NtoN2O*kgtoGg</f>
        <v>0.1661384841502746</v>
      </c>
      <c r="AQ170" s="22">
        <f>Constants!$H77*'Activity data'!AQ19*Constants!$H95*EF!$H220*MMVolatEF*NtoN2O*kgtoGg</f>
        <v>0.16932327786154089</v>
      </c>
      <c r="AR170" s="22">
        <f>Constants!$H77*'Activity data'!AR19*Constants!$H95*EF!$H220*MMVolatEF*NtoN2O*kgtoGg</f>
        <v>0.17229459764803176</v>
      </c>
      <c r="AS170" s="22">
        <f>Constants!$H77*'Activity data'!AS19*Constants!$H95*EF!$H220*MMVolatEF*NtoN2O*kgtoGg</f>
        <v>0.17503945749810612</v>
      </c>
      <c r="AT170" s="22">
        <f>Constants!$H77*'Activity data'!AT19*Constants!$H95*EF!$H220*MMVolatEF*NtoN2O*kgtoGg</f>
        <v>0.17754464171079537</v>
      </c>
      <c r="AU170" s="22">
        <f>Constants!$H77*'Activity data'!AU19*Constants!$H95*EF!$H220*MMVolatEF*NtoN2O*kgtoGg</f>
        <v>0.17979875003476928</v>
      </c>
      <c r="AV170" s="22">
        <f>Constants!$H77*'Activity data'!AV19*Constants!$H95*EF!$H220*MMVolatEF*NtoN2O*kgtoGg</f>
        <v>0.18179177836428806</v>
      </c>
      <c r="AW170" s="22">
        <f>Constants!$H77*'Activity data'!AW19*Constants!$H95*EF!$H220*MMVolatEF*NtoN2O*kgtoGg</f>
        <v>0.18351408832752805</v>
      </c>
      <c r="AX170" s="22">
        <f>Constants!$H77*'Activity data'!AX19*Constants!$H95*EF!$H220*MMVolatEF*NtoN2O*kgtoGg</f>
        <v>0.18495811914653704</v>
      </c>
      <c r="AY170" s="22">
        <f>Constants!$H77*'Activity data'!AY19*Constants!$H95*EF!$H220*MMVolatEF*NtoN2O*kgtoGg</f>
        <v>0.18611704996451123</v>
      </c>
      <c r="AZ170" s="22">
        <f>Constants!$H77*'Activity data'!AZ19*Constants!$H95*EF!$H220*MMVolatEF*NtoN2O*kgtoGg</f>
        <v>0.18698481434150752</v>
      </c>
      <c r="BA170" s="22">
        <f>Constants!$H77*'Activity data'!BA19*Constants!$H95*EF!$H220*MMVolatEF*NtoN2O*kgtoGg</f>
        <v>0.18755776005425462</v>
      </c>
      <c r="BB170" s="22">
        <f>Constants!$H77*'Activity data'!BB19*Constants!$H95*EF!$H220*MMVolatEF*NtoN2O*kgtoGg</f>
        <v>0.18783399692655736</v>
      </c>
      <c r="BC170" s="22">
        <f>Constants!$H77*'Activity data'!BC19*Constants!$H95*EF!$H220*MMVolatEF*NtoN2O*kgtoGg</f>
        <v>2.4486671101770791E-2</v>
      </c>
      <c r="BD170" s="22">
        <f>Constants!$H77*'Activity data'!BD19*Constants!$H95*EF!$H220*MMVolatEF*NtoN2O*kgtoGg</f>
        <v>2.4666387221284058E-2</v>
      </c>
      <c r="BE170" s="22">
        <f>Constants!$H77*'Activity data'!BE19*Constants!$H95*EF!$H220*MMVolatEF*NtoN2O*kgtoGg</f>
        <v>2.4841648409900843E-2</v>
      </c>
      <c r="BF170" s="22">
        <f>Constants!$H77*'Activity data'!BF19*Constants!$H95*EF!$H220*MMVolatEF*NtoN2O*kgtoGg</f>
        <v>2.5012718687706617E-2</v>
      </c>
      <c r="BG170" s="22">
        <f>Constants!$H77*'Activity data'!BG19*Constants!$H95*EF!$H220*MMVolatEF*NtoN2O*kgtoGg</f>
        <v>2.5179902406593305E-2</v>
      </c>
      <c r="BH170" s="22">
        <f>Constants!$H77*'Activity data'!BH19*Constants!$H95*EF!$H220*MMVolatEF*NtoN2O*kgtoGg</f>
        <v>2.5342514084649829E-2</v>
      </c>
      <c r="BI170" s="22">
        <f>Constants!$H77*'Activity data'!BI19*Constants!$H95*EF!$H220*MMVolatEF*NtoN2O*kgtoGg</f>
        <v>2.5500102306234843E-2</v>
      </c>
      <c r="BJ170" s="22">
        <f>Constants!$H77*'Activity data'!BJ19*Constants!$H95*EF!$H220*MMVolatEF*NtoN2O*kgtoGg</f>
        <v>2.5652633826306989E-2</v>
      </c>
      <c r="BK170" s="22">
        <f>Constants!$H77*'Activity data'!BK19*Constants!$H95*EF!$H220*MMVolatEF*NtoN2O*kgtoGg</f>
        <v>2.5799570928013445E-2</v>
      </c>
      <c r="BL170" s="22">
        <f>Constants!$H77*'Activity data'!BL19*Constants!$H95*EF!$H220*MMVolatEF*NtoN2O*kgtoGg</f>
        <v>2.5940314994938186E-2</v>
      </c>
      <c r="BM170" s="22">
        <f>Constants!$H77*'Activity data'!BM19*Constants!$H95*EF!$H220*MMVolatEF*NtoN2O*kgtoGg</f>
        <v>2.6074813676088864E-2</v>
      </c>
      <c r="BN170" s="22">
        <f>Constants!$H77*'Activity data'!BN19*Constants!$H95*EF!$H220*MMVolatEF*NtoN2O*kgtoGg</f>
        <v>2.6203180413111957E-2</v>
      </c>
      <c r="BO170" s="22">
        <f>Constants!$H77*'Activity data'!BO19*Constants!$H95*EF!$H220*MMVolatEF*NtoN2O*kgtoGg</f>
        <v>2.6325499899042631E-2</v>
      </c>
      <c r="BP170" s="22">
        <f>Constants!$H77*'Activity data'!BP19*Constants!$H95*EF!$H220*MMVolatEF*NtoN2O*kgtoGg</f>
        <v>2.6441188397219272E-2</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0.31034319165291735</v>
      </c>
      <c r="AE171" s="22">
        <f>Constants!$H78*'Activity data'!AE20*Constants!$H96*EF!$H221*MMVolatEF*NtoN2O*kgtoGg</f>
        <v>0.31442985679016994</v>
      </c>
      <c r="AF171" s="22">
        <f>Constants!$H78*'Activity data'!AF20*Constants!$H96*EF!$H221*MMVolatEF*NtoN2O*kgtoGg</f>
        <v>0.32099421325528482</v>
      </c>
      <c r="AG171" s="22">
        <f>Constants!$H78*'Activity data'!AG20*Constants!$H96*EF!$H221*MMVolatEF*NtoN2O*kgtoGg</f>
        <v>0.32287903178152921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0.31577785743754255</v>
      </c>
      <c r="AK171" s="22">
        <f>Constants!$H78*'Activity data'!AK20*Constants!$H96*EF!$H221*MMVolatEF*NtoN2O*kgtoGg</f>
        <v>0.31441607582114939</v>
      </c>
      <c r="AL171" s="22">
        <f>Constants!$H78*'Activity data'!AL20*Constants!$H96*EF!$H221*MMVolatEF*NtoN2O*kgtoGg</f>
        <v>0.27420619396536416</v>
      </c>
      <c r="AM171" s="22">
        <f>Constants!$H78*'Activity data'!AM20*Constants!$H96*EF!$H221*MMVolatEF*NtoN2O*kgtoGg</f>
        <v>0.29495818532939488</v>
      </c>
      <c r="AN171" s="22">
        <f>Constants!$H78*'Activity data'!AN20*Constants!$H96*EF!$H221*MMVolatEF*NtoN2O*kgtoGg</f>
        <v>1.2825520746937493</v>
      </c>
      <c r="AO171" s="22">
        <f>Constants!$H78*'Activity data'!AO20*Constants!$H96*EF!$H221*MMVolatEF*NtoN2O*kgtoGg</f>
        <v>1.3055461044676304</v>
      </c>
      <c r="AP171" s="22">
        <f>Constants!$H78*'Activity data'!AP20*Constants!$H96*EF!$H221*MMVolatEF*NtoN2O*kgtoGg</f>
        <v>1.3259738285316456</v>
      </c>
      <c r="AQ171" s="22">
        <f>Constants!$H78*'Activity data'!AQ20*Constants!$H96*EF!$H221*MMVolatEF*NtoN2O*kgtoGg</f>
        <v>1.3439224713343889</v>
      </c>
      <c r="AR171" s="22">
        <f>Constants!$H78*'Activity data'!AR20*Constants!$H96*EF!$H221*MMVolatEF*NtoN2O*kgtoGg</f>
        <v>1.3596359578831905</v>
      </c>
      <c r="AS171" s="22">
        <f>Constants!$H78*'Activity data'!AS20*Constants!$H96*EF!$H221*MMVolatEF*NtoN2O*kgtoGg</f>
        <v>1.3729964225138076</v>
      </c>
      <c r="AT171" s="22">
        <f>Constants!$H78*'Activity data'!AT20*Constants!$H96*EF!$H221*MMVolatEF*NtoN2O*kgtoGg</f>
        <v>1.3839133762561158</v>
      </c>
      <c r="AU171" s="22">
        <f>Constants!$H78*'Activity data'!AU20*Constants!$H96*EF!$H221*MMVolatEF*NtoN2O*kgtoGg</f>
        <v>1.392297876830487</v>
      </c>
      <c r="AV171" s="22">
        <f>Constants!$H78*'Activity data'!AV20*Constants!$H96*EF!$H221*MMVolatEF*NtoN2O*kgtoGg</f>
        <v>1.3980705991762232</v>
      </c>
      <c r="AW171" s="22">
        <f>Constants!$H78*'Activity data'!AW20*Constants!$H96*EF!$H221*MMVolatEF*NtoN2O*kgtoGg</f>
        <v>1.4011774518837516</v>
      </c>
      <c r="AX171" s="22">
        <f>Constants!$H78*'Activity data'!AX20*Constants!$H96*EF!$H221*MMVolatEF*NtoN2O*kgtoGg</f>
        <v>1.4015682854114344</v>
      </c>
      <c r="AY171" s="22">
        <f>Constants!$H78*'Activity data'!AY20*Constants!$H96*EF!$H221*MMVolatEF*NtoN2O*kgtoGg</f>
        <v>1.3992160776881843</v>
      </c>
      <c r="AZ171" s="22">
        <f>Constants!$H78*'Activity data'!AZ20*Constants!$H96*EF!$H221*MMVolatEF*NtoN2O*kgtoGg</f>
        <v>1.3941175452078094</v>
      </c>
      <c r="BA171" s="22">
        <f>Constants!$H78*'Activity data'!BA20*Constants!$H96*EF!$H221*MMVolatEF*NtoN2O*kgtoGg</f>
        <v>1.3862722906542229</v>
      </c>
      <c r="BB171" s="22">
        <f>Constants!$H78*'Activity data'!BB20*Constants!$H96*EF!$H221*MMVolatEF*NtoN2O*kgtoGg</f>
        <v>1.3756920657497529</v>
      </c>
      <c r="BC171" s="22">
        <f>Constants!$H78*'Activity data'!BC20*Constants!$H96*EF!$H221*MMVolatEF*NtoN2O*kgtoGg</f>
        <v>-0.29376675967597721</v>
      </c>
      <c r="BD171" s="22">
        <f>Constants!$H78*'Activity data'!BD20*Constants!$H96*EF!$H221*MMVolatEF*NtoN2O*kgtoGg</f>
        <v>-0.29418248669382474</v>
      </c>
      <c r="BE171" s="22">
        <f>Constants!$H78*'Activity data'!BE20*Constants!$H96*EF!$H221*MMVolatEF*NtoN2O*kgtoGg</f>
        <v>-0.29455892044172599</v>
      </c>
      <c r="BF171" s="22">
        <f>Constants!$H78*'Activity data'!BF20*Constants!$H96*EF!$H221*MMVolatEF*NtoN2O*kgtoGg</f>
        <v>-0.29489926202307742</v>
      </c>
      <c r="BG171" s="22">
        <f>Constants!$H78*'Activity data'!BG20*Constants!$H96*EF!$H221*MMVolatEF*NtoN2O*kgtoGg</f>
        <v>-0.2952071711728716</v>
      </c>
      <c r="BH171" s="22">
        <f>Constants!$H78*'Activity data'!BH20*Constants!$H96*EF!$H221*MMVolatEF*NtoN2O*kgtoGg</f>
        <v>-0.29547405449445624</v>
      </c>
      <c r="BI171" s="22">
        <f>Constants!$H78*'Activity data'!BI20*Constants!$H96*EF!$H221*MMVolatEF*NtoN2O*kgtoGg</f>
        <v>-0.29569441698810944</v>
      </c>
      <c r="BJ171" s="22">
        <f>Constants!$H78*'Activity data'!BJ20*Constants!$H96*EF!$H221*MMVolatEF*NtoN2O*kgtoGg</f>
        <v>-0.29586800918156786</v>
      </c>
      <c r="BK171" s="22">
        <f>Constants!$H78*'Activity data'!BK20*Constants!$H96*EF!$H221*MMVolatEF*NtoN2O*kgtoGg</f>
        <v>-0.29598849617700645</v>
      </c>
      <c r="BL171" s="22">
        <f>Constants!$H78*'Activity data'!BL20*Constants!$H96*EF!$H221*MMVolatEF*NtoN2O*kgtoGg</f>
        <v>-0.29604896826052718</v>
      </c>
      <c r="BM171" s="22">
        <f>Constants!$H78*'Activity data'!BM20*Constants!$H96*EF!$H221*MMVolatEF*NtoN2O*kgtoGg</f>
        <v>-0.29604922742667927</v>
      </c>
      <c r="BN171" s="22">
        <f>Constants!$H78*'Activity data'!BN20*Constants!$H96*EF!$H221*MMVolatEF*NtoN2O*kgtoGg</f>
        <v>-0.29599106772821226</v>
      </c>
      <c r="BO171" s="22">
        <f>Constants!$H78*'Activity data'!BO20*Constants!$H96*EF!$H221*MMVolatEF*NtoN2O*kgtoGg</f>
        <v>-0.29587591492784127</v>
      </c>
      <c r="BP171" s="22">
        <f>Constants!$H78*'Activity data'!BP20*Constants!$H96*EF!$H221*MMVolatEF*NtoN2O*kgtoGg</f>
        <v>-0.29569729144234697</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8.9709854381943815E-2</v>
      </c>
      <c r="AF172" s="22">
        <f>Constants!$H63*'Activity data'!AF5*Constants!$H81*FracLEACHMM*MMLeachEF*NtoN2O*kgtoGg</f>
        <v>9.0417475033143083E-2</v>
      </c>
      <c r="AG172" s="22">
        <f>Constants!$H63*'Activity data'!AG5*Constants!$H81*FracLEACHMM*MMLeachEF*NtoN2O*kgtoGg</f>
        <v>9.0872196678668984E-2</v>
      </c>
      <c r="AH172" s="22">
        <f>Constants!$H63*'Activity data'!AH5*Constants!$H81*FracLEACHMM*MMLeachEF*NtoN2O*kgtoGg</f>
        <v>9.1174361291842948E-2</v>
      </c>
      <c r="AI172" s="22">
        <f>Constants!$H63*'Activity data'!AI5*Constants!$H81*FracLEACHMM*MMLeachEF*NtoN2O*kgtoGg</f>
        <v>9.1320994898161756E-2</v>
      </c>
      <c r="AJ172" s="22">
        <f>Constants!$H63*'Activity data'!AJ5*Constants!$H81*FracLEACHMM*MMLeachEF*NtoN2O*kgtoGg</f>
        <v>9.1644963105957017E-2</v>
      </c>
      <c r="AK172" s="22">
        <f>Constants!$H63*'Activity data'!AK5*Constants!$H81*FracLEACHMM*MMLeachEF*NtoN2O*kgtoGg</f>
        <v>9.2016609055475665E-2</v>
      </c>
      <c r="AL172" s="22">
        <f>Constants!$H63*'Activity data'!AL5*Constants!$H81*FracLEACHMM*MMLeachEF*NtoN2O*kgtoGg</f>
        <v>8.940199339516991E-2</v>
      </c>
      <c r="AM172" s="22">
        <f>Constants!$H63*'Activity data'!AM5*Constants!$H81*FracLEACHMM*MMLeachEF*NtoN2O*kgtoGg</f>
        <v>9.0940281304058526E-2</v>
      </c>
      <c r="AN172" s="22">
        <f>Constants!$H63*'Activity data'!AN5*Constants!$H81*FracLEACHMM*MMLeachEF*NtoN2O*kgtoGg</f>
        <v>0.1564700266780468</v>
      </c>
      <c r="AO172" s="22">
        <f>Constants!$H63*'Activity data'!AO5*Constants!$H81*FracLEACHMM*MMLeachEF*NtoN2O*kgtoGg</f>
        <v>0.15835619981688001</v>
      </c>
      <c r="AP172" s="22">
        <f>Constants!$H63*'Activity data'!AP5*Constants!$H81*FracLEACHMM*MMLeachEF*NtoN2O*kgtoGg</f>
        <v>0.16015964078695746</v>
      </c>
      <c r="AQ172" s="22">
        <f>Constants!$H63*'Activity data'!AQ5*Constants!$H81*FracLEACHMM*MMLeachEF*NtoN2O*kgtoGg</f>
        <v>0.161849673455432</v>
      </c>
      <c r="AR172" s="22">
        <f>Constants!$H63*'Activity data'!AR5*Constants!$H81*FracLEACHMM*MMLeachEF*NtoN2O*kgtoGg</f>
        <v>0.16338116510403111</v>
      </c>
      <c r="AS172" s="22">
        <f>Constants!$H63*'Activity data'!AS5*Constants!$H81*FracLEACHMM*MMLeachEF*NtoN2O*kgtoGg</f>
        <v>0.16474696363228722</v>
      </c>
      <c r="AT172" s="22">
        <f>Constants!$H63*'Activity data'!AT5*Constants!$H81*FracLEACHMM*MMLeachEF*NtoN2O*kgtoGg</f>
        <v>0.16593911254285348</v>
      </c>
      <c r="AU172" s="22">
        <f>Constants!$H63*'Activity data'!AU5*Constants!$H81*FracLEACHMM*MMLeachEF*NtoN2O*kgtoGg</f>
        <v>0.16695158994132034</v>
      </c>
      <c r="AV172" s="22">
        <f>Constants!$H63*'Activity data'!AV5*Constants!$H81*FracLEACHMM*MMLeachEF*NtoN2O*kgtoGg</f>
        <v>0.16777962003810495</v>
      </c>
      <c r="AW172" s="22">
        <f>Constants!$H63*'Activity data'!AW5*Constants!$H81*FracLEACHMM*MMLeachEF*NtoN2O*kgtoGg</f>
        <v>0.16841818240508855</v>
      </c>
      <c r="AX172" s="22">
        <f>Constants!$H63*'Activity data'!AX5*Constants!$H81*FracLEACHMM*MMLeachEF*NtoN2O*kgtoGg</f>
        <v>0.16886427150805067</v>
      </c>
      <c r="AY172" s="22">
        <f>Constants!$H63*'Activity data'!AY5*Constants!$H81*FracLEACHMM*MMLeachEF*NtoN2O*kgtoGg</f>
        <v>0.1691150043732032</v>
      </c>
      <c r="AZ172" s="22">
        <f>Constants!$H63*'Activity data'!AZ5*Constants!$H81*FracLEACHMM*MMLeachEF*NtoN2O*kgtoGg</f>
        <v>0.16916759569059056</v>
      </c>
      <c r="BA172" s="22">
        <f>Constants!$H63*'Activity data'!BA5*Constants!$H81*FracLEACHMM*MMLeachEF*NtoN2O*kgtoGg</f>
        <v>0.16902153680910736</v>
      </c>
      <c r="BB172" s="22">
        <f>Constants!$H63*'Activity data'!BB5*Constants!$H81*FracLEACHMM*MMLeachEF*NtoN2O*kgtoGg</f>
        <v>0.16867765925493905</v>
      </c>
      <c r="BC172" s="22">
        <f>Constants!$H63*'Activity data'!BC5*Constants!$H81*FracLEACHMM*MMLeachEF*NtoN2O*kgtoGg</f>
        <v>5.3366694545987768E-2</v>
      </c>
      <c r="BD172" s="22">
        <f>Constants!$H63*'Activity data'!BD5*Constants!$H81*FracLEACHMM*MMLeachEF*NtoN2O*kgtoGg</f>
        <v>5.3405651337415067E-2</v>
      </c>
      <c r="BE172" s="22">
        <f>Constants!$H63*'Activity data'!BE5*Constants!$H81*FracLEACHMM*MMLeachEF*NtoN2O*kgtoGg</f>
        <v>5.344180376180914E-2</v>
      </c>
      <c r="BF172" s="22">
        <f>Constants!$H63*'Activity data'!BF5*Constants!$H81*FracLEACHMM*MMLeachEF*NtoN2O*kgtoGg</f>
        <v>5.3475396377869022E-2</v>
      </c>
      <c r="BG172" s="22">
        <f>Constants!$H63*'Activity data'!BG5*Constants!$H81*FracLEACHMM*MMLeachEF*NtoN2O*kgtoGg</f>
        <v>5.3506730430657977E-2</v>
      </c>
      <c r="BH172" s="22">
        <f>Constants!$H63*'Activity data'!BH5*Constants!$H81*FracLEACHMM*MMLeachEF*NtoN2O*kgtoGg</f>
        <v>5.353482249647553E-2</v>
      </c>
      <c r="BI172" s="22">
        <f>Constants!$H63*'Activity data'!BI5*Constants!$H81*FracLEACHMM*MMLeachEF*NtoN2O*kgtoGg</f>
        <v>5.3559012168450083E-2</v>
      </c>
      <c r="BJ172" s="22">
        <f>Constants!$H63*'Activity data'!BJ5*Constants!$H81*FracLEACHMM*MMLeachEF*NtoN2O*kgtoGg</f>
        <v>5.3579193542556233E-2</v>
      </c>
      <c r="BK172" s="22">
        <f>Constants!$H63*'Activity data'!BK5*Constants!$H81*FracLEACHMM*MMLeachEF*NtoN2O*kgtoGg</f>
        <v>5.3594617293935103E-2</v>
      </c>
      <c r="BL172" s="22">
        <f>Constants!$H63*'Activity data'!BL5*Constants!$H81*FracLEACHMM*MMLeachEF*NtoN2O*kgtoGg</f>
        <v>5.3604469890097345E-2</v>
      </c>
      <c r="BM172" s="22">
        <f>Constants!$H63*'Activity data'!BM5*Constants!$H81*FracLEACHMM*MMLeachEF*NtoN2O*kgtoGg</f>
        <v>5.3608650848433942E-2</v>
      </c>
      <c r="BN172" s="22">
        <f>Constants!$H63*'Activity data'!BN5*Constants!$H81*FracLEACHMM*MMLeachEF*NtoN2O*kgtoGg</f>
        <v>5.3607275721283966E-2</v>
      </c>
      <c r="BO172" s="22">
        <f>Constants!$H63*'Activity data'!BO5*Constants!$H81*FracLEACHMM*MMLeachEF*NtoN2O*kgtoGg</f>
        <v>5.3600425093073278E-2</v>
      </c>
      <c r="BP172" s="22">
        <f>Constants!$H63*'Activity data'!BP5*Constants!$H81*FracLEACHMM*MMLeachEF*NtoN2O*kgtoGg</f>
        <v>5.3587333792896791E-2</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2.757662364319367E-2</v>
      </c>
      <c r="AJ173" s="22">
        <f>Constants!$H64*'Activity data'!AJ6*Constants!$H82*FracLEACHMM*MMLeachEF*NtoN2O*kgtoGg</f>
        <v>2.7674453822865853E-2</v>
      </c>
      <c r="AK173" s="22">
        <f>Constants!$H64*'Activity data'!AK6*Constants!$H82*FracLEACHMM*MMLeachEF*NtoN2O*kgtoGg</f>
        <v>2.7786681470952937E-2</v>
      </c>
      <c r="AL173" s="22">
        <f>Constants!$H64*'Activity data'!AL6*Constants!$H82*FracLEACHMM*MMLeachEF*NtoN2O*kgtoGg</f>
        <v>2.699713387440892E-2</v>
      </c>
      <c r="AM173" s="22">
        <f>Constants!$H64*'Activity data'!AM6*Constants!$H82*FracLEACHMM*MMLeachEF*NtoN2O*kgtoGg</f>
        <v>2.7461657796488435E-2</v>
      </c>
      <c r="AN173" s="22">
        <f>Constants!$H64*'Activity data'!AN6*Constants!$H82*FracLEACHMM*MMLeachEF*NtoN2O*kgtoGg</f>
        <v>4.7249978408062936E-2</v>
      </c>
      <c r="AO173" s="22">
        <f>Constants!$H64*'Activity data'!AO6*Constants!$H82*FracLEACHMM*MMLeachEF*NtoN2O*kgtoGg</f>
        <v>4.7819554843728261E-2</v>
      </c>
      <c r="AP173" s="22">
        <f>Constants!$H64*'Activity data'!AP6*Constants!$H82*FracLEACHMM*MMLeachEF*NtoN2O*kgtoGg</f>
        <v>4.8364148263346618E-2</v>
      </c>
      <c r="AQ173" s="22">
        <f>Constants!$H64*'Activity data'!AQ6*Constants!$H82*FracLEACHMM*MMLeachEF*NtoN2O*kgtoGg</f>
        <v>4.8874495253052513E-2</v>
      </c>
      <c r="AR173" s="22">
        <f>Constants!$H64*'Activity data'!AR6*Constants!$H82*FracLEACHMM*MMLeachEF*NtoN2O*kgtoGg</f>
        <v>4.9336966876945901E-2</v>
      </c>
      <c r="AS173" s="22">
        <f>Constants!$H64*'Activity data'!AS6*Constants!$H82*FracLEACHMM*MMLeachEF*NtoN2O*kgtoGg</f>
        <v>4.9749403382134544E-2</v>
      </c>
      <c r="AT173" s="22">
        <f>Constants!$H64*'Activity data'!AT6*Constants!$H82*FracLEACHMM*MMLeachEF*NtoN2O*kgtoGg</f>
        <v>5.0109402108276212E-2</v>
      </c>
      <c r="AU173" s="22">
        <f>Constants!$H64*'Activity data'!AU6*Constants!$H82*FracLEACHMM*MMLeachEF*NtoN2O*kgtoGg</f>
        <v>5.0415144596034883E-2</v>
      </c>
      <c r="AV173" s="22">
        <f>Constants!$H64*'Activity data'!AV6*Constants!$H82*FracLEACHMM*MMLeachEF*NtoN2O*kgtoGg</f>
        <v>5.0665188678118429E-2</v>
      </c>
      <c r="AW173" s="22">
        <f>Constants!$H64*'Activity data'!AW6*Constants!$H82*FracLEACHMM*MMLeachEF*NtoN2O*kgtoGg</f>
        <v>5.0858018312603365E-2</v>
      </c>
      <c r="AX173" s="22">
        <f>Constants!$H64*'Activity data'!AX6*Constants!$H82*FracLEACHMM*MMLeachEF*NtoN2O*kgtoGg</f>
        <v>5.0992725904405595E-2</v>
      </c>
      <c r="AY173" s="22">
        <f>Constants!$H64*'Activity data'!AY6*Constants!$H82*FracLEACHMM*MMLeachEF*NtoN2O*kgtoGg</f>
        <v>5.1068440868582254E-2</v>
      </c>
      <c r="AZ173" s="22">
        <f>Constants!$H64*'Activity data'!AZ6*Constants!$H82*FracLEACHMM*MMLeachEF*NtoN2O*kgtoGg</f>
        <v>5.1084322112190127E-2</v>
      </c>
      <c r="BA173" s="22">
        <f>Constants!$H64*'Activity data'!BA6*Constants!$H82*FracLEACHMM*MMLeachEF*NtoN2O*kgtoGg</f>
        <v>5.104021603549988E-2</v>
      </c>
      <c r="BB173" s="22">
        <f>Constants!$H64*'Activity data'!BB6*Constants!$H82*FracLEACHMM*MMLeachEF*NtoN2O*kgtoGg</f>
        <v>5.0936373738323673E-2</v>
      </c>
      <c r="BC173" s="22">
        <f>Constants!$H64*'Activity data'!BC6*Constants!$H82*FracLEACHMM*MMLeachEF*NtoN2O*kgtoGg</f>
        <v>1.6115387838438942E-2</v>
      </c>
      <c r="BD173" s="22">
        <f>Constants!$H64*'Activity data'!BD6*Constants!$H82*FracLEACHMM*MMLeachEF*NtoN2O*kgtoGg</f>
        <v>1.6127151801115156E-2</v>
      </c>
      <c r="BE173" s="22">
        <f>Constants!$H64*'Activity data'!BE6*Constants!$H82*FracLEACHMM*MMLeachEF*NtoN2O*kgtoGg</f>
        <v>1.6138068916094209E-2</v>
      </c>
      <c r="BF173" s="22">
        <f>Constants!$H64*'Activity data'!BF6*Constants!$H82*FracLEACHMM*MMLeachEF*NtoN2O*kgtoGg</f>
        <v>1.6148213033898736E-2</v>
      </c>
      <c r="BG173" s="22">
        <f>Constants!$H64*'Activity data'!BG6*Constants!$H82*FracLEACHMM*MMLeachEF*NtoN2O*kgtoGg</f>
        <v>1.6157675122895256E-2</v>
      </c>
      <c r="BH173" s="22">
        <f>Constants!$H64*'Activity data'!BH6*Constants!$H82*FracLEACHMM*MMLeachEF*NtoN2O*kgtoGg</f>
        <v>1.6166158214075712E-2</v>
      </c>
      <c r="BI173" s="22">
        <f>Constants!$H64*'Activity data'!BI6*Constants!$H82*FracLEACHMM*MMLeachEF*NtoN2O*kgtoGg</f>
        <v>1.6173462881319406E-2</v>
      </c>
      <c r="BJ173" s="22">
        <f>Constants!$H64*'Activity data'!BJ6*Constants!$H82*FracLEACHMM*MMLeachEF*NtoN2O*kgtoGg</f>
        <v>1.617955714429747E-2</v>
      </c>
      <c r="BK173" s="22">
        <f>Constants!$H64*'Activity data'!BK6*Constants!$H82*FracLEACHMM*MMLeachEF*NtoN2O*kgtoGg</f>
        <v>1.6184214725912905E-2</v>
      </c>
      <c r="BL173" s="22">
        <f>Constants!$H64*'Activity data'!BL6*Constants!$H82*FracLEACHMM*MMLeachEF*NtoN2O*kgtoGg</f>
        <v>1.618718995999328E-2</v>
      </c>
      <c r="BM173" s="22">
        <f>Constants!$H64*'Activity data'!BM6*Constants!$H82*FracLEACHMM*MMLeachEF*NtoN2O*kgtoGg</f>
        <v>1.618845250333991E-2</v>
      </c>
      <c r="BN173" s="22">
        <f>Constants!$H64*'Activity data'!BN6*Constants!$H82*FracLEACHMM*MMLeachEF*NtoN2O*kgtoGg</f>
        <v>1.6188037249827626E-2</v>
      </c>
      <c r="BO173" s="22">
        <f>Constants!$H64*'Activity data'!BO6*Constants!$H82*FracLEACHMM*MMLeachEF*NtoN2O*kgtoGg</f>
        <v>1.6185968533908621E-2</v>
      </c>
      <c r="BP173" s="22">
        <f>Constants!$H64*'Activity data'!BP6*Constants!$H82*FracLEACHMM*MMLeachEF*NtoN2O*kgtoGg</f>
        <v>1.6182015293381945E-2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1.4564639612104711E-3</v>
      </c>
      <c r="AF174" s="22">
        <f>Constants!$H65*'Activity data'!AF7*Constants!$H83*FracLEACHMM*MMLeachEF*NtoN2O*kgtoGg</f>
        <v>1.4679523755410987E-3</v>
      </c>
      <c r="AG174" s="22">
        <f>Constants!$H65*'Activity data'!AG7*Constants!$H83*FracLEACHMM*MMLeachEF*NtoN2O*kgtoGg</f>
        <v>1.4753349055168039E-3</v>
      </c>
      <c r="AH174" s="22">
        <f>Constants!$H65*'Activity data'!AH7*Constants!$H83*FracLEACHMM*MMLeachEF*NtoN2O*kgtoGg</f>
        <v>1.4802406304505133E-3</v>
      </c>
      <c r="AI174" s="22">
        <f>Constants!$H65*'Activity data'!AI7*Constants!$H83*FracLEACHMM*MMLeachEF*NtoN2O*kgtoGg</f>
        <v>1.4826212670547866E-3</v>
      </c>
      <c r="AJ174" s="22">
        <f>Constants!$H65*'Activity data'!AJ7*Constants!$H83*FracLEACHMM*MMLeachEF*NtoN2O*kgtoGg</f>
        <v>1.4878809792957942E-3</v>
      </c>
      <c r="AK174" s="22">
        <f>Constants!$H65*'Activity data'!AK7*Constants!$H83*FracLEACHMM*MMLeachEF*NtoN2O*kgtoGg</f>
        <v>1.4939147526814829E-3</v>
      </c>
      <c r="AL174" s="22">
        <f>Constants!$H65*'Activity data'!AL7*Constants!$H83*FracLEACHMM*MMLeachEF*NtoN2O*kgtoGg</f>
        <v>1.4514657540972396E-3</v>
      </c>
      <c r="AM174" s="22">
        <f>Constants!$H65*'Activity data'!AM7*Constants!$H83*FracLEACHMM*MMLeachEF*NtoN2O*kgtoGg</f>
        <v>1.476440277985364E-3</v>
      </c>
      <c r="AN174" s="22">
        <f>Constants!$H65*'Activity data'!AN7*Constants!$H83*FracLEACHMM*MMLeachEF*NtoN2O*kgtoGg</f>
        <v>2.5403335724518226E-3</v>
      </c>
      <c r="AO174" s="22">
        <f>Constants!$H65*'Activity data'!AO7*Constants!$H83*FracLEACHMM*MMLeachEF*NtoN2O*kgtoGg</f>
        <v>2.5709561079607732E-3</v>
      </c>
      <c r="AP174" s="22">
        <f>Constants!$H65*'Activity data'!AP7*Constants!$H83*FracLEACHMM*MMLeachEF*NtoN2O*kgtoGg</f>
        <v>2.6002354641383586E-3</v>
      </c>
      <c r="AQ174" s="22">
        <f>Constants!$H65*'Activity data'!AQ7*Constants!$H83*FracLEACHMM*MMLeachEF*NtoN2O*kgtoGg</f>
        <v>2.6276736055985106E-3</v>
      </c>
      <c r="AR174" s="22">
        <f>Constants!$H65*'Activity data'!AR7*Constants!$H83*FracLEACHMM*MMLeachEF*NtoN2O*kgtoGg</f>
        <v>2.6525377903466292E-3</v>
      </c>
      <c r="AS174" s="22">
        <f>Constants!$H65*'Activity data'!AS7*Constants!$H83*FracLEACHMM*MMLeachEF*NtoN2O*kgtoGg</f>
        <v>2.6747119020803316E-3</v>
      </c>
      <c r="AT174" s="22">
        <f>Constants!$H65*'Activity data'!AT7*Constants!$H83*FracLEACHMM*MMLeachEF*NtoN2O*kgtoGg</f>
        <v>2.6940667648944388E-3</v>
      </c>
      <c r="AU174" s="22">
        <f>Constants!$H65*'Activity data'!AU7*Constants!$H83*FracLEACHMM*MMLeachEF*NtoN2O*kgtoGg</f>
        <v>2.7105046116902751E-3</v>
      </c>
      <c r="AV174" s="22">
        <f>Constants!$H65*'Activity data'!AV7*Constants!$H83*FracLEACHMM*MMLeachEF*NtoN2O*kgtoGg</f>
        <v>2.7239479062209941E-3</v>
      </c>
      <c r="AW174" s="22">
        <f>Constants!$H65*'Activity data'!AW7*Constants!$H83*FracLEACHMM*MMLeachEF*NtoN2O*kgtoGg</f>
        <v>2.7343151404663774E-3</v>
      </c>
      <c r="AX174" s="22">
        <f>Constants!$H65*'Activity data'!AX7*Constants!$H83*FracLEACHMM*MMLeachEF*NtoN2O*kgtoGg</f>
        <v>2.741557518758363E-3</v>
      </c>
      <c r="AY174" s="22">
        <f>Constants!$H65*'Activity data'!AY7*Constants!$H83*FracLEACHMM*MMLeachEF*NtoN2O*kgtoGg</f>
        <v>2.7456282352309475E-3</v>
      </c>
      <c r="AZ174" s="22">
        <f>Constants!$H65*'Activity data'!AZ7*Constants!$H83*FracLEACHMM*MMLeachEF*NtoN2O*kgtoGg</f>
        <v>2.7464820696170918E-3</v>
      </c>
      <c r="BA174" s="22">
        <f>Constants!$H65*'Activity data'!BA7*Constants!$H83*FracLEACHMM*MMLeachEF*NtoN2O*kgtoGg</f>
        <v>2.7441107638273262E-3</v>
      </c>
      <c r="BB174" s="22">
        <f>Constants!$H65*'Activity data'!BB7*Constants!$H83*FracLEACHMM*MMLeachEF*NtoN2O*kgtoGg</f>
        <v>2.738527817916133E-3</v>
      </c>
      <c r="BC174" s="22">
        <f>Constants!$H65*'Activity data'!BC7*Constants!$H83*FracLEACHMM*MMLeachEF*NtoN2O*kgtoGg</f>
        <v>8.664228458585355E-4</v>
      </c>
      <c r="BD174" s="22">
        <f>Constants!$H65*'Activity data'!BD7*Constants!$H83*FracLEACHMM*MMLeachEF*NtoN2O*kgtoGg</f>
        <v>8.6705531999584366E-4</v>
      </c>
      <c r="BE174" s="22">
        <f>Constants!$H65*'Activity data'!BE7*Constants!$H83*FracLEACHMM*MMLeachEF*NtoN2O*kgtoGg</f>
        <v>8.6764226446925895E-4</v>
      </c>
      <c r="BF174" s="22">
        <f>Constants!$H65*'Activity data'!BF7*Constants!$H83*FracLEACHMM*MMLeachEF*NtoN2O*kgtoGg</f>
        <v>8.6818764975598228E-4</v>
      </c>
      <c r="BG174" s="22">
        <f>Constants!$H65*'Activity data'!BG7*Constants!$H83*FracLEACHMM*MMLeachEF*NtoN2O*kgtoGg</f>
        <v>8.6869636665180383E-4</v>
      </c>
      <c r="BH174" s="22">
        <f>Constants!$H65*'Activity data'!BH7*Constants!$H83*FracLEACHMM*MMLeachEF*NtoN2O*kgtoGg</f>
        <v>8.691524490046414E-4</v>
      </c>
      <c r="BI174" s="22">
        <f>Constants!$H65*'Activity data'!BI7*Constants!$H83*FracLEACHMM*MMLeachEF*NtoN2O*kgtoGg</f>
        <v>8.6954517492875681E-4</v>
      </c>
      <c r="BJ174" s="22">
        <f>Constants!$H65*'Activity data'!BJ7*Constants!$H83*FracLEACHMM*MMLeachEF*NtoN2O*kgtoGg</f>
        <v>8.6987282504340517E-4</v>
      </c>
      <c r="BK174" s="22">
        <f>Constants!$H65*'Activity data'!BK7*Constants!$H83*FracLEACHMM*MMLeachEF*NtoN2O*kgtoGg</f>
        <v>8.7012323385506529E-4</v>
      </c>
      <c r="BL174" s="22">
        <f>Constants!$H65*'Activity data'!BL7*Constants!$H83*FracLEACHMM*MMLeachEF*NtoN2O*kgtoGg</f>
        <v>8.7028319344181889E-4</v>
      </c>
      <c r="BM174" s="22">
        <f>Constants!$H65*'Activity data'!BM7*Constants!$H83*FracLEACHMM*MMLeachEF*NtoN2O*kgtoGg</f>
        <v>8.7035107244109425E-4</v>
      </c>
      <c r="BN174" s="22">
        <f>Constants!$H65*'Activity data'!BN7*Constants!$H83*FracLEACHMM*MMLeachEF*NtoN2O*kgtoGg</f>
        <v>8.7032874687664199E-4</v>
      </c>
      <c r="BO174" s="22">
        <f>Constants!$H65*'Activity data'!BO7*Constants!$H83*FracLEACHMM*MMLeachEF*NtoN2O*kgtoGg</f>
        <v>8.7021752505860126E-4</v>
      </c>
      <c r="BP174" s="22">
        <f>Constants!$H65*'Activity data'!BP7*Constants!$H83*FracLEACHMM*MMLeachEF*NtoN2O*kgtoGg</f>
        <v>8.7000498422856851E-4</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3.0303014392691133E-2</v>
      </c>
      <c r="AE175" s="22">
        <f>Constants!$H66*'Activity data'!AE8*Constants!$H84*FracLEACHMM*MMLeachEF*NtoN2O*kgtoGg</f>
        <v>3.0040206026371367E-2</v>
      </c>
      <c r="AF175" s="22">
        <f>Constants!$H66*'Activity data'!AF8*Constants!$H84*FracLEACHMM*MMLeachEF*NtoN2O*kgtoGg</f>
        <v>2.9940162837193193E-2</v>
      </c>
      <c r="AG175" s="22">
        <f>Constants!$H66*'Activity data'!AG8*Constants!$H84*FracLEACHMM*MMLeachEF*NtoN2O*kgtoGg</f>
        <v>2.9540351153331305E-2</v>
      </c>
      <c r="AH175" s="22">
        <f>Constants!$H66*'Activity data'!AH8*Constants!$H84*FracLEACHMM*MMLeachEF*NtoN2O*kgtoGg</f>
        <v>2.8960014730128859E-2</v>
      </c>
      <c r="AI175" s="22">
        <f>Constants!$H66*'Activity data'!AI8*Constants!$H84*FracLEACHMM*MMLeachEF*NtoN2O*kgtoGg</f>
        <v>2.8211154016296508E-2</v>
      </c>
      <c r="AJ175" s="22">
        <f>Constants!$H66*'Activity data'!AJ8*Constants!$H84*FracLEACHMM*MMLeachEF*NtoN2O*kgtoGg</f>
        <v>2.7620505669412019E-2</v>
      </c>
      <c r="AK175" s="22">
        <f>Constants!$H66*'Activity data'!AK8*Constants!$H84*FracLEACHMM*MMLeachEF*NtoN2O*kgtoGg</f>
        <v>2.7061685185942382E-2</v>
      </c>
      <c r="AL175" s="22">
        <f>Constants!$H66*'Activity data'!AL8*Constants!$H84*FracLEACHMM*MMLeachEF*NtoN2O*kgtoGg</f>
        <v>2.4201772556346722E-2</v>
      </c>
      <c r="AM175" s="22">
        <f>Constants!$H66*'Activity data'!AM8*Constants!$H84*FracLEACHMM*MMLeachEF*NtoN2O*kgtoGg</f>
        <v>2.5134193306706524E-2</v>
      </c>
      <c r="AN175" s="22">
        <f>Constants!$H66*'Activity data'!AN8*Constants!$H84*FracLEACHMM*MMLeachEF*NtoN2O*kgtoGg</f>
        <v>7.9215327522416931E-2</v>
      </c>
      <c r="AO175" s="22">
        <f>Constants!$H66*'Activity data'!AO8*Constants!$H84*FracLEACHMM*MMLeachEF*NtoN2O*kgtoGg</f>
        <v>7.9597413086941654E-2</v>
      </c>
      <c r="AP175" s="22">
        <f>Constants!$H66*'Activity data'!AP8*Constants!$H84*FracLEACHMM*MMLeachEF*NtoN2O*kgtoGg</f>
        <v>7.9841946903631861E-2</v>
      </c>
      <c r="AQ175" s="22">
        <f>Constants!$H66*'Activity data'!AQ8*Constants!$H84*FracLEACHMM*MMLeachEF*NtoN2O*kgtoGg</f>
        <v>7.9948879165643486E-2</v>
      </c>
      <c r="AR175" s="22">
        <f>Constants!$H66*'Activity data'!AR8*Constants!$H84*FracLEACHMM*MMLeachEF*NtoN2O*kgtoGg</f>
        <v>7.992047510263596E-2</v>
      </c>
      <c r="AS175" s="22">
        <f>Constants!$H66*'Activity data'!AS8*Constants!$H84*FracLEACHMM*MMLeachEF*NtoN2O*kgtoGg</f>
        <v>7.9755373238701549E-2</v>
      </c>
      <c r="AT175" s="22">
        <f>Constants!$H66*'Activity data'!AT8*Constants!$H84*FracLEACHMM*MMLeachEF*NtoN2O*kgtoGg</f>
        <v>7.9453169143115579E-2</v>
      </c>
      <c r="AU175" s="22">
        <f>Constants!$H66*'Activity data'!AU8*Constants!$H84*FracLEACHMM*MMLeachEF*NtoN2O*kgtoGg</f>
        <v>7.9014112861708063E-2</v>
      </c>
      <c r="AV175" s="22">
        <f>Constants!$H66*'Activity data'!AV8*Constants!$H84*FracLEACHMM*MMLeachEF*NtoN2O*kgtoGg</f>
        <v>7.8439191657390592E-2</v>
      </c>
      <c r="AW175" s="22">
        <f>Constants!$H66*'Activity data'!AW8*Constants!$H84*FracLEACHMM*MMLeachEF*NtoN2O*kgtoGg</f>
        <v>7.7077087742293285E-2</v>
      </c>
      <c r="AX175" s="22">
        <f>Constants!$H66*'Activity data'!AX8*Constants!$H84*FracLEACHMM*MMLeachEF*NtoN2O*kgtoGg</f>
        <v>7.5586682253877949E-2</v>
      </c>
      <c r="AY175" s="22">
        <f>Constants!$H66*'Activity data'!AY8*Constants!$H84*FracLEACHMM*MMLeachEF*NtoN2O*kgtoGg</f>
        <v>7.3974671879861814E-2</v>
      </c>
      <c r="AZ175" s="22">
        <f>Constants!$H66*'Activity data'!AZ8*Constants!$H84*FracLEACHMM*MMLeachEF*NtoN2O*kgtoGg</f>
        <v>7.2248514242158265E-2</v>
      </c>
      <c r="BA175" s="22">
        <f>Constants!$H66*'Activity data'!BA8*Constants!$H84*FracLEACHMM*MMLeachEF*NtoN2O*kgtoGg</f>
        <v>7.0416148615651625E-2</v>
      </c>
      <c r="BB175" s="22">
        <f>Constants!$H66*'Activity data'!BB8*Constants!$H84*FracLEACHMM*MMLeachEF*NtoN2O*kgtoGg</f>
        <v>6.8486029191241041E-2</v>
      </c>
      <c r="BC175" s="22">
        <f>Constants!$H66*'Activity data'!BC8*Constants!$H84*FracLEACHMM*MMLeachEF*NtoN2O*kgtoGg</f>
        <v>-5.2880249817764688E-3</v>
      </c>
      <c r="BD175" s="22">
        <f>Constants!$H66*'Activity data'!BD8*Constants!$H84*FracLEACHMM*MMLeachEF*NtoN2O*kgtoGg</f>
        <v>-5.1607046214705845E-3</v>
      </c>
      <c r="BE175" s="22">
        <f>Constants!$H66*'Activity data'!BE8*Constants!$H84*FracLEACHMM*MMLeachEF*NtoN2O*kgtoGg</f>
        <v>-5.0347089645398375E-3</v>
      </c>
      <c r="BF175" s="22">
        <f>Constants!$H66*'Activity data'!BF8*Constants!$H84*FracLEACHMM*MMLeachEF*NtoN2O*kgtoGg</f>
        <v>-4.9100249979569036E-3</v>
      </c>
      <c r="BG175" s="22">
        <f>Constants!$H66*'Activity data'!BG8*Constants!$H84*FracLEACHMM*MMLeachEF*NtoN2O*kgtoGg</f>
        <v>-4.8110666270887118E-3</v>
      </c>
      <c r="BH175" s="22">
        <f>Constants!$H66*'Activity data'!BH8*Constants!$H84*FracLEACHMM*MMLeachEF*NtoN2O*kgtoGg</f>
        <v>-4.7130469845991819E-3</v>
      </c>
      <c r="BI175" s="22">
        <f>Constants!$H66*'Activity data'!BI8*Constants!$H84*FracLEACHMM*MMLeachEF*NtoN2O*kgtoGg</f>
        <v>-4.6158931662269266E-3</v>
      </c>
      <c r="BJ175" s="22">
        <f>Constants!$H66*'Activity data'!BJ8*Constants!$H84*FracLEACHMM*MMLeachEF*NtoN2O*kgtoGg</f>
        <v>-4.5195811063585816E-3</v>
      </c>
      <c r="BK175" s="22">
        <f>Constants!$H66*'Activity data'!BK8*Constants!$H84*FracLEACHMM*MMLeachEF*NtoN2O*kgtoGg</f>
        <v>-4.424040391221005E-3</v>
      </c>
      <c r="BL175" s="22">
        <f>Constants!$H66*'Activity data'!BL8*Constants!$H84*FracLEACHMM*MMLeachEF*NtoN2O*kgtoGg</f>
        <v>-4.3292020646369571E-3</v>
      </c>
      <c r="BM175" s="22">
        <f>Constants!$H66*'Activity data'!BM8*Constants!$H84*FracLEACHMM*MMLeachEF*NtoN2O*kgtoGg</f>
        <v>-4.2350550518406409E-3</v>
      </c>
      <c r="BN175" s="22">
        <f>Constants!$H66*'Activity data'!BN8*Constants!$H84*FracLEACHMM*MMLeachEF*NtoN2O*kgtoGg</f>
        <v>-4.1416051693555066E-3</v>
      </c>
      <c r="BO175" s="22">
        <f>Constants!$H66*'Activity data'!BO8*Constants!$H84*FracLEACHMM*MMLeachEF*NtoN2O*kgtoGg</f>
        <v>-4.0488559853117164E-3</v>
      </c>
      <c r="BP175" s="22">
        <f>Constants!$H66*'Activity data'!BP8*Constants!$H84*FracLEACHMM*MMLeachEF*NtoN2O*kgtoGg</f>
        <v>-3.9567542281437719E-3</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4.0226293185258929E-2</v>
      </c>
      <c r="AE176" s="22">
        <f>Constants!$H67*'Activity data'!AE9*Constants!$H85*FracLEACHMM*MMLeachEF*NtoN2O*kgtoGg</f>
        <v>3.9877423391049029E-2</v>
      </c>
      <c r="AF176" s="22">
        <f>Constants!$H67*'Activity data'!AF9*Constants!$H85*FracLEACHMM*MMLeachEF*NtoN2O*kgtoGg</f>
        <v>3.9744619221572089E-2</v>
      </c>
      <c r="AG176" s="22">
        <f>Constants!$H67*'Activity data'!AG9*Constants!$H85*FracLEACHMM*MMLeachEF*NtoN2O*kgtoGg</f>
        <v>3.9213881856453726E-2</v>
      </c>
      <c r="AH176" s="22">
        <f>Constants!$H67*'Activity data'!AH9*Constants!$H85*FracLEACHMM*MMLeachEF*NtoN2O*kgtoGg</f>
        <v>3.8443503609481157E-2</v>
      </c>
      <c r="AI176" s="22">
        <f>Constants!$H67*'Activity data'!AI9*Constants!$H85*FracLEACHMM*MMLeachEF*NtoN2O*kgtoGg</f>
        <v>3.7449414696768615E-2</v>
      </c>
      <c r="AJ176" s="22">
        <f>Constants!$H67*'Activity data'!AJ9*Constants!$H85*FracLEACHMM*MMLeachEF*NtoN2O*kgtoGg</f>
        <v>3.6665347697252743E-2</v>
      </c>
      <c r="AK176" s="22">
        <f>Constants!$H67*'Activity data'!AK9*Constants!$H85*FracLEACHMM*MMLeachEF*NtoN2O*kgtoGg</f>
        <v>3.5923531179771234E-2</v>
      </c>
      <c r="AL176" s="22">
        <f>Constants!$H67*'Activity data'!AL9*Constants!$H85*FracLEACHMM*MMLeachEF*NtoN2O*kgtoGg</f>
        <v>3.2127087617044768E-2</v>
      </c>
      <c r="AM176" s="22">
        <f>Constants!$H67*'Activity data'!AM9*Constants!$H85*FracLEACHMM*MMLeachEF*NtoN2O*kgtoGg</f>
        <v>3.336484667262702E-2</v>
      </c>
      <c r="AN176" s="22">
        <f>Constants!$H67*'Activity data'!AN9*Constants!$H85*FracLEACHMM*MMLeachEF*NtoN2O*kgtoGg</f>
        <v>0.10515584187068941</v>
      </c>
      <c r="AO176" s="22">
        <f>Constants!$H67*'Activity data'!AO9*Constants!$H85*FracLEACHMM*MMLeachEF*NtoN2O*kgtoGg</f>
        <v>0.1056630483730278</v>
      </c>
      <c r="AP176" s="22">
        <f>Constants!$H67*'Activity data'!AP9*Constants!$H85*FracLEACHMM*MMLeachEF*NtoN2O*kgtoGg</f>
        <v>0.10598765928059027</v>
      </c>
      <c r="AQ176" s="22">
        <f>Constants!$H67*'Activity data'!AQ9*Constants!$H85*FracLEACHMM*MMLeachEF*NtoN2O*kgtoGg</f>
        <v>0.10612960847636668</v>
      </c>
      <c r="AR176" s="22">
        <f>Constants!$H67*'Activity data'!AR9*Constants!$H85*FracLEACHMM*MMLeachEF*NtoN2O*kgtoGg</f>
        <v>0.10609190298108537</v>
      </c>
      <c r="AS176" s="22">
        <f>Constants!$H67*'Activity data'!AS9*Constants!$H85*FracLEACHMM*MMLeachEF*NtoN2O*kgtoGg</f>
        <v>0.10587273547853948</v>
      </c>
      <c r="AT176" s="22">
        <f>Constants!$H67*'Activity data'!AT9*Constants!$H85*FracLEACHMM*MMLeachEF*NtoN2O*kgtoGg</f>
        <v>0.10547156909973328</v>
      </c>
      <c r="AU176" s="22">
        <f>Constants!$H67*'Activity data'!AU9*Constants!$H85*FracLEACHMM*MMLeachEF*NtoN2O*kgtoGg</f>
        <v>0.10488873577259779</v>
      </c>
      <c r="AV176" s="22">
        <f>Constants!$H67*'Activity data'!AV9*Constants!$H85*FracLEACHMM*MMLeachEF*NtoN2O*kgtoGg</f>
        <v>0.10412554605742294</v>
      </c>
      <c r="AW176" s="22">
        <f>Constants!$H67*'Activity data'!AW9*Constants!$H85*FracLEACHMM*MMLeachEF*NtoN2O*kgtoGg</f>
        <v>0.10231739619063251</v>
      </c>
      <c r="AX176" s="22">
        <f>Constants!$H67*'Activity data'!AX9*Constants!$H85*FracLEACHMM*MMLeachEF*NtoN2O*kgtoGg</f>
        <v>0.10033893004317308</v>
      </c>
      <c r="AY176" s="22">
        <f>Constants!$H67*'Activity data'!AY9*Constants!$H85*FracLEACHMM*MMLeachEF*NtoN2O*kgtoGg</f>
        <v>9.8199037256187116E-2</v>
      </c>
      <c r="AZ176" s="22">
        <f>Constants!$H67*'Activity data'!AZ9*Constants!$H85*FracLEACHMM*MMLeachEF*NtoN2O*kgtoGg</f>
        <v>9.5907617586895574E-2</v>
      </c>
      <c r="BA176" s="22">
        <f>Constants!$H67*'Activity data'!BA9*Constants!$H85*FracLEACHMM*MMLeachEF*NtoN2O*kgtoGg</f>
        <v>9.3475210171604761E-2</v>
      </c>
      <c r="BB176" s="22">
        <f>Constants!$H67*'Activity data'!BB9*Constants!$H85*FracLEACHMM*MMLeachEF*NtoN2O*kgtoGg</f>
        <v>9.091303768134483E-2</v>
      </c>
      <c r="BC176" s="22">
        <f>Constants!$H67*'Activity data'!BC9*Constants!$H85*FracLEACHMM*MMLeachEF*NtoN2O*kgtoGg</f>
        <v>-7.0196859141254189E-3</v>
      </c>
      <c r="BD176" s="22">
        <f>Constants!$H67*'Activity data'!BD9*Constants!$H85*FracLEACHMM*MMLeachEF*NtoN2O*kgtoGg</f>
        <v>-6.8506721626963654E-3</v>
      </c>
      <c r="BE176" s="22">
        <f>Constants!$H67*'Activity data'!BE9*Constants!$H85*FracLEACHMM*MMLeachEF*NtoN2O*kgtoGg</f>
        <v>-6.6834169131002059E-3</v>
      </c>
      <c r="BF176" s="22">
        <f>Constants!$H67*'Activity data'!BF9*Constants!$H85*FracLEACHMM*MMLeachEF*NtoN2O*kgtoGg</f>
        <v>-6.5179028909547456E-3</v>
      </c>
      <c r="BG176" s="22">
        <f>Constants!$H67*'Activity data'!BG9*Constants!$H85*FracLEACHMM*MMLeachEF*NtoN2O*kgtoGg</f>
        <v>-6.3865387834737544E-3</v>
      </c>
      <c r="BH176" s="22">
        <f>Constants!$H67*'Activity data'!BH9*Constants!$H85*FracLEACHMM*MMLeachEF*NtoN2O*kgtoGg</f>
        <v>-6.2564208082254193E-3</v>
      </c>
      <c r="BI176" s="22">
        <f>Constants!$H67*'Activity data'!BI9*Constants!$H85*FracLEACHMM*MMLeachEF*NtoN2O*kgtoGg</f>
        <v>-6.1274521871085615E-3</v>
      </c>
      <c r="BJ176" s="22">
        <f>Constants!$H67*'Activity data'!BJ9*Constants!$H85*FracLEACHMM*MMLeachEF*NtoN2O*kgtoGg</f>
        <v>-5.9996009737825779E-3</v>
      </c>
      <c r="BK176" s="22">
        <f>Constants!$H67*'Activity data'!BK9*Constants!$H85*FracLEACHMM*MMLeachEF*NtoN2O*kgtoGg</f>
        <v>-5.872773696190668E-3</v>
      </c>
      <c r="BL176" s="22">
        <f>Constants!$H67*'Activity data'!BL9*Constants!$H85*FracLEACHMM*MMLeachEF*NtoN2O*kgtoGg</f>
        <v>-5.7468788171884874E-3</v>
      </c>
      <c r="BM176" s="22">
        <f>Constants!$H67*'Activity data'!BM9*Constants!$H85*FracLEACHMM*MMLeachEF*NtoN2O*kgtoGg</f>
        <v>-5.6219016353747063E-3</v>
      </c>
      <c r="BN176" s="22">
        <f>Constants!$H67*'Activity data'!BN9*Constants!$H85*FracLEACHMM*MMLeachEF*NtoN2O*kgtoGg</f>
        <v>-5.4978498720002471E-3</v>
      </c>
      <c r="BO176" s="22">
        <f>Constants!$H67*'Activity data'!BO9*Constants!$H85*FracLEACHMM*MMLeachEF*NtoN2O*kgtoGg</f>
        <v>-5.3747282636450412E-3</v>
      </c>
      <c r="BP176" s="22">
        <f>Constants!$H67*'Activity data'!BP9*Constants!$H85*FracLEACHMM*MMLeachEF*NtoN2O*kgtoGg</f>
        <v>-5.2524660939907621E-3</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4.3383434779753476E-2</v>
      </c>
      <c r="AF177" s="22">
        <f>Constants!$H68*'Activity data'!AF10*Constants!$H86*FracLEACHMM*MMLeachEF*NtoN2O*kgtoGg</f>
        <v>4.5063007666824861E-2</v>
      </c>
      <c r="AG177" s="22">
        <f>Constants!$H68*'Activity data'!AG10*Constants!$H86*FracLEACHMM*MMLeachEF*NtoN2O*kgtoGg</f>
        <v>4.6315596244033509E-2</v>
      </c>
      <c r="AH177" s="22">
        <f>Constants!$H68*'Activity data'!AH10*Constants!$H86*FracLEACHMM*MMLeachEF*NtoN2O*kgtoGg</f>
        <v>4.7281576900430194E-2</v>
      </c>
      <c r="AI177" s="22">
        <f>Constants!$H68*'Activity data'!AI10*Constants!$H86*FracLEACHMM*MMLeachEF*NtoN2O*kgtoGg</f>
        <v>4.7947144057730852E-2</v>
      </c>
      <c r="AJ177" s="22">
        <f>Constants!$H68*'Activity data'!AJ10*Constants!$H86*FracLEACHMM*MMLeachEF*NtoN2O*kgtoGg</f>
        <v>4.8855920576585839E-2</v>
      </c>
      <c r="AK177" s="22">
        <f>Constants!$H68*'Activity data'!AK10*Constants!$H86*FracLEACHMM*MMLeachEF*NtoN2O*kgtoGg</f>
        <v>4.9808583705724517E-2</v>
      </c>
      <c r="AL177" s="22">
        <f>Constants!$H68*'Activity data'!AL10*Constants!$H86*FracLEACHMM*MMLeachEF*NtoN2O*kgtoGg</f>
        <v>4.6345052575542584E-2</v>
      </c>
      <c r="AM177" s="22">
        <f>Constants!$H68*'Activity data'!AM10*Constants!$H86*FracLEACHMM*MMLeachEF*NtoN2O*kgtoGg</f>
        <v>4.9290182096012818E-2</v>
      </c>
      <c r="AN177" s="22">
        <f>Constants!$H68*'Activity data'!AN10*Constants!$H86*FracLEACHMM*MMLeachEF*NtoN2O*kgtoGg</f>
        <v>0.1590390004544035</v>
      </c>
      <c r="AO177" s="22">
        <f>Constants!$H68*'Activity data'!AO10*Constants!$H86*FracLEACHMM*MMLeachEF*NtoN2O*kgtoGg</f>
        <v>0.16355513295491098</v>
      </c>
      <c r="AP177" s="22">
        <f>Constants!$H68*'Activity data'!AP10*Constants!$H86*FracLEACHMM*MMLeachEF*NtoN2O*kgtoGg</f>
        <v>0.16786105995970313</v>
      </c>
      <c r="AQ177" s="22">
        <f>Constants!$H68*'Activity data'!AQ10*Constants!$H86*FracLEACHMM*MMLeachEF*NtoN2O*kgtoGg</f>
        <v>0.17194023598803351</v>
      </c>
      <c r="AR177" s="22">
        <f>Constants!$H68*'Activity data'!AR10*Constants!$H86*FracLEACHMM*MMLeachEF*NtoN2O*kgtoGg</f>
        <v>0.17578066999732156</v>
      </c>
      <c r="AS177" s="22">
        <f>Constants!$H68*'Activity data'!AS10*Constants!$H86*FracLEACHMM*MMLeachEF*NtoN2O*kgtoGg</f>
        <v>0.17936210611821823</v>
      </c>
      <c r="AT177" s="22">
        <f>Constants!$H68*'Activity data'!AT10*Constants!$H86*FracLEACHMM*MMLeachEF*NtoN2O*kgtoGg</f>
        <v>0.1826656381005505</v>
      </c>
      <c r="AU177" s="22">
        <f>Constants!$H68*'Activity data'!AU10*Constants!$H86*FracLEACHMM*MMLeachEF*NtoN2O*kgtoGg</f>
        <v>0.18567320176806454</v>
      </c>
      <c r="AV177" s="22">
        <f>Constants!$H68*'Activity data'!AV10*Constants!$H86*FracLEACHMM*MMLeachEF*NtoN2O*kgtoGg</f>
        <v>0.18836790776441609</v>
      </c>
      <c r="AW177" s="22">
        <f>Constants!$H68*'Activity data'!AW10*Constants!$H86*FracLEACHMM*MMLeachEF*NtoN2O*kgtoGg</f>
        <v>0.19123519545806747</v>
      </c>
      <c r="AX177" s="22">
        <f>Constants!$H68*'Activity data'!AX10*Constants!$H86*FracLEACHMM*MMLeachEF*NtoN2O*kgtoGg</f>
        <v>0.19376853499382182</v>
      </c>
      <c r="AY177" s="22">
        <f>Constants!$H68*'Activity data'!AY10*Constants!$H86*FracLEACHMM*MMLeachEF*NtoN2O*kgtoGg</f>
        <v>0.19595309748984396</v>
      </c>
      <c r="AZ177" s="22">
        <f>Constants!$H68*'Activity data'!AZ10*Constants!$H86*FracLEACHMM*MMLeachEF*NtoN2O*kgtoGg</f>
        <v>0.19777601067919534</v>
      </c>
      <c r="BA177" s="22">
        <f>Constants!$H68*'Activity data'!BA10*Constants!$H86*FracLEACHMM*MMLeachEF*NtoN2O*kgtoGg</f>
        <v>0.19922591108684914</v>
      </c>
      <c r="BB177" s="22">
        <f>Constants!$H68*'Activity data'!BB10*Constants!$H86*FracLEACHMM*MMLeachEF*NtoN2O*kgtoGg</f>
        <v>0.20029329073357882</v>
      </c>
      <c r="BC177" s="22">
        <f>Constants!$H68*'Activity data'!BC10*Constants!$H86*FracLEACHMM*MMLeachEF*NtoN2O*kgtoGg</f>
        <v>-1.5988935485228874E-2</v>
      </c>
      <c r="BD177" s="22">
        <f>Constants!$H68*'Activity data'!BD10*Constants!$H86*FracLEACHMM*MMLeachEF*NtoN2O*kgtoGg</f>
        <v>-1.6135273009597623E-2</v>
      </c>
      <c r="BE177" s="22">
        <f>Constants!$H68*'Activity data'!BE10*Constants!$H86*FracLEACHMM*MMLeachEF*NtoN2O*kgtoGg</f>
        <v>-1.6280642881338143E-2</v>
      </c>
      <c r="BF177" s="22">
        <f>Constants!$H68*'Activity data'!BF10*Constants!$H86*FracLEACHMM*MMLeachEF*NtoN2O*kgtoGg</f>
        <v>-1.6425117505391919E-2</v>
      </c>
      <c r="BG177" s="22">
        <f>Constants!$H68*'Activity data'!BG10*Constants!$H86*FracLEACHMM*MMLeachEF*NtoN2O*kgtoGg</f>
        <v>-1.6548178161071046E-2</v>
      </c>
      <c r="BH177" s="22">
        <f>Constants!$H68*'Activity data'!BH10*Constants!$H86*FracLEACHMM*MMLeachEF*NtoN2O*kgtoGg</f>
        <v>-1.6670008309036564E-2</v>
      </c>
      <c r="BI177" s="22">
        <f>Constants!$H68*'Activity data'!BI10*Constants!$H86*FracLEACHMM*MMLeachEF*NtoN2O*kgtoGg</f>
        <v>-1.6790421483448635E-2</v>
      </c>
      <c r="BJ177" s="22">
        <f>Constants!$H68*'Activity data'!BJ10*Constants!$H86*FracLEACHMM*MMLeachEF*NtoN2O*kgtoGg</f>
        <v>-1.6909384567907186E-2</v>
      </c>
      <c r="BK177" s="22">
        <f>Constants!$H68*'Activity data'!BK10*Constants!$H86*FracLEACHMM*MMLeachEF*NtoN2O*kgtoGg</f>
        <v>-1.7026675592023126E-2</v>
      </c>
      <c r="BL177" s="22">
        <f>Constants!$H68*'Activity data'!BL10*Constants!$H86*FracLEACHMM*MMLeachEF*NtoN2O*kgtoGg</f>
        <v>-1.7142046777220185E-2</v>
      </c>
      <c r="BM177" s="22">
        <f>Constants!$H68*'Activity data'!BM10*Constants!$H86*FracLEACHMM*MMLeachEF*NtoN2O*kgtoGg</f>
        <v>-1.725545286501233E-2</v>
      </c>
      <c r="BN177" s="22">
        <f>Constants!$H68*'Activity data'!BN10*Constants!$H86*FracLEACHMM*MMLeachEF*NtoN2O*kgtoGg</f>
        <v>-1.7366910999627443E-2</v>
      </c>
      <c r="BO177" s="22">
        <f>Constants!$H68*'Activity data'!BO10*Constants!$H86*FracLEACHMM*MMLeachEF*NtoN2O*kgtoGg</f>
        <v>-1.7476428038790941E-2</v>
      </c>
      <c r="BP177" s="22">
        <f>Constants!$H68*'Activity data'!BP10*Constants!$H86*FracLEACHMM*MMLeachEF*NtoN2O*kgtoGg</f>
        <v>-1.7583756727581886E-2</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4.4583713438871775E-3</v>
      </c>
      <c r="AM178" s="22">
        <f>Constants!$H69*'Activity data'!AM11*Constants!$H87*FracLEACHMM*MMLeachEF*NtoN2O*kgtoGg</f>
        <v>4.4613385793898985E-3</v>
      </c>
      <c r="AN178" s="22">
        <f>Constants!$H69*'Activity data'!AN11*Constants!$H87*FracLEACHMM*MMLeachEF*NtoN2O*kgtoGg</f>
        <v>4.5194479058578802E-3</v>
      </c>
      <c r="AO178" s="22">
        <f>Constants!$H69*'Activity data'!AO11*Constants!$H87*FracLEACHMM*MMLeachEF*NtoN2O*kgtoGg</f>
        <v>4.5208654375239604E-3</v>
      </c>
      <c r="AP178" s="22">
        <f>Constants!$H69*'Activity data'!AP11*Constants!$H87*FracLEACHMM*MMLeachEF*NtoN2O*kgtoGg</f>
        <v>4.5269288931412202E-3</v>
      </c>
      <c r="AQ178" s="22">
        <f>Constants!$H69*'Activity data'!AQ11*Constants!$H87*FracLEACHMM*MMLeachEF*NtoN2O*kgtoGg</f>
        <v>4.5356937654075719E-3</v>
      </c>
      <c r="AR178" s="22">
        <f>Constants!$H69*'Activity data'!AR11*Constants!$H87*FracLEACHMM*MMLeachEF*NtoN2O*kgtoGg</f>
        <v>4.5438360313793799E-3</v>
      </c>
      <c r="AS178" s="22">
        <f>Constants!$H69*'Activity data'!AS11*Constants!$H87*FracLEACHMM*MMLeachEF*NtoN2O*kgtoGg</f>
        <v>4.5514565032506353E-3</v>
      </c>
      <c r="AT178" s="22">
        <f>Constants!$H69*'Activity data'!AT11*Constants!$H87*FracLEACHMM*MMLeachEF*NtoN2O*kgtoGg</f>
        <v>4.5585145451789771E-3</v>
      </c>
      <c r="AU178" s="22">
        <f>Constants!$H69*'Activity data'!AU11*Constants!$H87*FracLEACHMM*MMLeachEF*NtoN2O*kgtoGg</f>
        <v>4.5650737507021777E-3</v>
      </c>
      <c r="AV178" s="22">
        <f>Constants!$H69*'Activity data'!AV11*Constants!$H87*FracLEACHMM*MMLeachEF*NtoN2O*kgtoGg</f>
        <v>4.5712336162876026E-3</v>
      </c>
      <c r="AW178" s="22">
        <f>Constants!$H69*'Activity data'!AW11*Constants!$H87*FracLEACHMM*MMLeachEF*NtoN2O*kgtoGg</f>
        <v>4.5769883379201265E-3</v>
      </c>
      <c r="AX178" s="22">
        <f>Constants!$H69*'Activity data'!AX11*Constants!$H87*FracLEACHMM*MMLeachEF*NtoN2O*kgtoGg</f>
        <v>4.5824299595188939E-3</v>
      </c>
      <c r="AY178" s="22">
        <f>Constants!$H69*'Activity data'!AY11*Constants!$H87*FracLEACHMM*MMLeachEF*NtoN2O*kgtoGg</f>
        <v>4.5875716533889405E-3</v>
      </c>
      <c r="AZ178" s="22">
        <f>Constants!$H69*'Activity data'!AZ11*Constants!$H87*FracLEACHMM*MMLeachEF*NtoN2O*kgtoGg</f>
        <v>4.5923429466883485E-3</v>
      </c>
      <c r="BA178" s="22">
        <f>Constants!$H69*'Activity data'!BA11*Constants!$H87*FracLEACHMM*MMLeachEF*NtoN2O*kgtoGg</f>
        <v>4.5967874861065324E-3</v>
      </c>
      <c r="BB178" s="22">
        <f>Constants!$H69*'Activity data'!BB11*Constants!$H87*FracLEACHMM*MMLeachEF*NtoN2O*kgtoGg</f>
        <v>4.6009761769836678E-3</v>
      </c>
      <c r="BC178" s="22">
        <f>Constants!$H69*'Activity data'!BC11*Constants!$H87*FracLEACHMM*MMLeachEF*NtoN2O*kgtoGg</f>
        <v>4.5000024079062629E-3</v>
      </c>
      <c r="BD178" s="22">
        <f>Constants!$H69*'Activity data'!BD11*Constants!$H87*FracLEACHMM*MMLeachEF*NtoN2O*kgtoGg</f>
        <v>4.504140567798888E-3</v>
      </c>
      <c r="BE178" s="22">
        <f>Constants!$H69*'Activity data'!BE11*Constants!$H87*FracLEACHMM*MMLeachEF*NtoN2O*kgtoGg</f>
        <v>4.5080004058394166E-3</v>
      </c>
      <c r="BF178" s="22">
        <f>Constants!$H69*'Activity data'!BF11*Constants!$H87*FracLEACHMM*MMLeachEF*NtoN2O*kgtoGg</f>
        <v>4.5116055113744672E-3</v>
      </c>
      <c r="BG178" s="22">
        <f>Constants!$H69*'Activity data'!BG11*Constants!$H87*FracLEACHMM*MMLeachEF*NtoN2O*kgtoGg</f>
        <v>4.5149845600538762E-3</v>
      </c>
      <c r="BH178" s="22">
        <f>Constants!$H69*'Activity data'!BH11*Constants!$H87*FracLEACHMM*MMLeachEF*NtoN2O*kgtoGg</f>
        <v>4.5180486691616456E-3</v>
      </c>
      <c r="BI178" s="22">
        <f>Constants!$H69*'Activity data'!BI11*Constants!$H87*FracLEACHMM*MMLeachEF*NtoN2O*kgtoGg</f>
        <v>4.5207384818524527E-3</v>
      </c>
      <c r="BJ178" s="22">
        <f>Constants!$H69*'Activity data'!BJ11*Constants!$H87*FracLEACHMM*MMLeachEF*NtoN2O*kgtoGg</f>
        <v>4.5230453041712505E-3</v>
      </c>
      <c r="BK178" s="22">
        <f>Constants!$H69*'Activity data'!BK11*Constants!$H87*FracLEACHMM*MMLeachEF*NtoN2O*kgtoGg</f>
        <v>4.5249015890055574E-3</v>
      </c>
      <c r="BL178" s="22">
        <f>Constants!$H69*'Activity data'!BL11*Constants!$H87*FracLEACHMM*MMLeachEF*NtoN2O*kgtoGg</f>
        <v>4.526233914491801E-3</v>
      </c>
      <c r="BM178" s="22">
        <f>Constants!$H69*'Activity data'!BM11*Constants!$H87*FracLEACHMM*MMLeachEF*NtoN2O*kgtoGg</f>
        <v>4.5270340008273808E-3</v>
      </c>
      <c r="BN178" s="22">
        <f>Constants!$H69*'Activity data'!BN11*Constants!$H87*FracLEACHMM*MMLeachEF*NtoN2O*kgtoGg</f>
        <v>4.5273132604660591E-3</v>
      </c>
      <c r="BO178" s="22">
        <f>Constants!$H69*'Activity data'!BO11*Constants!$H87*FracLEACHMM*MMLeachEF*NtoN2O*kgtoGg</f>
        <v>4.5270798618323943E-3</v>
      </c>
      <c r="BP178" s="22">
        <f>Constants!$H69*'Activity data'!BP11*Constants!$H87*FracLEACHMM*MMLeachEF*NtoN2O*kgtoGg</f>
        <v>4.5262646983336846E-3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3.7085625544236744E-3</v>
      </c>
      <c r="AM179" s="22">
        <f>Constants!$H70*'Activity data'!AM12*Constants!$H88*FracLEACHMM*MMLeachEF*NtoN2O*kgtoGg</f>
        <v>3.7110307603281981E-3</v>
      </c>
      <c r="AN179" s="22">
        <f>Constants!$H70*'Activity data'!AN12*Constants!$H88*FracLEACHMM*MMLeachEF*NtoN2O*kgtoGg</f>
        <v>3.7593672616152451E-3</v>
      </c>
      <c r="AO179" s="22">
        <f>Constants!$H70*'Activity data'!AO12*Constants!$H88*FracLEACHMM*MMLeachEF*NtoN2O*kgtoGg</f>
        <v>3.7605463928385213E-3</v>
      </c>
      <c r="AP179" s="22">
        <f>Constants!$H70*'Activity data'!AP12*Constants!$H88*FracLEACHMM*MMLeachEF*NtoN2O*kgtoGg</f>
        <v>3.7655900966303579E-3</v>
      </c>
      <c r="AQ179" s="22">
        <f>Constants!$H70*'Activity data'!AQ12*Constants!$H88*FracLEACHMM*MMLeachEF*NtoN2O*kgtoGg</f>
        <v>3.7728808928817431E-3</v>
      </c>
      <c r="AR179" s="22">
        <f>Constants!$H70*'Activity data'!AR12*Constants!$H88*FracLEACHMM*MMLeachEF*NtoN2O*kgtoGg</f>
        <v>3.7796537927507973E-3</v>
      </c>
      <c r="AS179" s="22">
        <f>Constants!$H70*'Activity data'!AS12*Constants!$H88*FracLEACHMM*MMLeachEF*NtoN2O*kgtoGg</f>
        <v>3.7859926538390569E-3</v>
      </c>
      <c r="AT179" s="22">
        <f>Constants!$H70*'Activity data'!AT12*Constants!$H88*FracLEACHMM*MMLeachEF*NtoN2O*kgtoGg</f>
        <v>3.7918636744391884E-3</v>
      </c>
      <c r="AU179" s="22">
        <f>Constants!$H70*'Activity data'!AU12*Constants!$H88*FracLEACHMM*MMLeachEF*NtoN2O*kgtoGg</f>
        <v>3.7973197529292549E-3</v>
      </c>
      <c r="AV179" s="22">
        <f>Constants!$H70*'Activity data'!AV12*Constants!$H88*FracLEACHMM*MMLeachEF*NtoN2O*kgtoGg</f>
        <v>3.8024436524630406E-3</v>
      </c>
      <c r="AW179" s="22">
        <f>Constants!$H70*'Activity data'!AW12*Constants!$H88*FracLEACHMM*MMLeachEF*NtoN2O*kgtoGg</f>
        <v>3.8072305451445519E-3</v>
      </c>
      <c r="AX179" s="22">
        <f>Constants!$H70*'Activity data'!AX12*Constants!$H88*FracLEACHMM*MMLeachEF*NtoN2O*kgtoGg</f>
        <v>3.8117569949487401E-3</v>
      </c>
      <c r="AY179" s="22">
        <f>Constants!$H70*'Activity data'!AY12*Constants!$H88*FracLEACHMM*MMLeachEF*NtoN2O*kgtoGg</f>
        <v>3.8160339588626819E-3</v>
      </c>
      <c r="AZ179" s="22">
        <f>Constants!$H70*'Activity data'!AZ12*Constants!$H88*FracLEACHMM*MMLeachEF*NtoN2O*kgtoGg</f>
        <v>3.8200028161653869E-3</v>
      </c>
      <c r="BA179" s="22">
        <f>Constants!$H70*'Activity data'!BA12*Constants!$H88*FracLEACHMM*MMLeachEF*NtoN2O*kgtoGg</f>
        <v>3.8236998730470525E-3</v>
      </c>
      <c r="BB179" s="22">
        <f>Constants!$H70*'Activity data'!BB12*Constants!$H88*FracLEACHMM*MMLeachEF*NtoN2O*kgtoGg</f>
        <v>3.8271841099893822E-3</v>
      </c>
      <c r="BC179" s="22">
        <f>Constants!$H70*'Activity data'!BC12*Constants!$H88*FracLEACHMM*MMLeachEF*NtoN2O*kgtoGg</f>
        <v>3.7431921070592298E-3</v>
      </c>
      <c r="BD179" s="22">
        <f>Constants!$H70*'Activity data'!BD12*Constants!$H88*FracLEACHMM*MMLeachEF*NtoN2O*kgtoGg</f>
        <v>3.7466343113168547E-3</v>
      </c>
      <c r="BE179" s="22">
        <f>Constants!$H70*'Activity data'!BE12*Constants!$H88*FracLEACHMM*MMLeachEF*NtoN2O*kgtoGg</f>
        <v>3.7498450018850307E-3</v>
      </c>
      <c r="BF179" s="22">
        <f>Constants!$H70*'Activity data'!BF12*Constants!$H88*FracLEACHMM*MMLeachEF*NtoN2O*kgtoGg</f>
        <v>3.7528438008546071E-3</v>
      </c>
      <c r="BG179" s="22">
        <f>Constants!$H70*'Activity data'!BG12*Constants!$H88*FracLEACHMM*MMLeachEF*NtoN2O*kgtoGg</f>
        <v>3.7556545612052921E-3</v>
      </c>
      <c r="BH179" s="22">
        <f>Constants!$H70*'Activity data'!BH12*Constants!$H88*FracLEACHMM*MMLeachEF*NtoN2O*kgtoGg</f>
        <v>3.7582033485142104E-3</v>
      </c>
      <c r="BI179" s="22">
        <f>Constants!$H70*'Activity data'!BI12*Constants!$H88*FracLEACHMM*MMLeachEF*NtoN2O*kgtoGg</f>
        <v>3.760440788568911E-3</v>
      </c>
      <c r="BJ179" s="22">
        <f>Constants!$H70*'Activity data'!BJ12*Constants!$H88*FracLEACHMM*MMLeachEF*NtoN2O*kgtoGg</f>
        <v>3.7623596495635048E-3</v>
      </c>
      <c r="BK179" s="22">
        <f>Constants!$H70*'Activity data'!BK12*Constants!$H88*FracLEACHMM*MMLeachEF*NtoN2O*kgtoGg</f>
        <v>3.7639037444573268E-3</v>
      </c>
      <c r="BL179" s="22">
        <f>Constants!$H70*'Activity data'!BL12*Constants!$H88*FracLEACHMM*MMLeachEF*NtoN2O*kgtoGg</f>
        <v>3.7650119994741185E-3</v>
      </c>
      <c r="BM179" s="22">
        <f>Constants!$H70*'Activity data'!BM12*Constants!$H88*FracLEACHMM*MMLeachEF*NtoN2O*kgtoGg</f>
        <v>3.7656775273082915E-3</v>
      </c>
      <c r="BN179" s="22">
        <f>Constants!$H70*'Activity data'!BN12*Constants!$H88*FracLEACHMM*MMLeachEF*NtoN2O*kgtoGg</f>
        <v>3.7659098210673977E-3</v>
      </c>
      <c r="BO179" s="22">
        <f>Constants!$H70*'Activity data'!BO12*Constants!$H88*FracLEACHMM*MMLeachEF*NtoN2O*kgtoGg</f>
        <v>3.7657156754105432E-3</v>
      </c>
      <c r="BP179" s="22">
        <f>Constants!$H70*'Activity data'!BP12*Constants!$H88*FracLEACHMM*MMLeachEF*NtoN2O*kgtoGg</f>
        <v>3.7650376060901856E-3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5.4322987485311562E-4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5.5840147541839718E-4</v>
      </c>
      <c r="AK180" s="22">
        <f>Constants!$H71*'Activity data'!AK13*Constants!$H89*FracLEACHMM*MMLeachEF*NtoN2O*kgtoGg</f>
        <v>5.620753208024884E-4</v>
      </c>
      <c r="AL180" s="22">
        <f>Constants!$H71*'Activity data'!AL13*Constants!$H89*FracLEACHMM*MMLeachEF*NtoN2O*kgtoGg</f>
        <v>5.6070469903814733E-4</v>
      </c>
      <c r="AM180" s="22">
        <f>Constants!$H71*'Activity data'!AM13*Constants!$H89*FracLEACHMM*MMLeachEF*NtoN2O*kgtoGg</f>
        <v>5.6162230711910024E-4</v>
      </c>
      <c r="AN180" s="22">
        <f>Constants!$H71*'Activity data'!AN13*Constants!$H89*FracLEACHMM*MMLeachEF*NtoN2O*kgtoGg</f>
        <v>5.7300934566261764E-4</v>
      </c>
      <c r="AO180" s="22">
        <f>Constants!$H71*'Activity data'!AO13*Constants!$H89*FracLEACHMM*MMLeachEF*NtoN2O*kgtoGg</f>
        <v>5.735237983118301E-4</v>
      </c>
      <c r="AP180" s="22">
        <f>Constants!$H71*'Activity data'!AP13*Constants!$H89*FracLEACHMM*MMLeachEF*NtoN2O*kgtoGg</f>
        <v>5.7488581877093682E-4</v>
      </c>
      <c r="AQ180" s="22">
        <f>Constants!$H71*'Activity data'!AQ13*Constants!$H89*FracLEACHMM*MMLeachEF*NtoN2O*kgtoGg</f>
        <v>5.7672404156411123E-4</v>
      </c>
      <c r="AR180" s="22">
        <f>Constants!$H71*'Activity data'!AR13*Constants!$H89*FracLEACHMM*MMLeachEF*NtoN2O*kgtoGg</f>
        <v>5.7840994827834994E-4</v>
      </c>
      <c r="AS180" s="22">
        <f>Constants!$H71*'Activity data'!AS13*Constants!$H89*FracLEACHMM*MMLeachEF*NtoN2O*kgtoGg</f>
        <v>5.7996582365708491E-4</v>
      </c>
      <c r="AT180" s="22">
        <f>Constants!$H71*'Activity data'!AT13*Constants!$H89*FracLEACHMM*MMLeachEF*NtoN2O*kgtoGg</f>
        <v>5.8138689539941784E-4</v>
      </c>
      <c r="AU180" s="22">
        <f>Constants!$H71*'Activity data'!AU13*Constants!$H89*FracLEACHMM*MMLeachEF*NtoN2O*kgtoGg</f>
        <v>5.8268775619947839E-4</v>
      </c>
      <c r="AV180" s="22">
        <f>Constants!$H71*'Activity data'!AV13*Constants!$H89*FracLEACHMM*MMLeachEF*NtoN2O*kgtoGg</f>
        <v>5.838893945173696E-4</v>
      </c>
      <c r="AW180" s="22">
        <f>Constants!$H71*'Activity data'!AW13*Constants!$H89*FracLEACHMM*MMLeachEF*NtoN2O*kgtoGg</f>
        <v>5.8499277851090971E-4</v>
      </c>
      <c r="AX180" s="22">
        <f>Constants!$H71*'Activity data'!AX13*Constants!$H89*FracLEACHMM*MMLeachEF*NtoN2O*kgtoGg</f>
        <v>5.8601696023425276E-4</v>
      </c>
      <c r="AY180" s="22">
        <f>Constants!$H71*'Activity data'!AY13*Constants!$H89*FracLEACHMM*MMLeachEF*NtoN2O*kgtoGg</f>
        <v>5.8696603148616325E-4</v>
      </c>
      <c r="AZ180" s="22">
        <f>Constants!$H71*'Activity data'!AZ13*Constants!$H89*FracLEACHMM*MMLeachEF*NtoN2O*kgtoGg</f>
        <v>5.8782840452912231E-4</v>
      </c>
      <c r="BA180" s="22">
        <f>Constants!$H71*'Activity data'!BA13*Constants!$H89*FracLEACHMM*MMLeachEF*NtoN2O*kgtoGg</f>
        <v>5.8861362982731312E-4</v>
      </c>
      <c r="BB180" s="22">
        <f>Constants!$H71*'Activity data'!BB13*Constants!$H89*FracLEACHMM*MMLeachEF*NtoN2O*kgtoGg</f>
        <v>5.8933613461895486E-4</v>
      </c>
      <c r="BC180" s="22">
        <f>Constants!$H71*'Activity data'!BC13*Constants!$H89*FracLEACHMM*MMLeachEF*NtoN2O*kgtoGg</f>
        <v>5.706274212799663E-4</v>
      </c>
      <c r="BD180" s="22">
        <f>Constants!$H71*'Activity data'!BD13*Constants!$H89*FracLEACHMM*MMLeachEF*NtoN2O*kgtoGg</f>
        <v>5.7134854330306069E-4</v>
      </c>
      <c r="BE180" s="22">
        <f>Constants!$H71*'Activity data'!BE13*Constants!$H89*FracLEACHMM*MMLeachEF*NtoN2O*kgtoGg</f>
        <v>5.7200511510337268E-4</v>
      </c>
      <c r="BF180" s="22">
        <f>Constants!$H71*'Activity data'!BF13*Constants!$H89*FracLEACHMM*MMLeachEF*NtoN2O*kgtoGg</f>
        <v>5.7260245045310132E-4</v>
      </c>
      <c r="BG180" s="22">
        <f>Constants!$H71*'Activity data'!BG13*Constants!$H89*FracLEACHMM*MMLeachEF*NtoN2O*kgtoGg</f>
        <v>5.7314670307798447E-4</v>
      </c>
      <c r="BH180" s="22">
        <f>Constants!$H71*'Activity data'!BH13*Constants!$H89*FracLEACHMM*MMLeachEF*NtoN2O*kgtoGg</f>
        <v>5.7362242271311709E-4</v>
      </c>
      <c r="BI180" s="22">
        <f>Constants!$H71*'Activity data'!BI13*Constants!$H89*FracLEACHMM*MMLeachEF*NtoN2O*kgtoGg</f>
        <v>5.7401961480709959E-4</v>
      </c>
      <c r="BJ180" s="22">
        <f>Constants!$H71*'Activity data'!BJ13*Constants!$H89*FracLEACHMM*MMLeachEF*NtoN2O*kgtoGg</f>
        <v>5.743375496953002E-4</v>
      </c>
      <c r="BK180" s="22">
        <f>Constants!$H71*'Activity data'!BK13*Constants!$H89*FracLEACHMM*MMLeachEF*NtoN2O*kgtoGg</f>
        <v>5.7456474822570021E-4</v>
      </c>
      <c r="BL180" s="22">
        <f>Constants!$H71*'Activity data'!BL13*Constants!$H89*FracLEACHMM*MMLeachEF*NtoN2O*kgtoGg</f>
        <v>5.7468870297434124E-4</v>
      </c>
      <c r="BM180" s="22">
        <f>Constants!$H71*'Activity data'!BM13*Constants!$H89*FracLEACHMM*MMLeachEF*NtoN2O*kgtoGg</f>
        <v>5.7470877432626657E-4</v>
      </c>
      <c r="BN180" s="22">
        <f>Constants!$H71*'Activity data'!BN13*Constants!$H89*FracLEACHMM*MMLeachEF*NtoN2O*kgtoGg</f>
        <v>5.7462786115959977E-4</v>
      </c>
      <c r="BO180" s="22">
        <f>Constants!$H71*'Activity data'!BO13*Constants!$H89*FracLEACHMM*MMLeachEF*NtoN2O*kgtoGg</f>
        <v>5.7444822626571555E-4</v>
      </c>
      <c r="BP180" s="22">
        <f>Constants!$H71*'Activity data'!BP13*Constants!$H89*FracLEACHMM*MMLeachEF*NtoN2O*kgtoGg</f>
        <v>5.7415813453708586E-4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6.6992563985089947E-3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6.8044291009834836E-3</v>
      </c>
      <c r="AI181" s="22">
        <f>Constants!$H72*'Activity data'!AI14*Constants!$H90*FracLEACHMM*MMLeachEF*NtoN2O*kgtoGg</f>
        <v>6.8438891439814974E-3</v>
      </c>
      <c r="AJ181" s="22">
        <f>Constants!$H72*'Activity data'!AJ14*Constants!$H90*FracLEACHMM*MMLeachEF*NtoN2O*kgtoGg</f>
        <v>6.8863566425632575E-3</v>
      </c>
      <c r="AK181" s="22">
        <f>Constants!$H72*'Activity data'!AK14*Constants!$H90*FracLEACHMM*MMLeachEF*NtoN2O*kgtoGg</f>
        <v>6.9316634884048298E-3</v>
      </c>
      <c r="AL181" s="22">
        <f>Constants!$H72*'Activity data'!AL14*Constants!$H90*FracLEACHMM*MMLeachEF*NtoN2O*kgtoGg</f>
        <v>6.914760613489895E-3</v>
      </c>
      <c r="AM181" s="22">
        <f>Constants!$H72*'Activity data'!AM14*Constants!$H90*FracLEACHMM*MMLeachEF*NtoN2O*kgtoGg</f>
        <v>6.9260768022567764E-3</v>
      </c>
      <c r="AN181" s="22">
        <f>Constants!$H72*'Activity data'!AN14*Constants!$H90*FracLEACHMM*MMLeachEF*NtoN2O*kgtoGg</f>
        <v>7.0665048132223995E-3</v>
      </c>
      <c r="AO181" s="22">
        <f>Constants!$H72*'Activity data'!AO14*Constants!$H90*FracLEACHMM*MMLeachEF*NtoN2O*kgtoGg</f>
        <v>7.0728491811622093E-3</v>
      </c>
      <c r="AP181" s="22">
        <f>Constants!$H72*'Activity data'!AP14*Constants!$H90*FracLEACHMM*MMLeachEF*NtoN2O*kgtoGg</f>
        <v>7.0896459824759074E-3</v>
      </c>
      <c r="AQ181" s="22">
        <f>Constants!$H72*'Activity data'!AQ14*Constants!$H90*FracLEACHMM*MMLeachEF*NtoN2O*kgtoGg</f>
        <v>7.1123154385922269E-3</v>
      </c>
      <c r="AR181" s="22">
        <f>Constants!$H72*'Activity data'!AR14*Constants!$H90*FracLEACHMM*MMLeachEF*NtoN2O*kgtoGg</f>
        <v>7.1331064920034711E-3</v>
      </c>
      <c r="AS181" s="22">
        <f>Constants!$H72*'Activity data'!AS14*Constants!$H90*FracLEACHMM*MMLeachEF*NtoN2O*kgtoGg</f>
        <v>7.1522939641377866E-3</v>
      </c>
      <c r="AT181" s="22">
        <f>Constants!$H72*'Activity data'!AT14*Constants!$H90*FracLEACHMM*MMLeachEF*NtoN2O*kgtoGg</f>
        <v>7.1698190017015617E-3</v>
      </c>
      <c r="AU181" s="22">
        <f>Constants!$H72*'Activity data'!AU14*Constants!$H90*FracLEACHMM*MMLeachEF*NtoN2O*kgtoGg</f>
        <v>7.1858615657095356E-3</v>
      </c>
      <c r="AV181" s="22">
        <f>Constants!$H72*'Activity data'!AV14*Constants!$H90*FracLEACHMM*MMLeachEF*NtoN2O*kgtoGg</f>
        <v>7.2006804914764638E-3</v>
      </c>
      <c r="AW181" s="22">
        <f>Constants!$H72*'Activity data'!AW14*Constants!$H90*FracLEACHMM*MMLeachEF*NtoN2O*kgtoGg</f>
        <v>7.2142877185840219E-3</v>
      </c>
      <c r="AX181" s="22">
        <f>Constants!$H72*'Activity data'!AX14*Constants!$H90*FracLEACHMM*MMLeachEF*NtoN2O*kgtoGg</f>
        <v>7.226918202069851E-3</v>
      </c>
      <c r="AY181" s="22">
        <f>Constants!$H72*'Activity data'!AY14*Constants!$H90*FracLEACHMM*MMLeachEF*NtoN2O*kgtoGg</f>
        <v>7.238622403092889E-3</v>
      </c>
      <c r="AZ181" s="22">
        <f>Constants!$H72*'Activity data'!AZ14*Constants!$H90*FracLEACHMM*MMLeachEF*NtoN2O*kgtoGg</f>
        <v>7.2492574185686288E-3</v>
      </c>
      <c r="BA181" s="22">
        <f>Constants!$H72*'Activity data'!BA14*Constants!$H90*FracLEACHMM*MMLeachEF*NtoN2O*kgtoGg</f>
        <v>7.2589410273808247E-3</v>
      </c>
      <c r="BB181" s="22">
        <f>Constants!$H72*'Activity data'!BB14*Constants!$H90*FracLEACHMM*MMLeachEF*NtoN2O*kgtoGg</f>
        <v>7.2678511500975998E-3</v>
      </c>
      <c r="BC181" s="22">
        <f>Constants!$H72*'Activity data'!BC14*Constants!$H90*FracLEACHMM*MMLeachEF*NtoN2O*kgtoGg</f>
        <v>7.0371302833964079E-3</v>
      </c>
      <c r="BD181" s="22">
        <f>Constants!$H72*'Activity data'!BD14*Constants!$H90*FracLEACHMM*MMLeachEF*NtoN2O*kgtoGg</f>
        <v>7.046023353440887E-3</v>
      </c>
      <c r="BE181" s="22">
        <f>Constants!$H72*'Activity data'!BE14*Constants!$H90*FracLEACHMM*MMLeachEF*NtoN2O*kgtoGg</f>
        <v>7.0541203728390007E-3</v>
      </c>
      <c r="BF181" s="22">
        <f>Constants!$H72*'Activity data'!BF14*Constants!$H90*FracLEACHMM*MMLeachEF*NtoN2O*kgtoGg</f>
        <v>7.0614868724535639E-3</v>
      </c>
      <c r="BG181" s="22">
        <f>Constants!$H72*'Activity data'!BG14*Constants!$H90*FracLEACHMM*MMLeachEF*NtoN2O*kgtoGg</f>
        <v>7.0681987416795341E-3</v>
      </c>
      <c r="BH181" s="22">
        <f>Constants!$H72*'Activity data'!BH14*Constants!$H90*FracLEACHMM*MMLeachEF*NtoN2O*kgtoGg</f>
        <v>7.0740654437095336E-3</v>
      </c>
      <c r="BI181" s="22">
        <f>Constants!$H72*'Activity data'!BI14*Constants!$H90*FracLEACHMM*MMLeachEF*NtoN2O*kgtoGg</f>
        <v>7.0789637230572406E-3</v>
      </c>
      <c r="BJ181" s="22">
        <f>Constants!$H72*'Activity data'!BJ14*Constants!$H90*FracLEACHMM*MMLeachEF*NtoN2O*kgtoGg</f>
        <v>7.0828845813028637E-3</v>
      </c>
      <c r="BK181" s="22">
        <f>Constants!$H72*'Activity data'!BK14*Constants!$H90*FracLEACHMM*MMLeachEF*NtoN2O*kgtoGg</f>
        <v>7.0856864544673794E-3</v>
      </c>
      <c r="BL181" s="22">
        <f>Constants!$H72*'Activity data'!BL14*Constants!$H90*FracLEACHMM*MMLeachEF*NtoN2O*kgtoGg</f>
        <v>7.0872150976466278E-3</v>
      </c>
      <c r="BM181" s="22">
        <f>Constants!$H72*'Activity data'!BM14*Constants!$H90*FracLEACHMM*MMLeachEF*NtoN2O*kgtoGg</f>
        <v>7.0874626229375523E-3</v>
      </c>
      <c r="BN181" s="22">
        <f>Constants!$H72*'Activity data'!BN14*Constants!$H90*FracLEACHMM*MMLeachEF*NtoN2O*kgtoGg</f>
        <v>7.0864647800820552E-3</v>
      </c>
      <c r="BO181" s="22">
        <f>Constants!$H72*'Activity data'!BO14*Constants!$H90*FracLEACHMM*MMLeachEF*NtoN2O*kgtoGg</f>
        <v>7.084249474429774E-3</v>
      </c>
      <c r="BP181" s="22">
        <f>Constants!$H72*'Activity data'!BP14*Constants!$H90*FracLEACHMM*MMLeachEF*NtoN2O*kgtoGg</f>
        <v>7.0806719854897525E-3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2.6875086183165937E-2</v>
      </c>
      <c r="AE184" s="22">
        <f>Constants!$H75*'Activity data'!AE17*Constants!$H93*FracLEACHMM*MMLeachEF*NtoN2O*kgtoGg</f>
        <v>2.6729002214214575E-2</v>
      </c>
      <c r="AF184" s="22">
        <f>Constants!$H75*'Activity data'!AF17*Constants!$H93*FracLEACHMM*MMLeachEF*NtoN2O*kgtoGg</f>
        <v>2.6740992333189318E-2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2.5544514050244028E-2</v>
      </c>
      <c r="AJ184" s="22">
        <f>Constants!$H75*'Activity data'!AJ17*Constants!$H93*FracLEACHMM*MMLeachEF*NtoN2O*kgtoGg</f>
        <v>2.5145143775072754E-2</v>
      </c>
      <c r="AK184" s="22">
        <f>Constants!$H75*'Activity data'!AK17*Constants!$H93*FracLEACHMM*MMLeachEF*NtoN2O*kgtoGg</f>
        <v>2.4781112413324514E-2</v>
      </c>
      <c r="AL184" s="22">
        <f>Constants!$H75*'Activity data'!AL17*Constants!$H93*FracLEACHMM*MMLeachEF*NtoN2O*kgtoGg</f>
        <v>2.2296168964910698E-2</v>
      </c>
      <c r="AM184" s="22">
        <f>Constants!$H75*'Activity data'!AM17*Constants!$H93*FracLEACHMM*MMLeachEF*NtoN2O*kgtoGg</f>
        <v>2.3092324784413296E-2</v>
      </c>
      <c r="AN184" s="22">
        <f>Constants!$H75*'Activity data'!AN17*Constants!$H93*FracLEACHMM*MMLeachEF*NtoN2O*kgtoGg</f>
        <v>7.381503978929195E-2</v>
      </c>
      <c r="AO184" s="22">
        <f>Constants!$H75*'Activity data'!AO17*Constants!$H93*FracLEACHMM*MMLeachEF*NtoN2O*kgtoGg</f>
        <v>7.4017385099882177E-2</v>
      </c>
      <c r="AP184" s="22">
        <f>Constants!$H75*'Activity data'!AP17*Constants!$H93*FracLEACHMM*MMLeachEF*NtoN2O*kgtoGg</f>
        <v>7.4092117158263957E-2</v>
      </c>
      <c r="AQ184" s="22">
        <f>Constants!$H75*'Activity data'!AQ17*Constants!$H93*FracLEACHMM*MMLeachEF*NtoN2O*kgtoGg</f>
        <v>7.4042607907806673E-2</v>
      </c>
      <c r="AR184" s="22">
        <f>Constants!$H75*'Activity data'!AR17*Constants!$H93*FracLEACHMM*MMLeachEF*NtoN2O*kgtoGg</f>
        <v>7.3876326476641427E-2</v>
      </c>
      <c r="AS184" s="22">
        <f>Constants!$H75*'Activity data'!AS17*Constants!$H93*FracLEACHMM*MMLeachEF*NtoN2O*kgtoGg</f>
        <v>7.3591745464768973E-2</v>
      </c>
      <c r="AT184" s="22">
        <f>Constants!$H75*'Activity data'!AT17*Constants!$H93*FracLEACHMM*MMLeachEF*NtoN2O*kgtoGg</f>
        <v>7.3188455909713582E-2</v>
      </c>
      <c r="AU184" s="22">
        <f>Constants!$H75*'Activity data'!AU17*Constants!$H93*FracLEACHMM*MMLeachEF*NtoN2O*kgtoGg</f>
        <v>7.2666495628065958E-2</v>
      </c>
      <c r="AV184" s="22">
        <f>Constants!$H75*'Activity data'!AV17*Constants!$H93*FracLEACHMM*MMLeachEF*NtoN2O*kgtoGg</f>
        <v>7.2026534081708352E-2</v>
      </c>
      <c r="AW184" s="22">
        <f>Constants!$H75*'Activity data'!AW17*Constants!$H93*FracLEACHMM*MMLeachEF*NtoN2O*kgtoGg</f>
        <v>7.127021840521014E-2</v>
      </c>
      <c r="AX184" s="22">
        <f>Constants!$H75*'Activity data'!AX17*Constants!$H93*FracLEACHMM*MMLeachEF*NtoN2O*kgtoGg</f>
        <v>7.0399631702406332E-2</v>
      </c>
      <c r="AY184" s="22">
        <f>Constants!$H75*'Activity data'!AY17*Constants!$H93*FracLEACHMM*MMLeachEF*NtoN2O*kgtoGg</f>
        <v>6.9417717575292789E-2</v>
      </c>
      <c r="AZ184" s="22">
        <f>Constants!$H75*'Activity data'!AZ17*Constants!$H93*FracLEACHMM*MMLeachEF*NtoN2O*kgtoGg</f>
        <v>6.8328248088529983E-2</v>
      </c>
      <c r="BA184" s="22">
        <f>Constants!$H75*'Activity data'!BA17*Constants!$H93*FracLEACHMM*MMLeachEF*NtoN2O*kgtoGg</f>
        <v>6.7135309145229499E-2</v>
      </c>
      <c r="BB184" s="22">
        <f>Constants!$H75*'Activity data'!BB17*Constants!$H93*FracLEACHMM*MMLeachEF*NtoN2O*kgtoGg</f>
        <v>6.58434858478079E-2</v>
      </c>
      <c r="BC184" s="22">
        <f>Constants!$H75*'Activity data'!BC17*Constants!$H93*FracLEACHMM*MMLeachEF*NtoN2O*kgtoGg</f>
        <v>-6.1354464297522409E-3</v>
      </c>
      <c r="BD184" s="22">
        <f>Constants!$H75*'Activity data'!BD17*Constants!$H93*FracLEACHMM*MMLeachEF*NtoN2O*kgtoGg</f>
        <v>-6.0690246210378601E-3</v>
      </c>
      <c r="BE184" s="22">
        <f>Constants!$H75*'Activity data'!BE17*Constants!$H93*FracLEACHMM*MMLeachEF*NtoN2O*kgtoGg</f>
        <v>-6.0023674842876688E-3</v>
      </c>
      <c r="BF184" s="22">
        <f>Constants!$H75*'Activity data'!BF17*Constants!$H93*FracLEACHMM*MMLeachEF*NtoN2O*kgtoGg</f>
        <v>-5.9355441730233076E-3</v>
      </c>
      <c r="BG184" s="22">
        <f>Constants!$H75*'Activity data'!BG17*Constants!$H93*FracLEACHMM*MMLeachEF*NtoN2O*kgtoGg</f>
        <v>-5.868631115229209E-3</v>
      </c>
      <c r="BH184" s="22">
        <f>Constants!$H75*'Activity data'!BH17*Constants!$H93*FracLEACHMM*MMLeachEF*NtoN2O*kgtoGg</f>
        <v>-5.801450937318208E-3</v>
      </c>
      <c r="BI184" s="22">
        <f>Constants!$H75*'Activity data'!BI17*Constants!$H93*FracLEACHMM*MMLeachEF*NtoN2O*kgtoGg</f>
        <v>-5.7338989216543417E-3</v>
      </c>
      <c r="BJ184" s="22">
        <f>Constants!$H75*'Activity data'!BJ17*Constants!$H93*FracLEACHMM*MMLeachEF*NtoN2O*kgtoGg</f>
        <v>-5.665981593784182E-3</v>
      </c>
      <c r="BK184" s="22">
        <f>Constants!$H75*'Activity data'!BK17*Constants!$H93*FracLEACHMM*MMLeachEF*NtoN2O*kgtoGg</f>
        <v>-5.5975864031876984E-3</v>
      </c>
      <c r="BL184" s="22">
        <f>Constants!$H75*'Activity data'!BL17*Constants!$H93*FracLEACHMM*MMLeachEF*NtoN2O*kgtoGg</f>
        <v>-5.528596592882417E-3</v>
      </c>
      <c r="BM184" s="22">
        <f>Constants!$H75*'Activity data'!BM17*Constants!$H93*FracLEACHMM*MMLeachEF*NtoN2O*kgtoGg</f>
        <v>-5.459031743402367E-3</v>
      </c>
      <c r="BN184" s="22">
        <f>Constants!$H75*'Activity data'!BN17*Constants!$H93*FracLEACHMM*MMLeachEF*NtoN2O*kgtoGg</f>
        <v>-5.3889497419228856E-3</v>
      </c>
      <c r="BO184" s="22">
        <f>Constants!$H75*'Activity data'!BO17*Constants!$H93*FracLEACHMM*MMLeachEF*NtoN2O*kgtoGg</f>
        <v>-5.3184001043520557E-3</v>
      </c>
      <c r="BP184" s="22">
        <f>Constants!$H75*'Activity data'!BP17*Constants!$H93*FracLEACHMM*MMLeachEF*NtoN2O*kgtoGg</f>
        <v>-5.2472851582702085E-3</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3.9947810410006978E-3</v>
      </c>
      <c r="AF185" s="22">
        <f>Constants!$H76*'Activity data'!AF18*Constants!$H94*FracLEACHMM*MMLeachEF*NtoN2O*kgtoGg</f>
        <v>3.9965730233416695E-3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3.8177534504158584E-3</v>
      </c>
      <c r="AJ185" s="22">
        <f>Constants!$H76*'Activity data'!AJ18*Constants!$H94*FracLEACHMM*MMLeachEF*NtoN2O*kgtoGg</f>
        <v>3.7580655955978047E-3</v>
      </c>
      <c r="AK185" s="22">
        <f>Constants!$H76*'Activity data'!AK18*Constants!$H94*FracLEACHMM*MMLeachEF*NtoN2O*kgtoGg</f>
        <v>3.7036593154610871E-3</v>
      </c>
      <c r="AL185" s="22">
        <f>Constants!$H76*'Activity data'!AL18*Constants!$H94*FracLEACHMM*MMLeachEF*NtoN2O*kgtoGg</f>
        <v>3.3322722769129989E-3</v>
      </c>
      <c r="AM185" s="22">
        <f>Constants!$H76*'Activity data'!AM18*Constants!$H94*FracLEACHMM*MMLeachEF*NtoN2O*kgtoGg</f>
        <v>3.4512616857933645E-3</v>
      </c>
      <c r="AN185" s="22">
        <f>Constants!$H76*'Activity data'!AN18*Constants!$H94*FracLEACHMM*MMLeachEF*NtoN2O*kgtoGg</f>
        <v>1.1032021290123588E-2</v>
      </c>
      <c r="AO185" s="22">
        <f>Constants!$H76*'Activity data'!AO18*Constants!$H94*FracLEACHMM*MMLeachEF*NtoN2O*kgtoGg</f>
        <v>1.1062262793491467E-2</v>
      </c>
      <c r="AP185" s="22">
        <f>Constants!$H76*'Activity data'!AP18*Constants!$H94*FracLEACHMM*MMLeachEF*NtoN2O*kgtoGg</f>
        <v>1.1073431867727232E-2</v>
      </c>
      <c r="AQ185" s="22">
        <f>Constants!$H76*'Activity data'!AQ18*Constants!$H94*FracLEACHMM*MMLeachEF*NtoN2O*kgtoGg</f>
        <v>1.106603246637675E-2</v>
      </c>
      <c r="AR185" s="22">
        <f>Constants!$H76*'Activity data'!AR18*Constants!$H94*FracLEACHMM*MMLeachEF*NtoN2O*kgtoGg</f>
        <v>1.1041180887430186E-2</v>
      </c>
      <c r="AS185" s="22">
        <f>Constants!$H76*'Activity data'!AS18*Constants!$H94*FracLEACHMM*MMLeachEF*NtoN2O*kgtoGg</f>
        <v>1.0998648853434082E-2</v>
      </c>
      <c r="AT185" s="22">
        <f>Constants!$H76*'Activity data'!AT18*Constants!$H94*FracLEACHMM*MMLeachEF*NtoN2O*kgtoGg</f>
        <v>1.0938375242931999E-2</v>
      </c>
      <c r="AU185" s="22">
        <f>Constants!$H76*'Activity data'!AU18*Constants!$H94*FracLEACHMM*MMLeachEF*NtoN2O*kgtoGg</f>
        <v>1.0860365707799692E-2</v>
      </c>
      <c r="AV185" s="22">
        <f>Constants!$H76*'Activity data'!AV18*Constants!$H94*FracLEACHMM*MMLeachEF*NtoN2O*kgtoGg</f>
        <v>1.0764720302413055E-2</v>
      </c>
      <c r="AW185" s="22">
        <f>Constants!$H76*'Activity data'!AW18*Constants!$H94*FracLEACHMM*MMLeachEF*NtoN2O*kgtoGg</f>
        <v>1.0651685199146835E-2</v>
      </c>
      <c r="AX185" s="22">
        <f>Constants!$H76*'Activity data'!AX18*Constants!$H94*FracLEACHMM*MMLeachEF*NtoN2O*kgtoGg</f>
        <v>1.0521571728130012E-2</v>
      </c>
      <c r="AY185" s="22">
        <f>Constants!$H76*'Activity data'!AY18*Constants!$H94*FracLEACHMM*MMLeachEF*NtoN2O*kgtoGg</f>
        <v>1.0374819825180263E-2</v>
      </c>
      <c r="AZ185" s="22">
        <f>Constants!$H76*'Activity data'!AZ18*Constants!$H94*FracLEACHMM*MMLeachEF*NtoN2O*kgtoGg</f>
        <v>1.0211993243941318E-2</v>
      </c>
      <c r="BA185" s="22">
        <f>Constants!$H76*'Activity data'!BA18*Constants!$H94*FracLEACHMM*MMLeachEF*NtoN2O*kgtoGg</f>
        <v>1.0033702642759285E-2</v>
      </c>
      <c r="BB185" s="22">
        <f>Constants!$H76*'Activity data'!BB18*Constants!$H94*FracLEACHMM*MMLeachEF*NtoN2O*kgtoGg</f>
        <v>9.8406332877753449E-3</v>
      </c>
      <c r="BC185" s="22">
        <f>Constants!$H76*'Activity data'!BC18*Constants!$H94*FracLEACHMM*MMLeachEF*NtoN2O*kgtoGg</f>
        <v>-9.1697269053370395E-4</v>
      </c>
      <c r="BD185" s="22">
        <f>Constants!$H76*'Activity data'!BD18*Constants!$H94*FracLEACHMM*MMLeachEF*NtoN2O*kgtoGg</f>
        <v>-9.0704562404485191E-4</v>
      </c>
      <c r="BE185" s="22">
        <f>Constants!$H76*'Activity data'!BE18*Constants!$H94*FracLEACHMM*MMLeachEF*NtoN2O*kgtoGg</f>
        <v>-8.970833866218835E-4</v>
      </c>
      <c r="BF185" s="22">
        <f>Constants!$H76*'Activity data'!BF18*Constants!$H94*FracLEACHMM*MMLeachEF*NtoN2O*kgtoGg</f>
        <v>-8.870963135992402E-4</v>
      </c>
      <c r="BG185" s="22">
        <f>Constants!$H76*'Activity data'!BG18*Constants!$H94*FracLEACHMM*MMLeachEF*NtoN2O*kgtoGg</f>
        <v>-8.7709582751565934E-4</v>
      </c>
      <c r="BH185" s="22">
        <f>Constants!$H76*'Activity data'!BH18*Constants!$H94*FracLEACHMM*MMLeachEF*NtoN2O*kgtoGg</f>
        <v>-8.6705541901484369E-4</v>
      </c>
      <c r="BI185" s="22">
        <f>Constants!$H76*'Activity data'!BI18*Constants!$H94*FracLEACHMM*MMLeachEF*NtoN2O*kgtoGg</f>
        <v>-8.5695943753028676E-4</v>
      </c>
      <c r="BJ185" s="22">
        <f>Constants!$H76*'Activity data'!BJ18*Constants!$H94*FracLEACHMM*MMLeachEF*NtoN2O*kgtoGg</f>
        <v>-8.4680885833706668E-4</v>
      </c>
      <c r="BK185" s="22">
        <f>Constants!$H76*'Activity data'!BK18*Constants!$H94*FracLEACHMM*MMLeachEF*NtoN2O*kgtoGg</f>
        <v>-8.3658686020557013E-4</v>
      </c>
      <c r="BL185" s="22">
        <f>Constants!$H76*'Activity data'!BL18*Constants!$H94*FracLEACHMM*MMLeachEF*NtoN2O*kgtoGg</f>
        <v>-8.2627599322965283E-4</v>
      </c>
      <c r="BM185" s="22">
        <f>Constants!$H76*'Activity data'!BM18*Constants!$H94*FracLEACHMM*MMLeachEF*NtoN2O*kgtoGg</f>
        <v>-8.1587918381657311E-4</v>
      </c>
      <c r="BN185" s="22">
        <f>Constants!$H76*'Activity data'!BN18*Constants!$H94*FracLEACHMM*MMLeachEF*NtoN2O*kgtoGg</f>
        <v>-8.0540508348982262E-4</v>
      </c>
      <c r="BO185" s="22">
        <f>Constants!$H76*'Activity data'!BO18*Constants!$H94*FracLEACHMM*MMLeachEF*NtoN2O*kgtoGg</f>
        <v>-7.9486109264576715E-4</v>
      </c>
      <c r="BP185" s="22">
        <f>Constants!$H76*'Activity data'!BP18*Constants!$H94*FracLEACHMM*MMLeachEF*NtoN2O*kgtoGg</f>
        <v>-7.8423261366017795E-4</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1.6726645268412749E-2</v>
      </c>
      <c r="AE186" s="22">
        <f>Constants!$H77*'Activity data'!AE19*Constants!$H95*FracLEACHMM*MMLeachEF*NtoN2O*kgtoGg</f>
        <v>1.7066731126843742E-2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1.8197780265539368E-2</v>
      </c>
      <c r="AJ186" s="22">
        <f>Constants!$H77*'Activity data'!AJ19*Constants!$H95*FracLEACHMM*MMLeachEF*NtoN2O*kgtoGg</f>
        <v>1.8432867891885713E-2</v>
      </c>
      <c r="AK186" s="22">
        <f>Constants!$H77*'Activity data'!AK19*Constants!$H95*FracLEACHMM*MMLeachEF*NtoN2O*kgtoGg</f>
        <v>1.8677293946611211E-2</v>
      </c>
      <c r="AL186" s="22">
        <f>Constants!$H77*'Activity data'!AL19*Constants!$H95*FracLEACHMM*MMLeachEF*NtoN2O*kgtoGg</f>
        <v>1.7940997011567712E-2</v>
      </c>
      <c r="AM186" s="22">
        <f>Constants!$H77*'Activity data'!AM19*Constants!$H95*FracLEACHMM*MMLeachEF*NtoN2O*kgtoGg</f>
        <v>1.8599101618187692E-2</v>
      </c>
      <c r="AN186" s="22">
        <f>Constants!$H77*'Activity data'!AN19*Constants!$H95*FracLEACHMM*MMLeachEF*NtoN2O*kgtoGg</f>
        <v>4.1335323674744497E-2</v>
      </c>
      <c r="AO186" s="22">
        <f>Constants!$H77*'Activity data'!AO19*Constants!$H95*FracLEACHMM*MMLeachEF*NtoN2O*kgtoGg</f>
        <v>4.2244056956773843E-2</v>
      </c>
      <c r="AP186" s="22">
        <f>Constants!$H77*'Activity data'!AP19*Constants!$H95*FracLEACHMM*MMLeachEF*NtoN2O*kgtoGg</f>
        <v>4.3115523568410363E-2</v>
      </c>
      <c r="AQ186" s="22">
        <f>Constants!$H77*'Activity data'!AQ19*Constants!$H95*FracLEACHMM*MMLeachEF*NtoN2O*kgtoGg</f>
        <v>4.3942027126697474E-2</v>
      </c>
      <c r="AR186" s="22">
        <f>Constants!$H77*'Activity data'!AR19*Constants!$H95*FracLEACHMM*MMLeachEF*NtoN2O*kgtoGg</f>
        <v>4.4713130877516903E-2</v>
      </c>
      <c r="AS186" s="22">
        <f>Constants!$H77*'Activity data'!AS19*Constants!$H95*FracLEACHMM*MMLeachEF*NtoN2O*kgtoGg</f>
        <v>4.5425464748643458E-2</v>
      </c>
      <c r="AT186" s="22">
        <f>Constants!$H77*'Activity data'!AT19*Constants!$H95*FracLEACHMM*MMLeachEF*NtoN2O*kgtoGg</f>
        <v>4.6075599059895E-2</v>
      </c>
      <c r="AU186" s="22">
        <f>Constants!$H77*'Activity data'!AU19*Constants!$H95*FracLEACHMM*MMLeachEF*NtoN2O*kgtoGg</f>
        <v>4.666057526853875E-2</v>
      </c>
      <c r="AV186" s="22">
        <f>Constants!$H77*'Activity data'!AV19*Constants!$H95*FracLEACHMM*MMLeachEF*NtoN2O*kgtoGg</f>
        <v>4.7177797153361963E-2</v>
      </c>
      <c r="AW186" s="22">
        <f>Constants!$H77*'Activity data'!AW19*Constants!$H95*FracLEACHMM*MMLeachEF*NtoN2O*kgtoGg</f>
        <v>4.762476340679795E-2</v>
      </c>
      <c r="AX186" s="22">
        <f>Constants!$H77*'Activity data'!AX19*Constants!$H95*FracLEACHMM*MMLeachEF*NtoN2O*kgtoGg</f>
        <v>4.7999511889239711E-2</v>
      </c>
      <c r="AY186" s="22">
        <f>Constants!$H77*'Activity data'!AY19*Constants!$H95*FracLEACHMM*MMLeachEF*NtoN2O*kgtoGg</f>
        <v>4.8300272482139597E-2</v>
      </c>
      <c r="AZ186" s="22">
        <f>Constants!$H77*'Activity data'!AZ19*Constants!$H95*FracLEACHMM*MMLeachEF*NtoN2O*kgtoGg</f>
        <v>4.8525470849872195E-2</v>
      </c>
      <c r="BA186" s="22">
        <f>Constants!$H77*'Activity data'!BA19*Constants!$H95*FracLEACHMM*MMLeachEF*NtoN2O*kgtoGg</f>
        <v>4.8674159183630092E-2</v>
      </c>
      <c r="BB186" s="22">
        <f>Constants!$H77*'Activity data'!BB19*Constants!$H95*FracLEACHMM*MMLeachEF*NtoN2O*kgtoGg</f>
        <v>4.8745846953258828E-2</v>
      </c>
      <c r="BC186" s="22">
        <f>Constants!$H77*'Activity data'!BC19*Constants!$H95*FracLEACHMM*MMLeachEF*NtoN2O*kgtoGg</f>
        <v>6.3546724312553964E-3</v>
      </c>
      <c r="BD186" s="22">
        <f>Constants!$H77*'Activity data'!BD19*Constants!$H95*FracLEACHMM*MMLeachEF*NtoN2O*kgtoGg</f>
        <v>6.4013115626169702E-3</v>
      </c>
      <c r="BE186" s="22">
        <f>Constants!$H77*'Activity data'!BE19*Constants!$H95*FracLEACHMM*MMLeachEF*NtoN2O*kgtoGg</f>
        <v>6.446794570043473E-3</v>
      </c>
      <c r="BF186" s="22">
        <f>Constants!$H77*'Activity data'!BF19*Constants!$H95*FracLEACHMM*MMLeachEF*NtoN2O*kgtoGg</f>
        <v>6.4911899708581184E-3</v>
      </c>
      <c r="BG186" s="22">
        <f>Constants!$H77*'Activity data'!BG19*Constants!$H95*FracLEACHMM*MMLeachEF*NtoN2O*kgtoGg</f>
        <v>6.5345767491159093E-3</v>
      </c>
      <c r="BH186" s="22">
        <f>Constants!$H77*'Activity data'!BH19*Constants!$H95*FracLEACHMM*MMLeachEF*NtoN2O*kgtoGg</f>
        <v>6.5767770115873272E-3</v>
      </c>
      <c r="BI186" s="22">
        <f>Constants!$H77*'Activity data'!BI19*Constants!$H95*FracLEACHMM*MMLeachEF*NtoN2O*kgtoGg</f>
        <v>6.6176736088844742E-3</v>
      </c>
      <c r="BJ186" s="22">
        <f>Constants!$H77*'Activity data'!BJ19*Constants!$H95*FracLEACHMM*MMLeachEF*NtoN2O*kgtoGg</f>
        <v>6.6572579134014679E-3</v>
      </c>
      <c r="BK186" s="22">
        <f>Constants!$H77*'Activity data'!BK19*Constants!$H95*FracLEACHMM*MMLeachEF*NtoN2O*kgtoGg</f>
        <v>6.6953903792422425E-3</v>
      </c>
      <c r="BL186" s="22">
        <f>Constants!$H77*'Activity data'!BL19*Constants!$H95*FracLEACHMM*MMLeachEF*NtoN2O*kgtoGg</f>
        <v>6.7319156561258262E-3</v>
      </c>
      <c r="BM186" s="22">
        <f>Constants!$H77*'Activity data'!BM19*Constants!$H95*FracLEACHMM*MMLeachEF*NtoN2O*kgtoGg</f>
        <v>6.7668201581545509E-3</v>
      </c>
      <c r="BN186" s="22">
        <f>Constants!$H77*'Activity data'!BN19*Constants!$H95*FracLEACHMM*MMLeachEF*NtoN2O*kgtoGg</f>
        <v>6.8001333252020657E-3</v>
      </c>
      <c r="BO186" s="22">
        <f>Constants!$H77*'Activity data'!BO19*Constants!$H95*FracLEACHMM*MMLeachEF*NtoN2O*kgtoGg</f>
        <v>6.8318771364297487E-3</v>
      </c>
      <c r="BP186" s="22">
        <f>Constants!$H77*'Activity data'!BP19*Constants!$H95*FracLEACHMM*MMLeachEF*NtoN2O*kgtoGg</f>
        <v>6.8619001030845884E-3</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7.7585797913229351E-2</v>
      </c>
      <c r="AE187" s="22">
        <f>Constants!$H78*'Activity data'!AE20*Constants!$H96*FracLEACHMM*MMLeachEF*NtoN2O*kgtoGg</f>
        <v>7.8607464197542484E-2</v>
      </c>
      <c r="AF187" s="22">
        <f>Constants!$H78*'Activity data'!AF20*Constants!$H96*FracLEACHMM*MMLeachEF*NtoN2O*kgtoGg</f>
        <v>8.0248553313821205E-2</v>
      </c>
      <c r="AG187" s="22">
        <f>Constants!$H78*'Activity data'!AG20*Constants!$H96*FracLEACHMM*MMLeachEF*NtoN2O*kgtoGg</f>
        <v>8.0719757945382303E-2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7.8944464359385638E-2</v>
      </c>
      <c r="AK187" s="22">
        <f>Constants!$H78*'Activity data'!AK20*Constants!$H96*FracLEACHMM*MMLeachEF*NtoN2O*kgtoGg</f>
        <v>7.8604018955287347E-2</v>
      </c>
      <c r="AL187" s="22">
        <f>Constants!$H78*'Activity data'!AL20*Constants!$H96*FracLEACHMM*MMLeachEF*NtoN2O*kgtoGg</f>
        <v>6.8551548491341041E-2</v>
      </c>
      <c r="AM187" s="22">
        <f>Constants!$H78*'Activity data'!AM20*Constants!$H96*FracLEACHMM*MMLeachEF*NtoN2O*kgtoGg</f>
        <v>7.3739546332348721E-2</v>
      </c>
      <c r="AN187" s="22">
        <f>Constants!$H78*'Activity data'!AN20*Constants!$H96*FracLEACHMM*MMLeachEF*NtoN2O*kgtoGg</f>
        <v>0.32063801867343739</v>
      </c>
      <c r="AO187" s="22">
        <f>Constants!$H78*'Activity data'!AO20*Constants!$H96*FracLEACHMM*MMLeachEF*NtoN2O*kgtoGg</f>
        <v>0.3263865261169076</v>
      </c>
      <c r="AP187" s="22">
        <f>Constants!$H78*'Activity data'!AP20*Constants!$H96*FracLEACHMM*MMLeachEF*NtoN2O*kgtoGg</f>
        <v>0.3314934571329114</v>
      </c>
      <c r="AQ187" s="22">
        <f>Constants!$H78*'Activity data'!AQ20*Constants!$H96*FracLEACHMM*MMLeachEF*NtoN2O*kgtoGg</f>
        <v>0.33598061783359728</v>
      </c>
      <c r="AR187" s="22">
        <f>Constants!$H78*'Activity data'!AR20*Constants!$H96*FracLEACHMM*MMLeachEF*NtoN2O*kgtoGg</f>
        <v>0.33990898947079762</v>
      </c>
      <c r="AS187" s="22">
        <f>Constants!$H78*'Activity data'!AS20*Constants!$H96*FracLEACHMM*MMLeachEF*NtoN2O*kgtoGg</f>
        <v>0.3432491056284519</v>
      </c>
      <c r="AT187" s="22">
        <f>Constants!$H78*'Activity data'!AT20*Constants!$H96*FracLEACHMM*MMLeachEF*NtoN2O*kgtoGg</f>
        <v>0.345978344064029</v>
      </c>
      <c r="AU187" s="22">
        <f>Constants!$H78*'Activity data'!AU20*Constants!$H96*FracLEACHMM*MMLeachEF*NtoN2O*kgtoGg</f>
        <v>0.34807446920762175</v>
      </c>
      <c r="AV187" s="22">
        <f>Constants!$H78*'Activity data'!AV20*Constants!$H96*FracLEACHMM*MMLeachEF*NtoN2O*kgtoGg</f>
        <v>0.34951764979405581</v>
      </c>
      <c r="AW187" s="22">
        <f>Constants!$H78*'Activity data'!AW20*Constants!$H96*FracLEACHMM*MMLeachEF*NtoN2O*kgtoGg</f>
        <v>0.35029436297093797</v>
      </c>
      <c r="AX187" s="22">
        <f>Constants!$H78*'Activity data'!AX20*Constants!$H96*FracLEACHMM*MMLeachEF*NtoN2O*kgtoGg</f>
        <v>0.3503920713528586</v>
      </c>
      <c r="AY187" s="22">
        <f>Constants!$H78*'Activity data'!AY20*Constants!$H96*FracLEACHMM*MMLeachEF*NtoN2O*kgtoGg</f>
        <v>0.34980401942204614</v>
      </c>
      <c r="AZ187" s="22">
        <f>Constants!$H78*'Activity data'!AZ20*Constants!$H96*FracLEACHMM*MMLeachEF*NtoN2O*kgtoGg</f>
        <v>0.34852938630195235</v>
      </c>
      <c r="BA187" s="22">
        <f>Constants!$H78*'Activity data'!BA20*Constants!$H96*FracLEACHMM*MMLeachEF*NtoN2O*kgtoGg</f>
        <v>0.34656807266355577</v>
      </c>
      <c r="BB187" s="22">
        <f>Constants!$H78*'Activity data'!BB20*Constants!$H96*FracLEACHMM*MMLeachEF*NtoN2O*kgtoGg</f>
        <v>0.34392301643743828</v>
      </c>
      <c r="BC187" s="22">
        <f>Constants!$H78*'Activity data'!BC20*Constants!$H96*FracLEACHMM*MMLeachEF*NtoN2O*kgtoGg</f>
        <v>-7.3441689918994316E-2</v>
      </c>
      <c r="BD187" s="22">
        <f>Constants!$H78*'Activity data'!BD20*Constants!$H96*FracLEACHMM*MMLeachEF*NtoN2O*kgtoGg</f>
        <v>-7.3545621673456185E-2</v>
      </c>
      <c r="BE187" s="22">
        <f>Constants!$H78*'Activity data'!BE20*Constants!$H96*FracLEACHMM*MMLeachEF*NtoN2O*kgtoGg</f>
        <v>-7.3639730110431498E-2</v>
      </c>
      <c r="BF187" s="22">
        <f>Constants!$H78*'Activity data'!BF20*Constants!$H96*FracLEACHMM*MMLeachEF*NtoN2O*kgtoGg</f>
        <v>-7.3724815505769356E-2</v>
      </c>
      <c r="BG187" s="22">
        <f>Constants!$H78*'Activity data'!BG20*Constants!$H96*FracLEACHMM*MMLeachEF*NtoN2O*kgtoGg</f>
        <v>-7.3801792793217899E-2</v>
      </c>
      <c r="BH187" s="22">
        <f>Constants!$H78*'Activity data'!BH20*Constants!$H96*FracLEACHMM*MMLeachEF*NtoN2O*kgtoGg</f>
        <v>-7.386851362361406E-2</v>
      </c>
      <c r="BI187" s="22">
        <f>Constants!$H78*'Activity data'!BI20*Constants!$H96*FracLEACHMM*MMLeachEF*NtoN2O*kgtoGg</f>
        <v>-7.3923604247027361E-2</v>
      </c>
      <c r="BJ187" s="22">
        <f>Constants!$H78*'Activity data'!BJ20*Constants!$H96*FracLEACHMM*MMLeachEF*NtoN2O*kgtoGg</f>
        <v>-7.3967002295391979E-2</v>
      </c>
      <c r="BK187" s="22">
        <f>Constants!$H78*'Activity data'!BK20*Constants!$H96*FracLEACHMM*MMLeachEF*NtoN2O*kgtoGg</f>
        <v>-7.3997124044251614E-2</v>
      </c>
      <c r="BL187" s="22">
        <f>Constants!$H78*'Activity data'!BL20*Constants!$H96*FracLEACHMM*MMLeachEF*NtoN2O*kgtoGg</f>
        <v>-7.4012242065131795E-2</v>
      </c>
      <c r="BM187" s="22">
        <f>Constants!$H78*'Activity data'!BM20*Constants!$H96*FracLEACHMM*MMLeachEF*NtoN2O*kgtoGg</f>
        <v>-7.4012306856669818E-2</v>
      </c>
      <c r="BN187" s="22">
        <f>Constants!$H78*'Activity data'!BN20*Constants!$H96*FracLEACHMM*MMLeachEF*NtoN2O*kgtoGg</f>
        <v>-7.3997766932053066E-2</v>
      </c>
      <c r="BO187" s="22">
        <f>Constants!$H78*'Activity data'!BO20*Constants!$H96*FracLEACHMM*MMLeachEF*NtoN2O*kgtoGg</f>
        <v>-7.3968978731960316E-2</v>
      </c>
      <c r="BP187" s="22">
        <f>Constants!$H78*'Activity data'!BP20*Constants!$H96*FracLEACHMM*MMLeachEF*NtoN2O*kgtoGg</f>
        <v>-7.3924322860586755E-2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5546875" defaultRowHeight="15" x14ac:dyDescent="0.25"/>
  <cols>
    <col min="1" max="1" width="34.42578125" customWidth="1"/>
    <col min="2" max="2" width="33.28515625" customWidth="1"/>
    <col min="3" max="3" width="27.42578125" customWidth="1"/>
    <col min="4" max="4" width="7.42578125" customWidth="1"/>
    <col min="5" max="5" width="26.140625" customWidth="1"/>
    <col min="6" max="33" width="9.7109375" customWidth="1"/>
    <col min="34" max="34" width="9.42578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1171.2651160486198</v>
      </c>
      <c r="AC4" s="40">
        <f t="shared" si="0"/>
        <v>1166.5593957177311</v>
      </c>
      <c r="AD4" s="40">
        <f t="shared" si="0"/>
        <v>1166.8343107149292</v>
      </c>
      <c r="AE4" s="40">
        <f t="shared" si="0"/>
        <v>1158.6000321770466</v>
      </c>
      <c r="AF4" s="40">
        <f t="shared" si="0"/>
        <v>1145.2621528294474</v>
      </c>
      <c r="AG4" s="40">
        <f t="shared" si="0"/>
        <v>1127.1134954870124</v>
      </c>
      <c r="AH4" s="40">
        <f t="shared" si="0"/>
        <v>1113.6808905305425</v>
      </c>
      <c r="AI4" s="40">
        <f t="shared" si="0"/>
        <v>1101.2673361670932</v>
      </c>
      <c r="AJ4" s="40">
        <f t="shared" si="0"/>
        <v>1018.7114065241609</v>
      </c>
      <c r="AK4" s="40">
        <f t="shared" si="0"/>
        <v>1048.289687517527</v>
      </c>
      <c r="AL4" s="40">
        <f t="shared" ref="AL4:BN4" si="1">SUM(AL5:AL10)</f>
        <v>2668.1939105989363</v>
      </c>
      <c r="AM4" s="40">
        <f t="shared" si="1"/>
        <v>2685.1292460272171</v>
      </c>
      <c r="AN4" s="40">
        <f t="shared" si="1"/>
        <v>2698.3514782096568</v>
      </c>
      <c r="AO4" s="40">
        <f t="shared" si="1"/>
        <v>2707.7082264371666</v>
      </c>
      <c r="AP4" s="40">
        <f t="shared" si="1"/>
        <v>2713.0271864174897</v>
      </c>
      <c r="AQ4" s="40">
        <f t="shared" si="1"/>
        <v>2714.2488135956564</v>
      </c>
      <c r="AR4" s="40">
        <f t="shared" si="1"/>
        <v>2711.3321626285178</v>
      </c>
      <c r="AS4" s="40">
        <f t="shared" si="1"/>
        <v>2704.2619300379906</v>
      </c>
      <c r="AT4" s="40">
        <f t="shared" si="1"/>
        <v>2693.0467344153876</v>
      </c>
      <c r="AU4" s="40">
        <f t="shared" si="1"/>
        <v>2661.0786638174359</v>
      </c>
      <c r="AV4" s="40">
        <f t="shared" si="1"/>
        <v>2625.1363219769319</v>
      </c>
      <c r="AW4" s="40">
        <f t="shared" si="1"/>
        <v>2585.3786298574178</v>
      </c>
      <c r="AX4" s="40">
        <f t="shared" si="1"/>
        <v>2541.9825520676022</v>
      </c>
      <c r="AY4" s="40">
        <f t="shared" si="1"/>
        <v>2495.1477282016913</v>
      </c>
      <c r="AZ4" s="40">
        <f t="shared" si="1"/>
        <v>2445.0922581112541</v>
      </c>
      <c r="BA4" s="40">
        <f t="shared" si="1"/>
        <v>136.36161855406263</v>
      </c>
      <c r="BB4" s="40">
        <f t="shared" si="1"/>
        <v>139.8288267456106</v>
      </c>
      <c r="BC4" s="40">
        <f t="shared" si="1"/>
        <v>143.24360549731341</v>
      </c>
      <c r="BD4" s="40">
        <f t="shared" si="1"/>
        <v>146.60781720158934</v>
      </c>
      <c r="BE4" s="40">
        <f t="shared" si="1"/>
        <v>149.30294333755634</v>
      </c>
      <c r="BF4" s="40">
        <f t="shared" si="1"/>
        <v>151.95363191360747</v>
      </c>
      <c r="BG4" s="40">
        <f t="shared" si="1"/>
        <v>154.55810107506414</v>
      </c>
      <c r="BH4" s="40">
        <f t="shared" si="1"/>
        <v>157.11647593309581</v>
      </c>
      <c r="BI4" s="40">
        <f t="shared" si="1"/>
        <v>159.62640531091944</v>
      </c>
      <c r="BJ4" s="40">
        <f t="shared" si="1"/>
        <v>162.08514015873246</v>
      </c>
      <c r="BK4" s="40">
        <f t="shared" si="1"/>
        <v>164.49250492379483</v>
      </c>
      <c r="BL4" s="40">
        <f t="shared" si="1"/>
        <v>166.84911458564844</v>
      </c>
      <c r="BM4" s="40">
        <f t="shared" si="1"/>
        <v>169.15543755908917</v>
      </c>
      <c r="BN4" s="40">
        <f t="shared" si="1"/>
        <v>171.40859658402198</v>
      </c>
    </row>
    <row r="5" spans="1:72" x14ac:dyDescent="0.25">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977.4832471049433</v>
      </c>
      <c r="AC5" s="27">
        <f>SUM(Emissions!AE4:AE9)</f>
        <v>972.58505850583788</v>
      </c>
      <c r="AD5" s="27">
        <f>SUM(Emissions!AF4:AF9)</f>
        <v>972.49373775284243</v>
      </c>
      <c r="AE5" s="27">
        <f>SUM(Emissions!AG4:AG9)</f>
        <v>963.8258890853682</v>
      </c>
      <c r="AF5" s="27">
        <f>SUM(Emissions!AH4:AH9)</f>
        <v>949.97028936128629</v>
      </c>
      <c r="AG5" s="27">
        <f>SUM(Emissions!AI4:AI9)</f>
        <v>931.22387023867623</v>
      </c>
      <c r="AH5" s="27">
        <f>SUM(Emissions!AJ4:AJ9)</f>
        <v>917.0943260670341</v>
      </c>
      <c r="AI5" s="27">
        <f>SUM(Emissions!AK4:AK9)</f>
        <v>903.91074691874087</v>
      </c>
      <c r="AJ5" s="27">
        <f>SUM(Emissions!AL4:AL9)</f>
        <v>822.19746865486604</v>
      </c>
      <c r="AK5" s="27">
        <f>SUM(Emissions!AM4:AM9)</f>
        <v>851.41897094428953</v>
      </c>
      <c r="AL5" s="27">
        <f>SUM(Emissions!AN4:AN9)</f>
        <v>2458.4098311853322</v>
      </c>
      <c r="AM5" s="27">
        <f>SUM(Emissions!AO4:AO9)</f>
        <v>2475.0970973342455</v>
      </c>
      <c r="AN5" s="27">
        <f>SUM(Emissions!AP4:AP9)</f>
        <v>2487.8963989019903</v>
      </c>
      <c r="AO5" s="27">
        <f>SUM(Emissions!AQ4:AQ9)</f>
        <v>2496.7401695910794</v>
      </c>
      <c r="AP5" s="27">
        <f>SUM(Emissions!AR4:AR9)</f>
        <v>2501.5993090262882</v>
      </c>
      <c r="AQ5" s="27">
        <f>SUM(Emissions!AS4:AS9)</f>
        <v>2502.4104372261727</v>
      </c>
      <c r="AR5" s="27">
        <f>SUM(Emissions!AT4:AT9)</f>
        <v>2499.1347241198105</v>
      </c>
      <c r="AS5" s="27">
        <f>SUM(Emissions!AU4:AU9)</f>
        <v>2491.7544158964151</v>
      </c>
      <c r="AT5" s="27">
        <f>SUM(Emissions!AV4:AV9)</f>
        <v>2480.2740382134953</v>
      </c>
      <c r="AU5" s="27">
        <f>SUM(Emissions!AW4:AW9)</f>
        <v>2448.0859633035029</v>
      </c>
      <c r="AV5" s="27">
        <f>SUM(Emissions!AX4:AX9)</f>
        <v>2411.9647791427751</v>
      </c>
      <c r="AW5" s="27">
        <f>SUM(Emissions!AY4:AY9)</f>
        <v>2372.0686287609406</v>
      </c>
      <c r="AX5" s="27">
        <f>SUM(Emissions!AZ4:AZ9)</f>
        <v>2328.5771363700151</v>
      </c>
      <c r="AY5" s="27">
        <f>SUM(Emissions!BA4:BA9)</f>
        <v>2281.6876055294888</v>
      </c>
      <c r="AZ5" s="27">
        <f>SUM(Emissions!BB4:BB9)</f>
        <v>2231.6145099321634</v>
      </c>
      <c r="BA5" s="27">
        <f>SUM(Emissions!BC4:BC9)</f>
        <v>-56.496958059540226</v>
      </c>
      <c r="BB5" s="27">
        <f>SUM(Emissions!BD4:BD9)</f>
        <v>-53.223099252333391</v>
      </c>
      <c r="BC5" s="27">
        <f>SUM(Emissions!BE4:BE9)</f>
        <v>-49.987924259766096</v>
      </c>
      <c r="BD5" s="27">
        <f>SUM(Emissions!BF4:BF9)</f>
        <v>-46.790721017950347</v>
      </c>
      <c r="BE5" s="27">
        <f>SUM(Emissions!BG4:BG9)</f>
        <v>-44.25138589184936</v>
      </c>
      <c r="BF5" s="27">
        <f>SUM(Emissions!BH4:BH9)</f>
        <v>-41.741245666674018</v>
      </c>
      <c r="BG5" s="27">
        <f>SUM(Emissions!BI4:BI9)</f>
        <v>-39.259415370622193</v>
      </c>
      <c r="BH5" s="27">
        <f>SUM(Emissions!BJ4:BJ9)</f>
        <v>-36.805428271112085</v>
      </c>
      <c r="BI5" s="27">
        <f>SUM(Emissions!BK4:BK9)</f>
        <v>-34.378592939633918</v>
      </c>
      <c r="BJ5" s="27">
        <f>SUM(Emissions!BL4:BL9)</f>
        <v>-31.978348697815846</v>
      </c>
      <c r="BK5" s="27">
        <f>SUM(Emissions!BM4:BM9)</f>
        <v>-29.60454852606896</v>
      </c>
      <c r="BL5" s="27">
        <f>SUM(Emissions!BN4:BN9)</f>
        <v>-27.257154717130838</v>
      </c>
      <c r="BM5" s="27">
        <f>SUM(Emissions!BO4:BO9)</f>
        <v>-24.936124381325964</v>
      </c>
      <c r="BN5" s="27">
        <f>SUM(Emissions!BP4:BP9)</f>
        <v>-22.641221191515044</v>
      </c>
    </row>
    <row r="6" spans="1:72" x14ac:dyDescent="0.25">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149.09353044662001</v>
      </c>
      <c r="AK6" s="27">
        <f>SUM(Emissions!AM10:AM11)</f>
        <v>149.19275852401506</v>
      </c>
      <c r="AL6" s="27">
        <f>SUM(Emissions!AN10:AN11)</f>
        <v>151.13600729508602</v>
      </c>
      <c r="AM6" s="27">
        <f>SUM(Emissions!AO10:AO11)</f>
        <v>151.18341133219153</v>
      </c>
      <c r="AN6" s="27">
        <f>SUM(Emissions!AP10:AP11)</f>
        <v>151.38618089420282</v>
      </c>
      <c r="AO6" s="27">
        <f>SUM(Emissions!AQ10:AQ11)</f>
        <v>151.67928921769311</v>
      </c>
      <c r="AP6" s="27">
        <f>SUM(Emissions!AR10:AR11)</f>
        <v>151.951576805679</v>
      </c>
      <c r="AQ6" s="27">
        <f>SUM(Emissions!AS10:AS11)</f>
        <v>152.20641494438905</v>
      </c>
      <c r="AR6" s="27">
        <f>SUM(Emissions!AT10:AT11)</f>
        <v>152.44244472028012</v>
      </c>
      <c r="AS6" s="27">
        <f>SUM(Emissions!AU10:AU11)</f>
        <v>152.66179278102877</v>
      </c>
      <c r="AT6" s="27">
        <f>SUM(Emissions!AV10:AV11)</f>
        <v>152.86778641331486</v>
      </c>
      <c r="AU6" s="27">
        <f>SUM(Emissions!AW10:AW11)</f>
        <v>153.06023152359194</v>
      </c>
      <c r="AV6" s="27">
        <f>SUM(Emissions!AX10:AX11)</f>
        <v>153.24220617597868</v>
      </c>
      <c r="AW6" s="27">
        <f>SUM(Emissions!AY10:AY11)</f>
        <v>153.41415086887915</v>
      </c>
      <c r="AX6" s="27">
        <f>SUM(Emissions!AZ10:AZ11)</f>
        <v>153.57370890205652</v>
      </c>
      <c r="AY6" s="27">
        <f>SUM(Emissions!BA10:BA11)</f>
        <v>153.72233987555649</v>
      </c>
      <c r="AZ6" s="27">
        <f>SUM(Emissions!BB10:BB11)</f>
        <v>153.86241495290008</v>
      </c>
      <c r="BA6" s="27">
        <f>SUM(Emissions!BC10:BC11)</f>
        <v>150.48572545060168</v>
      </c>
      <c r="BB6" s="27">
        <f>SUM(Emissions!BD10:BD11)</f>
        <v>150.62411070843578</v>
      </c>
      <c r="BC6" s="27">
        <f>SUM(Emissions!BE10:BE11)</f>
        <v>150.75318853440103</v>
      </c>
      <c r="BD6" s="27">
        <f>SUM(Emissions!BF10:BF11)</f>
        <v>150.87374778583941</v>
      </c>
      <c r="BE6" s="27">
        <f>SUM(Emissions!BG10:BG11)</f>
        <v>150.98674741245298</v>
      </c>
      <c r="BF6" s="27">
        <f>SUM(Emissions!BH10:BH11)</f>
        <v>151.08921506472191</v>
      </c>
      <c r="BG6" s="27">
        <f>SUM(Emissions!BI10:BI11)</f>
        <v>151.17916577527956</v>
      </c>
      <c r="BH6" s="27">
        <f>SUM(Emissions!BJ10:BJ11)</f>
        <v>151.25630880736327</v>
      </c>
      <c r="BI6" s="27">
        <f>SUM(Emissions!BK10:BK11)</f>
        <v>151.31838530079867</v>
      </c>
      <c r="BJ6" s="27">
        <f>SUM(Emissions!BL10:BL11)</f>
        <v>151.36293993636539</v>
      </c>
      <c r="BK6" s="27">
        <f>SUM(Emissions!BM10:BM11)</f>
        <v>151.38969582707807</v>
      </c>
      <c r="BL6" s="27">
        <f>SUM(Emissions!BN10:BN11)</f>
        <v>151.39903461970664</v>
      </c>
      <c r="BM6" s="27">
        <f>SUM(Emissions!BO10:BO11)</f>
        <v>151.39122947661508</v>
      </c>
      <c r="BN6" s="27">
        <f>SUM(Emissions!BP10:BP11)</f>
        <v>151.36396938665408</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37.504515885641105</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38.710975345227183</v>
      </c>
      <c r="AK7" s="27">
        <f>SUM(Emissions!AM12:AM13)</f>
        <v>38.774326880998657</v>
      </c>
      <c r="AL7" s="27">
        <f>SUM(Emissions!AN12:AN13)</f>
        <v>39.560486456742233</v>
      </c>
      <c r="AM7" s="27">
        <f>SUM(Emissions!AO12:AO13)</f>
        <v>39.596004196925449</v>
      </c>
      <c r="AN7" s="27">
        <f>SUM(Emissions!AP12:AP13)</f>
        <v>39.690037902194234</v>
      </c>
      <c r="AO7" s="27">
        <f>SUM(Emissions!AQ12:AQ13)</f>
        <v>39.816948551146659</v>
      </c>
      <c r="AP7" s="27">
        <f>SUM(Emissions!AR12:AR13)</f>
        <v>39.933343318947259</v>
      </c>
      <c r="AQ7" s="27">
        <f>SUM(Emissions!AS12:AS13)</f>
        <v>40.040760741219216</v>
      </c>
      <c r="AR7" s="27">
        <f>SUM(Emissions!AT12:AT13)</f>
        <v>40.138871338964556</v>
      </c>
      <c r="AS7" s="27">
        <f>SUM(Emissions!AU12:AU13)</f>
        <v>40.228682589780007</v>
      </c>
      <c r="AT7" s="27">
        <f>SUM(Emissions!AV12:AV13)</f>
        <v>40.311643534065951</v>
      </c>
      <c r="AU7" s="27">
        <f>SUM(Emissions!AW12:AW13)</f>
        <v>40.387821013305057</v>
      </c>
      <c r="AV7" s="27">
        <f>SUM(Emissions!AX12:AX13)</f>
        <v>40.458530378697169</v>
      </c>
      <c r="AW7" s="27">
        <f>SUM(Emissions!AY12:AY13)</f>
        <v>40.524054127466513</v>
      </c>
      <c r="AX7" s="27">
        <f>SUM(Emissions!AZ12:AZ13)</f>
        <v>40.583592243807701</v>
      </c>
      <c r="AY7" s="27">
        <f>SUM(Emissions!BA12:BA13)</f>
        <v>40.637804090455063</v>
      </c>
      <c r="AZ7" s="27">
        <f>SUM(Emissions!BB12:BB13)</f>
        <v>40.68768572195205</v>
      </c>
      <c r="BA7" s="27">
        <f>SUM(Emissions!BC12:BC13)</f>
        <v>39.396038724791367</v>
      </c>
      <c r="BB7" s="27">
        <f>SUM(Emissions!BD12:BD13)</f>
        <v>39.445824890137935</v>
      </c>
      <c r="BC7" s="27">
        <f>SUM(Emissions!BE12:BE13)</f>
        <v>39.491154516976891</v>
      </c>
      <c r="BD7" s="27">
        <f>SUM(Emissions!BF12:BF13)</f>
        <v>39.53239446741042</v>
      </c>
      <c r="BE7" s="27">
        <f>SUM(Emissions!BG12:BG13)</f>
        <v>39.569969593817532</v>
      </c>
      <c r="BF7" s="27">
        <f>SUM(Emissions!BH12:BH13)</f>
        <v>39.602813212033055</v>
      </c>
      <c r="BG7" s="27">
        <f>SUM(Emissions!BI12:BI13)</f>
        <v>39.630235299602241</v>
      </c>
      <c r="BH7" s="27">
        <f>SUM(Emissions!BJ12:BJ13)</f>
        <v>39.652185480579206</v>
      </c>
      <c r="BI7" s="27">
        <f>SUM(Emissions!BK12:BK13)</f>
        <v>39.667871235886544</v>
      </c>
      <c r="BJ7" s="27">
        <f>SUM(Emissions!BL12:BL13)</f>
        <v>39.676429054693479</v>
      </c>
      <c r="BK7" s="27">
        <f>SUM(Emissions!BM12:BM13)</f>
        <v>39.677814778071323</v>
      </c>
      <c r="BL7" s="27">
        <f>SUM(Emissions!BN12:BN13)</f>
        <v>39.672228544167254</v>
      </c>
      <c r="BM7" s="27">
        <f>SUM(Emissions!BO12:BO13)</f>
        <v>39.659826575786695</v>
      </c>
      <c r="BN7" s="27">
        <f>SUM(Emissions!BP12:BP13)</f>
        <v>39.639798682719096</v>
      </c>
    </row>
    <row r="8" spans="1:72" x14ac:dyDescent="0.25">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5.5526214800767901</v>
      </c>
      <c r="AC8" s="27">
        <f>Emissions!AE14</f>
        <v>5.5795235710196529</v>
      </c>
      <c r="AD8" s="27">
        <f>Emissions!AF14</f>
        <v>5.6203482259438022</v>
      </c>
      <c r="AE8" s="27">
        <f>Emissions!AG14</f>
        <v>5.6290756550083767</v>
      </c>
      <c r="AF8" s="27">
        <f>Emissions!AH14</f>
        <v>5.6165815405282284</v>
      </c>
      <c r="AG8" s="27">
        <f>Emissions!AI14</f>
        <v>5.5833231296706112</v>
      </c>
      <c r="AH8" s="27">
        <f>Emissions!AJ14</f>
        <v>5.5648827699457364</v>
      </c>
      <c r="AI8" s="27">
        <f>Emissions!AK14</f>
        <v>5.5483103177944031</v>
      </c>
      <c r="AJ8" s="27">
        <f>Emissions!AL14</f>
        <v>5.301317756839599</v>
      </c>
      <c r="AK8" s="27">
        <f>Emissions!AM14</f>
        <v>5.4334519326298842</v>
      </c>
      <c r="AL8" s="27">
        <f>Emissions!AN14</f>
        <v>11.663279711908721</v>
      </c>
      <c r="AM8" s="27">
        <f>Emissions!AO14</f>
        <v>11.812653235838557</v>
      </c>
      <c r="AN8" s="27">
        <f>Emissions!AP14</f>
        <v>11.932954790442608</v>
      </c>
      <c r="AO8" s="27">
        <f>Emissions!AQ14</f>
        <v>12.029772886609605</v>
      </c>
      <c r="AP8" s="27">
        <f>Emissions!AR14</f>
        <v>12.113873667726716</v>
      </c>
      <c r="AQ8" s="27">
        <f>Emissions!AS14</f>
        <v>12.184301808011908</v>
      </c>
      <c r="AR8" s="27">
        <f>Emissions!AT14</f>
        <v>12.240662308750712</v>
      </c>
      <c r="AS8" s="27">
        <f>Emissions!AU14</f>
        <v>12.282268429354316</v>
      </c>
      <c r="AT8" s="27">
        <f>Emissions!AV14</f>
        <v>12.308384588149881</v>
      </c>
      <c r="AU8" s="27">
        <f>Emissions!AW14</f>
        <v>12.31872545788376</v>
      </c>
      <c r="AV8" s="27">
        <f>Emissions!AX14</f>
        <v>12.312750989800492</v>
      </c>
      <c r="AW8" s="27">
        <f>Emissions!AY14</f>
        <v>12.290286651516004</v>
      </c>
      <c r="AX8" s="27">
        <f>Emissions!AZ14</f>
        <v>12.251535501678408</v>
      </c>
      <c r="AY8" s="27">
        <f>Emissions!BA14</f>
        <v>12.196396092630039</v>
      </c>
      <c r="AZ8" s="27">
        <f>Emissions!BB14</f>
        <v>12.124769930026071</v>
      </c>
      <c r="BA8" s="27">
        <f>Emissions!BC14</f>
        <v>1.7851056965565462</v>
      </c>
      <c r="BB8" s="27">
        <f>Emissions!BD14</f>
        <v>1.7851056965565462</v>
      </c>
      <c r="BC8" s="27">
        <f>Emissions!BE14</f>
        <v>1.7851056965565462</v>
      </c>
      <c r="BD8" s="27">
        <f>Emissions!BF14</f>
        <v>1.7851056965565462</v>
      </c>
      <c r="BE8" s="27">
        <f>Emissions!BG14</f>
        <v>1.7851056965565462</v>
      </c>
      <c r="BF8" s="27">
        <f>Emissions!BH14</f>
        <v>1.7851056965565462</v>
      </c>
      <c r="BG8" s="27">
        <f>Emissions!BI14</f>
        <v>1.7851056965565462</v>
      </c>
      <c r="BH8" s="27">
        <f>Emissions!BJ14</f>
        <v>1.7851056965565462</v>
      </c>
      <c r="BI8" s="27">
        <f>Emissions!BK14</f>
        <v>1.7851056965565462</v>
      </c>
      <c r="BJ8" s="27">
        <f>Emissions!BL14</f>
        <v>1.7851056965565462</v>
      </c>
      <c r="BK8" s="27">
        <f>Emissions!BM14</f>
        <v>1.7851056965565462</v>
      </c>
      <c r="BL8" s="27">
        <f>Emissions!BN14</f>
        <v>1.7851056965565462</v>
      </c>
      <c r="BM8" s="27">
        <f>Emissions!BO14</f>
        <v>1.7851056965565462</v>
      </c>
      <c r="BN8" s="27">
        <f>Emissions!BP14</f>
        <v>1.7851056965565462</v>
      </c>
    </row>
    <row r="9" spans="1:72" x14ac:dyDescent="0.25">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2.0846138094278084</v>
      </c>
      <c r="AE10" s="27">
        <f>SUM(Emissions!AG16:AG17)</f>
        <v>2.0654754572205234</v>
      </c>
      <c r="AF10" s="27">
        <f>SUM(Emissions!AH16:AH17)</f>
        <v>2.0342181138558564</v>
      </c>
      <c r="AG10" s="27">
        <f>SUM(Emissions!AI16:AI17)</f>
        <v>1.9913414611083866</v>
      </c>
      <c r="AH10" s="27">
        <f>SUM(Emissions!AJ16:AJ17)</f>
        <v>1.9602082563146459</v>
      </c>
      <c r="AI10" s="27">
        <f>SUM(Emissions!AK16:AK17)</f>
        <v>1.931829922619702</v>
      </c>
      <c r="AJ10" s="27">
        <f>SUM(Emissions!AL16:AL17)</f>
        <v>1.7381143206081298</v>
      </c>
      <c r="AK10" s="27">
        <f>SUM(Emissions!AM16:AM17)</f>
        <v>1.8001792355937847</v>
      </c>
      <c r="AL10" s="27">
        <f>SUM(Emissions!AN16:AN17)</f>
        <v>5.754305949867077</v>
      </c>
      <c r="AM10" s="27">
        <f>SUM(Emissions!AO16:AO17)</f>
        <v>5.7700799280154422</v>
      </c>
      <c r="AN10" s="27">
        <f>SUM(Emissions!AP16:AP17)</f>
        <v>5.7759057208270379</v>
      </c>
      <c r="AO10" s="27">
        <f>SUM(Emissions!AQ16:AQ17)</f>
        <v>5.7720461906378926</v>
      </c>
      <c r="AP10" s="27">
        <f>SUM(Emissions!AR16:AR17)</f>
        <v>5.7590835988484965</v>
      </c>
      <c r="AQ10" s="27">
        <f>SUM(Emissions!AS16:AS17)</f>
        <v>5.7368988758637034</v>
      </c>
      <c r="AR10" s="27">
        <f>SUM(Emissions!AT16:AT17)</f>
        <v>5.705460140711641</v>
      </c>
      <c r="AS10" s="27">
        <f>SUM(Emissions!AU16:AU17)</f>
        <v>5.664770341412571</v>
      </c>
      <c r="AT10" s="27">
        <f>SUM(Emissions!AV16:AV17)</f>
        <v>5.6148816663620158</v>
      </c>
      <c r="AU10" s="27">
        <f>SUM(Emissions!AW16:AW17)</f>
        <v>5.5559225191519808</v>
      </c>
      <c r="AV10" s="27">
        <f>SUM(Emissions!AX16:AX17)</f>
        <v>5.4880552896805996</v>
      </c>
      <c r="AW10" s="27">
        <f>SUM(Emissions!AY16:AY17)</f>
        <v>5.4115094486157318</v>
      </c>
      <c r="AX10" s="27">
        <f>SUM(Emissions!AZ16:AZ17)</f>
        <v>5.3265790500442032</v>
      </c>
      <c r="AY10" s="27">
        <f>SUM(Emissions!BA16:BA17)</f>
        <v>5.2335826135611061</v>
      </c>
      <c r="AZ10" s="27">
        <f>SUM(Emissions!BB16:BB17)</f>
        <v>5.1328775742120873</v>
      </c>
      <c r="BA10" s="27">
        <f>SUM(Emissions!BC16:BC17)</f>
        <v>-0.47829325834673075</v>
      </c>
      <c r="BB10" s="27">
        <f>SUM(Emissions!BD16:BD17)</f>
        <v>-0.47311529718627987</v>
      </c>
      <c r="BC10" s="27">
        <f>SUM(Emissions!BE16:BE17)</f>
        <v>-0.46791899085497352</v>
      </c>
      <c r="BD10" s="27">
        <f>SUM(Emissions!BF16:BF17)</f>
        <v>-0.46270973026667117</v>
      </c>
      <c r="BE10" s="27">
        <f>SUM(Emissions!BG16:BG17)</f>
        <v>-0.45749347342135216</v>
      </c>
      <c r="BF10" s="27">
        <f>SUM(Emissions!BH16:BH17)</f>
        <v>-0.45225639303001325</v>
      </c>
      <c r="BG10" s="27">
        <f>SUM(Emissions!BI16:BI17)</f>
        <v>-0.44699032575199377</v>
      </c>
      <c r="BH10" s="27">
        <f>SUM(Emissions!BJ16:BJ17)</f>
        <v>-0.44169578029109668</v>
      </c>
      <c r="BI10" s="27">
        <f>SUM(Emissions!BK16:BK17)</f>
        <v>-0.43636398268839816</v>
      </c>
      <c r="BJ10" s="27">
        <f>SUM(Emissions!BL16:BL17)</f>
        <v>-0.43098583106708765</v>
      </c>
      <c r="BK10" s="27">
        <f>SUM(Emissions!BM16:BM17)</f>
        <v>-0.42556285184215836</v>
      </c>
      <c r="BL10" s="27">
        <f>SUM(Emissions!BN16:BN17)</f>
        <v>-0.42009955765112178</v>
      </c>
      <c r="BM10" s="27">
        <f>SUM(Emissions!BO16:BO17)</f>
        <v>-0.41459980854316714</v>
      </c>
      <c r="BN10" s="27">
        <f>SUM(Emissions!BP16:BP17)</f>
        <v>-0.4090559903926741</v>
      </c>
    </row>
    <row r="11" spans="1:72" s="19" customFormat="1" ht="15.75" x14ac:dyDescent="0.25">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36.994298181429897</v>
      </c>
      <c r="AE11" s="40">
        <f t="shared" si="6"/>
        <v>36.867987271463186</v>
      </c>
      <c r="AF11" s="40">
        <f t="shared" si="6"/>
        <v>36.560879511524739</v>
      </c>
      <c r="AG11" s="40">
        <f t="shared" si="6"/>
        <v>36.078165266151387</v>
      </c>
      <c r="AH11" s="40">
        <f t="shared" si="6"/>
        <v>35.769406849073363</v>
      </c>
      <c r="AI11" s="40">
        <f t="shared" si="6"/>
        <v>35.500627316217205</v>
      </c>
      <c r="AJ11" s="40">
        <f t="shared" si="6"/>
        <v>32.67291460252595</v>
      </c>
      <c r="AK11" s="40">
        <f t="shared" si="6"/>
        <v>33.750220848322137</v>
      </c>
      <c r="AL11" s="40">
        <f t="shared" ref="AL11:BN11" si="7">SUM(AL12:AL18)</f>
        <v>94.733767999139502</v>
      </c>
      <c r="AM11" s="40">
        <f t="shared" si="7"/>
        <v>95.373437465534494</v>
      </c>
      <c r="AN11" s="40">
        <f t="shared" si="7"/>
        <v>95.869691765642827</v>
      </c>
      <c r="AO11" s="40">
        <f t="shared" si="7"/>
        <v>96.222216691137334</v>
      </c>
      <c r="AP11" s="40">
        <f t="shared" si="7"/>
        <v>96.433760499817907</v>
      </c>
      <c r="AQ11" s="40">
        <f t="shared" si="7"/>
        <v>96.500979996891189</v>
      </c>
      <c r="AR11" s="40">
        <f t="shared" si="7"/>
        <v>96.42163331891561</v>
      </c>
      <c r="AS11" s="40">
        <f t="shared" si="7"/>
        <v>96.194124149772165</v>
      </c>
      <c r="AT11" s="40">
        <f t="shared" si="7"/>
        <v>95.817644977756984</v>
      </c>
      <c r="AU11" s="40">
        <f t="shared" si="7"/>
        <v>95.294495163983726</v>
      </c>
      <c r="AV11" s="40">
        <f t="shared" si="7"/>
        <v>94.623606879287479</v>
      </c>
      <c r="AW11" s="40">
        <f t="shared" si="7"/>
        <v>93.806827667490637</v>
      </c>
      <c r="AX11" s="40">
        <f t="shared" si="7"/>
        <v>92.846943155135392</v>
      </c>
      <c r="AY11" s="40">
        <f t="shared" si="7"/>
        <v>91.747328933669792</v>
      </c>
      <c r="AZ11" s="40">
        <f t="shared" si="7"/>
        <v>90.512073049488322</v>
      </c>
      <c r="BA11" s="40">
        <f t="shared" si="7"/>
        <v>-1.5025898420298727</v>
      </c>
      <c r="BB11" s="40">
        <f t="shared" si="7"/>
        <v>-1.4428756708627233</v>
      </c>
      <c r="BC11" s="40">
        <f t="shared" si="7"/>
        <v>-1.3830199650566082</v>
      </c>
      <c r="BD11" s="40">
        <f t="shared" si="7"/>
        <v>-1.323077231073631</v>
      </c>
      <c r="BE11" s="40">
        <f t="shared" si="7"/>
        <v>-1.2630064758267061</v>
      </c>
      <c r="BF11" s="40">
        <f t="shared" si="7"/>
        <v>-1.20279881244637</v>
      </c>
      <c r="BG11" s="40">
        <f t="shared" si="7"/>
        <v>-1.1423984856681402</v>
      </c>
      <c r="BH11" s="40">
        <f t="shared" si="7"/>
        <v>-1.0818209756782462</v>
      </c>
      <c r="BI11" s="40">
        <f t="shared" si="7"/>
        <v>-1.0210079162959818</v>
      </c>
      <c r="BJ11" s="40">
        <f t="shared" si="7"/>
        <v>-0.95990053056468727</v>
      </c>
      <c r="BK11" s="40">
        <f t="shared" si="7"/>
        <v>-0.898525521245086</v>
      </c>
      <c r="BL11" s="40">
        <f t="shared" si="7"/>
        <v>-0.83693258521941671</v>
      </c>
      <c r="BM11" s="40">
        <f t="shared" si="7"/>
        <v>-0.77516549387720213</v>
      </c>
      <c r="BN11" s="40">
        <f t="shared" si="7"/>
        <v>-0.71317976466189115</v>
      </c>
    </row>
    <row r="12" spans="1:72" x14ac:dyDescent="0.25">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10.513994827787096</v>
      </c>
      <c r="AC12" s="27">
        <f>SUM(Emissions!AE18:AE23)</f>
        <v>10.583676395984559</v>
      </c>
      <c r="AD12" s="27">
        <f>SUM(Emissions!AF18:AF23)</f>
        <v>10.680340304941298</v>
      </c>
      <c r="AE12" s="27">
        <f>SUM(Emissions!AG18:AG23)</f>
        <v>10.74258011113773</v>
      </c>
      <c r="AF12" s="27">
        <f>SUM(Emissions!AH18:AH23)</f>
        <v>10.783729898618766</v>
      </c>
      <c r="AG12" s="27">
        <f>SUM(Emissions!AI18:AI23)</f>
        <v>10.803370567699298</v>
      </c>
      <c r="AH12" s="27">
        <f>SUM(Emissions!AJ18:AJ23)</f>
        <v>10.846236588865763</v>
      </c>
      <c r="AI12" s="27">
        <f>SUM(Emissions!AK18:AK23)</f>
        <v>10.895047418651059</v>
      </c>
      <c r="AJ12" s="27">
        <f>SUM(Emissions!AL18:AL23)</f>
        <v>10.551123611358374</v>
      </c>
      <c r="AK12" s="27">
        <f>SUM(Emissions!AM18:AM23)</f>
        <v>10.759579411529058</v>
      </c>
      <c r="AL12" s="27">
        <f>SUM(Emissions!AN18:AN23)</f>
        <v>19.541255534962506</v>
      </c>
      <c r="AM12" s="27">
        <f>SUM(Emissions!AO18:AO23)</f>
        <v>19.80287772165271</v>
      </c>
      <c r="AN12" s="27">
        <f>SUM(Emissions!AP18:AP23)</f>
        <v>20.052232548088636</v>
      </c>
      <c r="AO12" s="27">
        <f>SUM(Emissions!AQ18:AQ23)</f>
        <v>20.285737256561795</v>
      </c>
      <c r="AP12" s="27">
        <f>SUM(Emissions!AR18:AR23)</f>
        <v>20.498272001784848</v>
      </c>
      <c r="AQ12" s="27">
        <f>SUM(Emissions!AS18:AS23)</f>
        <v>20.68881007646317</v>
      </c>
      <c r="AR12" s="27">
        <f>SUM(Emissions!AT18:AT23)</f>
        <v>20.856256048232122</v>
      </c>
      <c r="AS12" s="27">
        <f>SUM(Emissions!AU18:AU23)</f>
        <v>20.999741709603121</v>
      </c>
      <c r="AT12" s="27">
        <f>SUM(Emissions!AV18:AV23)</f>
        <v>21.118554024646244</v>
      </c>
      <c r="AU12" s="27">
        <f>SUM(Emissions!AW18:AW23)</f>
        <v>21.214048862203224</v>
      </c>
      <c r="AV12" s="27">
        <f>SUM(Emissions!AX18:AX23)</f>
        <v>21.283785981588661</v>
      </c>
      <c r="AW12" s="27">
        <f>SUM(Emissions!AY18:AY23)</f>
        <v>21.327316071481416</v>
      </c>
      <c r="AX12" s="27">
        <f>SUM(Emissions!AZ18:AZ23)</f>
        <v>21.344226729028581</v>
      </c>
      <c r="AY12" s="27">
        <f>SUM(Emissions!BA18:BA23)</f>
        <v>21.33437719716807</v>
      </c>
      <c r="AZ12" s="27">
        <f>SUM(Emissions!BB18:BB23)</f>
        <v>21.29779874003944</v>
      </c>
      <c r="BA12" s="27">
        <f>SUM(Emissions!BC18:BC23)</f>
        <v>5.7011206255954496</v>
      </c>
      <c r="BB12" s="27">
        <f>SUM(Emissions!BD18:BD23)</f>
        <v>5.7044831800588351</v>
      </c>
      <c r="BC12" s="27">
        <f>SUM(Emissions!BE18:BE23)</f>
        <v>5.7075388739594679</v>
      </c>
      <c r="BD12" s="27">
        <f>SUM(Emissions!BF18:BF23)</f>
        <v>5.710314045290942</v>
      </c>
      <c r="BE12" s="27">
        <f>SUM(Emissions!BG18:BG23)</f>
        <v>5.7129397815367593</v>
      </c>
      <c r="BF12" s="27">
        <f>SUM(Emissions!BH18:BH23)</f>
        <v>5.715215245924111</v>
      </c>
      <c r="BG12" s="27">
        <f>SUM(Emissions!BI18:BI23)</f>
        <v>5.7170698003578906</v>
      </c>
      <c r="BH12" s="27">
        <f>SUM(Emissions!BJ18:BJ23)</f>
        <v>5.7184922204670956</v>
      </c>
      <c r="BI12" s="27">
        <f>SUM(Emissions!BK18:BK23)</f>
        <v>5.7194024072449068</v>
      </c>
      <c r="BJ12" s="27">
        <f>SUM(Emissions!BL18:BL23)</f>
        <v>5.7197134337282396</v>
      </c>
      <c r="BK12" s="27">
        <f>SUM(Emissions!BM18:BM23)</f>
        <v>5.7194147416013505</v>
      </c>
      <c r="BL12" s="27">
        <f>SUM(Emissions!BN18:BN23)</f>
        <v>5.7185189019751732</v>
      </c>
      <c r="BM12" s="27">
        <f>SUM(Emissions!BO18:BO23)</f>
        <v>5.7170347416271579</v>
      </c>
      <c r="BN12" s="27">
        <f>SUM(Emissions!BP18:BP23)</f>
        <v>5.7148805976280084</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4.0755596007698479E-2</v>
      </c>
      <c r="AK13" s="27">
        <f>SUM(Emissions!AM24:AM25)</f>
        <v>4.0782720587972464E-2</v>
      </c>
      <c r="AL13" s="27">
        <f>SUM(Emissions!AN24:AN25)</f>
        <v>4.1313919102213693E-2</v>
      </c>
      <c r="AM13" s="27">
        <f>SUM(Emissions!AO24:AO25)</f>
        <v>4.1326877275379349E-2</v>
      </c>
      <c r="AN13" s="27">
        <f>SUM(Emissions!AP24:AP25)</f>
        <v>4.1382305531234821E-2</v>
      </c>
      <c r="AO13" s="27">
        <f>SUM(Emissions!AQ24:AQ25)</f>
        <v>4.1462428420423109E-2</v>
      </c>
      <c r="AP13" s="27">
        <f>SUM(Emissions!AR24:AR25)</f>
        <v>4.1536859838745679E-2</v>
      </c>
      <c r="AQ13" s="27">
        <f>SUM(Emissions!AS24:AS25)</f>
        <v>4.1606521347179418E-2</v>
      </c>
      <c r="AR13" s="27">
        <f>SUM(Emissions!AT24:AT25)</f>
        <v>4.1671041478691412E-2</v>
      </c>
      <c r="AS13" s="27">
        <f>SUM(Emissions!AU24:AU25)</f>
        <v>4.1731001564968555E-2</v>
      </c>
      <c r="AT13" s="27">
        <f>SUM(Emissions!AV24:AV25)</f>
        <v>4.1787311139451513E-2</v>
      </c>
      <c r="AU13" s="27">
        <f>SUM(Emissions!AW24:AW25)</f>
        <v>4.1839917145524444E-2</v>
      </c>
      <c r="AV13" s="27">
        <f>SUM(Emissions!AX24:AX25)</f>
        <v>4.1889660990170809E-2</v>
      </c>
      <c r="AW13" s="27">
        <f>SUM(Emissions!AY24:AY25)</f>
        <v>4.1936663086227746E-2</v>
      </c>
      <c r="AX13" s="27">
        <f>SUM(Emissions!AZ24:AZ25)</f>
        <v>4.1980279215784011E-2</v>
      </c>
      <c r="AY13" s="27">
        <f>SUM(Emissions!BA24:BA25)</f>
        <v>4.202090836912184E-2</v>
      </c>
      <c r="AZ13" s="27">
        <f>SUM(Emissions!BB24:BB25)</f>
        <v>4.2059198717776553E-2</v>
      </c>
      <c r="BA13" s="27">
        <f>SUM(Emissions!BC24:BC25)</f>
        <v>4.11361607241972E-2</v>
      </c>
      <c r="BB13" s="27">
        <f>SUM(Emissions!BD24:BD25)</f>
        <v>4.1173989150721221E-2</v>
      </c>
      <c r="BC13" s="27">
        <f>SUM(Emissions!BE24:BE25)</f>
        <v>4.1209273335842019E-2</v>
      </c>
      <c r="BD13" s="27">
        <f>SUM(Emissions!BF24:BF25)</f>
        <v>4.1242228918367263E-2</v>
      </c>
      <c r="BE13" s="27">
        <f>SUM(Emissions!BG24:BG25)</f>
        <v>4.1273118032854578E-2</v>
      </c>
      <c r="BF13" s="27">
        <f>SUM(Emissions!BH24:BH25)</f>
        <v>4.1301128170029677E-2</v>
      </c>
      <c r="BG13" s="27">
        <f>SUM(Emissions!BI24:BI25)</f>
        <v>4.1325716727354134E-2</v>
      </c>
      <c r="BH13" s="27">
        <f>SUM(Emissions!BJ24:BJ25)</f>
        <v>4.1346804230218914E-2</v>
      </c>
      <c r="BI13" s="27">
        <f>SUM(Emissions!BK24:BK25)</f>
        <v>4.1363773205870966E-2</v>
      </c>
      <c r="BJ13" s="27">
        <f>SUM(Emissions!BL24:BL25)</f>
        <v>4.1375952478318198E-2</v>
      </c>
      <c r="BK13" s="27">
        <f>SUM(Emissions!BM24:BM25)</f>
        <v>4.1383266358869852E-2</v>
      </c>
      <c r="BL13" s="27">
        <f>SUM(Emissions!BN24:BN25)</f>
        <v>4.1385819172921751E-2</v>
      </c>
      <c r="BM13" s="27">
        <f>SUM(Emissions!BO24:BO25)</f>
        <v>4.1383685591017356E-2</v>
      </c>
      <c r="BN13" s="27">
        <f>SUM(Emissions!BP24:BP25)</f>
        <v>4.1376233884627037E-2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4.23818915638281E-2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4.3565554612885075E-2</v>
      </c>
      <c r="AI14" s="27">
        <f>SUM(Emissions!AK26:AK27)</f>
        <v>4.3852181920952263E-2</v>
      </c>
      <c r="AJ14" s="27">
        <f>SUM(Emissions!AL26:AL27)</f>
        <v>4.3745248289941946E-2</v>
      </c>
      <c r="AK14" s="27">
        <f>SUM(Emissions!AM26:AM27)</f>
        <v>4.3816838546636774E-2</v>
      </c>
      <c r="AL14" s="27">
        <f>SUM(Emissions!AN26:AN27)</f>
        <v>4.4705236359652817E-2</v>
      </c>
      <c r="AM14" s="27">
        <f>SUM(Emissions!AO26:AO27)</f>
        <v>4.4745373099922374E-2</v>
      </c>
      <c r="AN14" s="27">
        <f>SUM(Emissions!AP26:AP27)</f>
        <v>4.4851635671400408E-2</v>
      </c>
      <c r="AO14" s="27">
        <f>SUM(Emissions!AQ26:AQ27)</f>
        <v>4.4995050757162272E-2</v>
      </c>
      <c r="AP14" s="27">
        <f>SUM(Emissions!AR26:AR27)</f>
        <v>4.5126582395713849E-2</v>
      </c>
      <c r="AQ14" s="27">
        <f>SUM(Emissions!AS26:AS27)</f>
        <v>4.5247969205683018E-2</v>
      </c>
      <c r="AR14" s="27">
        <f>SUM(Emissions!AT26:AT27)</f>
        <v>4.5358838860089012E-2</v>
      </c>
      <c r="AS14" s="27">
        <f>SUM(Emissions!AU26:AU27)</f>
        <v>4.5460329856663373E-2</v>
      </c>
      <c r="AT14" s="27">
        <f>SUM(Emissions!AV26:AV27)</f>
        <v>4.555407968016411E-2</v>
      </c>
      <c r="AU14" s="27">
        <f>SUM(Emissions!AW26:AW27)</f>
        <v>4.5640163864654373E-2</v>
      </c>
      <c r="AV14" s="27">
        <f>SUM(Emissions!AX26:AX27)</f>
        <v>4.5720068819719878E-2</v>
      </c>
      <c r="AW14" s="27">
        <f>SUM(Emissions!AY26:AY27)</f>
        <v>4.5794113780696463E-2</v>
      </c>
      <c r="AX14" s="27">
        <f>SUM(Emissions!AZ26:AZ27)</f>
        <v>4.5861394691570793E-2</v>
      </c>
      <c r="AY14" s="27">
        <f>SUM(Emissions!BA26:BA27)</f>
        <v>4.5922656663678077E-2</v>
      </c>
      <c r="AZ14" s="27">
        <f>SUM(Emissions!BB26:BB27)</f>
        <v>4.5979025286154857E-2</v>
      </c>
      <c r="BA14" s="27">
        <f>SUM(Emissions!BC26:BC27)</f>
        <v>4.4519402579936501E-2</v>
      </c>
      <c r="BB14" s="27">
        <f>SUM(Emissions!BD26:BD27)</f>
        <v>4.4575663321110487E-2</v>
      </c>
      <c r="BC14" s="27">
        <f>SUM(Emissions!BE26:BE27)</f>
        <v>4.4626887961235831E-2</v>
      </c>
      <c r="BD14" s="27">
        <f>SUM(Emissions!BF26:BF27)</f>
        <v>4.4673491071983908E-2</v>
      </c>
      <c r="BE14" s="27">
        <f>SUM(Emissions!BG26:BG27)</f>
        <v>4.4715952756804463E-2</v>
      </c>
      <c r="BF14" s="27">
        <f>SUM(Emissions!BH26:BH27)</f>
        <v>4.4753067611720015E-2</v>
      </c>
      <c r="BG14" s="27">
        <f>SUM(Emissions!BI26:BI27)</f>
        <v>4.478405587844915E-2</v>
      </c>
      <c r="BH14" s="27">
        <f>SUM(Emissions!BJ26:BJ27)</f>
        <v>4.4808860629770526E-2</v>
      </c>
      <c r="BI14" s="27">
        <f>SUM(Emissions!BK26:BK27)</f>
        <v>4.4826586281330981E-2</v>
      </c>
      <c r="BJ14" s="27">
        <f>SUM(Emissions!BL26:BL27)</f>
        <v>4.4836257024710377E-2</v>
      </c>
      <c r="BK14" s="27">
        <f>SUM(Emissions!BM26:BM27)</f>
        <v>4.4837822958213328E-2</v>
      </c>
      <c r="BL14" s="27">
        <f>SUM(Emissions!BN26:BN27)</f>
        <v>4.4831510247490852E-2</v>
      </c>
      <c r="BM14" s="27">
        <f>SUM(Emissions!BO26:BO27)</f>
        <v>4.481749543176345E-2</v>
      </c>
      <c r="BN14" s="27">
        <f>SUM(Emissions!BP26:BP27)</f>
        <v>4.4794862957454724E-2</v>
      </c>
    </row>
    <row r="15" spans="1:72" x14ac:dyDescent="0.25">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4.1336182129460552E-3</v>
      </c>
      <c r="AC15" s="27">
        <f>Emissions!AE28</f>
        <v>4.1536453250924088E-3</v>
      </c>
      <c r="AD15" s="27">
        <f>Emissions!AF28</f>
        <v>4.1840370126470534E-3</v>
      </c>
      <c r="AE15" s="27">
        <f>Emissions!AG28</f>
        <v>4.1905340987284578E-3</v>
      </c>
      <c r="AF15" s="27">
        <f>Emissions!AH28</f>
        <v>4.1812329246154597E-3</v>
      </c>
      <c r="AG15" s="27">
        <f>Emissions!AI28</f>
        <v>4.1564738854214557E-3</v>
      </c>
      <c r="AH15" s="27">
        <f>Emissions!AJ28</f>
        <v>4.142746062070715E-3</v>
      </c>
      <c r="AI15" s="27">
        <f>Emissions!AK28</f>
        <v>4.130408792135833E-3</v>
      </c>
      <c r="AJ15" s="27">
        <f>Emissions!AL28</f>
        <v>3.9465365523139234E-3</v>
      </c>
      <c r="AK15" s="27">
        <f>Emissions!AM28</f>
        <v>4.0449031054022467E-3</v>
      </c>
      <c r="AL15" s="27">
        <f>Emissions!AN28</f>
        <v>8.6826637855320493E-3</v>
      </c>
      <c r="AM15" s="27">
        <f>Emissions!AO28</f>
        <v>8.7938640755687025E-3</v>
      </c>
      <c r="AN15" s="27">
        <f>Emissions!AP28</f>
        <v>8.8834218995517203E-3</v>
      </c>
      <c r="AO15" s="27">
        <f>Emissions!AQ28</f>
        <v>8.9554975933649264E-3</v>
      </c>
      <c r="AP15" s="27">
        <f>Emissions!AR28</f>
        <v>9.018105952641001E-3</v>
      </c>
      <c r="AQ15" s="27">
        <f>Emissions!AS28</f>
        <v>9.0705357904088645E-3</v>
      </c>
      <c r="AR15" s="27">
        <f>Emissions!AT28</f>
        <v>9.1124930520699761E-3</v>
      </c>
      <c r="AS15" s="27">
        <f>Emissions!AU28</f>
        <v>9.143466497408213E-3</v>
      </c>
      <c r="AT15" s="27">
        <f>Emissions!AV28</f>
        <v>9.1629085267338015E-3</v>
      </c>
      <c r="AU15" s="27">
        <f>Emissions!AW28</f>
        <v>9.1706067297579116E-3</v>
      </c>
      <c r="AV15" s="27">
        <f>Emissions!AX28</f>
        <v>9.1661590701848112E-3</v>
      </c>
      <c r="AW15" s="27">
        <f>Emissions!AY28</f>
        <v>9.149435618350802E-3</v>
      </c>
      <c r="AX15" s="27">
        <f>Emissions!AZ28</f>
        <v>9.120587540138371E-3</v>
      </c>
      <c r="AY15" s="27">
        <f>Emissions!BA28</f>
        <v>9.0795393134023624E-3</v>
      </c>
      <c r="AZ15" s="27">
        <f>Emissions!BB28</f>
        <v>9.0262176145749634E-3</v>
      </c>
      <c r="BA15" s="27">
        <f>Emissions!BC28</f>
        <v>1.3289120185476511E-3</v>
      </c>
      <c r="BB15" s="27">
        <f>Emissions!BD28</f>
        <v>1.3289120185476511E-3</v>
      </c>
      <c r="BC15" s="27">
        <f>Emissions!BE28</f>
        <v>1.3289120185476511E-3</v>
      </c>
      <c r="BD15" s="27">
        <f>Emissions!BF28</f>
        <v>1.3289120185476511E-3</v>
      </c>
      <c r="BE15" s="27">
        <f>Emissions!BG28</f>
        <v>1.3289120185476511E-3</v>
      </c>
      <c r="BF15" s="27">
        <f>Emissions!BH28</f>
        <v>1.3289120185476511E-3</v>
      </c>
      <c r="BG15" s="27">
        <f>Emissions!BI28</f>
        <v>1.3289120185476511E-3</v>
      </c>
      <c r="BH15" s="27">
        <f>Emissions!BJ28</f>
        <v>1.3289120185476511E-3</v>
      </c>
      <c r="BI15" s="27">
        <f>Emissions!BK28</f>
        <v>1.3289120185476511E-3</v>
      </c>
      <c r="BJ15" s="27">
        <f>Emissions!BL28</f>
        <v>1.3289120185476511E-3</v>
      </c>
      <c r="BK15" s="27">
        <f>Emissions!BM28</f>
        <v>1.3289120185476511E-3</v>
      </c>
      <c r="BL15" s="27">
        <f>Emissions!BN28</f>
        <v>1.3289120185476511E-3</v>
      </c>
      <c r="BM15" s="27">
        <f>Emissions!BO28</f>
        <v>1.3289120185476511E-3</v>
      </c>
      <c r="BN15" s="27">
        <f>Emissions!BP28</f>
        <v>1.3289120185476511E-3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23.356999930110071</v>
      </c>
      <c r="AC17" s="27">
        <f>SUM(Emissions!AE30:AE31)</f>
        <v>23.230039099944456</v>
      </c>
      <c r="AD17" s="27">
        <f>SUM(Emissions!AF30:AF31)</f>
        <v>23.240459651013445</v>
      </c>
      <c r="AE17" s="27">
        <f>SUM(Emissions!AG30:AG31)</f>
        <v>23.027094422284396</v>
      </c>
      <c r="AF17" s="27">
        <f>SUM(Emissions!AH30:AH31)</f>
        <v>22.678619791645833</v>
      </c>
      <c r="AG17" s="27">
        <f>SUM(Emissions!AI30:AI31)</f>
        <v>22.200606495542029</v>
      </c>
      <c r="AH17" s="27">
        <f>SUM(Emissions!AJ30:AJ31)</f>
        <v>21.853515832253049</v>
      </c>
      <c r="AI17" s="27">
        <f>SUM(Emissions!AK30:AK31)</f>
        <v>21.537138037854106</v>
      </c>
      <c r="AJ17" s="27">
        <f>SUM(Emissions!AL30:AL31)</f>
        <v>19.377486397842453</v>
      </c>
      <c r="AK17" s="27">
        <f>SUM(Emissions!AM30:AM31)</f>
        <v>20.069421348068843</v>
      </c>
      <c r="AL17" s="27">
        <f>SUM(Emissions!AN30:AN31)</f>
        <v>64.152273501526778</v>
      </c>
      <c r="AM17" s="27">
        <f>SUM(Emissions!AO30:AO31)</f>
        <v>64.328130775922219</v>
      </c>
      <c r="AN17" s="27">
        <f>SUM(Emissions!AP30:AP31)</f>
        <v>64.393080025591729</v>
      </c>
      <c r="AO17" s="27">
        <f>SUM(Emissions!AQ30:AQ31)</f>
        <v>64.350051789269457</v>
      </c>
      <c r="AP17" s="27">
        <f>SUM(Emissions!AR30:AR31)</f>
        <v>64.205537448008002</v>
      </c>
      <c r="AQ17" s="27">
        <f>SUM(Emissions!AS30:AS31)</f>
        <v>63.958209546280962</v>
      </c>
      <c r="AR17" s="27">
        <f>SUM(Emissions!AT30:AT31)</f>
        <v>63.607712656892637</v>
      </c>
      <c r="AS17" s="27">
        <f>SUM(Emissions!AU30:AU31)</f>
        <v>63.154079646048565</v>
      </c>
      <c r="AT17" s="27">
        <f>SUM(Emissions!AV30:AV31)</f>
        <v>62.597892339646137</v>
      </c>
      <c r="AU17" s="27">
        <f>SUM(Emissions!AW30:AW31)</f>
        <v>61.940582253914194</v>
      </c>
      <c r="AV17" s="27">
        <f>SUM(Emissions!AX30:AX31)</f>
        <v>61.183959803740251</v>
      </c>
      <c r="AW17" s="27">
        <f>SUM(Emissions!AY30:AY31)</f>
        <v>60.330583258561724</v>
      </c>
      <c r="AX17" s="27">
        <f>SUM(Emissions!AZ30:AZ31)</f>
        <v>59.383730900480174</v>
      </c>
      <c r="AY17" s="27">
        <f>SUM(Emissions!BA30:BA31)</f>
        <v>58.346953766989586</v>
      </c>
      <c r="AZ17" s="27">
        <f>SUM(Emissions!BB30:BB31)</f>
        <v>57.22423674714647</v>
      </c>
      <c r="BA17" s="27">
        <f>SUM(Emissions!BC30:BC31)</f>
        <v>-5.3322851080076239</v>
      </c>
      <c r="BB17" s="27">
        <f>SUM(Emissions!BD30:BD31)</f>
        <v>-5.2745582538153819</v>
      </c>
      <c r="BC17" s="27">
        <f>SUM(Emissions!BE30:BE31)</f>
        <v>-5.2166268772309676</v>
      </c>
      <c r="BD17" s="27">
        <f>SUM(Emissions!BF30:BF31)</f>
        <v>-5.1585510792263074</v>
      </c>
      <c r="BE17" s="27">
        <f>SUM(Emissions!BG30:BG31)</f>
        <v>-5.1003972829717226</v>
      </c>
      <c r="BF17" s="27">
        <f>SUM(Emissions!BH30:BH31)</f>
        <v>-5.0420113339899135</v>
      </c>
      <c r="BG17" s="27">
        <f>SUM(Emissions!BI30:BI31)</f>
        <v>-4.9833022227191188</v>
      </c>
      <c r="BH17" s="27">
        <f>SUM(Emissions!BJ30:BJ31)</f>
        <v>-4.9242756204784817</v>
      </c>
      <c r="BI17" s="27">
        <f>SUM(Emissions!BK30:BK31)</f>
        <v>-4.8648337101867627</v>
      </c>
      <c r="BJ17" s="27">
        <f>SUM(Emissions!BL30:BL31)</f>
        <v>-4.8048750189477332</v>
      </c>
      <c r="BK17" s="27">
        <f>SUM(Emissions!BM30:BM31)</f>
        <v>-4.7444165641033589</v>
      </c>
      <c r="BL17" s="27">
        <f>SUM(Emissions!BN30:BN31)</f>
        <v>-4.6835086551016172</v>
      </c>
      <c r="BM17" s="27">
        <f>SUM(Emissions!BO30:BO31)</f>
        <v>-4.6221943259649407</v>
      </c>
      <c r="BN17" s="27">
        <f>SUM(Emissions!BP30:BP31)</f>
        <v>-4.5603886900930117</v>
      </c>
    </row>
    <row r="18" spans="1:66" x14ac:dyDescent="0.25">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2.9232175341370552</v>
      </c>
      <c r="AD18" s="27">
        <f>SUM(Emissions!AF32:AF35)</f>
        <v>2.985672699092115</v>
      </c>
      <c r="AE18" s="27">
        <f>SUM(Emissions!AG32:AG35)</f>
        <v>3.0102189866459601</v>
      </c>
      <c r="AF18" s="27">
        <f>SUM(Emissions!AH32:AH35)</f>
        <v>3.010126579070374</v>
      </c>
      <c r="AG18" s="27">
        <f>SUM(Emissions!AI32:AI35)</f>
        <v>2.9854362546719684</v>
      </c>
      <c r="AH18" s="27">
        <f>SUM(Emissions!AJ32:AJ35)</f>
        <v>2.9805084686213332</v>
      </c>
      <c r="AI18" s="27">
        <f>SUM(Emissions!AK32:AK35)</f>
        <v>2.978868166437934</v>
      </c>
      <c r="AJ18" s="27">
        <f>SUM(Emissions!AL32:AL35)</f>
        <v>2.655105712475164</v>
      </c>
      <c r="AK18" s="27">
        <f>SUM(Emissions!AM32:AM35)</f>
        <v>2.8318241264842263</v>
      </c>
      <c r="AL18" s="27">
        <f>SUM(Emissions!AN32:AN35)</f>
        <v>10.944785643402808</v>
      </c>
      <c r="AM18" s="27">
        <f>SUM(Emissions!AO32:AO35)</f>
        <v>11.146811353508689</v>
      </c>
      <c r="AN18" s="27">
        <f>SUM(Emissions!AP32:AP35)</f>
        <v>11.328510328860276</v>
      </c>
      <c r="AO18" s="27">
        <f>SUM(Emissions!AQ32:AQ35)</f>
        <v>11.490263168535135</v>
      </c>
      <c r="AP18" s="27">
        <f>SUM(Emissions!AR32:AR35)</f>
        <v>11.633518001837963</v>
      </c>
      <c r="AQ18" s="27">
        <f>SUM(Emissions!AS32:AS35)</f>
        <v>11.757283847803782</v>
      </c>
      <c r="AR18" s="27">
        <f>SUM(Emissions!AT32:AT35)</f>
        <v>11.860770740400003</v>
      </c>
      <c r="AS18" s="27">
        <f>SUM(Emissions!AU32:AU35)</f>
        <v>11.943216496201451</v>
      </c>
      <c r="AT18" s="27">
        <f>SUM(Emissions!AV32:AV35)</f>
        <v>12.00394281411825</v>
      </c>
      <c r="AU18" s="27">
        <f>SUM(Emissions!AW32:AW35)</f>
        <v>12.042461860126373</v>
      </c>
      <c r="AV18" s="27">
        <f>SUM(Emissions!AX32:AX35)</f>
        <v>12.058333705078491</v>
      </c>
      <c r="AW18" s="27">
        <f>SUM(Emissions!AY32:AY35)</f>
        <v>12.051296624962221</v>
      </c>
      <c r="AX18" s="27">
        <f>SUM(Emissions!AZ32:AZ35)</f>
        <v>12.02127176417914</v>
      </c>
      <c r="AY18" s="27">
        <f>SUM(Emissions!BA32:BA35)</f>
        <v>11.968223365165935</v>
      </c>
      <c r="AZ18" s="27">
        <f>SUM(Emissions!BB32:BB35)</f>
        <v>11.8922216206839</v>
      </c>
      <c r="BA18" s="27">
        <f>SUM(Emissions!BC32:BC35)</f>
        <v>-1.95916133494038</v>
      </c>
      <c r="BB18" s="27">
        <f>SUM(Emissions!BD32:BD35)</f>
        <v>-1.9606306615965552</v>
      </c>
      <c r="BC18" s="27">
        <f>SUM(Emissions!BE32:BE35)</f>
        <v>-1.9618485351007344</v>
      </c>
      <c r="BD18" s="27">
        <f>SUM(Emissions!BF32:BF35)</f>
        <v>-1.962836329147164</v>
      </c>
      <c r="BE18" s="27">
        <f>SUM(Emissions!BG32:BG35)</f>
        <v>-1.9636184571999495</v>
      </c>
      <c r="BF18" s="27">
        <f>SUM(Emissions!BH32:BH35)</f>
        <v>-1.9641373321808648</v>
      </c>
      <c r="BG18" s="27">
        <f>SUM(Emissions!BI32:BI35)</f>
        <v>-1.9643562479312633</v>
      </c>
      <c r="BH18" s="27">
        <f>SUM(Emissions!BJ32:BJ35)</f>
        <v>-1.9642736525453977</v>
      </c>
      <c r="BI18" s="27">
        <f>SUM(Emissions!BK32:BK35)</f>
        <v>-1.9638473848598754</v>
      </c>
      <c r="BJ18" s="27">
        <f>SUM(Emissions!BL32:BL35)</f>
        <v>-1.9630315668667693</v>
      </c>
      <c r="BK18" s="27">
        <f>SUM(Emissions!BM32:BM35)</f>
        <v>-1.961825200078708</v>
      </c>
      <c r="BL18" s="27">
        <f>SUM(Emissions!BN32:BN35)</f>
        <v>-1.9602405735319326</v>
      </c>
      <c r="BM18" s="27">
        <f>SUM(Emissions!BO32:BO35)</f>
        <v>-1.9582875025807476</v>
      </c>
      <c r="BN18" s="27">
        <f>SUM(Emissions!BP32:BP35)</f>
        <v>-1.9559231810575166</v>
      </c>
    </row>
    <row r="19" spans="1:66" s="19" customFormat="1" ht="15.75" x14ac:dyDescent="0.25">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5.1994200766582477</v>
      </c>
      <c r="AC19" s="40">
        <f t="shared" si="11"/>
        <v>5.2527414367903074</v>
      </c>
      <c r="AD19" s="40">
        <f t="shared" si="11"/>
        <v>5.3365378743462077</v>
      </c>
      <c r="AE19" s="40">
        <f t="shared" si="11"/>
        <v>5.3665755836071121</v>
      </c>
      <c r="AF19" s="40">
        <f t="shared" si="11"/>
        <v>5.3622649672773743</v>
      </c>
      <c r="AG19" s="40">
        <f t="shared" si="11"/>
        <v>5.3238634740042325</v>
      </c>
      <c r="AH19" s="40">
        <f t="shared" si="11"/>
        <v>5.3145192594478221</v>
      </c>
      <c r="AI19" s="40">
        <f t="shared" si="11"/>
        <v>5.3105434668737512</v>
      </c>
      <c r="AJ19" s="40">
        <f t="shared" si="11"/>
        <v>4.8365681537305543</v>
      </c>
      <c r="AK19" s="40">
        <f t="shared" si="11"/>
        <v>5.088245242281527</v>
      </c>
      <c r="AL19" s="40">
        <f t="shared" ref="AL19:BN19" si="12">SUM(AL20:AL26)</f>
        <v>16.631914364815522</v>
      </c>
      <c r="AM19" s="40">
        <f t="shared" si="12"/>
        <v>16.912158227947266</v>
      </c>
      <c r="AN19" s="40">
        <f t="shared" si="12"/>
        <v>17.165482706733322</v>
      </c>
      <c r="AO19" s="40">
        <f t="shared" si="12"/>
        <v>17.391575665315745</v>
      </c>
      <c r="AP19" s="40">
        <f t="shared" si="12"/>
        <v>17.591021198027068</v>
      </c>
      <c r="AQ19" s="40">
        <f t="shared" si="12"/>
        <v>17.762520041553888</v>
      </c>
      <c r="AR19" s="40">
        <f t="shared" si="12"/>
        <v>17.904991998379391</v>
      </c>
      <c r="AS19" s="40">
        <f t="shared" si="12"/>
        <v>18.017442011627786</v>
      </c>
      <c r="AT19" s="40">
        <f t="shared" si="12"/>
        <v>18.099007926144743</v>
      </c>
      <c r="AU19" s="40">
        <f t="shared" si="12"/>
        <v>18.132064698431293</v>
      </c>
      <c r="AV19" s="40">
        <f t="shared" si="12"/>
        <v>18.133387923248776</v>
      </c>
      <c r="AW19" s="40">
        <f t="shared" si="12"/>
        <v>18.10274063045685</v>
      </c>
      <c r="AX19" s="40">
        <f t="shared" si="12"/>
        <v>18.04010187006255</v>
      </c>
      <c r="AY19" s="40">
        <f t="shared" si="12"/>
        <v>17.945556056128837</v>
      </c>
      <c r="AZ19" s="40">
        <f t="shared" si="12"/>
        <v>17.819341997542541</v>
      </c>
      <c r="BA19" s="40">
        <f t="shared" si="12"/>
        <v>-1.6659681231917505</v>
      </c>
      <c r="BB19" s="40">
        <f t="shared" si="12"/>
        <v>-1.6643969177443192</v>
      </c>
      <c r="BC19" s="40">
        <f t="shared" si="12"/>
        <v>-1.6626964252847605</v>
      </c>
      <c r="BD19" s="40">
        <f t="shared" si="12"/>
        <v>-1.6608818591071965</v>
      </c>
      <c r="BE19" s="40">
        <f t="shared" si="12"/>
        <v>-1.659561715916628</v>
      </c>
      <c r="BF19" s="40">
        <f t="shared" si="12"/>
        <v>-1.658083851735787</v>
      </c>
      <c r="BG19" s="40">
        <f t="shared" si="12"/>
        <v>-1.6564184561062596</v>
      </c>
      <c r="BH19" s="40">
        <f t="shared" si="12"/>
        <v>-1.6545634074122941</v>
      </c>
      <c r="BI19" s="40">
        <f t="shared" si="12"/>
        <v>-1.6524848154866283</v>
      </c>
      <c r="BJ19" s="40">
        <f t="shared" si="12"/>
        <v>-1.650145993958513</v>
      </c>
      <c r="BK19" s="40">
        <f t="shared" si="12"/>
        <v>-1.6475455105068326</v>
      </c>
      <c r="BL19" s="40">
        <f t="shared" si="12"/>
        <v>-1.644692372116229</v>
      </c>
      <c r="BM19" s="40">
        <f t="shared" si="12"/>
        <v>-1.6415936677042706</v>
      </c>
      <c r="BN19" s="40">
        <f t="shared" si="12"/>
        <v>-1.6382153569263336</v>
      </c>
    </row>
    <row r="20" spans="1:66" x14ac:dyDescent="0.25">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2.6405154397771438</v>
      </c>
      <c r="AC20" s="27">
        <f>SUM(Emissions!AE36:AE41)</f>
        <v>2.6638547658757203</v>
      </c>
      <c r="AD20" s="27">
        <f>SUM(Emissions!AF36:AF41)</f>
        <v>2.7012838960025096</v>
      </c>
      <c r="AE20" s="27">
        <f>SUM(Emissions!AG36:AG41)</f>
        <v>2.7146557268578317</v>
      </c>
      <c r="AF20" s="27">
        <f>SUM(Emissions!AH36:AH41)</f>
        <v>2.7128512798971713</v>
      </c>
      <c r="AG20" s="27">
        <f>SUM(Emissions!AI36:AI41)</f>
        <v>2.6960639868509837</v>
      </c>
      <c r="AH20" s="27">
        <f>SUM(Emissions!AJ36:AJ41)</f>
        <v>2.6925532758612407</v>
      </c>
      <c r="AI20" s="27">
        <f>SUM(Emissions!AK36:AK41)</f>
        <v>2.6916404315629787</v>
      </c>
      <c r="AJ20" s="27">
        <f>SUM(Emissions!AL36:AL41)</f>
        <v>2.4756090524957428</v>
      </c>
      <c r="AK20" s="27">
        <f>SUM(Emissions!AM36:AM41)</f>
        <v>2.590961601468396</v>
      </c>
      <c r="AL20" s="27">
        <f>SUM(Emissions!AN36:AN41)</f>
        <v>7.7684783360480179</v>
      </c>
      <c r="AM20" s="27">
        <f>SUM(Emissions!AO36:AO41)</f>
        <v>7.8976300421464476</v>
      </c>
      <c r="AN20" s="27">
        <f>SUM(Emissions!AP36:AP41)</f>
        <v>8.0155334084512599</v>
      </c>
      <c r="AO20" s="27">
        <f>SUM(Emissions!AQ36:AQ41)</f>
        <v>8.1216862067138536</v>
      </c>
      <c r="AP20" s="27">
        <f>SUM(Emissions!AR36:AR41)</f>
        <v>8.2157403535408378</v>
      </c>
      <c r="AQ20" s="27">
        <f>SUM(Emissions!AS36:AS41)</f>
        <v>8.2971368921321762</v>
      </c>
      <c r="AR20" s="27">
        <f>SUM(Emissions!AT36:AT41)</f>
        <v>8.3653873656825759</v>
      </c>
      <c r="AS20" s="27">
        <f>SUM(Emissions!AU36:AU41)</f>
        <v>8.4200588742591407</v>
      </c>
      <c r="AT20" s="27">
        <f>SUM(Emissions!AV36:AV41)</f>
        <v>8.4607829115432551</v>
      </c>
      <c r="AU20" s="27">
        <f>SUM(Emissions!AW36:AW41)</f>
        <v>8.4702861584495963</v>
      </c>
      <c r="AV20" s="27">
        <f>SUM(Emissions!AX36:AX41)</f>
        <v>8.4656519013512117</v>
      </c>
      <c r="AW20" s="27">
        <f>SUM(Emissions!AY36:AY41)</f>
        <v>8.4468172896646507</v>
      </c>
      <c r="AX20" s="27">
        <f>SUM(Emissions!AZ36:AZ41)</f>
        <v>8.4137988818850467</v>
      </c>
      <c r="AY20" s="27">
        <f>SUM(Emissions!BA36:BA41)</f>
        <v>8.3666780371230587</v>
      </c>
      <c r="AZ20" s="27">
        <f>SUM(Emissions!BB36:BB41)</f>
        <v>8.305606984908998</v>
      </c>
      <c r="BA20" s="27">
        <f>SUM(Emissions!BC36:BC41)</f>
        <v>-0.40683671771953772</v>
      </c>
      <c r="BB20" s="27">
        <f>SUM(Emissions!BD36:BD41)</f>
        <v>-0.40451934938767214</v>
      </c>
      <c r="BC20" s="27">
        <f>SUM(Emissions!BE36:BE41)</f>
        <v>-0.40224795406604719</v>
      </c>
      <c r="BD20" s="27">
        <f>SUM(Emissions!BF36:BF41)</f>
        <v>-0.4000227414651778</v>
      </c>
      <c r="BE20" s="27">
        <f>SUM(Emissions!BG36:BG41)</f>
        <v>-0.3984351702223633</v>
      </c>
      <c r="BF20" s="27">
        <f>SUM(Emissions!BH36:BH41)</f>
        <v>-0.39687212711599473</v>
      </c>
      <c r="BG20" s="27">
        <f>SUM(Emissions!BI36:BI41)</f>
        <v>-0.39532851587275514</v>
      </c>
      <c r="BH20" s="27">
        <f>SUM(Emissions!BJ36:BJ41)</f>
        <v>-0.39380290121344103</v>
      </c>
      <c r="BI20" s="27">
        <f>SUM(Emissions!BK36:BK41)</f>
        <v>-0.39228979810156173</v>
      </c>
      <c r="BJ20" s="27">
        <f>SUM(Emissions!BL36:BL41)</f>
        <v>-0.3907834218450803</v>
      </c>
      <c r="BK20" s="27">
        <f>SUM(Emissions!BM36:BM41)</f>
        <v>-0.38928260377891588</v>
      </c>
      <c r="BL20" s="27">
        <f>SUM(Emissions!BN36:BN41)</f>
        <v>-0.38778756982927115</v>
      </c>
      <c r="BM20" s="27">
        <f>SUM(Emissions!BO36:BO41)</f>
        <v>-0.38629833716645828</v>
      </c>
      <c r="BN20" s="27">
        <f>SUM(Emissions!BP36:BP41)</f>
        <v>-0.38480964190609956</v>
      </c>
    </row>
    <row r="21" spans="1:66" x14ac:dyDescent="0.25">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0.18246526057949247</v>
      </c>
      <c r="AK21" s="27">
        <f>SUM(Emissions!AM42:AM43)</f>
        <v>0.18258669896078542</v>
      </c>
      <c r="AL21" s="27">
        <f>SUM(Emissions!AN42:AN43)</f>
        <v>0.18496490673628097</v>
      </c>
      <c r="AM21" s="27">
        <f>SUM(Emissions!AO42:AO43)</f>
        <v>0.18502292125882311</v>
      </c>
      <c r="AN21" s="27">
        <f>SUM(Emissions!AP42:AP43)</f>
        <v>0.18527107690219102</v>
      </c>
      <c r="AO21" s="27">
        <f>SUM(Emissions!AQ42:AQ43)</f>
        <v>0.18562979190788892</v>
      </c>
      <c r="AP21" s="27">
        <f>SUM(Emissions!AR42:AR43)</f>
        <v>0.18596302585536856</v>
      </c>
      <c r="AQ21" s="27">
        <f>SUM(Emissions!AS42:AS43)</f>
        <v>0.18627490462868646</v>
      </c>
      <c r="AR21" s="27">
        <f>SUM(Emissions!AT42:AT43)</f>
        <v>0.18656376514753978</v>
      </c>
      <c r="AS21" s="27">
        <f>SUM(Emissions!AU42:AU43)</f>
        <v>0.18683221006894055</v>
      </c>
      <c r="AT21" s="27">
        <f>SUM(Emissions!AV42:AV43)</f>
        <v>0.18708431142894055</v>
      </c>
      <c r="AU21" s="27">
        <f>SUM(Emissions!AW42:AW43)</f>
        <v>0.18731983168987187</v>
      </c>
      <c r="AV21" s="27">
        <f>SUM(Emissions!AX42:AX43)</f>
        <v>0.18754253788152983</v>
      </c>
      <c r="AW21" s="27">
        <f>SUM(Emissions!AY42:AY43)</f>
        <v>0.18775296909944628</v>
      </c>
      <c r="AX21" s="27">
        <f>SUM(Emissions!AZ42:AZ43)</f>
        <v>0.18794824114119116</v>
      </c>
      <c r="AY21" s="27">
        <f>SUM(Emissions!BA42:BA43)</f>
        <v>0.18813014031031414</v>
      </c>
      <c r="AZ21" s="27">
        <f>SUM(Emissions!BB42:BB43)</f>
        <v>0.18830156850985863</v>
      </c>
      <c r="BA21" s="27">
        <f>SUM(Emissions!BC42:BC43)</f>
        <v>0.18416907176042047</v>
      </c>
      <c r="BB21" s="27">
        <f>SUM(Emissions!BD42:BD43)</f>
        <v>0.18433843190673543</v>
      </c>
      <c r="BC21" s="27">
        <f>SUM(Emissions!BE42:BE43)</f>
        <v>0.18449640133088974</v>
      </c>
      <c r="BD21" s="27">
        <f>SUM(Emissions!BF42:BF43)</f>
        <v>0.18464394546082669</v>
      </c>
      <c r="BE21" s="27">
        <f>SUM(Emissions!BG42:BG43)</f>
        <v>0.18478223788876549</v>
      </c>
      <c r="BF21" s="27">
        <f>SUM(Emissions!BH42:BH43)</f>
        <v>0.18490764096169704</v>
      </c>
      <c r="BG21" s="27">
        <f>SUM(Emissions!BI42:BI43)</f>
        <v>0.18501772541534195</v>
      </c>
      <c r="BH21" s="27">
        <f>SUM(Emissions!BJ42:BJ43)</f>
        <v>0.18511213543708388</v>
      </c>
      <c r="BI21" s="27">
        <f>SUM(Emissions!BK42:BK43)</f>
        <v>0.18518810656417856</v>
      </c>
      <c r="BJ21" s="27">
        <f>SUM(Emissions!BL42:BL43)</f>
        <v>0.1852426339012424</v>
      </c>
      <c r="BK21" s="27">
        <f>SUM(Emissions!BM42:BM43)</f>
        <v>0.18527537858544374</v>
      </c>
      <c r="BL21" s="27">
        <f>SUM(Emissions!BN42:BN43)</f>
        <v>0.18528680768786931</v>
      </c>
      <c r="BM21" s="27">
        <f>SUM(Emissions!BO42:BO43)</f>
        <v>0.18527725551304458</v>
      </c>
      <c r="BN21" s="27">
        <f>SUM(Emissions!BP42:BP43)</f>
        <v>0.18524389377425382</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0.1313609060950319</v>
      </c>
      <c r="AG22" s="27">
        <f>SUM(Emissions!AI44:AI45)</f>
        <v>0.13212269035728819</v>
      </c>
      <c r="AH22" s="27">
        <f>SUM(Emissions!AJ44:AJ45)</f>
        <v>0.13294253416938454</v>
      </c>
      <c r="AI22" s="27">
        <f>SUM(Emissions!AK44:AK45)</f>
        <v>0.13381719216548246</v>
      </c>
      <c r="AJ22" s="27">
        <f>SUM(Emissions!AL44:AL45)</f>
        <v>0.13349087868179638</v>
      </c>
      <c r="AK22" s="27">
        <f>SUM(Emissions!AM44:AM45)</f>
        <v>0.13370934003805407</v>
      </c>
      <c r="AL22" s="27">
        <f>SUM(Emissions!AN44:AN45)</f>
        <v>0.1364203317300538</v>
      </c>
      <c r="AM22" s="27">
        <f>SUM(Emissions!AO44:AO45)</f>
        <v>0.13654281106062</v>
      </c>
      <c r="AN22" s="27">
        <f>SUM(Emissions!AP44:AP45)</f>
        <v>0.13686707677157386</v>
      </c>
      <c r="AO22" s="27">
        <f>SUM(Emissions!AQ44:AQ45)</f>
        <v>0.13730471529376684</v>
      </c>
      <c r="AP22" s="27">
        <f>SUM(Emissions!AR44:AR45)</f>
        <v>0.13770609086462501</v>
      </c>
      <c r="AQ22" s="27">
        <f>SUM(Emissions!AS44:AS45)</f>
        <v>0.13807650896845575</v>
      </c>
      <c r="AR22" s="27">
        <f>SUM(Emissions!AT44:AT45)</f>
        <v>0.13841483343029692</v>
      </c>
      <c r="AS22" s="27">
        <f>SUM(Emissions!AU44:AU45)</f>
        <v>0.13872453843462576</v>
      </c>
      <c r="AT22" s="27">
        <f>SUM(Emissions!AV44:AV45)</f>
        <v>0.13901062085053589</v>
      </c>
      <c r="AU22" s="27">
        <f>SUM(Emissions!AW44:AW45)</f>
        <v>0.13927331117411221</v>
      </c>
      <c r="AV22" s="27">
        <f>SUM(Emissions!AX44:AX45)</f>
        <v>0.13951714526077752</v>
      </c>
      <c r="AW22" s="27">
        <f>SUM(Emissions!AY44:AY45)</f>
        <v>0.13974309727360437</v>
      </c>
      <c r="AX22" s="27">
        <f>SUM(Emissions!AZ44:AZ45)</f>
        <v>0.13994840843909592</v>
      </c>
      <c r="AY22" s="27">
        <f>SUM(Emissions!BA44:BA45)</f>
        <v>0.14013535250287582</v>
      </c>
      <c r="AZ22" s="27">
        <f>SUM(Emissions!BB44:BB45)</f>
        <v>0.14030736425817858</v>
      </c>
      <c r="BA22" s="27">
        <f>SUM(Emissions!BC44:BC45)</f>
        <v>0.13585325037807083</v>
      </c>
      <c r="BB22" s="27">
        <f>SUM(Emissions!BD44:BD45)</f>
        <v>0.13602493292802059</v>
      </c>
      <c r="BC22" s="27">
        <f>SUM(Emissions!BE44:BE45)</f>
        <v>0.13618124755618707</v>
      </c>
      <c r="BD22" s="27">
        <f>SUM(Emissions!BF44:BF45)</f>
        <v>0.13632345934938189</v>
      </c>
      <c r="BE22" s="27">
        <f>SUM(Emissions!BG44:BG45)</f>
        <v>0.13645303336801443</v>
      </c>
      <c r="BF22" s="27">
        <f>SUM(Emissions!BH44:BH45)</f>
        <v>0.13656629125975128</v>
      </c>
      <c r="BG22" s="27">
        <f>SUM(Emissions!BI44:BI45)</f>
        <v>0.1366608535520277</v>
      </c>
      <c r="BH22" s="27">
        <f>SUM(Emissions!BJ44:BJ45)</f>
        <v>0.13673654652849521</v>
      </c>
      <c r="BI22" s="27">
        <f>SUM(Emissions!BK44:BK45)</f>
        <v>0.13679063726736423</v>
      </c>
      <c r="BJ22" s="27">
        <f>SUM(Emissions!BL44:BL45)</f>
        <v>0.13682014803897224</v>
      </c>
      <c r="BK22" s="27">
        <f>SUM(Emissions!BM44:BM45)</f>
        <v>0.13682492656572515</v>
      </c>
      <c r="BL22" s="27">
        <f>SUM(Emissions!BN44:BN45)</f>
        <v>0.1368056630037579</v>
      </c>
      <c r="BM22" s="27">
        <f>SUM(Emissions!BO44:BO45)</f>
        <v>0.13676289607159617</v>
      </c>
      <c r="BN22" s="27">
        <f>SUM(Emissions!BP44:BP45)</f>
        <v>0.13669383191033707</v>
      </c>
    </row>
    <row r="23" spans="1:66" x14ac:dyDescent="0.25">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0.13559803489000399</v>
      </c>
      <c r="AC25" s="27">
        <f>SUM(Emissions!AE48:AE49)</f>
        <v>0.13486096937945147</v>
      </c>
      <c r="AD25" s="27">
        <f>SUM(Emissions!AF48:AF49)</f>
        <v>0.13492146542995687</v>
      </c>
      <c r="AE25" s="27">
        <f>SUM(Emissions!AG48:AG49)</f>
        <v>0.13368278298717368</v>
      </c>
      <c r="AF25" s="27">
        <f>SUM(Emissions!AH48:AH49)</f>
        <v>0.13165972885928906</v>
      </c>
      <c r="AG25" s="27">
        <f>SUM(Emissions!AI48:AI49)</f>
        <v>0.12888464371149955</v>
      </c>
      <c r="AH25" s="27">
        <f>SUM(Emissions!AJ48:AJ49)</f>
        <v>0.12686962414513903</v>
      </c>
      <c r="AI25" s="27">
        <f>SUM(Emissions!AK48:AK49)</f>
        <v>0.12503290678710083</v>
      </c>
      <c r="AJ25" s="27">
        <f>SUM(Emissions!AL48:AL49)</f>
        <v>0.1124951442615702</v>
      </c>
      <c r="AK25" s="27">
        <f>SUM(Emissions!AM48:AM49)</f>
        <v>0.11651214215527056</v>
      </c>
      <c r="AL25" s="27">
        <f>SUM(Emissions!AN48:AN49)</f>
        <v>0.37243319975007211</v>
      </c>
      <c r="AM25" s="27">
        <f>SUM(Emissions!AO48:AO49)</f>
        <v>0.37345413141511841</v>
      </c>
      <c r="AN25" s="27">
        <f>SUM(Emissions!AP48:AP49)</f>
        <v>0.37383119142492782</v>
      </c>
      <c r="AO25" s="27">
        <f>SUM(Emissions!AQ48:AQ49)</f>
        <v>0.37358139289311554</v>
      </c>
      <c r="AP25" s="27">
        <f>SUM(Emissions!AR48:AR49)</f>
        <v>0.37274242124662355</v>
      </c>
      <c r="AQ25" s="27">
        <f>SUM(Emissions!AS48:AS49)</f>
        <v>0.37130657000082973</v>
      </c>
      <c r="AR25" s="27">
        <f>SUM(Emissions!AT48:AT49)</f>
        <v>0.36927177573879572</v>
      </c>
      <c r="AS25" s="27">
        <f>SUM(Emissions!AU48:AU49)</f>
        <v>0.36663822926383105</v>
      </c>
      <c r="AT25" s="27">
        <f>SUM(Emissions!AV48:AV49)</f>
        <v>0.36340930834057023</v>
      </c>
      <c r="AU25" s="27">
        <f>SUM(Emissions!AW48:AW49)</f>
        <v>0.35959332357346274</v>
      </c>
      <c r="AV25" s="27">
        <f>SUM(Emissions!AX48:AX49)</f>
        <v>0.35520078524644128</v>
      </c>
      <c r="AW25" s="27">
        <f>SUM(Emissions!AY48:AY49)</f>
        <v>0.35024654528010657</v>
      </c>
      <c r="AX25" s="27">
        <f>SUM(Emissions!AZ48:AZ49)</f>
        <v>0.34474963559688504</v>
      </c>
      <c r="AY25" s="27">
        <f>SUM(Emissions!BA48:BA49)</f>
        <v>0.33873067158862713</v>
      </c>
      <c r="AZ25" s="27">
        <f>SUM(Emissions!BB48:BB49)</f>
        <v>0.3322127873533306</v>
      </c>
      <c r="BA25" s="27">
        <f>SUM(Emissions!BC48:BC49)</f>
        <v>-3.0956346460701424E-2</v>
      </c>
      <c r="BB25" s="27">
        <f>SUM(Emissions!BD48:BD49)</f>
        <v>-3.0621215749896437E-2</v>
      </c>
      <c r="BC25" s="27">
        <f>SUM(Emissions!BE48:BE49)</f>
        <v>-3.0284897693347024E-2</v>
      </c>
      <c r="BD25" s="27">
        <f>SUM(Emissions!BF48:BF49)</f>
        <v>-2.9947741204599983E-2</v>
      </c>
      <c r="BE25" s="27">
        <f>SUM(Emissions!BG48:BG49)</f>
        <v>-2.961013190044659E-2</v>
      </c>
      <c r="BF25" s="27">
        <f>SUM(Emissions!BH48:BH49)</f>
        <v>-2.9271174843854952E-2</v>
      </c>
      <c r="BG25" s="27">
        <f>SUM(Emissions!BI48:BI49)</f>
        <v>-2.8930341682820604E-2</v>
      </c>
      <c r="BH25" s="27">
        <f>SUM(Emissions!BJ48:BJ49)</f>
        <v>-2.8587665341937192E-2</v>
      </c>
      <c r="BI25" s="27">
        <f>SUM(Emissions!BK48:BK49)</f>
        <v>-2.8242577948445598E-2</v>
      </c>
      <c r="BJ25" s="27">
        <f>SUM(Emissions!BL48:BL49)</f>
        <v>-2.7894490405913734E-2</v>
      </c>
      <c r="BK25" s="27">
        <f>SUM(Emissions!BM48:BM49)</f>
        <v>-2.7543501507771254E-2</v>
      </c>
      <c r="BL25" s="27">
        <f>SUM(Emissions!BN48:BN49)</f>
        <v>-2.7189903323303719E-2</v>
      </c>
      <c r="BM25" s="27">
        <f>SUM(Emissions!BO48:BO49)</f>
        <v>-2.6833945684633938E-2</v>
      </c>
      <c r="BN25" s="27">
        <f>SUM(Emissions!BP48:BP49)</f>
        <v>-2.647513578634058E-2</v>
      </c>
    </row>
    <row r="26" spans="1:66" x14ac:dyDescent="0.25">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2.1141223071087358</v>
      </c>
      <c r="AC26" s="27">
        <f>SUM(Emissions!AE50:AE53)</f>
        <v>2.1444079633530233</v>
      </c>
      <c r="AD26" s="27">
        <f>SUM(Emissions!AF50:AF53)</f>
        <v>2.1900184905347522</v>
      </c>
      <c r="AE26" s="27">
        <f>SUM(Emissions!AG50:AG53)</f>
        <v>2.2070152134542447</v>
      </c>
      <c r="AF26" s="27">
        <f>SUM(Emissions!AH50:AH53)</f>
        <v>2.2054156910391569</v>
      </c>
      <c r="AG26" s="27">
        <f>SUM(Emissions!AI50:AI53)</f>
        <v>2.1852604118945713</v>
      </c>
      <c r="AH26" s="27">
        <f>SUM(Emissions!AJ50:AJ53)</f>
        <v>2.1799994398925189</v>
      </c>
      <c r="AI26" s="27">
        <f>SUM(Emissions!AK50:AK53)</f>
        <v>2.1772115733745303</v>
      </c>
      <c r="AJ26" s="27">
        <f>SUM(Emissions!AL50:AL53)</f>
        <v>1.9325078177119523</v>
      </c>
      <c r="AK26" s="27">
        <f>SUM(Emissions!AM50:AM53)</f>
        <v>2.0644754596590214</v>
      </c>
      <c r="AL26" s="27">
        <f>SUM(Emissions!AN50:AN53)</f>
        <v>8.1696175905510966</v>
      </c>
      <c r="AM26" s="27">
        <f>SUM(Emissions!AO50:AO53)</f>
        <v>8.3195083220662571</v>
      </c>
      <c r="AN26" s="27">
        <f>SUM(Emissions!AP50:AP53)</f>
        <v>8.453979953183369</v>
      </c>
      <c r="AO26" s="27">
        <f>SUM(Emissions!AQ50:AQ53)</f>
        <v>8.5733735585071198</v>
      </c>
      <c r="AP26" s="27">
        <f>SUM(Emissions!AR50:AR53)</f>
        <v>8.6788693065196121</v>
      </c>
      <c r="AQ26" s="27">
        <f>SUM(Emissions!AS50:AS53)</f>
        <v>8.7697251658237398</v>
      </c>
      <c r="AR26" s="27">
        <f>SUM(Emissions!AT50:AT53)</f>
        <v>8.8453542583801834</v>
      </c>
      <c r="AS26" s="27">
        <f>SUM(Emissions!AU50:AU53)</f>
        <v>8.905188159601245</v>
      </c>
      <c r="AT26" s="27">
        <f>SUM(Emissions!AV50:AV53)</f>
        <v>8.9487207739814423</v>
      </c>
      <c r="AU26" s="27">
        <f>SUM(Emissions!AW50:AW53)</f>
        <v>8.9755920735442487</v>
      </c>
      <c r="AV26" s="27">
        <f>SUM(Emissions!AX50:AX53)</f>
        <v>8.9854755535088149</v>
      </c>
      <c r="AW26" s="27">
        <f>SUM(Emissions!AY50:AY53)</f>
        <v>8.9781807291390425</v>
      </c>
      <c r="AX26" s="27">
        <f>SUM(Emissions!AZ50:AZ53)</f>
        <v>8.9536567030003305</v>
      </c>
      <c r="AY26" s="27">
        <f>SUM(Emissions!BA50:BA53)</f>
        <v>8.9118818546039638</v>
      </c>
      <c r="AZ26" s="27">
        <f>SUM(Emissions!BB50:BB53)</f>
        <v>8.8529132925121736</v>
      </c>
      <c r="BA26" s="27">
        <f>SUM(Emissions!BC50:BC53)</f>
        <v>-1.5481973811500027</v>
      </c>
      <c r="BB26" s="27">
        <f>SUM(Emissions!BD50:BD53)</f>
        <v>-1.5496197174415067</v>
      </c>
      <c r="BC26" s="27">
        <f>SUM(Emissions!BE50:BE53)</f>
        <v>-1.550841222412443</v>
      </c>
      <c r="BD26" s="27">
        <f>SUM(Emissions!BF50:BF53)</f>
        <v>-1.5518787812476273</v>
      </c>
      <c r="BE26" s="27">
        <f>SUM(Emissions!BG50:BG53)</f>
        <v>-1.552751685050598</v>
      </c>
      <c r="BF26" s="27">
        <f>SUM(Emissions!BH50:BH53)</f>
        <v>-1.5534144819973856</v>
      </c>
      <c r="BG26" s="27">
        <f>SUM(Emissions!BI50:BI53)</f>
        <v>-1.5538381775180534</v>
      </c>
      <c r="BH26" s="27">
        <f>SUM(Emissions!BJ50:BJ53)</f>
        <v>-1.5540215228224949</v>
      </c>
      <c r="BI26" s="27">
        <f>SUM(Emissions!BK50:BK53)</f>
        <v>-1.5539311832681637</v>
      </c>
      <c r="BJ26" s="27">
        <f>SUM(Emissions!BL50:BL53)</f>
        <v>-1.5535308636477336</v>
      </c>
      <c r="BK26" s="27">
        <f>SUM(Emissions!BM50:BM53)</f>
        <v>-1.5528197103713144</v>
      </c>
      <c r="BL26" s="27">
        <f>SUM(Emissions!BN50:BN53)</f>
        <v>-1.5518073696552814</v>
      </c>
      <c r="BM26" s="27">
        <f>SUM(Emissions!BO50:BO53)</f>
        <v>-1.5505015364378192</v>
      </c>
      <c r="BN26" s="27">
        <f>SUM(Emissions!BP50:BP53)</f>
        <v>-1.5488683049184844</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893.8099998865514</v>
      </c>
      <c r="AL41" s="41">
        <f>Emissions!AN86</f>
        <v>900.67357822106953</v>
      </c>
      <c r="AM41" s="41">
        <f>Emissions!AO86</f>
        <v>1065.3940139484962</v>
      </c>
      <c r="AN41" s="41">
        <f>Emissions!AP86</f>
        <v>1069.5090816299301</v>
      </c>
      <c r="AO41" s="41">
        <f>Emissions!AQ86</f>
        <v>1073.3182252319168</v>
      </c>
      <c r="AP41" s="41">
        <f>Emissions!AR86</f>
        <v>1076.8218555552182</v>
      </c>
      <c r="AQ41" s="41">
        <f>Emissions!AS86</f>
        <v>1080.0226317758113</v>
      </c>
      <c r="AR41" s="41">
        <f>Emissions!AT86</f>
        <v>1082.9177749187229</v>
      </c>
      <c r="AS41" s="41">
        <f>Emissions!AU86</f>
        <v>1085.5049609833559</v>
      </c>
      <c r="AT41" s="41">
        <f>Emissions!AV86</f>
        <v>1087.7819132444117</v>
      </c>
      <c r="AU41" s="41">
        <f>Emissions!AW86</f>
        <v>1089.7465011362146</v>
      </c>
      <c r="AV41" s="41">
        <f>Emissions!AX86</f>
        <v>1091.3969473327843</v>
      </c>
      <c r="AW41" s="41">
        <f>Emissions!AY86</f>
        <v>1092.7315009729246</v>
      </c>
      <c r="AX41" s="41">
        <f>Emissions!AZ86</f>
        <v>1093.7487030524378</v>
      </c>
      <c r="AY41" s="41">
        <f>Emissions!BA86</f>
        <v>1094.4473857214566</v>
      </c>
      <c r="AZ41" s="41">
        <f>Emissions!BB86</f>
        <v>1094.8263628266327</v>
      </c>
      <c r="BA41" s="41">
        <f>Emissions!BC86</f>
        <v>1094.8845593444271</v>
      </c>
      <c r="BB41" s="41">
        <f>Emissions!BD86</f>
        <v>607.97020905828253</v>
      </c>
      <c r="BC41" s="41">
        <f>Emissions!BE86</f>
        <v>607.55745037474526</v>
      </c>
      <c r="BD41" s="41">
        <f>Emissions!BF86</f>
        <v>607.15409314091119</v>
      </c>
      <c r="BE41" s="41">
        <f>Emissions!BG86</f>
        <v>606.75958690378332</v>
      </c>
      <c r="BF41" s="41">
        <f>Emissions!BH86</f>
        <v>606.37328175345601</v>
      </c>
      <c r="BG41" s="41">
        <f>Emissions!BI86</f>
        <v>605.99682053444815</v>
      </c>
      <c r="BH41" s="41">
        <f>Emissions!BJ86</f>
        <v>605.63131244884619</v>
      </c>
      <c r="BI41" s="41">
        <f>Emissions!BK86</f>
        <v>605.27689810634104</v>
      </c>
      <c r="BJ41" s="41">
        <f>Emissions!BL86</f>
        <v>604.93489516166983</v>
      </c>
      <c r="BK41" s="41">
        <f>Emissions!BM86</f>
        <v>604.60677047885349</v>
      </c>
      <c r="BL41" s="41">
        <f>Emissions!BN86</f>
        <v>604.29271780451234</v>
      </c>
      <c r="BM41" s="41">
        <f>Emissions!BO86</f>
        <v>603.99253980993103</v>
      </c>
      <c r="BN41" s="41">
        <f>Emissions!BP86</f>
        <v>603.70610230649959</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469.91049414760272</v>
      </c>
      <c r="AL42" s="41">
        <f>Emissions!AN87</f>
        <v>469.73756057025111</v>
      </c>
      <c r="AM42" s="41">
        <f>Emissions!AO87</f>
        <v>465.58729188751397</v>
      </c>
      <c r="AN42" s="41">
        <f>Emissions!AP87</f>
        <v>465.48360932711904</v>
      </c>
      <c r="AO42" s="41">
        <f>Emissions!AQ87</f>
        <v>465.38763477891212</v>
      </c>
      <c r="AP42" s="41">
        <f>Emissions!AR87</f>
        <v>465.29935789242586</v>
      </c>
      <c r="AQ42" s="41">
        <f>Emissions!AS87</f>
        <v>465.21871166750475</v>
      </c>
      <c r="AR42" s="41">
        <f>Emissions!AT87</f>
        <v>465.1457661227397</v>
      </c>
      <c r="AS42" s="41">
        <f>Emissions!AU87</f>
        <v>465.080579813263</v>
      </c>
      <c r="AT42" s="41">
        <f>Emissions!AV87</f>
        <v>465.02321010306639</v>
      </c>
      <c r="AU42" s="41">
        <f>Emissions!AW87</f>
        <v>464.97371067352793</v>
      </c>
      <c r="AV42" s="41">
        <f>Emissions!AX87</f>
        <v>464.93212630585725</v>
      </c>
      <c r="AW42" s="41">
        <f>Emissions!AY87</f>
        <v>464.89850111446157</v>
      </c>
      <c r="AX42" s="41">
        <f>Emissions!AZ87</f>
        <v>464.87287186016789</v>
      </c>
      <c r="AY42" s="41">
        <f>Emissions!BA87</f>
        <v>464.8552679679272</v>
      </c>
      <c r="AZ42" s="41">
        <f>Emissions!BB87</f>
        <v>464.84571932386154</v>
      </c>
      <c r="BA42" s="41">
        <f>Emissions!BC87</f>
        <v>464.84425301408538</v>
      </c>
      <c r="BB42" s="41">
        <f>Emissions!BD87</f>
        <v>477.11246594251554</v>
      </c>
      <c r="BC42" s="41">
        <f>Emissions!BE87</f>
        <v>477.12286574160703</v>
      </c>
      <c r="BD42" s="41">
        <f>Emissions!BF87</f>
        <v>477.13302866333646</v>
      </c>
      <c r="BE42" s="41">
        <f>Emissions!BG87</f>
        <v>477.14296857682592</v>
      </c>
      <c r="BF42" s="41">
        <f>Emissions!BH87</f>
        <v>477.15270185709755</v>
      </c>
      <c r="BG42" s="41">
        <f>Emissions!BI87</f>
        <v>477.16218711131398</v>
      </c>
      <c r="BH42" s="41">
        <f>Emissions!BJ87</f>
        <v>477.17139639220409</v>
      </c>
      <c r="BI42" s="41">
        <f>Emissions!BK87</f>
        <v>477.18032615698962</v>
      </c>
      <c r="BJ42" s="41">
        <f>Emissions!BL87</f>
        <v>477.18894320626106</v>
      </c>
      <c r="BK42" s="41">
        <f>Emissions!BM87</f>
        <v>477.1972105811567</v>
      </c>
      <c r="BL42" s="41">
        <f>Emissions!BN87</f>
        <v>477.20512340006883</v>
      </c>
      <c r="BM42" s="41">
        <f>Emissions!BO87</f>
        <v>477.2126866348591</v>
      </c>
      <c r="BN42" s="41">
        <f>Emissions!BP87</f>
        <v>477.21990366652125</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55.328082895998847</v>
      </c>
      <c r="AC43" s="41">
        <f t="shared" si="24"/>
        <v>55.141377146941785</v>
      </c>
      <c r="AD43" s="41">
        <f t="shared" si="24"/>
        <v>55.133536751110512</v>
      </c>
      <c r="AE43" s="41">
        <f t="shared" si="24"/>
        <v>54.827496094629744</v>
      </c>
      <c r="AF43" s="41">
        <f t="shared" si="24"/>
        <v>54.339148116939327</v>
      </c>
      <c r="AG43" s="41">
        <f t="shared" si="24"/>
        <v>53.680284142654159</v>
      </c>
      <c r="AH43" s="41">
        <f t="shared" si="24"/>
        <v>53.185580517007516</v>
      </c>
      <c r="AI43" s="41">
        <f t="shared" si="24"/>
        <v>52.728403644181718</v>
      </c>
      <c r="AJ43" s="41">
        <f t="shared" si="24"/>
        <v>49.814512572045778</v>
      </c>
      <c r="AK43" s="41">
        <f t="shared" si="24"/>
        <v>50.809494472634398</v>
      </c>
      <c r="AL43" s="41">
        <f t="shared" si="24"/>
        <v>107.45893275601063</v>
      </c>
      <c r="AM43" s="41">
        <f t="shared" si="24"/>
        <v>108.41636201125948</v>
      </c>
      <c r="AN43" s="41">
        <f t="shared" si="24"/>
        <v>108.83127941200364</v>
      </c>
      <c r="AO43" s="41">
        <f t="shared" si="24"/>
        <v>109.10969218738103</v>
      </c>
      <c r="AP43" s="41">
        <f t="shared" si="24"/>
        <v>109.2456922534932</v>
      </c>
      <c r="AQ43" s="41">
        <f t="shared" si="24"/>
        <v>109.23747030331874</v>
      </c>
      <c r="AR43" s="41">
        <f t="shared" si="24"/>
        <v>109.0838566705861</v>
      </c>
      <c r="AS43" s="41">
        <f t="shared" si="24"/>
        <v>108.78459100322331</v>
      </c>
      <c r="AT43" s="41">
        <f t="shared" si="24"/>
        <v>108.34025582965872</v>
      </c>
      <c r="AU43" s="41">
        <f t="shared" si="24"/>
        <v>107.15119636707429</v>
      </c>
      <c r="AV43" s="41">
        <f t="shared" si="24"/>
        <v>105.82349977791753</v>
      </c>
      <c r="AW43" s="41">
        <f t="shared" si="24"/>
        <v>104.36310311786511</v>
      </c>
      <c r="AX43" s="41">
        <f t="shared" si="24"/>
        <v>102.77656582142575</v>
      </c>
      <c r="AY43" s="41">
        <f t="shared" si="24"/>
        <v>101.07123844190707</v>
      </c>
      <c r="AZ43" s="41">
        <f t="shared" si="24"/>
        <v>99.255107034930759</v>
      </c>
      <c r="BA43" s="41">
        <f t="shared" si="24"/>
        <v>19.508296790605094</v>
      </c>
      <c r="BB43" s="41">
        <f t="shared" si="24"/>
        <v>18.387192164904601</v>
      </c>
      <c r="BC43" s="41">
        <f t="shared" si="24"/>
        <v>18.512072232535591</v>
      </c>
      <c r="BD43" s="41">
        <f t="shared" si="24"/>
        <v>18.635163887409277</v>
      </c>
      <c r="BE43" s="41">
        <f t="shared" si="24"/>
        <v>18.734087279244719</v>
      </c>
      <c r="BF43" s="41">
        <f t="shared" si="24"/>
        <v>18.831431750009067</v>
      </c>
      <c r="BG43" s="41">
        <f t="shared" si="24"/>
        <v>18.927135670856636</v>
      </c>
      <c r="BH43" s="41">
        <f t="shared" si="24"/>
        <v>19.02120561701328</v>
      </c>
      <c r="BI43" s="41">
        <f t="shared" si="24"/>
        <v>19.113555275620815</v>
      </c>
      <c r="BJ43" s="41">
        <f t="shared" si="24"/>
        <v>19.204086762581614</v>
      </c>
      <c r="BK43" s="41">
        <f t="shared" si="24"/>
        <v>19.292796522357445</v>
      </c>
      <c r="BL43" s="41">
        <f t="shared" si="24"/>
        <v>19.379706633271752</v>
      </c>
      <c r="BM43" s="41">
        <f t="shared" si="24"/>
        <v>19.46483285124587</v>
      </c>
      <c r="BN43" s="41">
        <f t="shared" si="24"/>
        <v>19.548068830388235</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6.6035651430821094</v>
      </c>
      <c r="AL44" s="22">
        <f>Emissions!AN88</f>
        <v>6.6008394987584191</v>
      </c>
      <c r="AM44" s="22">
        <f>Emissions!AO88</f>
        <v>6.5354261970149441</v>
      </c>
      <c r="AN44" s="22">
        <f>Emissions!AP88</f>
        <v>6.5337920332710731</v>
      </c>
      <c r="AO44" s="22">
        <f>Emissions!AQ88</f>
        <v>6.5322793572104443</v>
      </c>
      <c r="AP44" s="22">
        <f>Emissions!AR88</f>
        <v>6.5308880056970544</v>
      </c>
      <c r="AQ44" s="22">
        <f>Emissions!AS88</f>
        <v>6.5296169227266478</v>
      </c>
      <c r="AR44" s="22">
        <f>Emissions!AT88</f>
        <v>6.5284672118777083</v>
      </c>
      <c r="AS44" s="22">
        <f>Emissions!AU88</f>
        <v>6.5274397960506132</v>
      </c>
      <c r="AT44" s="22">
        <f>Emissions!AV88</f>
        <v>6.5265355793719113</v>
      </c>
      <c r="AU44" s="22">
        <f>Emissions!AW88</f>
        <v>6.5257554079256641</v>
      </c>
      <c r="AV44" s="22">
        <f>Emissions!AX88</f>
        <v>6.5250999875184093</v>
      </c>
      <c r="AW44" s="22">
        <f>Emissions!AY88</f>
        <v>6.524570013447069</v>
      </c>
      <c r="AX44" s="22">
        <f>Emissions!AZ88</f>
        <v>6.524166065107158</v>
      </c>
      <c r="AY44" s="22">
        <f>Emissions!BA88</f>
        <v>6.5238886062718322</v>
      </c>
      <c r="AZ44" s="22">
        <f>Emissions!BB88</f>
        <v>6.523738107982866</v>
      </c>
      <c r="BA44" s="22">
        <f>Emissions!BC88</f>
        <v>6.5237149971504902</v>
      </c>
      <c r="BB44" s="22">
        <f>Emissions!BD88</f>
        <v>6.7170770118746468</v>
      </c>
      <c r="BC44" s="22">
        <f>Emissions!BE88</f>
        <v>6.7172409254060446</v>
      </c>
      <c r="BD44" s="22">
        <f>Emissions!BF88</f>
        <v>6.7174011054610014</v>
      </c>
      <c r="BE44" s="22">
        <f>Emissions!BG88</f>
        <v>6.717557770633813</v>
      </c>
      <c r="BF44" s="22">
        <f>Emissions!BH88</f>
        <v>6.7177111790148194</v>
      </c>
      <c r="BG44" s="22">
        <f>Emissions!BI88</f>
        <v>6.7178606782023653</v>
      </c>
      <c r="BH44" s="22">
        <f>Emissions!BJ88</f>
        <v>6.7180058277133394</v>
      </c>
      <c r="BI44" s="22">
        <f>Emissions!BK88</f>
        <v>6.7181465717092257</v>
      </c>
      <c r="BJ44" s="22">
        <f>Emissions!BL88</f>
        <v>6.7182823869267976</v>
      </c>
      <c r="BK44" s="22">
        <f>Emissions!BM88</f>
        <v>6.7184126908492701</v>
      </c>
      <c r="BL44" s="22">
        <f>Emissions!BN88</f>
        <v>6.7185374065365453</v>
      </c>
      <c r="BM44" s="22">
        <f>Emissions!BO88</f>
        <v>6.7186566123512304</v>
      </c>
      <c r="BN44" s="22">
        <f>Emissions!BP88</f>
        <v>6.7187703615819192</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6.0531159936458012</v>
      </c>
      <c r="AD45" s="22">
        <f>Emissions!AF89+SUM(Emissions!AF91:AF106)</f>
        <v>6.0879780513059973</v>
      </c>
      <c r="AE45" s="22">
        <f>Emissions!AG89+SUM(Emissions!AG91:AG106)</f>
        <v>6.0713021029410523</v>
      </c>
      <c r="AF45" s="22">
        <f>Emissions!AH89+SUM(Emissions!AH91:AH106)</f>
        <v>6.0227924876945913</v>
      </c>
      <c r="AG45" s="22">
        <f>Emissions!AI89+SUM(Emissions!AI91:AI106)</f>
        <v>5.9435526503046603</v>
      </c>
      <c r="AH45" s="22">
        <f>Emissions!AJ89+SUM(Emissions!AJ91:AJ106)</f>
        <v>5.8924508429088123</v>
      </c>
      <c r="AI45" s="22">
        <f>Emissions!AK89+SUM(Emissions!AK91:AK106)</f>
        <v>5.8469995385277027</v>
      </c>
      <c r="AJ45" s="22">
        <f>Emissions!AL89+SUM(Emissions!AL91:AL106)</f>
        <v>5.3680130535596495</v>
      </c>
      <c r="AK45" s="22">
        <f>Emissions!AM89+SUM(Emissions!AM91:AM106)</f>
        <v>5.5723504288744365</v>
      </c>
      <c r="AL45" s="22">
        <f>Emissions!AN89+SUM(Emissions!AN91:AN106)</f>
        <v>15.901511362481237</v>
      </c>
      <c r="AM45" s="22">
        <f>Emissions!AO89+SUM(Emissions!AO91:AO106)</f>
        <v>16.072221328432963</v>
      </c>
      <c r="AN45" s="22">
        <f>Emissions!AP89+SUM(Emissions!AP91:AP106)</f>
        <v>16.219199671045626</v>
      </c>
      <c r="AO45" s="22">
        <f>Emissions!AQ89+SUM(Emissions!AQ91:AQ106)</f>
        <v>16.341495542967973</v>
      </c>
      <c r="AP45" s="22">
        <f>Emissions!AR89+SUM(Emissions!AR91:AR106)</f>
        <v>16.438955753606979</v>
      </c>
      <c r="AQ45" s="22">
        <f>Emissions!AS89+SUM(Emissions!AS91:AS106)</f>
        <v>16.510839879168937</v>
      </c>
      <c r="AR45" s="22">
        <f>Emissions!AT89+SUM(Emissions!AT91:AT106)</f>
        <v>16.556570677436891</v>
      </c>
      <c r="AS45" s="22">
        <f>Emissions!AU89+SUM(Emissions!AU91:AU106)</f>
        <v>16.575688910989854</v>
      </c>
      <c r="AT45" s="22">
        <f>Emissions!AV89+SUM(Emissions!AV91:AV106)</f>
        <v>16.567870992069469</v>
      </c>
      <c r="AU45" s="22">
        <f>Emissions!AW89+SUM(Emissions!AW91:AW106)</f>
        <v>16.471090425949516</v>
      </c>
      <c r="AV45" s="22">
        <f>Emissions!AX89+SUM(Emissions!AX91:AX106)</f>
        <v>16.347569119855752</v>
      </c>
      <c r="AW45" s="22">
        <f>Emissions!AY89+SUM(Emissions!AY91:AY106)</f>
        <v>16.197753011213912</v>
      </c>
      <c r="AX45" s="22">
        <f>Emissions!AZ89+SUM(Emissions!AZ91:AZ106)</f>
        <v>16.022244381982986</v>
      </c>
      <c r="AY45" s="22">
        <f>Emissions!BA89+SUM(Emissions!BA91:BA106)</f>
        <v>15.82176113649014</v>
      </c>
      <c r="AZ45" s="22">
        <f>Emissions!BB89+SUM(Emissions!BB91:BB106)</f>
        <v>15.597147386288393</v>
      </c>
      <c r="BA45" s="22">
        <f>Emissions!BC89+SUM(Emissions!BC91:BC106)</f>
        <v>-0.35657943167338146</v>
      </c>
      <c r="BB45" s="22">
        <f>Emissions!BD89+SUM(Emissions!BD91:BD106)</f>
        <v>-0.34307959030810642</v>
      </c>
      <c r="BC45" s="22">
        <f>Emissions!BE89+SUM(Emissions!BE91:BE106)</f>
        <v>-0.3309494514031292</v>
      </c>
      <c r="BD45" s="22">
        <f>Emissions!BF89+SUM(Emissions!BF91:BF106)</f>
        <v>-0.3189160230002972</v>
      </c>
      <c r="BE45" s="22">
        <f>Emissions!BG89+SUM(Emissions!BG91:BG106)</f>
        <v>-0.30927970521901926</v>
      </c>
      <c r="BF45" s="22">
        <f>Emissions!BH89+SUM(Emissions!BH91:BH106)</f>
        <v>-0.29970053761894727</v>
      </c>
      <c r="BG45" s="22">
        <f>Emissions!BI89+SUM(Emissions!BI91:BI106)</f>
        <v>-0.29016899868024898</v>
      </c>
      <c r="BH45" s="22">
        <f>Emissions!BJ89+SUM(Emissions!BJ91:BJ106)</f>
        <v>-0.28068375691236891</v>
      </c>
      <c r="BI45" s="22">
        <f>Emissions!BK89+SUM(Emissions!BK91:BK106)</f>
        <v>-0.27123503602390053</v>
      </c>
      <c r="BJ45" s="22">
        <f>Emissions!BL89+SUM(Emissions!BL91:BL106)</f>
        <v>-0.26181292254118554</v>
      </c>
      <c r="BK45" s="22">
        <f>Emissions!BM89+SUM(Emissions!BM91:BM106)</f>
        <v>-0.2524174466277197</v>
      </c>
      <c r="BL45" s="22">
        <f>Emissions!BN89+SUM(Emissions!BN91:BN106)</f>
        <v>-0.24305147896357976</v>
      </c>
      <c r="BM45" s="22">
        <f>Emissions!BO89+SUM(Emissions!BO91:BO106)</f>
        <v>-0.23371736465431828</v>
      </c>
      <c r="BN45" s="22">
        <f>Emissions!BP89+SUM(Emissions!BP91:BP106)</f>
        <v>-0.22440700103733177</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2.9710792197336011</v>
      </c>
      <c r="AL46" s="22">
        <f>Emissions!AN90</f>
        <v>2.9914277552243997</v>
      </c>
      <c r="AM46" s="22">
        <f>Emissions!AO90</f>
        <v>3.4797764662170874</v>
      </c>
      <c r="AN46" s="22">
        <f>Emissions!AP90</f>
        <v>3.4919764582156594</v>
      </c>
      <c r="AO46" s="22">
        <f>Emissions!AQ90</f>
        <v>3.5032694733160721</v>
      </c>
      <c r="AP46" s="22">
        <f>Emissions!AR90</f>
        <v>3.5136567294244192</v>
      </c>
      <c r="AQ46" s="22">
        <f>Emissions!AS90</f>
        <v>3.5231461102325734</v>
      </c>
      <c r="AR46" s="22">
        <f>Emissions!AT90</f>
        <v>3.5317293768790967</v>
      </c>
      <c r="AS46" s="22">
        <f>Emissions!AU90</f>
        <v>3.539399639370707</v>
      </c>
      <c r="AT46" s="22">
        <f>Emissions!AV90</f>
        <v>3.5461501478717818</v>
      </c>
      <c r="AU46" s="22">
        <f>Emissions!AW90</f>
        <v>3.5519745858679355</v>
      </c>
      <c r="AV46" s="22">
        <f>Emissions!AX90</f>
        <v>3.5568676840988758</v>
      </c>
      <c r="AW46" s="22">
        <f>Emissions!AY90</f>
        <v>3.5608242517647808</v>
      </c>
      <c r="AX46" s="22">
        <f>Emissions!AZ90</f>
        <v>3.5638399633378826</v>
      </c>
      <c r="AY46" s="22">
        <f>Emissions!BA90</f>
        <v>3.5659113564792468</v>
      </c>
      <c r="AZ46" s="22">
        <f>Emissions!BB90</f>
        <v>3.5670349145853852</v>
      </c>
      <c r="BA46" s="22">
        <f>Emissions!BC90</f>
        <v>3.5672074505207347</v>
      </c>
      <c r="BB46" s="22">
        <f>Emissions!BD90</f>
        <v>2.1236464601919001</v>
      </c>
      <c r="BC46" s="22">
        <f>Emissions!BE90</f>
        <v>2.122422749423007</v>
      </c>
      <c r="BD46" s="22">
        <f>Emissions!BF90</f>
        <v>2.1212269112482072</v>
      </c>
      <c r="BE46" s="22">
        <f>Emissions!BG90</f>
        <v>2.1200573137327008</v>
      </c>
      <c r="BF46" s="22">
        <f>Emissions!BH90</f>
        <v>2.1189120300805597</v>
      </c>
      <c r="BG46" s="22">
        <f>Emissions!BI90</f>
        <v>2.1177959308532275</v>
      </c>
      <c r="BH46" s="22">
        <f>Emissions!BJ90</f>
        <v>2.1167123045158354</v>
      </c>
      <c r="BI46" s="22">
        <f>Emissions!BK90</f>
        <v>2.1156615679356672</v>
      </c>
      <c r="BJ46" s="22">
        <f>Emissions!BL90</f>
        <v>2.1146476275800086</v>
      </c>
      <c r="BK46" s="22">
        <f>Emissions!BM90</f>
        <v>2.1136748322787415</v>
      </c>
      <c r="BL46" s="22">
        <f>Emissions!BN90</f>
        <v>2.1127437564348668</v>
      </c>
      <c r="BM46" s="22">
        <f>Emissions!BO90</f>
        <v>2.111853815025504</v>
      </c>
      <c r="BN46" s="22">
        <f>Emissions!BP90</f>
        <v>2.1110046102200224</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35.397528140833238</v>
      </c>
      <c r="AC47" s="22">
        <f>SUM(Emissions!AE107:AE122)</f>
        <v>35.200133147246405</v>
      </c>
      <c r="AD47" s="22">
        <f>SUM(Emissions!AF107:AF122)</f>
        <v>35.148510767293075</v>
      </c>
      <c r="AE47" s="22">
        <f>SUM(Emissions!AG107:AG122)</f>
        <v>34.848705522674024</v>
      </c>
      <c r="AF47" s="22">
        <f>SUM(Emissions!AH107:AH122)</f>
        <v>34.401446898347146</v>
      </c>
      <c r="AG47" s="22">
        <f>SUM(Emissions!AI107:AI122)</f>
        <v>33.816363392780282</v>
      </c>
      <c r="AH47" s="22">
        <f>SUM(Emissions!AJ107:AJ122)</f>
        <v>33.369259985013677</v>
      </c>
      <c r="AI47" s="22">
        <f>SUM(Emissions!AK107:AK122)</f>
        <v>32.952568766590424</v>
      </c>
      <c r="AJ47" s="22">
        <f>SUM(Emissions!AL107:AL122)</f>
        <v>30.512505208141558</v>
      </c>
      <c r="AK47" s="22">
        <f>SUM(Emissions!AM107:AM122)</f>
        <v>31.325354942933515</v>
      </c>
      <c r="AL47" s="22">
        <f>SUM(Emissions!AN107:AN122)</f>
        <v>77.626877545827099</v>
      </c>
      <c r="AM47" s="22">
        <f>SUM(Emissions!AO107:AO122)</f>
        <v>77.989529570166255</v>
      </c>
      <c r="AN47" s="22">
        <f>SUM(Emissions!AP107:AP122)</f>
        <v>78.245770944334325</v>
      </c>
      <c r="AO47" s="22">
        <f>SUM(Emissions!AQ107:AQ122)</f>
        <v>78.390975653040854</v>
      </c>
      <c r="AP47" s="22">
        <f>SUM(Emissions!AR107:AR122)</f>
        <v>78.419387748210312</v>
      </c>
      <c r="AQ47" s="22">
        <f>SUM(Emissions!AS107:AS122)</f>
        <v>78.32993151892741</v>
      </c>
      <c r="AR47" s="22">
        <f>SUM(Emissions!AT107:AT122)</f>
        <v>78.122021676420502</v>
      </c>
      <c r="AS47" s="22">
        <f>SUM(Emissions!AU107:AU122)</f>
        <v>77.795863073131486</v>
      </c>
      <c r="AT47" s="22">
        <f>SUM(Emissions!AV107:AV122)</f>
        <v>77.352367670956156</v>
      </c>
      <c r="AU47" s="22">
        <f>SUM(Emissions!AW107:AW122)</f>
        <v>76.253912652233026</v>
      </c>
      <c r="AV47" s="22">
        <f>SUM(Emissions!AX107:AX122)</f>
        <v>75.044367835637615</v>
      </c>
      <c r="AW47" s="22">
        <f>SUM(Emissions!AY107:AY122)</f>
        <v>73.729228834923717</v>
      </c>
      <c r="AX47" s="22">
        <f>SUM(Emissions!AZ107:AZ122)</f>
        <v>72.31445654877335</v>
      </c>
      <c r="AY47" s="22">
        <f>SUM(Emissions!BA107:BA122)</f>
        <v>70.806686624732762</v>
      </c>
      <c r="AZ47" s="22">
        <f>SUM(Emissions!BB107:BB122)</f>
        <v>69.213064052432273</v>
      </c>
      <c r="BA47" s="22">
        <f>SUM(Emissions!BC107:BC122)</f>
        <v>5.4186993452566687</v>
      </c>
      <c r="BB47" s="22">
        <f>SUM(Emissions!BD107:BD122)</f>
        <v>5.5331619980868396</v>
      </c>
      <c r="BC47" s="22">
        <f>SUM(Emissions!BE107:BE122)</f>
        <v>5.6458398683416053</v>
      </c>
      <c r="BD47" s="22">
        <f>SUM(Emissions!BF107:BF122)</f>
        <v>5.7568018972235642</v>
      </c>
      <c r="BE47" s="22">
        <f>SUM(Emissions!BG107:BG122)</f>
        <v>5.8459700479116812</v>
      </c>
      <c r="BF47" s="22">
        <f>SUM(Emissions!BH107:BH122)</f>
        <v>5.9335953706383515</v>
      </c>
      <c r="BG47" s="22">
        <f>SUM(Emissions!BI107:BI122)</f>
        <v>6.0196024968782709</v>
      </c>
      <c r="BH47" s="22">
        <f>SUM(Emissions!BJ107:BJ122)</f>
        <v>6.1039938223847097</v>
      </c>
      <c r="BI47" s="22">
        <f>SUM(Emissions!BK107:BK122)</f>
        <v>6.1866728969793172</v>
      </c>
      <c r="BJ47" s="22">
        <f>SUM(Emissions!BL107:BL122)</f>
        <v>6.26752853988675</v>
      </c>
      <c r="BK47" s="22">
        <f>SUM(Emissions!BM107:BM122)</f>
        <v>6.3465534594191659</v>
      </c>
      <c r="BL47" s="22">
        <f>SUM(Emissions!BN107:BN122)</f>
        <v>6.4237721071171938</v>
      </c>
      <c r="BM47" s="22">
        <f>SUM(Emissions!BO107:BO122)</f>
        <v>6.4992030906679865</v>
      </c>
      <c r="BN47" s="22">
        <f>SUM(Emissions!BP107:BP122)</f>
        <v>6.5727323060594163</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6.444570315986593</v>
      </c>
      <c r="AH49" s="41">
        <f t="shared" si="33"/>
        <v>6.3913491075327142</v>
      </c>
      <c r="AI49" s="41">
        <f t="shared" si="33"/>
        <v>6.3428476696520812</v>
      </c>
      <c r="AJ49" s="41">
        <f t="shared" si="33"/>
        <v>5.9839757600689607</v>
      </c>
      <c r="AK49" s="41">
        <f t="shared" si="33"/>
        <v>6.113860122509144</v>
      </c>
      <c r="AL49" s="41">
        <f t="shared" si="33"/>
        <v>13.200670022674439</v>
      </c>
      <c r="AM49" s="41">
        <f t="shared" si="33"/>
        <v>13.288228481356258</v>
      </c>
      <c r="AN49" s="41">
        <f t="shared" si="33"/>
        <v>13.350397789033785</v>
      </c>
      <c r="AO49" s="41">
        <f t="shared" si="33"/>
        <v>13.396138525982296</v>
      </c>
      <c r="AP49" s="41">
        <f t="shared" si="33"/>
        <v>13.424168306332666</v>
      </c>
      <c r="AQ49" s="41">
        <f t="shared" si="33"/>
        <v>13.434225404385481</v>
      </c>
      <c r="AR49" s="41">
        <f t="shared" si="33"/>
        <v>13.426106756557203</v>
      </c>
      <c r="AS49" s="41">
        <f t="shared" si="33"/>
        <v>13.399737088679441</v>
      </c>
      <c r="AT49" s="41">
        <f t="shared" si="33"/>
        <v>13.355150991575403</v>
      </c>
      <c r="AU49" s="41">
        <f t="shared" si="33"/>
        <v>13.224039340710185</v>
      </c>
      <c r="AV49" s="41">
        <f t="shared" si="33"/>
        <v>13.07539836454503</v>
      </c>
      <c r="AW49" s="41">
        <f t="shared" si="33"/>
        <v>12.909884852075175</v>
      </c>
      <c r="AX49" s="41">
        <f t="shared" si="33"/>
        <v>12.728222335268503</v>
      </c>
      <c r="AY49" s="41">
        <f t="shared" si="33"/>
        <v>12.531252055979406</v>
      </c>
      <c r="AZ49" s="41">
        <f t="shared" si="33"/>
        <v>12.319901503804626</v>
      </c>
      <c r="BA49" s="41">
        <f t="shared" si="33"/>
        <v>2.1423303583536666</v>
      </c>
      <c r="BB49" s="41">
        <f t="shared" si="33"/>
        <v>2.1273373550383754</v>
      </c>
      <c r="BC49" s="41">
        <f t="shared" si="33"/>
        <v>2.1422593244639709</v>
      </c>
      <c r="BD49" s="41">
        <f t="shared" si="33"/>
        <v>2.1569294820701579</v>
      </c>
      <c r="BE49" s="41">
        <f t="shared" si="33"/>
        <v>2.1688069102048271</v>
      </c>
      <c r="BF49" s="41">
        <f t="shared" si="33"/>
        <v>2.1804469370268342</v>
      </c>
      <c r="BG49" s="41">
        <f t="shared" si="33"/>
        <v>2.1918321490039752</v>
      </c>
      <c r="BH49" s="41">
        <f t="shared" si="33"/>
        <v>2.2029616360101971</v>
      </c>
      <c r="BI49" s="41">
        <f t="shared" si="33"/>
        <v>2.2138141198918677</v>
      </c>
      <c r="BJ49" s="41">
        <f t="shared" si="33"/>
        <v>2.2243657329462208</v>
      </c>
      <c r="BK49" s="41">
        <f t="shared" si="33"/>
        <v>2.2346143917311077</v>
      </c>
      <c r="BL49" s="41">
        <f t="shared" si="33"/>
        <v>2.2445645709044273</v>
      </c>
      <c r="BM49" s="41">
        <f t="shared" si="33"/>
        <v>2.2542195605518649</v>
      </c>
      <c r="BN49" s="41">
        <f t="shared" si="33"/>
        <v>2.2635555889230647</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6.0985599508144945</v>
      </c>
      <c r="AH50" s="22">
        <f>SUM(Emissions!AJ135:AJ138)</f>
        <v>6.0469682343875704</v>
      </c>
      <c r="AI50" s="22">
        <f>SUM(Emissions!AK135:AK138)</f>
        <v>5.9998429802554343</v>
      </c>
      <c r="AJ50" s="22">
        <f>SUM(Emissions!AL135:AL138)</f>
        <v>5.6572965112449465</v>
      </c>
      <c r="AK50" s="22">
        <f>SUM(Emissions!AM135:AM138)</f>
        <v>5.7810225357164109</v>
      </c>
      <c r="AL50" s="22">
        <f>SUM(Emissions!AN135:AN138)</f>
        <v>12.510734784202032</v>
      </c>
      <c r="AM50" s="22">
        <f>SUM(Emissions!AO135:AO138)</f>
        <v>12.57550404655203</v>
      </c>
      <c r="AN50" s="22">
        <f>SUM(Emissions!AP135:AP138)</f>
        <v>12.632142337315182</v>
      </c>
      <c r="AO50" s="22">
        <f>SUM(Emissions!AQ135:AQ138)</f>
        <v>12.673234916734877</v>
      </c>
      <c r="AP50" s="22">
        <f>SUM(Emissions!AR135:AR138)</f>
        <v>12.69750464196821</v>
      </c>
      <c r="AQ50" s="22">
        <f>SUM(Emissions!AS135:AS138)</f>
        <v>12.704715059745501</v>
      </c>
      <c r="AR50" s="22">
        <f>SUM(Emissions!AT135:AT138)</f>
        <v>12.694683305793376</v>
      </c>
      <c r="AS50" s="22">
        <f>SUM(Emissions!AU135:AU138)</f>
        <v>12.667350187517329</v>
      </c>
      <c r="AT50" s="22">
        <f>SUM(Emissions!AV135:AV138)</f>
        <v>12.622761692562033</v>
      </c>
      <c r="AU50" s="22">
        <f>SUM(Emissions!AW135:AW138)</f>
        <v>12.494748828543656</v>
      </c>
      <c r="AV50" s="22">
        <f>SUM(Emissions!AX135:AX138)</f>
        <v>12.350161350049834</v>
      </c>
      <c r="AW50" s="22">
        <f>SUM(Emissions!AY135:AY138)</f>
        <v>12.18964084045138</v>
      </c>
      <c r="AX50" s="22">
        <f>SUM(Emissions!AZ135:AZ138)</f>
        <v>12.013890202331112</v>
      </c>
      <c r="AY50" s="22">
        <f>SUM(Emissions!BA135:BA138)</f>
        <v>11.82372602938432</v>
      </c>
      <c r="AZ50" s="22">
        <f>SUM(Emissions!BB135:BB138)</f>
        <v>11.620046810772886</v>
      </c>
      <c r="BA50" s="22">
        <f>SUM(Emissions!BC135:BC138)</f>
        <v>1.9928342345701362</v>
      </c>
      <c r="BB50" s="22">
        <f>SUM(Emissions!BD135:BD138)</f>
        <v>2.0271766053848506</v>
      </c>
      <c r="BC50" s="22">
        <f>SUM(Emissions!BE135:BE138)</f>
        <v>2.0416832856485705</v>
      </c>
      <c r="BD50" s="22">
        <f>SUM(Emissions!BF135:BF138)</f>
        <v>2.0559405282802525</v>
      </c>
      <c r="BE50" s="22">
        <f>SUM(Emissions!BG135:BG138)</f>
        <v>2.0674868357758398</v>
      </c>
      <c r="BF50" s="22">
        <f>SUM(Emissions!BH135:BH138)</f>
        <v>2.0787968741832601</v>
      </c>
      <c r="BG50" s="22">
        <f>SUM(Emissions!BI135:BI138)</f>
        <v>2.0898527333176093</v>
      </c>
      <c r="BH50" s="22">
        <f>SUM(Emissions!BJ135:BJ138)</f>
        <v>2.1006533435793626</v>
      </c>
      <c r="BI50" s="22">
        <f>SUM(Emissions!BK135:BK138)</f>
        <v>2.1111770751401382</v>
      </c>
      <c r="BJ50" s="22">
        <f>SUM(Emissions!BL135:BL138)</f>
        <v>2.1213995834082309</v>
      </c>
      <c r="BK50" s="22">
        <f>SUM(Emissions!BM135:BM138)</f>
        <v>2.1313186358350933</v>
      </c>
      <c r="BL50" s="22">
        <f>SUM(Emissions!BN135:BN138)</f>
        <v>2.1409387862853353</v>
      </c>
      <c r="BM50" s="22">
        <f>SUM(Emissions!BO135:BO138)</f>
        <v>2.1502634259491948</v>
      </c>
      <c r="BN50" s="22">
        <f>SUM(Emissions!BP135:BP138)</f>
        <v>2.1592685172698971</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0.34852931696715733</v>
      </c>
      <c r="AD51" s="22">
        <f>SUM(Emissions!AF139:AF154)</f>
        <v>0.35008158455819982</v>
      </c>
      <c r="AE51" s="22">
        <f>SUM(Emissions!AG139:AG154)</f>
        <v>0.34991641125935219</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0.32667924882401395</v>
      </c>
      <c r="AK51" s="22">
        <f>SUM(Emissions!AM139:AM154)</f>
        <v>0.33283758679273334</v>
      </c>
      <c r="AL51" s="22">
        <f>SUM(Emissions!AN139:AN154)</f>
        <v>0.68993523847240612</v>
      </c>
      <c r="AM51" s="22">
        <f>SUM(Emissions!AO139:AO154)</f>
        <v>0.71272443480422787</v>
      </c>
      <c r="AN51" s="22">
        <f>SUM(Emissions!AP139:AP154)</f>
        <v>0.71825545171860328</v>
      </c>
      <c r="AO51" s="22">
        <f>SUM(Emissions!AQ139:AQ154)</f>
        <v>0.72290360924741859</v>
      </c>
      <c r="AP51" s="22">
        <f>SUM(Emissions!AR139:AR154)</f>
        <v>0.72666366436445518</v>
      </c>
      <c r="AQ51" s="22">
        <f>SUM(Emissions!AS139:AS154)</f>
        <v>0.72951034463998055</v>
      </c>
      <c r="AR51" s="22">
        <f>SUM(Emissions!AT139:AT154)</f>
        <v>0.73142345076382786</v>
      </c>
      <c r="AS51" s="22">
        <f>SUM(Emissions!AU139:AU154)</f>
        <v>0.73238690116211236</v>
      </c>
      <c r="AT51" s="22">
        <f>SUM(Emissions!AV139:AV154)</f>
        <v>0.73238929901337002</v>
      </c>
      <c r="AU51" s="22">
        <f>SUM(Emissions!AW139:AW154)</f>
        <v>0.72929051216652885</v>
      </c>
      <c r="AV51" s="22">
        <f>SUM(Emissions!AX139:AX154)</f>
        <v>0.72523701449519651</v>
      </c>
      <c r="AW51" s="22">
        <f>SUM(Emissions!AY139:AY154)</f>
        <v>0.72024401162379381</v>
      </c>
      <c r="AX51" s="22">
        <f>SUM(Emissions!AZ139:AZ154)</f>
        <v>0.71433213293739073</v>
      </c>
      <c r="AY51" s="22">
        <f>SUM(Emissions!BA139:BA154)</f>
        <v>0.7075260265950859</v>
      </c>
      <c r="AZ51" s="22">
        <f>SUM(Emissions!BB139:BB154)</f>
        <v>0.69985469303173997</v>
      </c>
      <c r="BA51" s="22">
        <f>SUM(Emissions!BC139:BC154)</f>
        <v>0.14949612378353022</v>
      </c>
      <c r="BB51" s="22">
        <f>SUM(Emissions!BD139:BD154)</f>
        <v>0.10016074965352499</v>
      </c>
      <c r="BC51" s="22">
        <f>SUM(Emissions!BE139:BE154)</f>
        <v>0.10057603881540027</v>
      </c>
      <c r="BD51" s="22">
        <f>SUM(Emissions!BF139:BF154)</f>
        <v>0.10098895378990531</v>
      </c>
      <c r="BE51" s="22">
        <f>SUM(Emissions!BG139:BG154)</f>
        <v>0.10132007442898726</v>
      </c>
      <c r="BF51" s="22">
        <f>SUM(Emissions!BH139:BH154)</f>
        <v>0.10165006284357428</v>
      </c>
      <c r="BG51" s="22">
        <f>SUM(Emissions!BI139:BI154)</f>
        <v>0.1019794156863659</v>
      </c>
      <c r="BH51" s="22">
        <f>SUM(Emissions!BJ139:BJ154)</f>
        <v>0.10230829243083429</v>
      </c>
      <c r="BI51" s="22">
        <f>SUM(Emissions!BK139:BK154)</f>
        <v>0.10263704475172962</v>
      </c>
      <c r="BJ51" s="22">
        <f>SUM(Emissions!BL139:BL154)</f>
        <v>0.10296614953798967</v>
      </c>
      <c r="BK51" s="22">
        <f>SUM(Emissions!BM139:BM154)</f>
        <v>0.10329575589601447</v>
      </c>
      <c r="BL51" s="22">
        <f>SUM(Emissions!BN139:BN154)</f>
        <v>0.10362578461909215</v>
      </c>
      <c r="BM51" s="22">
        <f>SUM(Emissions!BO139:BO154)</f>
        <v>0.10395613460266999</v>
      </c>
      <c r="BN51" s="22">
        <f>SUM(Emissions!BP139:BP154)</f>
        <v>0.10428707165316778</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1.4966006533780927</v>
      </c>
      <c r="AC52" s="41">
        <f t="shared" si="38"/>
        <v>1.5114628716679741</v>
      </c>
      <c r="AD52" s="41">
        <f t="shared" si="38"/>
        <v>1.5337636748745853</v>
      </c>
      <c r="AE52" s="41">
        <f t="shared" si="38"/>
        <v>1.5436359301289118</v>
      </c>
      <c r="AF52" s="41">
        <f t="shared" si="38"/>
        <v>1.545583064792434</v>
      </c>
      <c r="AG52" s="41">
        <f t="shared" si="38"/>
        <v>1.5396059638680235</v>
      </c>
      <c r="AH52" s="41">
        <f t="shared" si="38"/>
        <v>1.5406069398014899</v>
      </c>
      <c r="AI52" s="41">
        <f t="shared" si="38"/>
        <v>1.5429841908916513</v>
      </c>
      <c r="AJ52" s="41">
        <f t="shared" si="38"/>
        <v>1.4319921415709751</v>
      </c>
      <c r="AK52" s="41">
        <f t="shared" si="38"/>
        <v>1.4925370582012265</v>
      </c>
      <c r="AL52" s="41">
        <f t="shared" si="38"/>
        <v>4.2515058977825646</v>
      </c>
      <c r="AM52" s="41">
        <f t="shared" si="38"/>
        <v>4.3202006022653308</v>
      </c>
      <c r="AN52" s="41">
        <f t="shared" si="38"/>
        <v>4.3827847988282773</v>
      </c>
      <c r="AO52" s="41">
        <f t="shared" si="38"/>
        <v>4.4390754951281943</v>
      </c>
      <c r="AP52" s="41">
        <f t="shared" si="38"/>
        <v>4.4890321581753891</v>
      </c>
      <c r="AQ52" s="41">
        <f t="shared" si="38"/>
        <v>4.5323373168116676</v>
      </c>
      <c r="AR52" s="41">
        <f t="shared" si="38"/>
        <v>4.5687183282058763</v>
      </c>
      <c r="AS52" s="41">
        <f t="shared" si="38"/>
        <v>4.5979279762215679</v>
      </c>
      <c r="AT52" s="41">
        <f t="shared" si="38"/>
        <v>4.6197525087052087</v>
      </c>
      <c r="AU52" s="41">
        <f t="shared" si="38"/>
        <v>4.6344781058420335</v>
      </c>
      <c r="AV52" s="41">
        <f t="shared" si="38"/>
        <v>4.6415640259244704</v>
      </c>
      <c r="AW52" s="41">
        <f t="shared" si="38"/>
        <v>4.6409185451971116</v>
      </c>
      <c r="AX52" s="41">
        <f t="shared" si="38"/>
        <v>4.6324977085651238</v>
      </c>
      <c r="AY52" s="41">
        <f t="shared" si="38"/>
        <v>4.6162893628789945</v>
      </c>
      <c r="AZ52" s="41">
        <f t="shared" si="38"/>
        <v>4.592320708090635</v>
      </c>
      <c r="BA52" s="41">
        <f t="shared" si="38"/>
        <v>-0.123654043253945</v>
      </c>
      <c r="BB52" s="41">
        <f t="shared" si="38"/>
        <v>-0.12357925007466378</v>
      </c>
      <c r="BC52" s="41">
        <f t="shared" si="38"/>
        <v>-0.12347747869914734</v>
      </c>
      <c r="BD52" s="41">
        <f t="shared" si="38"/>
        <v>-0.12335152544156791</v>
      </c>
      <c r="BE52" s="41">
        <f t="shared" si="38"/>
        <v>-0.12317852646579362</v>
      </c>
      <c r="BF52" s="41">
        <f t="shared" si="38"/>
        <v>-0.12297673905270351</v>
      </c>
      <c r="BG52" s="41">
        <f t="shared" si="38"/>
        <v>-0.12274239539767096</v>
      </c>
      <c r="BH52" s="41">
        <f t="shared" si="38"/>
        <v>-0.12247571517381799</v>
      </c>
      <c r="BI52" s="41">
        <f t="shared" si="38"/>
        <v>-0.12217236051452747</v>
      </c>
      <c r="BJ52" s="41">
        <f t="shared" si="38"/>
        <v>-0.12182762651575792</v>
      </c>
      <c r="BK52" s="41">
        <f t="shared" si="38"/>
        <v>-0.12144185108669436</v>
      </c>
      <c r="BL52" s="41">
        <f t="shared" si="38"/>
        <v>-0.12101683246473495</v>
      </c>
      <c r="BM52" s="41">
        <f t="shared" si="38"/>
        <v>-0.12055406521232892</v>
      </c>
      <c r="BN52" s="41">
        <f t="shared" si="38"/>
        <v>-0.12004922188345074</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1.1260073524873582</v>
      </c>
      <c r="AC53" s="22">
        <f>SUM(Emissions!AE156:AE171)</f>
        <v>1.1381916980106412</v>
      </c>
      <c r="AD53" s="22">
        <f>SUM(Emissions!AF156:AF171)</f>
        <v>1.1560242056612529</v>
      </c>
      <c r="AE53" s="22">
        <f>SUM(Emissions!AG156:AG171)</f>
        <v>1.164433815564837</v>
      </c>
      <c r="AF53" s="22">
        <f>SUM(Emissions!AH156:AH171)</f>
        <v>1.1668147538350466</v>
      </c>
      <c r="AG53" s="22">
        <f>SUM(Emissions!AI156:AI171)</f>
        <v>1.163149155729237</v>
      </c>
      <c r="AH53" s="22">
        <f>SUM(Emissions!AJ156:AJ171)</f>
        <v>1.1647795487260633</v>
      </c>
      <c r="AI53" s="22">
        <f>SUM(Emissions!AK156:AK171)</f>
        <v>1.1674495942945498</v>
      </c>
      <c r="AJ53" s="22">
        <f>SUM(Emissions!AL156:AL171)</f>
        <v>1.0837042498427936</v>
      </c>
      <c r="AK53" s="22">
        <f>SUM(Emissions!AM156:AM171)</f>
        <v>1.1303271538775108</v>
      </c>
      <c r="AL53" s="22">
        <f>SUM(Emissions!AN156:AN171)</f>
        <v>3.2390966565225372</v>
      </c>
      <c r="AM53" s="22">
        <f>SUM(Emissions!AO156:AO171)</f>
        <v>3.2930002813049892</v>
      </c>
      <c r="AN53" s="22">
        <f>SUM(Emissions!AP156:AP171)</f>
        <v>3.3422385276515785</v>
      </c>
      <c r="AO53" s="22">
        <f>SUM(Emissions!AQ156:AQ171)</f>
        <v>3.3866760297111438</v>
      </c>
      <c r="AP53" s="22">
        <f>SUM(Emissions!AR156:AR171)</f>
        <v>3.4262938063462238</v>
      </c>
      <c r="AQ53" s="22">
        <f>SUM(Emissions!AS156:AS171)</f>
        <v>3.4608413494195234</v>
      </c>
      <c r="AR53" s="22">
        <f>SUM(Emissions!AT156:AT171)</f>
        <v>3.4901030120531642</v>
      </c>
      <c r="AS53" s="22">
        <f>SUM(Emissions!AU156:AU171)</f>
        <v>3.513881838032586</v>
      </c>
      <c r="AT53" s="22">
        <f>SUM(Emissions!AV156:AV171)</f>
        <v>3.5320061581172508</v>
      </c>
      <c r="AU53" s="22">
        <f>SUM(Emissions!AW156:AW171)</f>
        <v>3.5458133812306292</v>
      </c>
      <c r="AV53" s="22">
        <f>SUM(Emissions!AX156:AX171)</f>
        <v>3.5537514149129761</v>
      </c>
      <c r="AW53" s="22">
        <f>SUM(Emissions!AY156:AY171)</f>
        <v>3.5557366417427132</v>
      </c>
      <c r="AX53" s="22">
        <f>SUM(Emissions!AZ156:AZ171)</f>
        <v>3.5517226361142296</v>
      </c>
      <c r="AY53" s="22">
        <f>SUM(Emissions!BA156:BA171)</f>
        <v>3.5416869437449185</v>
      </c>
      <c r="AZ53" s="22">
        <f>SUM(Emissions!BB156:BB171)</f>
        <v>3.5256374595753215</v>
      </c>
      <c r="BA53" s="22">
        <f>SUM(Emissions!BC156:BC171)</f>
        <v>-0.1074174177147165</v>
      </c>
      <c r="BB53" s="22">
        <f>SUM(Emissions!BD156:BD171)</f>
        <v>-0.10758022515936302</v>
      </c>
      <c r="BC53" s="22">
        <f>SUM(Emissions!BE156:BE171)</f>
        <v>-0.107717809366911</v>
      </c>
      <c r="BD53" s="22">
        <f>SUM(Emissions!BF156:BF171)</f>
        <v>-0.10783254972239004</v>
      </c>
      <c r="BE53" s="22">
        <f>SUM(Emissions!BG156:BG171)</f>
        <v>-0.10786488639353498</v>
      </c>
      <c r="BF53" s="22">
        <f>SUM(Emissions!BH156:BH171)</f>
        <v>-0.10787109302613695</v>
      </c>
      <c r="BG53" s="22">
        <f>SUM(Emissions!BI156:BI171)</f>
        <v>-0.10784802239654323</v>
      </c>
      <c r="BH53" s="22">
        <f>SUM(Emissions!BJ156:BJ171)</f>
        <v>-0.10779586428828791</v>
      </c>
      <c r="BI53" s="22">
        <f>SUM(Emissions!BK156:BK171)</f>
        <v>-0.10771097569654908</v>
      </c>
      <c r="BJ53" s="22">
        <f>SUM(Emissions!BL156:BL171)</f>
        <v>-0.10758939261971359</v>
      </c>
      <c r="BK53" s="22">
        <f>SUM(Emissions!BM156:BM171)</f>
        <v>-0.10743138125834692</v>
      </c>
      <c r="BL53" s="22">
        <f>SUM(Emissions!BN156:BN171)</f>
        <v>-0.10723843543225139</v>
      </c>
      <c r="BM53" s="22">
        <f>SUM(Emissions!BO156:BO171)</f>
        <v>-0.10701179452203177</v>
      </c>
      <c r="BN53" s="22">
        <f>SUM(Emissions!BP156:BP171)</f>
        <v>-0.10674779079925978</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0.37059330089073456</v>
      </c>
      <c r="AC54" s="22">
        <f>SUM(Emissions!AE172:AE187)</f>
        <v>0.37327117365733298</v>
      </c>
      <c r="AD54" s="22">
        <f>SUM(Emissions!AF172:AF187)</f>
        <v>0.37773946921333246</v>
      </c>
      <c r="AE54" s="22">
        <f>SUM(Emissions!AG172:AG187)</f>
        <v>0.3792021145640746</v>
      </c>
      <c r="AF54" s="22">
        <f>SUM(Emissions!AH172:AH187)</f>
        <v>0.37876831095738744</v>
      </c>
      <c r="AG54" s="22">
        <f>SUM(Emissions!AI172:AI187)</f>
        <v>0.37645680813878646</v>
      </c>
      <c r="AH54" s="22">
        <f>SUM(Emissions!AJ172:AJ187)</f>
        <v>0.37582739107542651</v>
      </c>
      <c r="AI54" s="22">
        <f>SUM(Emissions!AK172:AK187)</f>
        <v>0.37553459659710148</v>
      </c>
      <c r="AJ54" s="22">
        <f>SUM(Emissions!AL172:AL187)</f>
        <v>0.34828789172818153</v>
      </c>
      <c r="AK54" s="22">
        <f>SUM(Emissions!AM172:AM187)</f>
        <v>0.36220990432371569</v>
      </c>
      <c r="AL54" s="22">
        <f>SUM(Emissions!AN172:AN187)</f>
        <v>1.012409241260027</v>
      </c>
      <c r="AM54" s="22">
        <f>SUM(Emissions!AO172:AO187)</f>
        <v>1.0272003209603411</v>
      </c>
      <c r="AN54" s="22">
        <f>SUM(Emissions!AP172:AP187)</f>
        <v>1.0405462711766991</v>
      </c>
      <c r="AO54" s="22">
        <f>SUM(Emissions!AQ172:AQ187)</f>
        <v>1.0523994654170505</v>
      </c>
      <c r="AP54" s="22">
        <f>SUM(Emissions!AR172:AR187)</f>
        <v>1.0627383518291649</v>
      </c>
      <c r="AQ54" s="22">
        <f>SUM(Emissions!AS172:AS187)</f>
        <v>1.0714959673921443</v>
      </c>
      <c r="AR54" s="22">
        <f>SUM(Emissions!AT172:AT187)</f>
        <v>1.0786153161527121</v>
      </c>
      <c r="AS54" s="22">
        <f>SUM(Emissions!AU172:AU187)</f>
        <v>1.0840461381889823</v>
      </c>
      <c r="AT54" s="22">
        <f>SUM(Emissions!AV172:AV187)</f>
        <v>1.0877463505879577</v>
      </c>
      <c r="AU54" s="22">
        <f>SUM(Emissions!AW172:AW187)</f>
        <v>1.0886647246114038</v>
      </c>
      <c r="AV54" s="22">
        <f>SUM(Emissions!AX172:AX187)</f>
        <v>1.0878126110114941</v>
      </c>
      <c r="AW54" s="22">
        <f>SUM(Emissions!AY172:AY187)</f>
        <v>1.0851819034543988</v>
      </c>
      <c r="AX54" s="22">
        <f>SUM(Emissions!AZ172:AZ187)</f>
        <v>1.0807750724508942</v>
      </c>
      <c r="AY54" s="22">
        <f>SUM(Emissions!BA172:BA187)</f>
        <v>1.0746024191340764</v>
      </c>
      <c r="AZ54" s="22">
        <f>SUM(Emissions!BB172:BB187)</f>
        <v>1.0666832485153135</v>
      </c>
      <c r="BA54" s="22">
        <f>SUM(Emissions!BC172:BC187)</f>
        <v>-1.6236625539228507E-2</v>
      </c>
      <c r="BB54" s="22">
        <f>SUM(Emissions!BD172:BD187)</f>
        <v>-1.5999024915300752E-2</v>
      </c>
      <c r="BC54" s="22">
        <f>SUM(Emissions!BE172:BE187)</f>
        <v>-1.575966933223634E-2</v>
      </c>
      <c r="BD54" s="22">
        <f>SUM(Emissions!BF172:BF187)</f>
        <v>-1.5518975719177874E-2</v>
      </c>
      <c r="BE54" s="22">
        <f>SUM(Emissions!BG172:BG187)</f>
        <v>-1.5313640072258647E-2</v>
      </c>
      <c r="BF54" s="22">
        <f>SUM(Emissions!BH172:BH187)</f>
        <v>-1.5105646026566555E-2</v>
      </c>
      <c r="BG54" s="22">
        <f>SUM(Emissions!BI172:BI187)</f>
        <v>-1.4894373001127718E-2</v>
      </c>
      <c r="BH54" s="22">
        <f>SUM(Emissions!BJ172:BJ187)</f>
        <v>-1.4679850885530074E-2</v>
      </c>
      <c r="BI54" s="22">
        <f>SUM(Emissions!BK172:BK187)</f>
        <v>-1.4461384817978387E-2</v>
      </c>
      <c r="BJ54" s="22">
        <f>SUM(Emissions!BL172:BL187)</f>
        <v>-1.4238233896044325E-2</v>
      </c>
      <c r="BK54" s="22">
        <f>SUM(Emissions!BM172:BM187)</f>
        <v>-1.4010469828347437E-2</v>
      </c>
      <c r="BL54" s="22">
        <f>SUM(Emissions!BN172:BN187)</f>
        <v>-1.3778397032483555E-2</v>
      </c>
      <c r="BM54" s="22">
        <f>SUM(Emissions!BO172:BO187)</f>
        <v>-1.3542270690297155E-2</v>
      </c>
      <c r="BN54" s="22">
        <f>SUM(Emissions!BP172:BP187)</f>
        <v>-1.3301431084190955E-2</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24596.567437021014</v>
      </c>
      <c r="AC58" s="22">
        <f t="shared" si="42"/>
        <v>24497.747310072355</v>
      </c>
      <c r="AD58" s="22">
        <f t="shared" si="42"/>
        <v>24503.520525013511</v>
      </c>
      <c r="AE58" s="22">
        <f t="shared" si="42"/>
        <v>24330.600675717978</v>
      </c>
      <c r="AF58" s="22">
        <f t="shared" si="42"/>
        <v>24050.505209418396</v>
      </c>
      <c r="AG58" s="22">
        <f t="shared" si="42"/>
        <v>23669.383405227261</v>
      </c>
      <c r="AH58" s="22">
        <f t="shared" si="42"/>
        <v>23387.298701141393</v>
      </c>
      <c r="AI58" s="22">
        <f t="shared" si="42"/>
        <v>23126.614059508956</v>
      </c>
      <c r="AJ58" s="22">
        <f t="shared" si="42"/>
        <v>21392.93953700738</v>
      </c>
      <c r="AK58" s="22">
        <f t="shared" si="42"/>
        <v>22014.083437868067</v>
      </c>
      <c r="AL58" s="22">
        <f t="shared" ref="AL58:BN58" si="43">AL4*CH4GWP</f>
        <v>56032.072122577665</v>
      </c>
      <c r="AM58" s="22">
        <f t="shared" si="43"/>
        <v>56387.714166571561</v>
      </c>
      <c r="AN58" s="22">
        <f t="shared" si="43"/>
        <v>56665.381042402791</v>
      </c>
      <c r="AO58" s="22">
        <f t="shared" si="43"/>
        <v>56861.872755180499</v>
      </c>
      <c r="AP58" s="22">
        <f t="shared" si="43"/>
        <v>56973.570914767282</v>
      </c>
      <c r="AQ58" s="22">
        <f t="shared" si="43"/>
        <v>56999.225085508784</v>
      </c>
      <c r="AR58" s="22">
        <f t="shared" si="43"/>
        <v>56937.975415198875</v>
      </c>
      <c r="AS58" s="22">
        <f t="shared" si="43"/>
        <v>56789.500530797806</v>
      </c>
      <c r="AT58" s="22">
        <f t="shared" si="43"/>
        <v>56553.98142272314</v>
      </c>
      <c r="AU58" s="22">
        <f t="shared" si="43"/>
        <v>55882.65194016615</v>
      </c>
      <c r="AV58" s="22">
        <f t="shared" si="43"/>
        <v>55127.862761515571</v>
      </c>
      <c r="AW58" s="22">
        <f t="shared" si="43"/>
        <v>54292.951227005775</v>
      </c>
      <c r="AX58" s="22">
        <f t="shared" si="43"/>
        <v>53381.633593419647</v>
      </c>
      <c r="AY58" s="22">
        <f t="shared" si="43"/>
        <v>52398.102292235519</v>
      </c>
      <c r="AZ58" s="22">
        <f t="shared" si="43"/>
        <v>51346.937420336333</v>
      </c>
      <c r="BA58" s="22">
        <f t="shared" si="43"/>
        <v>2863.5939896353152</v>
      </c>
      <c r="BB58" s="22">
        <f t="shared" si="43"/>
        <v>2936.4053616578226</v>
      </c>
      <c r="BC58" s="22">
        <f t="shared" si="43"/>
        <v>3008.1157154435814</v>
      </c>
      <c r="BD58" s="22">
        <f t="shared" si="43"/>
        <v>3078.7641612333764</v>
      </c>
      <c r="BE58" s="22">
        <f t="shared" si="43"/>
        <v>3135.3618100886833</v>
      </c>
      <c r="BF58" s="22">
        <f t="shared" si="43"/>
        <v>3191.0262701857569</v>
      </c>
      <c r="BG58" s="22">
        <f t="shared" si="43"/>
        <v>3245.720122576347</v>
      </c>
      <c r="BH58" s="22">
        <f t="shared" si="43"/>
        <v>3299.4459945950121</v>
      </c>
      <c r="BI58" s="22">
        <f t="shared" si="43"/>
        <v>3352.1545115293084</v>
      </c>
      <c r="BJ58" s="22">
        <f t="shared" si="43"/>
        <v>3403.7879433333815</v>
      </c>
      <c r="BK58" s="22">
        <f t="shared" si="43"/>
        <v>3454.3426033996911</v>
      </c>
      <c r="BL58" s="22">
        <f t="shared" si="43"/>
        <v>3503.8314062986174</v>
      </c>
      <c r="BM58" s="22">
        <f t="shared" si="43"/>
        <v>3552.2641887408727</v>
      </c>
      <c r="BN58" s="22">
        <f t="shared" si="43"/>
        <v>3599.5805282644615</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776.88026181002783</v>
      </c>
      <c r="AE59" s="22">
        <f t="shared" si="45"/>
        <v>774.22773270072685</v>
      </c>
      <c r="AF59" s="22">
        <f t="shared" si="45"/>
        <v>767.77846974201952</v>
      </c>
      <c r="AG59" s="22">
        <f t="shared" si="45"/>
        <v>757.64147058917911</v>
      </c>
      <c r="AH59" s="22">
        <f t="shared" si="45"/>
        <v>751.15754383054059</v>
      </c>
      <c r="AI59" s="22">
        <f t="shared" si="45"/>
        <v>745.51317364056126</v>
      </c>
      <c r="AJ59" s="22">
        <f t="shared" si="45"/>
        <v>686.13120665304496</v>
      </c>
      <c r="AK59" s="22">
        <f t="shared" si="45"/>
        <v>708.75463781476492</v>
      </c>
      <c r="AL59" s="22">
        <f t="shared" ref="AL59:BN59" si="46">AL11*CH4GWP</f>
        <v>1989.4091279819295</v>
      </c>
      <c r="AM59" s="22">
        <f t="shared" si="46"/>
        <v>2002.8421867762245</v>
      </c>
      <c r="AN59" s="22">
        <f t="shared" si="46"/>
        <v>2013.2635270784995</v>
      </c>
      <c r="AO59" s="22">
        <f t="shared" si="46"/>
        <v>2020.666550513884</v>
      </c>
      <c r="AP59" s="22">
        <f t="shared" si="46"/>
        <v>2025.108970496176</v>
      </c>
      <c r="AQ59" s="22">
        <f t="shared" si="46"/>
        <v>2026.520579934715</v>
      </c>
      <c r="AR59" s="22">
        <f t="shared" si="46"/>
        <v>2024.8542996972278</v>
      </c>
      <c r="AS59" s="22">
        <f t="shared" si="46"/>
        <v>2020.0766071452153</v>
      </c>
      <c r="AT59" s="22">
        <f t="shared" si="46"/>
        <v>2012.1705445328967</v>
      </c>
      <c r="AU59" s="22">
        <f t="shared" si="46"/>
        <v>2001.1843984436582</v>
      </c>
      <c r="AV59" s="22">
        <f t="shared" si="46"/>
        <v>1987.0957444650371</v>
      </c>
      <c r="AW59" s="22">
        <f t="shared" si="46"/>
        <v>1969.9433810173034</v>
      </c>
      <c r="AX59" s="22">
        <f t="shared" si="46"/>
        <v>1949.7858062578432</v>
      </c>
      <c r="AY59" s="22">
        <f t="shared" si="46"/>
        <v>1926.6939076070657</v>
      </c>
      <c r="AZ59" s="22">
        <f t="shared" si="46"/>
        <v>1900.7535340392546</v>
      </c>
      <c r="BA59" s="22">
        <f t="shared" si="46"/>
        <v>-31.554386682627324</v>
      </c>
      <c r="BB59" s="22">
        <f t="shared" si="46"/>
        <v>-30.300389088117189</v>
      </c>
      <c r="BC59" s="22">
        <f t="shared" si="46"/>
        <v>-29.043419266188771</v>
      </c>
      <c r="BD59" s="22">
        <f t="shared" si="46"/>
        <v>-27.784621852546252</v>
      </c>
      <c r="BE59" s="22">
        <f t="shared" si="46"/>
        <v>-26.523135992360828</v>
      </c>
      <c r="BF59" s="22">
        <f t="shared" si="46"/>
        <v>-25.258775061373768</v>
      </c>
      <c r="BG59" s="22">
        <f t="shared" si="46"/>
        <v>-23.990368199030943</v>
      </c>
      <c r="BH59" s="22">
        <f t="shared" si="46"/>
        <v>-22.718240489243172</v>
      </c>
      <c r="BI59" s="22">
        <f t="shared" si="46"/>
        <v>-21.441166242215616</v>
      </c>
      <c r="BJ59" s="22">
        <f t="shared" si="46"/>
        <v>-20.157911141858431</v>
      </c>
      <c r="BK59" s="22">
        <f t="shared" si="46"/>
        <v>-18.869035946146806</v>
      </c>
      <c r="BL59" s="22">
        <f t="shared" si="46"/>
        <v>-17.57558428960775</v>
      </c>
      <c r="BM59" s="22">
        <f t="shared" si="46"/>
        <v>-16.278475371421244</v>
      </c>
      <c r="BN59" s="22">
        <f t="shared" si="46"/>
        <v>-14.976775057899713</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1611.8202237640569</v>
      </c>
      <c r="AC60" s="22">
        <f t="shared" si="48"/>
        <v>1628.3498454049952</v>
      </c>
      <c r="AD60" s="22">
        <f t="shared" si="48"/>
        <v>1654.3267410473245</v>
      </c>
      <c r="AE60" s="22">
        <f t="shared" si="48"/>
        <v>1663.6384309182047</v>
      </c>
      <c r="AF60" s="22">
        <f t="shared" si="48"/>
        <v>1662.3021398559861</v>
      </c>
      <c r="AG60" s="22">
        <f t="shared" si="48"/>
        <v>1650.3976769413121</v>
      </c>
      <c r="AH60" s="22">
        <f t="shared" si="48"/>
        <v>1647.5009704288248</v>
      </c>
      <c r="AI60" s="22">
        <f t="shared" si="48"/>
        <v>1646.2684747308629</v>
      </c>
      <c r="AJ60" s="22">
        <f t="shared" si="48"/>
        <v>1499.3361276564717</v>
      </c>
      <c r="AK60" s="22">
        <f t="shared" si="48"/>
        <v>1577.3560251072734</v>
      </c>
      <c r="AL60" s="22">
        <f t="shared" ref="AL60:BN60" si="49">AL19*N2OGWP</f>
        <v>5155.8934530928118</v>
      </c>
      <c r="AM60" s="22">
        <f t="shared" si="49"/>
        <v>5242.7690506636527</v>
      </c>
      <c r="AN60" s="22">
        <f t="shared" si="49"/>
        <v>5321.2996390873295</v>
      </c>
      <c r="AO60" s="22">
        <f t="shared" si="49"/>
        <v>5391.3884562478806</v>
      </c>
      <c r="AP60" s="22">
        <f t="shared" si="49"/>
        <v>5453.2165713883915</v>
      </c>
      <c r="AQ60" s="22">
        <f t="shared" si="49"/>
        <v>5506.3812128817053</v>
      </c>
      <c r="AR60" s="22">
        <f t="shared" si="49"/>
        <v>5550.5475194976107</v>
      </c>
      <c r="AS60" s="22">
        <f t="shared" si="49"/>
        <v>5585.4070236046136</v>
      </c>
      <c r="AT60" s="22">
        <f t="shared" si="49"/>
        <v>5610.6924571048703</v>
      </c>
      <c r="AU60" s="22">
        <f t="shared" si="49"/>
        <v>5620.9400565137012</v>
      </c>
      <c r="AV60" s="22">
        <f t="shared" si="49"/>
        <v>5621.3502562071208</v>
      </c>
      <c r="AW60" s="22">
        <f t="shared" si="49"/>
        <v>5611.8495954416239</v>
      </c>
      <c r="AX60" s="22">
        <f t="shared" si="49"/>
        <v>5592.4315797193904</v>
      </c>
      <c r="AY60" s="22">
        <f t="shared" si="49"/>
        <v>5563.1223773999391</v>
      </c>
      <c r="AZ60" s="22">
        <f t="shared" si="49"/>
        <v>5523.9960192381877</v>
      </c>
      <c r="BA60" s="22">
        <f t="shared" si="49"/>
        <v>-516.45011818944261</v>
      </c>
      <c r="BB60" s="22">
        <f t="shared" si="49"/>
        <v>-515.96304450073899</v>
      </c>
      <c r="BC60" s="22">
        <f t="shared" si="49"/>
        <v>-515.43589183827578</v>
      </c>
      <c r="BD60" s="22">
        <f t="shared" si="49"/>
        <v>-514.8733763232309</v>
      </c>
      <c r="BE60" s="22">
        <f t="shared" si="49"/>
        <v>-514.46413193415469</v>
      </c>
      <c r="BF60" s="22">
        <f t="shared" si="49"/>
        <v>-514.00599403809395</v>
      </c>
      <c r="BG60" s="22">
        <f t="shared" si="49"/>
        <v>-513.48972139294051</v>
      </c>
      <c r="BH60" s="22">
        <f t="shared" si="49"/>
        <v>-512.91465629781123</v>
      </c>
      <c r="BI60" s="22">
        <f t="shared" si="49"/>
        <v>-512.2702928008548</v>
      </c>
      <c r="BJ60" s="22">
        <f t="shared" si="49"/>
        <v>-511.54525812713905</v>
      </c>
      <c r="BK60" s="22">
        <f t="shared" si="49"/>
        <v>-510.73910825711812</v>
      </c>
      <c r="BL60" s="22">
        <f t="shared" si="49"/>
        <v>-509.854635356031</v>
      </c>
      <c r="BM60" s="22">
        <f t="shared" si="49"/>
        <v>-508.89403698832388</v>
      </c>
      <c r="BN60" s="22">
        <f t="shared" si="49"/>
        <v>-507.84676064716342</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893.8099998865514</v>
      </c>
      <c r="AL63" s="22">
        <f t="shared" si="57"/>
        <v>900.67357822106953</v>
      </c>
      <c r="AM63" s="22">
        <f t="shared" si="57"/>
        <v>1065.3940139484962</v>
      </c>
      <c r="AN63" s="22">
        <f t="shared" si="57"/>
        <v>1069.5090816299301</v>
      </c>
      <c r="AO63" s="22">
        <f t="shared" si="57"/>
        <v>1073.3182252319168</v>
      </c>
      <c r="AP63" s="22">
        <f t="shared" si="57"/>
        <v>1076.8218555552182</v>
      </c>
      <c r="AQ63" s="22">
        <f t="shared" si="57"/>
        <v>1080.0226317758113</v>
      </c>
      <c r="AR63" s="22">
        <f t="shared" si="57"/>
        <v>1082.9177749187229</v>
      </c>
      <c r="AS63" s="22">
        <f t="shared" si="57"/>
        <v>1085.5049609833559</v>
      </c>
      <c r="AT63" s="22">
        <f t="shared" si="57"/>
        <v>1087.7819132444117</v>
      </c>
      <c r="AU63" s="22">
        <f t="shared" si="57"/>
        <v>1089.7465011362146</v>
      </c>
      <c r="AV63" s="22">
        <f t="shared" si="57"/>
        <v>1091.3969473327843</v>
      </c>
      <c r="AW63" s="22">
        <f t="shared" si="57"/>
        <v>1092.7315009729246</v>
      </c>
      <c r="AX63" s="22">
        <f t="shared" si="57"/>
        <v>1093.7487030524378</v>
      </c>
      <c r="AY63" s="22">
        <f t="shared" si="57"/>
        <v>1094.4473857214566</v>
      </c>
      <c r="AZ63" s="22">
        <f t="shared" si="57"/>
        <v>1094.8263628266327</v>
      </c>
      <c r="BA63" s="22">
        <f t="shared" si="57"/>
        <v>1094.8845593444271</v>
      </c>
      <c r="BB63" s="22">
        <f t="shared" si="57"/>
        <v>607.97020905828253</v>
      </c>
      <c r="BC63" s="22">
        <f t="shared" si="57"/>
        <v>607.55745037474526</v>
      </c>
      <c r="BD63" s="22">
        <f t="shared" si="57"/>
        <v>607.15409314091119</v>
      </c>
      <c r="BE63" s="22">
        <f t="shared" si="57"/>
        <v>606.75958690378332</v>
      </c>
      <c r="BF63" s="22">
        <f t="shared" si="57"/>
        <v>606.37328175345601</v>
      </c>
      <c r="BG63" s="22">
        <f t="shared" si="57"/>
        <v>605.99682053444815</v>
      </c>
      <c r="BH63" s="22">
        <f t="shared" si="57"/>
        <v>605.63131244884619</v>
      </c>
      <c r="BI63" s="22">
        <f t="shared" si="57"/>
        <v>605.27689810634104</v>
      </c>
      <c r="BJ63" s="22">
        <f t="shared" si="57"/>
        <v>604.93489516166983</v>
      </c>
      <c r="BK63" s="22">
        <f t="shared" si="57"/>
        <v>604.60677047885349</v>
      </c>
      <c r="BL63" s="22">
        <f t="shared" si="57"/>
        <v>604.29271780451234</v>
      </c>
      <c r="BM63" s="22">
        <f t="shared" si="57"/>
        <v>603.99253980993103</v>
      </c>
      <c r="BN63" s="22">
        <f t="shared" si="57"/>
        <v>603.70610230649959</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469.91049414760272</v>
      </c>
      <c r="AL64" s="22">
        <f t="shared" si="58"/>
        <v>469.73756057025111</v>
      </c>
      <c r="AM64" s="22">
        <f t="shared" si="58"/>
        <v>465.58729188751397</v>
      </c>
      <c r="AN64" s="22">
        <f t="shared" si="58"/>
        <v>465.48360932711904</v>
      </c>
      <c r="AO64" s="22">
        <f t="shared" si="58"/>
        <v>465.38763477891212</v>
      </c>
      <c r="AP64" s="22">
        <f t="shared" si="58"/>
        <v>465.29935789242586</v>
      </c>
      <c r="AQ64" s="22">
        <f t="shared" si="58"/>
        <v>465.21871166750475</v>
      </c>
      <c r="AR64" s="22">
        <f t="shared" si="58"/>
        <v>465.1457661227397</v>
      </c>
      <c r="AS64" s="22">
        <f t="shared" si="58"/>
        <v>465.080579813263</v>
      </c>
      <c r="AT64" s="22">
        <f t="shared" si="58"/>
        <v>465.02321010306639</v>
      </c>
      <c r="AU64" s="22">
        <f t="shared" si="58"/>
        <v>464.97371067352793</v>
      </c>
      <c r="AV64" s="22">
        <f t="shared" si="58"/>
        <v>464.93212630585725</v>
      </c>
      <c r="AW64" s="22">
        <f t="shared" si="58"/>
        <v>464.89850111446157</v>
      </c>
      <c r="AX64" s="22">
        <f t="shared" si="58"/>
        <v>464.87287186016789</v>
      </c>
      <c r="AY64" s="22">
        <f t="shared" si="58"/>
        <v>464.8552679679272</v>
      </c>
      <c r="AZ64" s="22">
        <f t="shared" si="58"/>
        <v>464.84571932386154</v>
      </c>
      <c r="BA64" s="22">
        <f t="shared" si="58"/>
        <v>464.84425301408538</v>
      </c>
      <c r="BB64" s="22">
        <f t="shared" si="58"/>
        <v>477.11246594251554</v>
      </c>
      <c r="BC64" s="22">
        <f t="shared" si="58"/>
        <v>477.12286574160703</v>
      </c>
      <c r="BD64" s="22">
        <f t="shared" si="58"/>
        <v>477.13302866333646</v>
      </c>
      <c r="BE64" s="22">
        <f t="shared" si="58"/>
        <v>477.14296857682592</v>
      </c>
      <c r="BF64" s="22">
        <f t="shared" si="58"/>
        <v>477.15270185709755</v>
      </c>
      <c r="BG64" s="22">
        <f t="shared" si="58"/>
        <v>477.16218711131398</v>
      </c>
      <c r="BH64" s="22">
        <f t="shared" si="58"/>
        <v>477.17139639220409</v>
      </c>
      <c r="BI64" s="22">
        <f t="shared" si="58"/>
        <v>477.18032615698962</v>
      </c>
      <c r="BJ64" s="22">
        <f t="shared" si="58"/>
        <v>477.18894320626106</v>
      </c>
      <c r="BK64" s="22">
        <f t="shared" si="58"/>
        <v>477.1972105811567</v>
      </c>
      <c r="BL64" s="22">
        <f t="shared" si="58"/>
        <v>477.20512340006883</v>
      </c>
      <c r="BM64" s="22">
        <f t="shared" si="58"/>
        <v>477.2126866348591</v>
      </c>
      <c r="BN64" s="22">
        <f t="shared" si="58"/>
        <v>477.21990366652125</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17151.705697759644</v>
      </c>
      <c r="AC65" s="22">
        <f t="shared" si="59"/>
        <v>17093.826915551952</v>
      </c>
      <c r="AD65" s="22">
        <f t="shared" si="59"/>
        <v>17091.396392844257</v>
      </c>
      <c r="AE65" s="22">
        <f t="shared" si="59"/>
        <v>16996.52378933522</v>
      </c>
      <c r="AF65" s="22">
        <f t="shared" si="59"/>
        <v>16845.135916251191</v>
      </c>
      <c r="AG65" s="22">
        <f t="shared" si="59"/>
        <v>16640.888084222788</v>
      </c>
      <c r="AH65" s="22">
        <f t="shared" si="59"/>
        <v>16487.529960272332</v>
      </c>
      <c r="AI65" s="22">
        <f t="shared" si="59"/>
        <v>16345.805129696333</v>
      </c>
      <c r="AJ65" s="22">
        <f t="shared" si="59"/>
        <v>15442.498897334191</v>
      </c>
      <c r="AK65" s="22">
        <f t="shared" si="59"/>
        <v>15750.943286516664</v>
      </c>
      <c r="AL65" s="22">
        <f t="shared" ref="AL65:BN65" si="60">AL43*N2OGWP</f>
        <v>33312.269154363297</v>
      </c>
      <c r="AM65" s="22">
        <f t="shared" si="60"/>
        <v>33609.072223490439</v>
      </c>
      <c r="AN65" s="22">
        <f t="shared" si="60"/>
        <v>33737.696617721129</v>
      </c>
      <c r="AO65" s="22">
        <f t="shared" si="60"/>
        <v>33824.004578088119</v>
      </c>
      <c r="AP65" s="22">
        <f t="shared" si="60"/>
        <v>33866.164598582895</v>
      </c>
      <c r="AQ65" s="22">
        <f t="shared" si="60"/>
        <v>33863.61579402881</v>
      </c>
      <c r="AR65" s="22">
        <f t="shared" si="60"/>
        <v>33815.995567881691</v>
      </c>
      <c r="AS65" s="22">
        <f t="shared" si="60"/>
        <v>33723.223210999226</v>
      </c>
      <c r="AT65" s="22">
        <f t="shared" si="60"/>
        <v>33585.479307194204</v>
      </c>
      <c r="AU65" s="22">
        <f t="shared" si="60"/>
        <v>33216.870873793028</v>
      </c>
      <c r="AV65" s="22">
        <f t="shared" si="60"/>
        <v>32805.284931154434</v>
      </c>
      <c r="AW65" s="22">
        <f t="shared" si="60"/>
        <v>32352.561966538182</v>
      </c>
      <c r="AX65" s="22">
        <f t="shared" si="60"/>
        <v>31860.735404641982</v>
      </c>
      <c r="AY65" s="22">
        <f t="shared" si="60"/>
        <v>31332.083916991192</v>
      </c>
      <c r="AZ65" s="22">
        <f t="shared" si="60"/>
        <v>30769.083180828537</v>
      </c>
      <c r="BA65" s="22">
        <f t="shared" si="60"/>
        <v>6047.5720050875789</v>
      </c>
      <c r="BB65" s="22">
        <f t="shared" si="60"/>
        <v>5700.0295711204262</v>
      </c>
      <c r="BC65" s="22">
        <f t="shared" si="60"/>
        <v>5738.7423920860329</v>
      </c>
      <c r="BD65" s="22">
        <f t="shared" si="60"/>
        <v>5776.900805096876</v>
      </c>
      <c r="BE65" s="22">
        <f t="shared" si="60"/>
        <v>5807.5670565658629</v>
      </c>
      <c r="BF65" s="22">
        <f t="shared" si="60"/>
        <v>5837.7438425028104</v>
      </c>
      <c r="BG65" s="22">
        <f t="shared" si="60"/>
        <v>5867.4120579655573</v>
      </c>
      <c r="BH65" s="22">
        <f t="shared" si="60"/>
        <v>5896.5737412741164</v>
      </c>
      <c r="BI65" s="22">
        <f t="shared" si="60"/>
        <v>5925.2021354424523</v>
      </c>
      <c r="BJ65" s="22">
        <f t="shared" si="60"/>
        <v>5953.2668964003005</v>
      </c>
      <c r="BK65" s="22">
        <f t="shared" si="60"/>
        <v>5980.7669219308082</v>
      </c>
      <c r="BL65" s="22">
        <f t="shared" si="60"/>
        <v>6007.7090563142428</v>
      </c>
      <c r="BM65" s="22">
        <f t="shared" si="60"/>
        <v>6034.0981838862199</v>
      </c>
      <c r="BN65" s="22">
        <f t="shared" si="60"/>
        <v>6059.9013374203532</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1997.8167979558439</v>
      </c>
      <c r="AH66" s="22">
        <f t="shared" si="62"/>
        <v>1981.3182233351415</v>
      </c>
      <c r="AI66" s="22">
        <f t="shared" si="62"/>
        <v>1966.2827775921453</v>
      </c>
      <c r="AJ66" s="22">
        <f t="shared" si="62"/>
        <v>1855.0324856213779</v>
      </c>
      <c r="AK66" s="22">
        <f t="shared" si="62"/>
        <v>1895.2966379778347</v>
      </c>
      <c r="AL66" s="22">
        <f t="shared" ref="AL66:BN66" si="63">AL49*N2OGWP</f>
        <v>4092.2077070290761</v>
      </c>
      <c r="AM66" s="22">
        <f t="shared" si="63"/>
        <v>4119.3508292204397</v>
      </c>
      <c r="AN66" s="22">
        <f t="shared" si="63"/>
        <v>4138.6233146004733</v>
      </c>
      <c r="AO66" s="22">
        <f t="shared" si="63"/>
        <v>4152.8029430545121</v>
      </c>
      <c r="AP66" s="22">
        <f t="shared" si="63"/>
        <v>4161.4921749631267</v>
      </c>
      <c r="AQ66" s="22">
        <f t="shared" si="63"/>
        <v>4164.6098753594988</v>
      </c>
      <c r="AR66" s="22">
        <f t="shared" si="63"/>
        <v>4162.0930945327327</v>
      </c>
      <c r="AS66" s="22">
        <f t="shared" si="63"/>
        <v>4153.9184974906266</v>
      </c>
      <c r="AT66" s="22">
        <f t="shared" si="63"/>
        <v>4140.0968073883751</v>
      </c>
      <c r="AU66" s="22">
        <f t="shared" si="63"/>
        <v>4099.452195620157</v>
      </c>
      <c r="AV66" s="22">
        <f t="shared" si="63"/>
        <v>4053.3734930089595</v>
      </c>
      <c r="AW66" s="22">
        <f t="shared" si="63"/>
        <v>4002.0643041433041</v>
      </c>
      <c r="AX66" s="22">
        <f t="shared" si="63"/>
        <v>3945.7489239332363</v>
      </c>
      <c r="AY66" s="22">
        <f t="shared" si="63"/>
        <v>3884.6881373536157</v>
      </c>
      <c r="AZ66" s="22">
        <f t="shared" si="63"/>
        <v>3819.169466179434</v>
      </c>
      <c r="BA66" s="22">
        <f t="shared" si="63"/>
        <v>664.12241108963667</v>
      </c>
      <c r="BB66" s="22">
        <f t="shared" si="63"/>
        <v>659.4745800618964</v>
      </c>
      <c r="BC66" s="22">
        <f t="shared" si="63"/>
        <v>664.10039058383097</v>
      </c>
      <c r="BD66" s="22">
        <f t="shared" si="63"/>
        <v>668.64813944174898</v>
      </c>
      <c r="BE66" s="22">
        <f t="shared" si="63"/>
        <v>672.33014216349636</v>
      </c>
      <c r="BF66" s="22">
        <f t="shared" si="63"/>
        <v>675.93855047831858</v>
      </c>
      <c r="BG66" s="22">
        <f t="shared" si="63"/>
        <v>679.46796619123234</v>
      </c>
      <c r="BH66" s="22">
        <f t="shared" si="63"/>
        <v>682.91810716316115</v>
      </c>
      <c r="BI66" s="22">
        <f t="shared" si="63"/>
        <v>686.28237716647902</v>
      </c>
      <c r="BJ66" s="22">
        <f t="shared" si="63"/>
        <v>689.55337721332842</v>
      </c>
      <c r="BK66" s="22">
        <f t="shared" si="63"/>
        <v>692.7304614366434</v>
      </c>
      <c r="BL66" s="22">
        <f t="shared" si="63"/>
        <v>695.81501698037243</v>
      </c>
      <c r="BM66" s="22">
        <f t="shared" si="63"/>
        <v>698.80806377107808</v>
      </c>
      <c r="BN66" s="22">
        <f t="shared" si="63"/>
        <v>701.70223256615009</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463.94620254720871</v>
      </c>
      <c r="AC67" s="22">
        <f t="shared" si="65"/>
        <v>468.55349021707195</v>
      </c>
      <c r="AD67" s="22">
        <f t="shared" si="65"/>
        <v>475.46673921112142</v>
      </c>
      <c r="AE67" s="22">
        <f t="shared" si="65"/>
        <v>478.52713833996262</v>
      </c>
      <c r="AF67" s="22">
        <f t="shared" si="65"/>
        <v>479.13075008565454</v>
      </c>
      <c r="AG67" s="22">
        <f t="shared" si="65"/>
        <v>477.27784879908728</v>
      </c>
      <c r="AH67" s="22">
        <f t="shared" si="65"/>
        <v>477.58815133846184</v>
      </c>
      <c r="AI67" s="22">
        <f t="shared" si="65"/>
        <v>478.32509917641192</v>
      </c>
      <c r="AJ67" s="22">
        <f t="shared" si="65"/>
        <v>443.9175638870023</v>
      </c>
      <c r="AK67" s="22">
        <f t="shared" si="65"/>
        <v>462.68648804238023</v>
      </c>
      <c r="AL67" s="22">
        <f t="shared" ref="AL67:BN67" si="66">AL52*N2OGWP</f>
        <v>1317.966828312595</v>
      </c>
      <c r="AM67" s="22">
        <f t="shared" si="66"/>
        <v>1339.2621867022526</v>
      </c>
      <c r="AN67" s="22">
        <f t="shared" si="66"/>
        <v>1358.663287636766</v>
      </c>
      <c r="AO67" s="22">
        <f t="shared" si="66"/>
        <v>1376.1134034897402</v>
      </c>
      <c r="AP67" s="22">
        <f t="shared" si="66"/>
        <v>1391.5999690343706</v>
      </c>
      <c r="AQ67" s="22">
        <f t="shared" si="66"/>
        <v>1405.024568211617</v>
      </c>
      <c r="AR67" s="22">
        <f t="shared" si="66"/>
        <v>1416.3026817438217</v>
      </c>
      <c r="AS67" s="22">
        <f t="shared" si="66"/>
        <v>1425.357672628686</v>
      </c>
      <c r="AT67" s="22">
        <f t="shared" si="66"/>
        <v>1432.1232776986146</v>
      </c>
      <c r="AU67" s="22">
        <f t="shared" si="66"/>
        <v>1436.6882128110303</v>
      </c>
      <c r="AV67" s="22">
        <f t="shared" si="66"/>
        <v>1438.8848480365857</v>
      </c>
      <c r="AW67" s="22">
        <f t="shared" si="66"/>
        <v>1438.6847490111045</v>
      </c>
      <c r="AX67" s="22">
        <f t="shared" si="66"/>
        <v>1436.0742896551883</v>
      </c>
      <c r="AY67" s="22">
        <f t="shared" si="66"/>
        <v>1431.0497024924882</v>
      </c>
      <c r="AZ67" s="22">
        <f t="shared" si="66"/>
        <v>1423.6194195080968</v>
      </c>
      <c r="BA67" s="22">
        <f t="shared" si="66"/>
        <v>-38.332753408722951</v>
      </c>
      <c r="BB67" s="22">
        <f t="shared" si="66"/>
        <v>-38.309567523145773</v>
      </c>
      <c r="BC67" s="22">
        <f t="shared" si="66"/>
        <v>-38.278018396735675</v>
      </c>
      <c r="BD67" s="22">
        <f t="shared" si="66"/>
        <v>-38.238972886886053</v>
      </c>
      <c r="BE67" s="22">
        <f t="shared" si="66"/>
        <v>-38.18534320439602</v>
      </c>
      <c r="BF67" s="22">
        <f t="shared" si="66"/>
        <v>-38.122789106338089</v>
      </c>
      <c r="BG67" s="22">
        <f t="shared" si="66"/>
        <v>-38.050142573277995</v>
      </c>
      <c r="BH67" s="22">
        <f t="shared" si="66"/>
        <v>-37.967471703883575</v>
      </c>
      <c r="BI67" s="22">
        <f t="shared" si="66"/>
        <v>-37.873431759503518</v>
      </c>
      <c r="BJ67" s="22">
        <f t="shared" si="66"/>
        <v>-37.766564219884955</v>
      </c>
      <c r="BK67" s="22">
        <f t="shared" si="66"/>
        <v>-37.646973836875254</v>
      </c>
      <c r="BL67" s="22">
        <f t="shared" si="66"/>
        <v>-37.515218064067831</v>
      </c>
      <c r="BM67" s="22">
        <f t="shared" si="66"/>
        <v>-37.371760215821965</v>
      </c>
      <c r="BN67" s="22">
        <f t="shared" si="66"/>
        <v>-37.215258783869729</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26982.018509963775</v>
      </c>
      <c r="AC71" s="22">
        <f t="shared" si="67"/>
        <v>26899.412164760484</v>
      </c>
      <c r="AD71" s="22">
        <f t="shared" si="67"/>
        <v>26934.727527870862</v>
      </c>
      <c r="AE71" s="22">
        <f t="shared" si="67"/>
        <v>26768.466839336907</v>
      </c>
      <c r="AF71" s="22">
        <f t="shared" si="67"/>
        <v>26480.585819016404</v>
      </c>
      <c r="AG71" s="22">
        <f t="shared" si="67"/>
        <v>26077.422552757755</v>
      </c>
      <c r="AH71" s="22">
        <f t="shared" ref="AH71:BN71" si="68">SUM(AH58:AH60)</f>
        <v>25785.957215400758</v>
      </c>
      <c r="AI71" s="22">
        <f t="shared" si="68"/>
        <v>25518.39570788038</v>
      </c>
      <c r="AJ71" s="22">
        <f t="shared" si="68"/>
        <v>23578.406871316896</v>
      </c>
      <c r="AK71" s="22">
        <f t="shared" si="68"/>
        <v>24300.194100790104</v>
      </c>
      <c r="AL71" s="22">
        <f t="shared" si="68"/>
        <v>63177.3747036524</v>
      </c>
      <c r="AM71" s="22">
        <f t="shared" si="68"/>
        <v>63633.325404011433</v>
      </c>
      <c r="AN71" s="22">
        <f t="shared" si="68"/>
        <v>63999.944208568617</v>
      </c>
      <c r="AO71" s="22">
        <f t="shared" si="68"/>
        <v>64273.927761942257</v>
      </c>
      <c r="AP71" s="22">
        <f t="shared" si="68"/>
        <v>64451.896456651855</v>
      </c>
      <c r="AQ71" s="22">
        <f t="shared" si="68"/>
        <v>64532.126878325209</v>
      </c>
      <c r="AR71" s="22">
        <f t="shared" si="68"/>
        <v>64513.377234393709</v>
      </c>
      <c r="AS71" s="22">
        <f t="shared" si="68"/>
        <v>64394.984161547633</v>
      </c>
      <c r="AT71" s="22">
        <f t="shared" si="68"/>
        <v>64176.844424360912</v>
      </c>
      <c r="AU71" s="22">
        <f t="shared" si="68"/>
        <v>63504.77639512351</v>
      </c>
      <c r="AV71" s="22">
        <f t="shared" si="68"/>
        <v>62736.308762187728</v>
      </c>
      <c r="AW71" s="22">
        <f t="shared" si="68"/>
        <v>61874.744203464703</v>
      </c>
      <c r="AX71" s="22">
        <f t="shared" si="68"/>
        <v>60923.850979396884</v>
      </c>
      <c r="AY71" s="22">
        <f t="shared" si="68"/>
        <v>59887.918577242519</v>
      </c>
      <c r="AZ71" s="22">
        <f t="shared" si="68"/>
        <v>58771.686973613774</v>
      </c>
      <c r="BA71" s="22">
        <f t="shared" si="68"/>
        <v>2315.5894847632453</v>
      </c>
      <c r="BB71" s="22">
        <f t="shared" si="68"/>
        <v>2390.1419280689661</v>
      </c>
      <c r="BC71" s="22">
        <f t="shared" si="68"/>
        <v>2463.6364043391168</v>
      </c>
      <c r="BD71" s="22">
        <f t="shared" si="68"/>
        <v>2536.1061630575991</v>
      </c>
      <c r="BE71" s="22">
        <f t="shared" si="68"/>
        <v>2594.3745421621679</v>
      </c>
      <c r="BF71" s="22">
        <f t="shared" si="68"/>
        <v>2651.7615010862892</v>
      </c>
      <c r="BG71" s="22">
        <f t="shared" si="68"/>
        <v>2708.2400329843758</v>
      </c>
      <c r="BH71" s="22">
        <f t="shared" si="68"/>
        <v>2763.8130978079575</v>
      </c>
      <c r="BI71" s="22">
        <f t="shared" si="68"/>
        <v>2818.4430524862378</v>
      </c>
      <c r="BJ71" s="22">
        <f t="shared" si="68"/>
        <v>2872.084774064384</v>
      </c>
      <c r="BK71" s="22">
        <f t="shared" si="68"/>
        <v>2924.7344591964265</v>
      </c>
      <c r="BL71" s="22">
        <f t="shared" si="68"/>
        <v>2976.4011866529786</v>
      </c>
      <c r="BM71" s="22">
        <f t="shared" si="68"/>
        <v>3027.0916763811274</v>
      </c>
      <c r="BN71" s="22">
        <f t="shared" si="68"/>
        <v>3076.756992559398</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22916.931601602213</v>
      </c>
      <c r="AD72" s="22">
        <f t="shared" si="69"/>
        <v>22902.965793483327</v>
      </c>
      <c r="AE72" s="22">
        <f t="shared" si="69"/>
        <v>22783.71717272891</v>
      </c>
      <c r="AF72" s="22">
        <f t="shared" si="69"/>
        <v>22638.455195046368</v>
      </c>
      <c r="AG72" s="22">
        <f t="shared" si="69"/>
        <v>22428.717383211704</v>
      </c>
      <c r="AH72" s="22">
        <f t="shared" ref="AH72:BN72" si="70">SUM(AH61:AH67)</f>
        <v>22266.130401341314</v>
      </c>
      <c r="AI72" s="22">
        <f t="shared" si="70"/>
        <v>22119.9220695435</v>
      </c>
      <c r="AJ72" s="22">
        <f t="shared" si="70"/>
        <v>21080.846402288822</v>
      </c>
      <c r="AK72" s="22">
        <f t="shared" si="70"/>
        <v>21447.823271900372</v>
      </c>
      <c r="AL72" s="22">
        <f t="shared" si="70"/>
        <v>42076.390665686726</v>
      </c>
      <c r="AM72" s="22">
        <f t="shared" si="70"/>
        <v>42590.561854300686</v>
      </c>
      <c r="AN72" s="22">
        <f t="shared" si="70"/>
        <v>42770.230691828059</v>
      </c>
      <c r="AO72" s="22">
        <f t="shared" si="70"/>
        <v>42900.241037416949</v>
      </c>
      <c r="AP72" s="22">
        <f t="shared" si="70"/>
        <v>42978.351680662876</v>
      </c>
      <c r="AQ72" s="22">
        <f t="shared" si="70"/>
        <v>43003.824777539186</v>
      </c>
      <c r="AR72" s="22">
        <f t="shared" si="70"/>
        <v>42976.147553556759</v>
      </c>
      <c r="AS72" s="22">
        <f t="shared" si="70"/>
        <v>42895.137062133304</v>
      </c>
      <c r="AT72" s="22">
        <f t="shared" si="70"/>
        <v>42760.916127707926</v>
      </c>
      <c r="AU72" s="22">
        <f t="shared" si="70"/>
        <v>42366.15730863854</v>
      </c>
      <c r="AV72" s="22">
        <f t="shared" si="70"/>
        <v>41920.312362968529</v>
      </c>
      <c r="AW72" s="22">
        <f t="shared" si="70"/>
        <v>41425.395241435224</v>
      </c>
      <c r="AX72" s="22">
        <f t="shared" si="70"/>
        <v>40883.648615323589</v>
      </c>
      <c r="AY72" s="22">
        <f t="shared" si="70"/>
        <v>40297.607035232591</v>
      </c>
      <c r="AZ72" s="22">
        <f t="shared" si="70"/>
        <v>39670.040975897798</v>
      </c>
      <c r="BA72" s="22">
        <f t="shared" si="70"/>
        <v>10339.601504883578</v>
      </c>
      <c r="BB72" s="22">
        <f t="shared" si="70"/>
        <v>9520.8024909418782</v>
      </c>
      <c r="BC72" s="22">
        <f t="shared" si="70"/>
        <v>9571.2658178697311</v>
      </c>
      <c r="BD72" s="22">
        <f t="shared" si="70"/>
        <v>9621.1133361345801</v>
      </c>
      <c r="BE72" s="22">
        <f t="shared" si="70"/>
        <v>9662.6261588825128</v>
      </c>
      <c r="BF72" s="22">
        <f t="shared" si="70"/>
        <v>9703.5928405606282</v>
      </c>
      <c r="BG72" s="22">
        <f t="shared" si="70"/>
        <v>9743.9916475029022</v>
      </c>
      <c r="BH72" s="22">
        <f t="shared" si="70"/>
        <v>9783.8253490464176</v>
      </c>
      <c r="BI72" s="22">
        <f t="shared" si="70"/>
        <v>9823.0620737830777</v>
      </c>
      <c r="BJ72" s="22">
        <f t="shared" si="70"/>
        <v>9861.6668216303387</v>
      </c>
      <c r="BK72" s="22">
        <f t="shared" si="70"/>
        <v>9899.6391696575956</v>
      </c>
      <c r="BL72" s="22">
        <f t="shared" si="70"/>
        <v>9936.9869807004834</v>
      </c>
      <c r="BM72" s="22">
        <f t="shared" si="70"/>
        <v>9973.7155033499657</v>
      </c>
      <c r="BN72" s="22">
        <f t="shared" si="70"/>
        <v>10009.785611837697</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49879.473570311653</v>
      </c>
      <c r="AC73" s="22">
        <f t="shared" si="71"/>
        <v>49816.343766362697</v>
      </c>
      <c r="AD73" s="22">
        <f t="shared" si="71"/>
        <v>49837.693321354192</v>
      </c>
      <c r="AE73" s="22">
        <f t="shared" si="71"/>
        <v>49552.184012065816</v>
      </c>
      <c r="AF73" s="22">
        <f t="shared" si="71"/>
        <v>49119.041014062772</v>
      </c>
      <c r="AG73" s="22">
        <f t="shared" si="71"/>
        <v>48506.139935969462</v>
      </c>
      <c r="AH73" s="22">
        <f t="shared" ref="AH73:BN73" si="72">SUM(AH71:AH72)</f>
        <v>48052.087616742072</v>
      </c>
      <c r="AI73" s="22">
        <f t="shared" si="72"/>
        <v>47638.317777423879</v>
      </c>
      <c r="AJ73" s="22">
        <f t="shared" si="72"/>
        <v>44659.253273605718</v>
      </c>
      <c r="AK73" s="22">
        <f t="shared" si="72"/>
        <v>45748.017372690476</v>
      </c>
      <c r="AL73" s="22">
        <f t="shared" si="72"/>
        <v>105253.76536933912</v>
      </c>
      <c r="AM73" s="22">
        <f t="shared" si="72"/>
        <v>106223.88725831211</v>
      </c>
      <c r="AN73" s="22">
        <f t="shared" si="72"/>
        <v>106770.17490039667</v>
      </c>
      <c r="AO73" s="22">
        <f t="shared" si="72"/>
        <v>107174.16879935921</v>
      </c>
      <c r="AP73" s="22">
        <f t="shared" si="72"/>
        <v>107430.24813731473</v>
      </c>
      <c r="AQ73" s="22">
        <f t="shared" si="72"/>
        <v>107535.9516558644</v>
      </c>
      <c r="AR73" s="22">
        <f t="shared" si="72"/>
        <v>107489.52478795048</v>
      </c>
      <c r="AS73" s="22">
        <f t="shared" si="72"/>
        <v>107290.12122368094</v>
      </c>
      <c r="AT73" s="22">
        <f t="shared" si="72"/>
        <v>106937.76055206884</v>
      </c>
      <c r="AU73" s="22">
        <f t="shared" si="72"/>
        <v>105870.93370376204</v>
      </c>
      <c r="AV73" s="22">
        <f t="shared" si="72"/>
        <v>104656.62112515626</v>
      </c>
      <c r="AW73" s="22">
        <f t="shared" si="72"/>
        <v>103300.13944489992</v>
      </c>
      <c r="AX73" s="22">
        <f t="shared" si="72"/>
        <v>101807.49959472047</v>
      </c>
      <c r="AY73" s="22">
        <f t="shared" si="72"/>
        <v>100185.52561247512</v>
      </c>
      <c r="AZ73" s="22">
        <f t="shared" si="72"/>
        <v>98441.72794951158</v>
      </c>
      <c r="BA73" s="22">
        <f t="shared" si="72"/>
        <v>12655.190989646824</v>
      </c>
      <c r="BB73" s="22">
        <f t="shared" si="72"/>
        <v>11910.944419010844</v>
      </c>
      <c r="BC73" s="22">
        <f t="shared" si="72"/>
        <v>12034.902222208848</v>
      </c>
      <c r="BD73" s="22">
        <f t="shared" si="72"/>
        <v>12157.219499192179</v>
      </c>
      <c r="BE73" s="22">
        <f t="shared" si="72"/>
        <v>12257.000701044681</v>
      </c>
      <c r="BF73" s="22">
        <f t="shared" si="72"/>
        <v>12355.354341646918</v>
      </c>
      <c r="BG73" s="22">
        <f t="shared" si="72"/>
        <v>12452.231680487279</v>
      </c>
      <c r="BH73" s="22">
        <f t="shared" si="72"/>
        <v>12547.638446854375</v>
      </c>
      <c r="BI73" s="22">
        <f t="shared" si="72"/>
        <v>12641.505126269316</v>
      </c>
      <c r="BJ73" s="22">
        <f t="shared" si="72"/>
        <v>12733.751595694723</v>
      </c>
      <c r="BK73" s="22">
        <f t="shared" si="72"/>
        <v>12824.373628854022</v>
      </c>
      <c r="BL73" s="22">
        <f t="shared" si="72"/>
        <v>12913.388167353462</v>
      </c>
      <c r="BM73" s="22">
        <f t="shared" si="72"/>
        <v>13000.807179731093</v>
      </c>
      <c r="BN73" s="22">
        <f t="shared" si="72"/>
        <v>13086.542604397095</v>
      </c>
    </row>
    <row r="74" spans="1:72" x14ac:dyDescent="0.25">
      <c r="C74" t="s">
        <v>930</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930</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930</v>
      </c>
      <c r="E76" t="s">
        <v>936</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929</v>
      </c>
      <c r="E77" t="s">
        <v>931</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929</v>
      </c>
      <c r="E78" t="s">
        <v>932</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929</v>
      </c>
      <c r="E79" t="s">
        <v>933</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-6.1935604806494224E-2</v>
      </c>
      <c r="AC80" s="49">
        <f t="shared" si="74"/>
        <v>-0.10492356125464204</v>
      </c>
      <c r="AD80" s="49">
        <f t="shared" si="74"/>
        <v>-0.10668176726843398</v>
      </c>
      <c r="AE80" s="49">
        <f t="shared" si="74"/>
        <v>-9.4260181583125657E-2</v>
      </c>
      <c r="AF80" s="49">
        <f t="shared" si="74"/>
        <v>-5.071632298769032E-2</v>
      </c>
      <c r="AG80" s="49">
        <f t="shared" si="74"/>
        <v>-6.1361999160036595E-2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5546875" defaultRowHeight="15" x14ac:dyDescent="0.25"/>
  <cols>
    <col min="1" max="1" width="12.28515625" style="90" customWidth="1"/>
    <col min="2" max="2" width="53.85546875" customWidth="1"/>
    <col min="3" max="3" width="12.42578125" customWidth="1"/>
    <col min="4" max="4" width="14" customWidth="1"/>
    <col min="5" max="5" width="12.42578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940</v>
      </c>
      <c r="C1" s="90">
        <f>DriversCGE!E87</f>
        <v>-1</v>
      </c>
    </row>
    <row r="2" spans="1:8" x14ac:dyDescent="0.25">
      <c r="B2" s="87"/>
    </row>
    <row r="3" spans="1:8" s="99" customFormat="1" ht="21.75" customHeight="1" x14ac:dyDescent="0.25">
      <c r="A3" s="98"/>
      <c r="B3" s="98" t="s">
        <v>1002</v>
      </c>
      <c r="C3" s="98"/>
      <c r="D3" s="98"/>
      <c r="E3" s="98"/>
      <c r="F3" s="98"/>
      <c r="G3" s="98"/>
      <c r="H3" s="98"/>
    </row>
    <row r="4" spans="1:8" s="44" customFormat="1" x14ac:dyDescent="0.25">
      <c r="A4" s="91" t="s">
        <v>1404</v>
      </c>
      <c r="B4" s="36" t="s">
        <v>1384</v>
      </c>
      <c r="C4" s="36"/>
    </row>
    <row r="5" spans="1:8" x14ac:dyDescent="0.25">
      <c r="A5" s="90">
        <v>1</v>
      </c>
      <c r="B5" t="s">
        <v>1003</v>
      </c>
      <c r="C5" s="105" t="str">
        <f>IF($C$1-2&gt;A5,"On","Off")</f>
        <v>Off</v>
      </c>
      <c r="F5" t="s">
        <v>1385</v>
      </c>
    </row>
    <row r="6" spans="1:8" x14ac:dyDescent="0.25">
      <c r="A6" s="90">
        <v>1</v>
      </c>
      <c r="B6" t="s">
        <v>945</v>
      </c>
      <c r="C6" s="105" t="str">
        <f t="shared" ref="C6:C14" si="0">IF($C$1-2&gt;A6,"On","Off")</f>
        <v>Off</v>
      </c>
    </row>
    <row r="7" spans="1:8" x14ac:dyDescent="0.25">
      <c r="A7" s="90">
        <v>1</v>
      </c>
      <c r="B7" t="s">
        <v>1337</v>
      </c>
      <c r="C7" s="105" t="str">
        <f t="shared" si="0"/>
        <v>Off</v>
      </c>
    </row>
    <row r="8" spans="1:8" x14ac:dyDescent="0.25">
      <c r="A8" s="90">
        <v>1</v>
      </c>
      <c r="B8" t="s">
        <v>987</v>
      </c>
      <c r="C8" s="105" t="str">
        <f t="shared" si="0"/>
        <v>Off</v>
      </c>
    </row>
    <row r="9" spans="1:8" x14ac:dyDescent="0.25">
      <c r="A9" s="90">
        <v>1</v>
      </c>
      <c r="B9" t="s">
        <v>988</v>
      </c>
      <c r="C9" s="105" t="str">
        <f t="shared" si="0"/>
        <v>Off</v>
      </c>
    </row>
    <row r="10" spans="1:8" x14ac:dyDescent="0.25">
      <c r="A10" s="90">
        <v>1</v>
      </c>
      <c r="B10" t="s">
        <v>991</v>
      </c>
      <c r="C10" s="105" t="str">
        <f t="shared" si="0"/>
        <v>Off</v>
      </c>
    </row>
    <row r="11" spans="1:8" x14ac:dyDescent="0.25">
      <c r="A11" s="90">
        <v>1</v>
      </c>
      <c r="B11" s="103" t="s">
        <v>989</v>
      </c>
      <c r="C11" s="105" t="str">
        <f t="shared" si="0"/>
        <v>Off</v>
      </c>
      <c r="F11" t="s">
        <v>1386</v>
      </c>
    </row>
    <row r="12" spans="1:8" ht="64.5" customHeight="1" x14ac:dyDescent="0.25">
      <c r="A12" s="90">
        <v>2</v>
      </c>
      <c r="B12" t="s">
        <v>993</v>
      </c>
      <c r="C12" s="105" t="str">
        <f>IF($C$1-2&gt;A12,"PB","Off")</f>
        <v>Off</v>
      </c>
      <c r="D12" s="135" t="s">
        <v>1382</v>
      </c>
      <c r="E12" s="136"/>
    </row>
    <row r="13" spans="1:8" x14ac:dyDescent="0.25">
      <c r="A13" s="90">
        <v>2</v>
      </c>
      <c r="B13" s="103" t="s">
        <v>994</v>
      </c>
      <c r="C13" s="105" t="str">
        <f t="shared" si="0"/>
        <v>Off</v>
      </c>
      <c r="F13" t="s">
        <v>1387</v>
      </c>
    </row>
    <row r="14" spans="1:8" x14ac:dyDescent="0.25">
      <c r="A14" s="90">
        <v>2</v>
      </c>
      <c r="B14" t="s">
        <v>1383</v>
      </c>
      <c r="C14" s="105" t="str">
        <f t="shared" si="0"/>
        <v>Off</v>
      </c>
    </row>
    <row r="15" spans="1:8" x14ac:dyDescent="0.25">
      <c r="B15" s="87"/>
    </row>
    <row r="16" spans="1:8" s="99" customFormat="1" ht="29.25" customHeight="1" x14ac:dyDescent="0.25">
      <c r="A16" s="98"/>
      <c r="B16" s="98" t="s">
        <v>1374</v>
      </c>
      <c r="C16" s="98">
        <v>2020</v>
      </c>
      <c r="D16" s="98">
        <v>2030</v>
      </c>
      <c r="E16" s="98">
        <v>2040</v>
      </c>
      <c r="F16" s="98">
        <v>2050</v>
      </c>
    </row>
    <row r="17" spans="1:8" s="107" customFormat="1" x14ac:dyDescent="0.25">
      <c r="A17" s="106"/>
      <c r="B17" s="107" t="s">
        <v>1003</v>
      </c>
      <c r="H17" s="108"/>
    </row>
    <row r="18" spans="1:8" x14ac:dyDescent="0.25">
      <c r="A18" s="90" t="s">
        <v>947</v>
      </c>
      <c r="B18" t="s">
        <v>948</v>
      </c>
      <c r="C18">
        <v>3</v>
      </c>
      <c r="D18">
        <v>4</v>
      </c>
      <c r="E18">
        <v>4</v>
      </c>
      <c r="F18">
        <v>4</v>
      </c>
      <c r="H18" s="92"/>
    </row>
    <row r="19" spans="1:8" x14ac:dyDescent="0.25">
      <c r="A19" s="90" t="s">
        <v>947</v>
      </c>
      <c r="B19" t="s">
        <v>950</v>
      </c>
      <c r="C19">
        <v>2</v>
      </c>
      <c r="D19">
        <v>4</v>
      </c>
      <c r="E19">
        <v>4</v>
      </c>
      <c r="F19">
        <v>4</v>
      </c>
      <c r="H19" s="92"/>
    </row>
    <row r="20" spans="1:8" x14ac:dyDescent="0.25">
      <c r="A20" s="90" t="s">
        <v>947</v>
      </c>
      <c r="B20" t="s">
        <v>949</v>
      </c>
      <c r="C20">
        <v>3</v>
      </c>
      <c r="D20">
        <v>4</v>
      </c>
      <c r="E20">
        <v>4</v>
      </c>
      <c r="F20">
        <v>4</v>
      </c>
      <c r="H20" s="92"/>
    </row>
    <row r="21" spans="1:8" x14ac:dyDescent="0.25">
      <c r="A21" s="90" t="s">
        <v>947</v>
      </c>
      <c r="B21" t="s">
        <v>1013</v>
      </c>
      <c r="C21">
        <v>0</v>
      </c>
      <c r="D21">
        <v>80</v>
      </c>
      <c r="E21">
        <v>100</v>
      </c>
      <c r="F21">
        <v>100</v>
      </c>
      <c r="H21" s="92"/>
    </row>
    <row r="22" spans="1:8" x14ac:dyDescent="0.25">
      <c r="A22" s="90" t="s">
        <v>947</v>
      </c>
      <c r="B22" t="s">
        <v>1015</v>
      </c>
      <c r="C22">
        <v>0</v>
      </c>
      <c r="D22">
        <v>50</v>
      </c>
      <c r="E22">
        <v>80</v>
      </c>
      <c r="F22">
        <v>100</v>
      </c>
      <c r="H22" s="92"/>
    </row>
    <row r="23" spans="1:8" x14ac:dyDescent="0.25">
      <c r="A23" s="90" t="s">
        <v>947</v>
      </c>
      <c r="B23" t="s">
        <v>1014</v>
      </c>
      <c r="C23">
        <v>0</v>
      </c>
      <c r="D23">
        <v>80</v>
      </c>
      <c r="E23">
        <v>100</v>
      </c>
      <c r="F23">
        <v>100</v>
      </c>
      <c r="H23" s="92"/>
    </row>
    <row r="25" spans="1:8" s="107" customFormat="1" x14ac:dyDescent="0.25">
      <c r="A25" s="106"/>
      <c r="B25" s="107" t="s">
        <v>945</v>
      </c>
      <c r="H25" s="108"/>
    </row>
    <row r="26" spans="1:8" x14ac:dyDescent="0.25">
      <c r="A26" s="90" t="s">
        <v>947</v>
      </c>
      <c r="B26" t="s">
        <v>1339</v>
      </c>
      <c r="C26">
        <v>0</v>
      </c>
      <c r="D26">
        <v>20</v>
      </c>
      <c r="E26">
        <v>20</v>
      </c>
      <c r="F26">
        <v>20</v>
      </c>
      <c r="H26" s="92"/>
    </row>
    <row r="27" spans="1:8" x14ac:dyDescent="0.25">
      <c r="A27" s="90" t="s">
        <v>947</v>
      </c>
      <c r="B27" t="s">
        <v>1343</v>
      </c>
      <c r="C27">
        <v>0</v>
      </c>
      <c r="D27">
        <v>20</v>
      </c>
      <c r="E27">
        <v>20</v>
      </c>
      <c r="F27">
        <v>20</v>
      </c>
      <c r="H27" s="92"/>
    </row>
    <row r="28" spans="1:8" x14ac:dyDescent="0.25">
      <c r="A28" s="90" t="s">
        <v>947</v>
      </c>
      <c r="B28" t="s">
        <v>1017</v>
      </c>
      <c r="C28">
        <v>0</v>
      </c>
      <c r="D28">
        <v>70</v>
      </c>
      <c r="E28">
        <v>100</v>
      </c>
      <c r="F28">
        <v>100</v>
      </c>
      <c r="H28" s="92" t="s">
        <v>1388</v>
      </c>
    </row>
    <row r="29" spans="1:8" x14ac:dyDescent="0.25">
      <c r="A29" s="90" t="s">
        <v>947</v>
      </c>
      <c r="B29" t="s">
        <v>1014</v>
      </c>
      <c r="C29">
        <v>0</v>
      </c>
      <c r="D29">
        <v>70</v>
      </c>
      <c r="E29">
        <v>100</v>
      </c>
      <c r="F29">
        <v>100</v>
      </c>
    </row>
    <row r="31" spans="1:8" s="107" customFormat="1" x14ac:dyDescent="0.25">
      <c r="A31" s="106"/>
      <c r="B31" s="107" t="s">
        <v>1337</v>
      </c>
      <c r="H31" s="108"/>
    </row>
    <row r="32" spans="1:8" x14ac:dyDescent="0.25">
      <c r="B32" t="s">
        <v>1339</v>
      </c>
      <c r="C32">
        <v>0</v>
      </c>
      <c r="D32">
        <v>10</v>
      </c>
      <c r="E32">
        <v>15</v>
      </c>
      <c r="F32">
        <v>20</v>
      </c>
    </row>
    <row r="33" spans="1:8" x14ac:dyDescent="0.25">
      <c r="B33" t="s">
        <v>1340</v>
      </c>
      <c r="C33">
        <v>0</v>
      </c>
      <c r="D33">
        <v>10</v>
      </c>
      <c r="E33">
        <v>15</v>
      </c>
      <c r="F33">
        <v>20</v>
      </c>
    </row>
    <row r="34" spans="1:8" x14ac:dyDescent="0.25">
      <c r="B34" t="s">
        <v>1341</v>
      </c>
      <c r="C34">
        <v>0</v>
      </c>
      <c r="D34">
        <v>10</v>
      </c>
      <c r="E34">
        <v>15</v>
      </c>
      <c r="F34">
        <v>20</v>
      </c>
    </row>
    <row r="35" spans="1:8" x14ac:dyDescent="0.25">
      <c r="B35" t="s">
        <v>1342</v>
      </c>
      <c r="C35">
        <v>0</v>
      </c>
      <c r="D35">
        <v>10</v>
      </c>
      <c r="E35">
        <v>15</v>
      </c>
      <c r="F35">
        <v>20</v>
      </c>
    </row>
    <row r="36" spans="1:8" x14ac:dyDescent="0.25">
      <c r="B36" t="s">
        <v>1343</v>
      </c>
      <c r="C36">
        <v>0</v>
      </c>
      <c r="D36">
        <v>10</v>
      </c>
      <c r="E36">
        <v>15</v>
      </c>
      <c r="F36">
        <v>20</v>
      </c>
    </row>
    <row r="37" spans="1:8" x14ac:dyDescent="0.25">
      <c r="B37" t="s">
        <v>1362</v>
      </c>
      <c r="C37">
        <v>0</v>
      </c>
      <c r="D37">
        <v>2</v>
      </c>
      <c r="E37">
        <v>3.5</v>
      </c>
      <c r="F37">
        <v>5</v>
      </c>
    </row>
    <row r="38" spans="1:8" x14ac:dyDescent="0.25">
      <c r="B38" t="s">
        <v>1364</v>
      </c>
      <c r="C38">
        <v>0</v>
      </c>
      <c r="D38">
        <v>2</v>
      </c>
      <c r="E38">
        <v>3.5</v>
      </c>
      <c r="F38">
        <v>5</v>
      </c>
    </row>
    <row r="39" spans="1:8" x14ac:dyDescent="0.25">
      <c r="B39" t="s">
        <v>1017</v>
      </c>
      <c r="C39">
        <v>0</v>
      </c>
      <c r="D39">
        <v>40</v>
      </c>
      <c r="E39">
        <v>60</v>
      </c>
      <c r="F39">
        <v>80</v>
      </c>
    </row>
    <row r="40" spans="1:8" x14ac:dyDescent="0.25">
      <c r="B40" t="s">
        <v>1352</v>
      </c>
      <c r="C40">
        <v>0</v>
      </c>
      <c r="D40">
        <v>40</v>
      </c>
      <c r="E40">
        <v>60</v>
      </c>
      <c r="F40">
        <v>80</v>
      </c>
    </row>
    <row r="41" spans="1:8" x14ac:dyDescent="0.25">
      <c r="B41" t="s">
        <v>1046</v>
      </c>
      <c r="C41">
        <v>0</v>
      </c>
      <c r="D41">
        <v>40</v>
      </c>
      <c r="E41">
        <v>60</v>
      </c>
      <c r="F41">
        <v>80</v>
      </c>
    </row>
    <row r="42" spans="1:8" x14ac:dyDescent="0.25">
      <c r="B42" t="s">
        <v>1015</v>
      </c>
      <c r="C42">
        <v>0</v>
      </c>
      <c r="D42">
        <v>40</v>
      </c>
      <c r="E42">
        <v>60</v>
      </c>
      <c r="F42">
        <v>80</v>
      </c>
    </row>
    <row r="43" spans="1:8" x14ac:dyDescent="0.25">
      <c r="B43" t="s">
        <v>1047</v>
      </c>
      <c r="C43">
        <v>0</v>
      </c>
      <c r="D43">
        <v>40</v>
      </c>
      <c r="E43">
        <v>60</v>
      </c>
      <c r="F43">
        <v>80</v>
      </c>
    </row>
    <row r="45" spans="1:8" s="107" customFormat="1" x14ac:dyDescent="0.25">
      <c r="A45" s="106"/>
      <c r="B45" s="107" t="s">
        <v>987</v>
      </c>
      <c r="H45" s="108"/>
    </row>
    <row r="46" spans="1:8" x14ac:dyDescent="0.25">
      <c r="B46" t="s">
        <v>1041</v>
      </c>
      <c r="C46">
        <v>70</v>
      </c>
      <c r="D46">
        <v>80</v>
      </c>
      <c r="E46">
        <v>85</v>
      </c>
      <c r="F46">
        <v>85</v>
      </c>
    </row>
    <row r="47" spans="1:8" x14ac:dyDescent="0.25">
      <c r="B47" t="s">
        <v>1034</v>
      </c>
      <c r="C47">
        <v>70</v>
      </c>
      <c r="D47">
        <v>80</v>
      </c>
      <c r="E47">
        <v>80</v>
      </c>
      <c r="F47">
        <v>80</v>
      </c>
    </row>
    <row r="48" spans="1:8" x14ac:dyDescent="0.25">
      <c r="B48" t="s">
        <v>1042</v>
      </c>
      <c r="C48">
        <v>60</v>
      </c>
      <c r="D48">
        <v>70</v>
      </c>
      <c r="E48">
        <v>70</v>
      </c>
      <c r="F48">
        <v>70</v>
      </c>
    </row>
    <row r="49" spans="2:8" x14ac:dyDescent="0.25">
      <c r="B49" t="s">
        <v>1035</v>
      </c>
      <c r="C49">
        <v>60</v>
      </c>
      <c r="D49">
        <v>70</v>
      </c>
      <c r="E49">
        <v>70</v>
      </c>
      <c r="F49">
        <v>70</v>
      </c>
    </row>
    <row r="50" spans="2:8" x14ac:dyDescent="0.25">
      <c r="B50" t="s">
        <v>1043</v>
      </c>
      <c r="C50">
        <v>75</v>
      </c>
      <c r="D50">
        <v>80</v>
      </c>
      <c r="E50">
        <v>85</v>
      </c>
      <c r="F50">
        <v>85</v>
      </c>
    </row>
    <row r="51" spans="2:8" x14ac:dyDescent="0.25">
      <c r="B51" t="s">
        <v>1036</v>
      </c>
      <c r="C51">
        <v>50</v>
      </c>
      <c r="D51">
        <v>60</v>
      </c>
      <c r="E51">
        <v>60</v>
      </c>
      <c r="F51">
        <v>60</v>
      </c>
    </row>
    <row r="52" spans="2:8" x14ac:dyDescent="0.25">
      <c r="B52" t="s">
        <v>1037</v>
      </c>
      <c r="C52">
        <v>60</v>
      </c>
      <c r="D52">
        <v>70</v>
      </c>
      <c r="E52">
        <v>70</v>
      </c>
      <c r="F52">
        <v>70</v>
      </c>
    </row>
    <row r="53" spans="2:8" x14ac:dyDescent="0.25">
      <c r="B53" t="s">
        <v>1038</v>
      </c>
      <c r="C53">
        <v>50</v>
      </c>
      <c r="D53">
        <v>60</v>
      </c>
      <c r="E53">
        <v>60</v>
      </c>
      <c r="F53">
        <v>60</v>
      </c>
    </row>
    <row r="54" spans="2:8" x14ac:dyDescent="0.25">
      <c r="B54" t="s">
        <v>1039</v>
      </c>
      <c r="C54">
        <v>60</v>
      </c>
      <c r="D54">
        <v>70</v>
      </c>
      <c r="E54">
        <v>70</v>
      </c>
      <c r="F54">
        <v>70</v>
      </c>
    </row>
    <row r="55" spans="2:8" x14ac:dyDescent="0.25">
      <c r="B55" t="s">
        <v>1040</v>
      </c>
      <c r="C55">
        <v>50</v>
      </c>
      <c r="D55">
        <v>60</v>
      </c>
      <c r="E55">
        <v>60</v>
      </c>
      <c r="F55">
        <v>60</v>
      </c>
    </row>
    <row r="56" spans="2:8" x14ac:dyDescent="0.25">
      <c r="B56" t="s">
        <v>1017</v>
      </c>
      <c r="C56">
        <v>0</v>
      </c>
      <c r="D56">
        <v>85</v>
      </c>
      <c r="E56">
        <v>85</v>
      </c>
      <c r="F56">
        <v>85</v>
      </c>
      <c r="H56" s="92"/>
    </row>
    <row r="57" spans="2:8" x14ac:dyDescent="0.25">
      <c r="B57" t="s">
        <v>1045</v>
      </c>
      <c r="C57">
        <v>0</v>
      </c>
      <c r="D57">
        <v>85</v>
      </c>
      <c r="E57">
        <v>85</v>
      </c>
      <c r="F57">
        <v>85</v>
      </c>
    </row>
    <row r="58" spans="2:8" x14ac:dyDescent="0.25">
      <c r="B58" t="s">
        <v>1046</v>
      </c>
      <c r="C58">
        <v>0</v>
      </c>
      <c r="D58">
        <v>60</v>
      </c>
      <c r="E58">
        <v>60</v>
      </c>
      <c r="F58">
        <v>60</v>
      </c>
    </row>
    <row r="59" spans="2:8" x14ac:dyDescent="0.25">
      <c r="B59" t="s">
        <v>1015</v>
      </c>
      <c r="C59">
        <v>0</v>
      </c>
      <c r="D59">
        <v>60</v>
      </c>
      <c r="E59">
        <v>60</v>
      </c>
      <c r="F59">
        <v>60</v>
      </c>
    </row>
    <row r="60" spans="2:8" x14ac:dyDescent="0.25">
      <c r="B60" t="s">
        <v>1048</v>
      </c>
      <c r="C60">
        <v>0</v>
      </c>
      <c r="D60">
        <v>60</v>
      </c>
      <c r="E60">
        <v>60</v>
      </c>
      <c r="F60">
        <v>60</v>
      </c>
    </row>
    <row r="61" spans="2:8" x14ac:dyDescent="0.25">
      <c r="B61" t="s">
        <v>1047</v>
      </c>
      <c r="C61">
        <v>0</v>
      </c>
      <c r="D61">
        <v>85</v>
      </c>
      <c r="E61">
        <v>85</v>
      </c>
      <c r="F61">
        <v>85</v>
      </c>
    </row>
    <row r="62" spans="2:8" x14ac:dyDescent="0.25">
      <c r="B62" t="s">
        <v>1016</v>
      </c>
      <c r="C62">
        <v>0</v>
      </c>
      <c r="D62">
        <v>60</v>
      </c>
      <c r="E62">
        <v>60</v>
      </c>
      <c r="F62">
        <v>60</v>
      </c>
    </row>
    <row r="63" spans="2:8" x14ac:dyDescent="0.25">
      <c r="B63" t="s">
        <v>1049</v>
      </c>
      <c r="C63">
        <v>0</v>
      </c>
      <c r="D63">
        <v>40</v>
      </c>
      <c r="E63">
        <v>40</v>
      </c>
      <c r="F63">
        <v>40</v>
      </c>
    </row>
    <row r="64" spans="2:8" x14ac:dyDescent="0.25">
      <c r="B64" t="s">
        <v>1051</v>
      </c>
      <c r="C64">
        <v>0</v>
      </c>
      <c r="D64">
        <v>0</v>
      </c>
      <c r="E64">
        <v>40</v>
      </c>
      <c r="F64">
        <v>40</v>
      </c>
    </row>
    <row r="65" spans="1:8" x14ac:dyDescent="0.25">
      <c r="B65" t="s">
        <v>1050</v>
      </c>
      <c r="C65">
        <v>0</v>
      </c>
      <c r="D65">
        <v>0</v>
      </c>
      <c r="E65">
        <v>20</v>
      </c>
      <c r="F65">
        <v>20</v>
      </c>
    </row>
    <row r="67" spans="1:8" s="107" customFormat="1" x14ac:dyDescent="0.25">
      <c r="A67" s="106"/>
      <c r="B67" s="107" t="s">
        <v>988</v>
      </c>
      <c r="H67" s="108"/>
    </row>
    <row r="68" spans="1:8" x14ac:dyDescent="0.25">
      <c r="B68" t="s">
        <v>1114</v>
      </c>
      <c r="C68">
        <v>0</v>
      </c>
      <c r="D68">
        <v>50</v>
      </c>
      <c r="E68">
        <v>100</v>
      </c>
      <c r="F68">
        <v>100</v>
      </c>
    </row>
    <row r="69" spans="1:8" x14ac:dyDescent="0.25">
      <c r="B69" t="s">
        <v>1115</v>
      </c>
      <c r="C69">
        <v>0</v>
      </c>
      <c r="D69">
        <v>50</v>
      </c>
      <c r="E69">
        <v>100</v>
      </c>
      <c r="F69">
        <v>100</v>
      </c>
    </row>
    <row r="70" spans="1:8" x14ac:dyDescent="0.25">
      <c r="B70" t="s">
        <v>1124</v>
      </c>
      <c r="C70">
        <v>0</v>
      </c>
      <c r="D70">
        <v>50</v>
      </c>
      <c r="E70">
        <v>100</v>
      </c>
      <c r="F70">
        <v>100</v>
      </c>
    </row>
    <row r="72" spans="1:8" s="107" customFormat="1" x14ac:dyDescent="0.25">
      <c r="A72" s="106"/>
      <c r="B72" s="107" t="s">
        <v>991</v>
      </c>
      <c r="H72" s="108"/>
    </row>
    <row r="73" spans="1:8" x14ac:dyDescent="0.25">
      <c r="B73" t="s">
        <v>1217</v>
      </c>
      <c r="C73">
        <v>0</v>
      </c>
      <c r="D73">
        <v>80</v>
      </c>
      <c r="E73">
        <v>100</v>
      </c>
      <c r="F73">
        <v>100</v>
      </c>
    </row>
    <row r="74" spans="1:8" x14ac:dyDescent="0.25">
      <c r="B74" t="s">
        <v>1218</v>
      </c>
      <c r="C74">
        <v>0</v>
      </c>
      <c r="D74">
        <v>0</v>
      </c>
      <c r="E74">
        <v>0</v>
      </c>
      <c r="F74">
        <v>0</v>
      </c>
    </row>
    <row r="75" spans="1:8" x14ac:dyDescent="0.25">
      <c r="B75" t="s">
        <v>1235</v>
      </c>
      <c r="C75">
        <v>0</v>
      </c>
      <c r="D75">
        <v>30</v>
      </c>
      <c r="E75">
        <v>40</v>
      </c>
      <c r="F75">
        <v>50</v>
      </c>
    </row>
    <row r="77" spans="1:8" s="107" customFormat="1" x14ac:dyDescent="0.25">
      <c r="A77" s="106"/>
      <c r="B77" s="107" t="s">
        <v>1376</v>
      </c>
      <c r="H77" s="108"/>
    </row>
    <row r="78" spans="1:8" x14ac:dyDescent="0.25">
      <c r="B78" t="s">
        <v>1367</v>
      </c>
      <c r="C78">
        <v>0</v>
      </c>
      <c r="D78">
        <v>15</v>
      </c>
      <c r="E78">
        <v>25</v>
      </c>
      <c r="F78">
        <v>30</v>
      </c>
    </row>
    <row r="79" spans="1:8" x14ac:dyDescent="0.25">
      <c r="B79" t="s">
        <v>1368</v>
      </c>
      <c r="C79">
        <v>0</v>
      </c>
      <c r="D79">
        <f>D78/3</f>
        <v>5</v>
      </c>
      <c r="E79" s="85">
        <f>E78/3</f>
        <v>8.3333333333333339</v>
      </c>
      <c r="F79">
        <f>F78/3</f>
        <v>10</v>
      </c>
    </row>
    <row r="80" spans="1:8" x14ac:dyDescent="0.25">
      <c r="B80" t="s">
        <v>1369</v>
      </c>
      <c r="C80">
        <v>0</v>
      </c>
      <c r="D80">
        <f>(D78-D79)+(0.05*(D78-D79))</f>
        <v>10.5</v>
      </c>
      <c r="E80">
        <f t="shared" ref="E80:F80" si="1">(E78-E79)+(0.05*(E78-E79))</f>
        <v>17.499999999999996</v>
      </c>
      <c r="F80">
        <f t="shared" si="1"/>
        <v>21</v>
      </c>
    </row>
    <row r="82" spans="1:8" s="107" customFormat="1" x14ac:dyDescent="0.25">
      <c r="A82" s="106"/>
      <c r="B82" s="107" t="s">
        <v>1377</v>
      </c>
      <c r="H82" s="108"/>
    </row>
    <row r="83" spans="1:8" x14ac:dyDescent="0.25">
      <c r="B83" t="s">
        <v>1367</v>
      </c>
      <c r="C83">
        <f>C78</f>
        <v>0</v>
      </c>
      <c r="D83">
        <f t="shared" ref="D83:F83" si="2">D78</f>
        <v>15</v>
      </c>
      <c r="E83">
        <f t="shared" si="2"/>
        <v>25</v>
      </c>
      <c r="F83">
        <f t="shared" si="2"/>
        <v>30</v>
      </c>
    </row>
    <row r="85" spans="1:8" s="107" customFormat="1" x14ac:dyDescent="0.25">
      <c r="A85" s="106"/>
      <c r="B85" s="107" t="s">
        <v>994</v>
      </c>
      <c r="H85" s="108"/>
    </row>
    <row r="88" spans="1:8" s="107" customFormat="1" x14ac:dyDescent="0.25">
      <c r="A88" s="106"/>
      <c r="B88" s="107" t="s">
        <v>1256</v>
      </c>
      <c r="H88" s="108"/>
    </row>
    <row r="89" spans="1:8" x14ac:dyDescent="0.25">
      <c r="B89" t="s">
        <v>1257</v>
      </c>
      <c r="C89">
        <v>0</v>
      </c>
      <c r="D89">
        <v>0.5</v>
      </c>
      <c r="E89">
        <v>0.8</v>
      </c>
      <c r="F89">
        <v>1</v>
      </c>
    </row>
    <row r="90" spans="1:8" x14ac:dyDescent="0.25">
      <c r="B90" t="s">
        <v>1258</v>
      </c>
      <c r="C90">
        <v>0</v>
      </c>
      <c r="D90">
        <v>0.2</v>
      </c>
      <c r="E90">
        <v>0.3</v>
      </c>
      <c r="F90">
        <v>0.4</v>
      </c>
    </row>
    <row r="91" spans="1:8" x14ac:dyDescent="0.25">
      <c r="B91" t="s">
        <v>1259</v>
      </c>
      <c r="C91">
        <v>0</v>
      </c>
      <c r="D91">
        <v>0.2</v>
      </c>
      <c r="E91">
        <v>0.3</v>
      </c>
      <c r="F91">
        <v>0.4</v>
      </c>
    </row>
    <row r="92" spans="1:8" x14ac:dyDescent="0.25">
      <c r="B92" t="s">
        <v>1260</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5546875" defaultRowHeight="15" outlineLevelCol="1" x14ac:dyDescent="0.25"/>
  <cols>
    <col min="1" max="1" width="23.7109375" customWidth="1"/>
    <col min="2" max="2" width="37.140625" customWidth="1"/>
    <col min="3" max="3" width="27.7109375" customWidth="1"/>
    <col min="4" max="4" width="27.42578125" customWidth="1"/>
    <col min="5" max="5" width="48" customWidth="1"/>
    <col min="6" max="6" width="11.42578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30545.697692386806</v>
      </c>
      <c r="AU4" s="81">
        <f t="shared" si="0"/>
        <v>28386.840294811875</v>
      </c>
      <c r="AV4" s="81">
        <f t="shared" si="0"/>
        <v>26658.582353066653</v>
      </c>
      <c r="AW4" s="81">
        <f>AW11-AV11</f>
        <v>24905.205873753875</v>
      </c>
      <c r="AX4" s="81">
        <f t="shared" si="0"/>
        <v>23550.175813615322</v>
      </c>
      <c r="AY4" s="81">
        <f t="shared" si="0"/>
        <v>22252.152675736696</v>
      </c>
      <c r="AZ4" s="81">
        <f t="shared" si="0"/>
        <v>20649.138132803142</v>
      </c>
      <c r="BA4" s="15">
        <f>BA8/'Intermediate calculations'!AV8</f>
        <v>3.5308171115186582</v>
      </c>
      <c r="BB4" s="15">
        <f>BB8/'Intermediate calculations'!AW8</f>
        <v>3.4332531022983912</v>
      </c>
      <c r="BC4" s="15">
        <f>BC8/'Intermediate calculations'!AX8</f>
        <v>3.3377541092705738</v>
      </c>
      <c r="BD4" s="15">
        <f>BD8/'Intermediate calculations'!AY8</f>
        <v>3.2442330159192245</v>
      </c>
      <c r="BE4" s="15">
        <f>BE8/'Intermediate calculations'!AZ8</f>
        <v>3.1526086459819269</v>
      </c>
      <c r="BF4" s="15">
        <f>BF8/'Intermediate calculations'!BA8</f>
        <v>3.0628052211155752</v>
      </c>
      <c r="BG4" s="15">
        <f>BG8/'Intermediate calculations'!BB8</f>
        <v>2.9899291852606633</v>
      </c>
      <c r="BH4" s="15">
        <f>BH8/'Intermediate calculations'!BC8</f>
        <v>2.9184695640871459</v>
      </c>
      <c r="BI4" s="15">
        <f>BI8/'Intermediate calculations'!BD8</f>
        <v>2.8483729040734147</v>
      </c>
      <c r="BJ4" s="15">
        <f>BJ8/'Intermediate calculations'!BE8</f>
        <v>2.7795890112494339</v>
      </c>
      <c r="BK4" s="15">
        <f>BK8/'Intermediate calculations'!BF8</f>
        <v>2.7120706846423062</v>
      </c>
      <c r="BL4" s="15">
        <f>BL8/'Intermediate calculations'!BG8</f>
        <v>2.6457734767135372</v>
      </c>
      <c r="BM4" s="15">
        <f>BM8/'Intermediate calculations'!BH8</f>
        <v>2.58065547755541</v>
      </c>
      <c r="BN4" s="15">
        <f>BN8/'Intermediate calculations'!BI8</f>
        <v>2.5166771200581541</v>
      </c>
      <c r="BO4" s="15">
        <f>BO8/'Intermediate calculations'!BJ8</f>
        <v>2.4538010036352174</v>
      </c>
      <c r="BP4" s="15">
        <f>BP8/'Intermediate calculations'!BK8</f>
        <v>2.3919917344128283</v>
      </c>
      <c r="BS4" s="16"/>
      <c r="BT4" s="15"/>
    </row>
    <row r="5" spans="1:72" x14ac:dyDescent="0.25">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593358.66490468499</v>
      </c>
      <c r="AF5" s="102">
        <f>IF($AD$2="Off",'Activity data'!AF5,'Net zero Intermediate calcs'!AA15*'Net zero Intermediate calcs'!AA16*Constants!$H$18)</f>
        <v>598039.0074127327</v>
      </c>
      <c r="AG5" s="102">
        <f>IF($AD$2="Off",'Activity data'!AG5,'Net zero Intermediate calcs'!AB15*'Net zero Intermediate calcs'!AB16*Constants!$H$18)</f>
        <v>601046.62603335571</v>
      </c>
      <c r="AH5" s="102">
        <f>IF($AD$2="Off",'Activity data'!AH5,'Net zero Intermediate calcs'!AC15*'Net zero Intermediate calcs'!AC16*Constants!$H$18)</f>
        <v>603045.20236245112</v>
      </c>
      <c r="AI5" s="102">
        <f>IF($AD$2="Off",'Activity data'!AI5,'Net zero Intermediate calcs'!AD15*'Net zero Intermediate calcs'!AD16*Constants!$H$18)</f>
        <v>604015.06594627828</v>
      </c>
      <c r="AJ5" s="102">
        <f>IF($AD$2="Off",'Activity data'!AJ5,'Net zero Intermediate calcs'!AE15*'Net zero Intermediate calcs'!AE16*Constants!$H$18)</f>
        <v>606157.85554919671</v>
      </c>
      <c r="AK5" s="102">
        <f>IF($AD$2="Off",'Activity data'!AK5,'Net zero Intermediate calcs'!AF15*'Net zero Intermediate calcs'!AF16*Constants!$H$18)</f>
        <v>608615.99513645715</v>
      </c>
      <c r="AL5" s="102">
        <f>IF($AD$2="Off",'Activity data'!AL5,'Net zero Intermediate calcs'!AG15*'Net zero Intermediate calcs'!AG16*Constants!$H$18)</f>
        <v>591322.41163745022</v>
      </c>
      <c r="AM5" s="102">
        <f>IF($AD$2="Off",'Activity data'!AM5,'Net zero Intermediate calcs'!AH15*'Net zero Intermediate calcs'!AH16*Constants!$H$18)</f>
        <v>601496.9511698751</v>
      </c>
      <c r="AN5" s="102">
        <f>IF($AD$2="Off",'Activity data'!AN5,'Net zero Intermediate calcs'!AI15*'Net zero Intermediate calcs'!AI16*Constants!$H$18)</f>
        <v>1034923.6075225763</v>
      </c>
      <c r="AO5" s="102">
        <f>IF($AD$2="Off",'Activity data'!AO5,'Net zero Intermediate calcs'!AJ15*'Net zero Intermediate calcs'!AJ16*Constants!$H$18)</f>
        <v>1047399.1285581163</v>
      </c>
      <c r="AP5" s="102">
        <f>IF($AD$2="Off",'Activity data'!AP5,'Net zero Intermediate calcs'!AK15*'Net zero Intermediate calcs'!AK16*Constants!$H$18)</f>
        <v>1059327.4427172677</v>
      </c>
      <c r="AQ5" s="102">
        <f>IF($AD$2="Off",'Activity data'!AQ5,'Net zero Intermediate calcs'!AL15*'Net zero Intermediate calcs'!AL16*Constants!$H$18)</f>
        <v>1070505.6520089905</v>
      </c>
      <c r="AR5" s="102">
        <f>IF($AD$2="Off",'Activity data'!AR5,'Net zero Intermediate calcs'!AM15*'Net zero Intermediate calcs'!AM16*Constants!$H$18)</f>
        <v>1080635.2397358473</v>
      </c>
      <c r="AS5" s="102">
        <f>IF($AD$2="Off",'Activity data'!AS5,'Net zero Intermediate calcs'!AN15*'Net zero Intermediate calcs'!AN16*Constants!$H$18)</f>
        <v>1089668.9004951715</v>
      </c>
      <c r="AT5" s="102">
        <f>IF($AD$2="Off",'Activity data'!AT5,'Net zero Intermediate calcs'!AO15*'Net zero Intermediate calcs'!AO16*Constants!$H$18)</f>
        <v>1097554.0084447339</v>
      </c>
      <c r="AU5" s="102">
        <f>IF($AD$2="Off",'Activity data'!AU5,'Net zero Intermediate calcs'!AP15*'Net zero Intermediate calcs'!AP16*Constants!$H$18)</f>
        <v>1104250.7335875784</v>
      </c>
      <c r="AV5" s="102">
        <f>IF($AD$2="Off",'Activity data'!AV5,'Net zero Intermediate calcs'!AQ15*'Net zero Intermediate calcs'!AQ16*Constants!$H$18)</f>
        <v>1109727.4879097647</v>
      </c>
      <c r="AW5" s="102">
        <f>IF($AD$2="Off",'Activity data'!AW5,'Net zero Intermediate calcs'!AR15*'Net zero Intermediate calcs'!AR16*Constants!$H$18)</f>
        <v>1113951.0653098414</v>
      </c>
      <c r="AX5" s="102">
        <f>IF($AD$2="Off",'Activity data'!AX5,'Net zero Intermediate calcs'!AS15*'Net zero Intermediate calcs'!AS16*Constants!$H$18)</f>
        <v>1116901.5865918756</v>
      </c>
      <c r="AY5" s="102">
        <f>IF($AD$2="Off",'Activity data'!AY5,'Net zero Intermediate calcs'!AT15*'Net zero Intermediate calcs'!AT16*Constants!$H$18)</f>
        <v>1118559.9831987994</v>
      </c>
      <c r="AZ5" s="102">
        <f>IF($AD$2="Off",'Activity data'!AZ5,'Net zero Intermediate calcs'!AU15*'Net zero Intermediate calcs'!AU16*Constants!$H$18)</f>
        <v>1118907.8325413887</v>
      </c>
      <c r="BA5" s="102">
        <f>IF($AD$2="Off",'Activity data'!BA5,'Net zero Intermediate calcs'!AV15*'Net zero Intermediate calcs'!AV16*Constants!$H$18)</f>
        <v>1117941.7703009425</v>
      </c>
      <c r="BB5" s="102">
        <f>IF($AD$2="Off",'Activity data'!BB5,'Net zero Intermediate calcs'!AW15*'Net zero Intermediate calcs'!AW16*Constants!$H$18)</f>
        <v>1115667.2963556021</v>
      </c>
      <c r="BC5" s="102">
        <f>IF($AD$2="Off",'Activity data'!BC5,'Net zero Intermediate calcs'!AX15*'Net zero Intermediate calcs'!AX16*Constants!$H$18)</f>
        <v>352977.83999699447</v>
      </c>
      <c r="BD5" s="102">
        <f>IF($AD$2="Off",'Activity data'!BD5,'Net zero Intermediate calcs'!AY15*'Net zero Intermediate calcs'!AY16*Constants!$H$18)</f>
        <v>353235.50789657497</v>
      </c>
      <c r="BE5" s="102">
        <f>IF($AD$2="Off",'Activity data'!BE5,'Net zero Intermediate calcs'!AZ15*'Net zero Intermediate calcs'!AZ16*Constants!$H$18)</f>
        <v>353474.62715966295</v>
      </c>
      <c r="BF5" s="102">
        <f>IF($AD$2="Off",'Activity data'!BF5,'Net zero Intermediate calcs'!BA15*'Net zero Intermediate calcs'!BA16*Constants!$H$18)</f>
        <v>353696.81534571305</v>
      </c>
      <c r="BG5" s="102">
        <f>IF($AD$2="Off",'Activity data'!BG5,'Net zero Intermediate calcs'!BB15*'Net zero Intermediate calcs'!BB16*Constants!$H$18)</f>
        <v>353904.06494897016</v>
      </c>
      <c r="BH5" s="102">
        <f>IF($AD$2="Off",'Activity data'!BH5,'Net zero Intermediate calcs'!BC15*'Net zero Intermediate calcs'!BC16*Constants!$H$18)</f>
        <v>354089.87141117838</v>
      </c>
      <c r="BI5" s="102">
        <f>IF($AD$2="Off",'Activity data'!BI5,'Net zero Intermediate calcs'!BD15*'Net zero Intermediate calcs'!BD16*Constants!$H$18)</f>
        <v>354249.86667107692</v>
      </c>
      <c r="BJ5" s="102">
        <f>IF($AD$2="Off",'Activity data'!BJ5,'Net zero Intermediate calcs'!BE15*'Net zero Intermediate calcs'!BE16*Constants!$H$18)</f>
        <v>354383.35025856091</v>
      </c>
      <c r="BK5" s="102">
        <f>IF($AD$2="Off",'Activity data'!BK5,'Net zero Intermediate calcs'!BF15*'Net zero Intermediate calcs'!BF16*Constants!$H$18)</f>
        <v>354485.36599126982</v>
      </c>
      <c r="BL5" s="102">
        <f>IF($AD$2="Off",'Activity data'!BL5,'Net zero Intermediate calcs'!BG15*'Net zero Intermediate calcs'!BG16*Constants!$H$18)</f>
        <v>354550.53300491563</v>
      </c>
      <c r="BM5" s="102">
        <f>IF($AD$2="Off",'Activity data'!BM5,'Net zero Intermediate calcs'!BH15*'Net zero Intermediate calcs'!BH16*Constants!$H$18)</f>
        <v>354578.18668771023</v>
      </c>
      <c r="BN5" s="102">
        <f>IF($AD$2="Off",'Activity data'!BN5,'Net zero Intermediate calcs'!BI15*'Net zero Intermediate calcs'!BI16*Constants!$H$18)</f>
        <v>354569.09132560756</v>
      </c>
      <c r="BO5" s="102">
        <f>IF($AD$2="Off",'Activity data'!BO5,'Net zero Intermediate calcs'!BJ15*'Net zero Intermediate calcs'!BJ16*Constants!$H$18)</f>
        <v>354523.779919889</v>
      </c>
      <c r="BP5" s="102">
        <f>IF($AD$2="Off",'Activity data'!BP5,'Net zero Intermediate calcs'!BK15*'Net zero Intermediate calcs'!BK16*Constants!$H$18)</f>
        <v>354437.19147932017</v>
      </c>
      <c r="BQ5">
        <v>840617.99710661627</v>
      </c>
    </row>
    <row r="6" spans="1:72" x14ac:dyDescent="0.25">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491640.03663531045</v>
      </c>
      <c r="AF6" s="102">
        <f>IF($AD$2="Off",'Activity data'!AF6,'Net zero Intermediate calcs'!AA15*'Net zero Intermediate calcs'!AA16*Constants!$H$19)</f>
        <v>495518.03471340711</v>
      </c>
      <c r="AG6" s="102">
        <f>IF($AD$2="Off",'Activity data'!AG6,'Net zero Intermediate calcs'!AB15*'Net zero Intermediate calcs'!AB16*Constants!$H$19)</f>
        <v>498010.06157049473</v>
      </c>
      <c r="AH6" s="102">
        <f>IF($AD$2="Off",'Activity data'!AH6,'Net zero Intermediate calcs'!AC15*'Net zero Intermediate calcs'!AC16*Constants!$H$19)</f>
        <v>499666.02481460234</v>
      </c>
      <c r="AI6" s="102">
        <f>IF($AD$2="Off",'Activity data'!AI6,'Net zero Intermediate calcs'!AD15*'Net zero Intermediate calcs'!AD16*Constants!$H$19)</f>
        <v>500469.62606977345</v>
      </c>
      <c r="AJ6" s="102">
        <f>IF($AD$2="Off",'Activity data'!AJ6,'Net zero Intermediate calcs'!AE15*'Net zero Intermediate calcs'!AE16*Constants!$H$19)</f>
        <v>502245.08031219151</v>
      </c>
      <c r="AK6" s="102">
        <f>IF($AD$2="Off",'Activity data'!AK6,'Net zero Intermediate calcs'!AF15*'Net zero Intermediate calcs'!AF16*Constants!$H$19)</f>
        <v>504281.82454163593</v>
      </c>
      <c r="AL6" s="102">
        <f>IF($AD$2="Off",'Activity data'!AL6,'Net zero Intermediate calcs'!AG15*'Net zero Intermediate calcs'!AG16*Constants!$H$19)</f>
        <v>489952.85535674449</v>
      </c>
      <c r="AM6" s="102">
        <f>IF($AD$2="Off",'Activity data'!AM6,'Net zero Intermediate calcs'!AH15*'Net zero Intermediate calcs'!AH16*Constants!$H$19)</f>
        <v>498383.18811218225</v>
      </c>
      <c r="AN6" s="102">
        <f>IF($AD$2="Off",'Activity data'!AN6,'Net zero Intermediate calcs'!AI15*'Net zero Intermediate calcs'!AI16*Constants!$H$19)</f>
        <v>857508.13194727746</v>
      </c>
      <c r="AO6" s="102">
        <f>IF($AD$2="Off",'Activity data'!AO6,'Net zero Intermediate calcs'!AJ15*'Net zero Intermediate calcs'!AJ16*Constants!$H$19)</f>
        <v>867844.99223386776</v>
      </c>
      <c r="AP6" s="102">
        <f>IF($AD$2="Off",'Activity data'!AP6,'Net zero Intermediate calcs'!AK15*'Net zero Intermediate calcs'!AK16*Constants!$H$19)</f>
        <v>877728.45253716467</v>
      </c>
      <c r="AQ6" s="102">
        <f>IF($AD$2="Off",'Activity data'!AQ6,'Net zero Intermediate calcs'!AL15*'Net zero Intermediate calcs'!AL16*Constants!$H$19)</f>
        <v>886990.39737887774</v>
      </c>
      <c r="AR6" s="102">
        <f>IF($AD$2="Off",'Activity data'!AR6,'Net zero Intermediate calcs'!AM15*'Net zero Intermediate calcs'!AM16*Constants!$H$19)</f>
        <v>895383.4843525592</v>
      </c>
      <c r="AS6" s="102">
        <f>IF($AD$2="Off",'Activity data'!AS6,'Net zero Intermediate calcs'!AN15*'Net zero Intermediate calcs'!AN16*Constants!$H$19)</f>
        <v>902868.51755314216</v>
      </c>
      <c r="AT6" s="102">
        <f>IF($AD$2="Off",'Activity data'!AT6,'Net zero Intermediate calcs'!AO15*'Net zero Intermediate calcs'!AO16*Constants!$H$19)</f>
        <v>909401.89271135093</v>
      </c>
      <c r="AU6" s="102">
        <f>IF($AD$2="Off",'Activity data'!AU6,'Net zero Intermediate calcs'!AP15*'Net zero Intermediate calcs'!AP16*Constants!$H$19)</f>
        <v>914950.60782970779</v>
      </c>
      <c r="AV6" s="102">
        <f>IF($AD$2="Off",'Activity data'!AV6,'Net zero Intermediate calcs'!AQ15*'Net zero Intermediate calcs'!AQ16*Constants!$H$19)</f>
        <v>919488.48998237646</v>
      </c>
      <c r="AW6" s="102">
        <f>IF($AD$2="Off",'Activity data'!AW6,'Net zero Intermediate calcs'!AR15*'Net zero Intermediate calcs'!AR16*Constants!$H$19)</f>
        <v>922988.02554244013</v>
      </c>
      <c r="AX6" s="102">
        <f>IF($AD$2="Off",'Activity data'!AX6,'Net zero Intermediate calcs'!AS15*'Net zero Intermediate calcs'!AS16*Constants!$H$19)</f>
        <v>925432.74317612546</v>
      </c>
      <c r="AY6" s="102">
        <f>IF($AD$2="Off",'Activity data'!AY6,'Net zero Intermediate calcs'!AT15*'Net zero Intermediate calcs'!AT16*Constants!$H$19)</f>
        <v>926806.84322186233</v>
      </c>
      <c r="AZ6" s="102">
        <f>IF($AD$2="Off",'Activity data'!AZ6,'Net zero Intermediate calcs'!AU15*'Net zero Intermediate calcs'!AU16*Constants!$H$19)</f>
        <v>927095.0612485793</v>
      </c>
      <c r="BA6" s="102">
        <f>IF($AD$2="Off",'Activity data'!BA6,'Net zero Intermediate calcs'!AV15*'Net zero Intermediate calcs'!AV16*Constants!$H$19)</f>
        <v>926294.60967792373</v>
      </c>
      <c r="BB6" s="102">
        <f>IF($AD$2="Off",'Activity data'!BB6,'Net zero Intermediate calcs'!AW15*'Net zero Intermediate calcs'!AW16*Constants!$H$19)</f>
        <v>924410.04555178457</v>
      </c>
      <c r="BC6" s="102">
        <f>IF($AD$2="Off",'Activity data'!BC6,'Net zero Intermediate calcs'!AX15*'Net zero Intermediate calcs'!AX16*Constants!$H$19)</f>
        <v>292467.35314036685</v>
      </c>
      <c r="BD6" s="102">
        <f>IF($AD$2="Off",'Activity data'!BD6,'Net zero Intermediate calcs'!AY15*'Net zero Intermediate calcs'!AY16*Constants!$H$19)</f>
        <v>292680.84940001921</v>
      </c>
      <c r="BE6" s="102">
        <f>IF($AD$2="Off",'Activity data'!BE6,'Net zero Intermediate calcs'!AZ15*'Net zero Intermediate calcs'!AZ16*Constants!$H$19)</f>
        <v>292878.97678943502</v>
      </c>
      <c r="BF6" s="102">
        <f>IF($AD$2="Off",'Activity data'!BF6,'Net zero Intermediate calcs'!BA15*'Net zero Intermediate calcs'!BA16*Constants!$H$19)</f>
        <v>293063.07557216223</v>
      </c>
      <c r="BG6" s="102">
        <f>IF($AD$2="Off",'Activity data'!BG6,'Net zero Intermediate calcs'!BB15*'Net zero Intermediate calcs'!BB16*Constants!$H$19)</f>
        <v>293234.79667200387</v>
      </c>
      <c r="BH6" s="102">
        <f>IF($AD$2="Off",'Activity data'!BH6,'Net zero Intermediate calcs'!BC15*'Net zero Intermediate calcs'!BC16*Constants!$H$19)</f>
        <v>293388.75059783354</v>
      </c>
      <c r="BI6" s="102">
        <f>IF($AD$2="Off",'Activity data'!BI6,'Net zero Intermediate calcs'!BD15*'Net zero Intermediate calcs'!BD16*Constants!$H$19)</f>
        <v>293521.31809889228</v>
      </c>
      <c r="BJ6" s="102">
        <f>IF($AD$2="Off",'Activity data'!BJ6,'Net zero Intermediate calcs'!BE15*'Net zero Intermediate calcs'!BE16*Constants!$H$19)</f>
        <v>293631.91878566478</v>
      </c>
      <c r="BK6" s="102">
        <f>IF($AD$2="Off",'Activity data'!BK6,'Net zero Intermediate calcs'!BF15*'Net zero Intermediate calcs'!BF16*Constants!$H$19)</f>
        <v>293716.44610705215</v>
      </c>
      <c r="BL6" s="102">
        <f>IF($AD$2="Off",'Activity data'!BL6,'Net zero Intermediate calcs'!BG15*'Net zero Intermediate calcs'!BG16*Constants!$H$19)</f>
        <v>293770.44163264439</v>
      </c>
      <c r="BM6" s="102">
        <f>IF($AD$2="Off",'Activity data'!BM6,'Net zero Intermediate calcs'!BH15*'Net zero Intermediate calcs'!BH16*Constants!$H$19)</f>
        <v>293793.35468410276</v>
      </c>
      <c r="BN6" s="102">
        <f>IF($AD$2="Off",'Activity data'!BN6,'Net zero Intermediate calcs'!BI15*'Net zero Intermediate calcs'!BI16*Constants!$H$19)</f>
        <v>293785.81852693198</v>
      </c>
      <c r="BO6" s="102">
        <f>IF($AD$2="Off",'Activity data'!BO6,'Net zero Intermediate calcs'!BJ15*'Net zero Intermediate calcs'!BJ16*Constants!$H$19)</f>
        <v>293748.27479076519</v>
      </c>
      <c r="BP6" s="102">
        <f>IF($AD$2="Off",'Activity data'!BP6,'Net zero Intermediate calcs'!BK15*'Net zero Intermediate calcs'!BK16*Constants!$H$19)</f>
        <v>293676.53008286527</v>
      </c>
      <c r="BQ6">
        <v>696512.05474548205</v>
      </c>
    </row>
    <row r="7" spans="1:72" x14ac:dyDescent="0.25">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615125.83619595377</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620275.0652870927</v>
      </c>
      <c r="AI7" s="102">
        <f>IF($AD$2="Off",'Activity data'!AI7,'Net zero Intermediate calcs'!AD15*'Net zero Intermediate calcs'!AD16*(1-Constants!$H$18-Constants!$H$19))</f>
        <v>621272.6392590293</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626005.02356892754</v>
      </c>
      <c r="AL7" s="102">
        <f>IF($AD$2="Off",'Activity data'!AL7,'Net zero Intermediate calcs'!AG15*'Net zero Intermediate calcs'!AG16*(1-Constants!$H$18-Constants!$H$19))</f>
        <v>608217.33768423472</v>
      </c>
      <c r="AM7" s="102">
        <f>IF($AD$2="Off",'Activity data'!AM7,'Net zero Intermediate calcs'!AH15*'Net zero Intermediate calcs'!AH16*(1-Constants!$H$18-Constants!$H$19))</f>
        <v>618682.57834615733</v>
      </c>
      <c r="AN7" s="102">
        <f>IF($AD$2="Off",'Activity data'!AN7,'Net zero Intermediate calcs'!AI15*'Net zero Intermediate calcs'!AI16*(1-Constants!$H$18-Constants!$H$19))</f>
        <v>1064492.8534517928</v>
      </c>
      <c r="AO7" s="102">
        <f>IF($AD$2="Off",'Activity data'!AO7,'Net zero Intermediate calcs'!AJ15*'Net zero Intermediate calcs'!AJ16*(1-Constants!$H$18-Constants!$H$19))</f>
        <v>1077324.8179454913</v>
      </c>
      <c r="AP7" s="102">
        <f>IF($AD$2="Off",'Activity data'!AP7,'Net zero Intermediate calcs'!AK15*'Net zero Intermediate calcs'!AK16*(1-Constants!$H$18-Constants!$H$19))</f>
        <v>1089593.9410806184</v>
      </c>
      <c r="AQ7" s="102">
        <f>IF($AD$2="Off",'Activity data'!AQ7,'Net zero Intermediate calcs'!AL15*'Net zero Intermediate calcs'!AL16*(1-Constants!$H$18-Constants!$H$19))</f>
        <v>1101091.527780676</v>
      </c>
      <c r="AR7" s="102">
        <f>IF($AD$2="Off",'Activity data'!AR7,'Net zero Intermediate calcs'!AM15*'Net zero Intermediate calcs'!AM16*(1-Constants!$H$18-Constants!$H$19))</f>
        <v>1111510.5322997288</v>
      </c>
      <c r="AS7" s="102">
        <f>IF($AD$2="Off",'Activity data'!AS7,'Net zero Intermediate calcs'!AN15*'Net zero Intermediate calcs'!AN16*(1-Constants!$H$18-Constants!$H$19))</f>
        <v>1120802.2976521766</v>
      </c>
      <c r="AT7" s="102">
        <f>IF($AD$2="Off",'Activity data'!AT7,'Net zero Intermediate calcs'!AO15*'Net zero Intermediate calcs'!AO16*(1-Constants!$H$18-Constants!$H$19))</f>
        <v>1128912.6944002979</v>
      </c>
      <c r="AU7" s="102">
        <f>IF($AD$2="Off",'Activity data'!AU7,'Net zero Intermediate calcs'!AP15*'Net zero Intermediate calcs'!AP16*(1-Constants!$H$18-Constants!$H$19))</f>
        <v>1135800.7545472237</v>
      </c>
      <c r="AV7" s="102">
        <f>IF($AD$2="Off",'Activity data'!AV7,'Net zero Intermediate calcs'!AQ15*'Net zero Intermediate calcs'!AQ16*(1-Constants!$H$18-Constants!$H$19))</f>
        <v>1141433.9875643295</v>
      </c>
      <c r="AW7" s="102">
        <f>IF($AD$2="Off",'Activity data'!AW7,'Net zero Intermediate calcs'!AR15*'Net zero Intermediate calcs'!AR16*(1-Constants!$H$18-Constants!$H$19))</f>
        <v>1145778.2386044087</v>
      </c>
      <c r="AX7" s="102">
        <f>IF($AD$2="Off",'Activity data'!AX7,'Net zero Intermediate calcs'!AS15*'Net zero Intermediate calcs'!AS16*(1-Constants!$H$18-Constants!$H$19))</f>
        <v>1148813.0604945007</v>
      </c>
      <c r="AY7" s="102">
        <f>IF($AD$2="Off",'Activity data'!AY7,'Net zero Intermediate calcs'!AT15*'Net zero Intermediate calcs'!AT16*(1-Constants!$H$18-Constants!$H$19))</f>
        <v>1150518.8398616223</v>
      </c>
      <c r="AZ7" s="102">
        <f>IF($AD$2="Off",'Activity data'!AZ7,'Net zero Intermediate calcs'!AU15*'Net zero Intermediate calcs'!AU16*(1-Constants!$H$18-Constants!$H$19))</f>
        <v>1150876.6277568573</v>
      </c>
      <c r="BA7" s="102">
        <f>IF($AD$2="Off",'Activity data'!BA7,'Net zero Intermediate calcs'!AV15*'Net zero Intermediate calcs'!AV16*(1-Constants!$H$18-Constants!$H$19))</f>
        <v>1149882.9637381125</v>
      </c>
      <c r="BB7" s="102">
        <f>IF($AD$2="Off",'Activity data'!BB7,'Net zero Intermediate calcs'!AW15*'Net zero Intermediate calcs'!AW16*(1-Constants!$H$18-Constants!$H$19))</f>
        <v>1147543.5048229052</v>
      </c>
      <c r="BC7" s="102">
        <f>IF($AD$2="Off",'Activity data'!BC7,'Net zero Intermediate calcs'!AX15*'Net zero Intermediate calcs'!AX16*(1-Constants!$H$18-Constants!$H$19))</f>
        <v>363062.92113976576</v>
      </c>
      <c r="BD7" s="102">
        <f>IF($AD$2="Off",'Activity data'!BD7,'Net zero Intermediate calcs'!AY15*'Net zero Intermediate calcs'!AY16*(1-Constants!$H$18-Constants!$H$19))</f>
        <v>363327.9509793343</v>
      </c>
      <c r="BE7" s="102">
        <f>IF($AD$2="Off",'Activity data'!BE7,'Net zero Intermediate calcs'!AZ15*'Net zero Intermediate calcs'!AZ16*(1-Constants!$H$18-Constants!$H$19))</f>
        <v>363573.90222136764</v>
      </c>
      <c r="BF7" s="102">
        <f>IF($AD$2="Off",'Activity data'!BF7,'Net zero Intermediate calcs'!BA15*'Net zero Intermediate calcs'!BA16*(1-Constants!$H$18-Constants!$H$19))</f>
        <v>363802.43864130491</v>
      </c>
      <c r="BG7" s="102">
        <f>IF($AD$2="Off",'Activity data'!BG7,'Net zero Intermediate calcs'!BB15*'Net zero Intermediate calcs'!BB16*(1-Constants!$H$18-Constants!$H$19))</f>
        <v>364015.60966179799</v>
      </c>
      <c r="BH7" s="102">
        <f>IF($AD$2="Off",'Activity data'!BH7,'Net zero Intermediate calcs'!BC15*'Net zero Intermediate calcs'!BC16*(1-Constants!$H$18-Constants!$H$19))</f>
        <v>364206.72488006926</v>
      </c>
      <c r="BI7" s="102">
        <f>IF($AD$2="Off",'Activity data'!BI7,'Net zero Intermediate calcs'!BD15*'Net zero Intermediate calcs'!BD16*(1-Constants!$H$18-Constants!$H$19))</f>
        <v>364371.29143310775</v>
      </c>
      <c r="BJ7" s="102">
        <f>IF($AD$2="Off",'Activity data'!BJ7,'Net zero Intermediate calcs'!BE15*'Net zero Intermediate calcs'!BE16*(1-Constants!$H$18-Constants!$H$19))</f>
        <v>364508.58883737703</v>
      </c>
      <c r="BK7" s="102">
        <f>IF($AD$2="Off",'Activity data'!BK7,'Net zero Intermediate calcs'!BF15*'Net zero Intermediate calcs'!BF16*(1-Constants!$H$18-Constants!$H$19))</f>
        <v>364613.51930530614</v>
      </c>
      <c r="BL7" s="102">
        <f>IF($AD$2="Off",'Activity data'!BL7,'Net zero Intermediate calcs'!BG15*'Net zero Intermediate calcs'!BG16*(1-Constants!$H$18-Constants!$H$19))</f>
        <v>364680.54823362757</v>
      </c>
      <c r="BM7" s="102">
        <f>IF($AD$2="Off",'Activity data'!BM7,'Net zero Intermediate calcs'!BH15*'Net zero Intermediate calcs'!BH16*(1-Constants!$H$18-Constants!$H$19))</f>
        <v>364708.9920216449</v>
      </c>
      <c r="BN7" s="102">
        <f>IF($AD$2="Off",'Activity data'!BN7,'Net zero Intermediate calcs'!BI15*'Net zero Intermediate calcs'!BI16*(1-Constants!$H$18-Constants!$H$19))</f>
        <v>364699.63679205358</v>
      </c>
      <c r="BO7" s="102">
        <f>IF($AD$2="Off",'Activity data'!BO7,'Net zero Intermediate calcs'!BJ15*'Net zero Intermediate calcs'!BJ16*(1-Constants!$H$18-Constants!$H$19))</f>
        <v>364653.03077474306</v>
      </c>
      <c r="BP7" s="102">
        <f>IF($AD$2="Off",'Activity data'!BP7,'Net zero Intermediate calcs'!BK15*'Net zero Intermediate calcs'!BK16*(1-Constants!$H$18-Constants!$H$19))</f>
        <v>364563.96837872942</v>
      </c>
      <c r="BQ7">
        <v>864635.65416680544</v>
      </c>
    </row>
    <row r="8" spans="1:72" x14ac:dyDescent="0.25">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5954880.1627134718</v>
      </c>
      <c r="AE8" s="102">
        <f>IF($AD$2="Off",'Activity data'!AE8,'Net zero Intermediate calcs'!Z10*'Net zero Intermediate calcs'!Z11*Constants!$H$20)</f>
        <v>5903235.3888004785</v>
      </c>
      <c r="AF8" s="102">
        <f>IF($AD$2="Off",'Activity data'!AF8,'Net zero Intermediate calcs'!AA10*'Net zero Intermediate calcs'!AA11*Constants!$H$20)</f>
        <v>5883575.786790872</v>
      </c>
      <c r="AG8" s="102">
        <f>IF($AD$2="Off",'Activity data'!AG8,'Net zero Intermediate calcs'!AB10*'Net zero Intermediate calcs'!AB11*Constants!$H$20)</f>
        <v>5805008.3335930649</v>
      </c>
      <c r="AH8" s="102">
        <f>IF($AD$2="Off",'Activity data'!AH8,'Net zero Intermediate calcs'!AC10*'Net zero Intermediate calcs'!AC11*Constants!$H$20)</f>
        <v>5690965.7565264786</v>
      </c>
      <c r="AI8" s="102">
        <f>IF($AD$2="Off",'Activity data'!AI8,'Net zero Intermediate calcs'!AD10*'Net zero Intermediate calcs'!AD11*Constants!$H$20)</f>
        <v>5543806.2775503118</v>
      </c>
      <c r="AJ8" s="102">
        <f>IF($AD$2="Off",'Activity data'!AJ8,'Net zero Intermediate calcs'!AE10*'Net zero Intermediate calcs'!AE11*Constants!$H$20)</f>
        <v>5427737.2925172495</v>
      </c>
      <c r="AK8" s="102">
        <f>IF($AD$2="Off",'Activity data'!AK8,'Net zero Intermediate calcs'!AF10*'Net zero Intermediate calcs'!AF11*Constants!$H$20)</f>
        <v>5317922.8374796035</v>
      </c>
      <c r="AL8" s="102">
        <f>IF($AD$2="Off",'Activity data'!AL8,'Net zero Intermediate calcs'!AG10*'Net zero Intermediate calcs'!AG11*Constants!$H$20)</f>
        <v>4755918.1218965715</v>
      </c>
      <c r="AM8" s="102">
        <f>IF($AD$2="Off",'Activity data'!AM8,'Net zero Intermediate calcs'!AH10*'Net zero Intermediate calcs'!AH11*Constants!$H$20)</f>
        <v>4939149.1944778934</v>
      </c>
      <c r="AN8" s="102">
        <f>IF($AD$2="Off",'Activity data'!AN8,'Net zero Intermediate calcs'!AI10*'Net zero Intermediate calcs'!AI11*Constants!$H$20)</f>
        <v>15566694.993877109</v>
      </c>
      <c r="AO8" s="102">
        <f>IF($AD$2="Off",'Activity data'!AO8,'Net zero Intermediate calcs'!AJ10*'Net zero Intermediate calcs'!AJ11*Constants!$H$20)</f>
        <v>15641779.067004707</v>
      </c>
      <c r="AP8" s="102">
        <f>IF($AD$2="Off",'Activity data'!AP8,'Net zero Intermediate calcs'!AK10*'Net zero Intermediate calcs'!AK11*Constants!$H$20)</f>
        <v>15689832.688180834</v>
      </c>
      <c r="AQ8" s="102">
        <f>IF($AD$2="Off",'Activity data'!AQ8,'Net zero Intermediate calcs'!AL10*'Net zero Intermediate calcs'!AL11*Constants!$H$20)</f>
        <v>15710846.069805361</v>
      </c>
      <c r="AR8" s="102">
        <f>IF($AD$2="Off",'Activity data'!AR8,'Net zero Intermediate calcs'!AM10*'Net zero Intermediate calcs'!AM11*Constants!$H$20)</f>
        <v>15705264.354760379</v>
      </c>
      <c r="AS8" s="102">
        <f>IF($AD$2="Off",'Activity data'!AS8,'Net zero Intermediate calcs'!AN10*'Net zero Intermediate calcs'!AN11*Constants!$H$20)</f>
        <v>15672819.997851543</v>
      </c>
      <c r="AT8" s="102">
        <f>IF($AD$2="Off",'Activity data'!AT8,'Net zero Intermediate calcs'!AO10*'Net zero Intermediate calcs'!AO11*Constants!$H$20)</f>
        <v>15613433.523932638</v>
      </c>
      <c r="AU8" s="102">
        <f>IF($AD$2="Off",'Activity data'!AU8,'Net zero Intermediate calcs'!AP10*'Net zero Intermediate calcs'!AP11*Constants!$H$20)</f>
        <v>15527154.06979692</v>
      </c>
      <c r="AV8" s="102">
        <f>IF($AD$2="Off",'Activity data'!AV8,'Net zero Intermediate calcs'!AQ10*'Net zero Intermediate calcs'!AQ11*Constants!$H$20)</f>
        <v>15414175.643613048</v>
      </c>
      <c r="AW8" s="102">
        <f>IF($AD$2="Off",'Activity data'!AW8,'Net zero Intermediate calcs'!AR10*'Net zero Intermediate calcs'!AR11*Constants!$H$20)</f>
        <v>15146507.038818283</v>
      </c>
      <c r="AX8" s="102">
        <f>IF($AD$2="Off",'Activity data'!AX8,'Net zero Intermediate calcs'!AS10*'Net zero Intermediate calcs'!AS11*Constants!$H$20)</f>
        <v>14853625.744490532</v>
      </c>
      <c r="AY8" s="102">
        <f>IF($AD$2="Off",'Activity data'!AY8,'Net zero Intermediate calcs'!AT10*'Net zero Intermediate calcs'!AT11*Constants!$H$20)</f>
        <v>14536847.734424569</v>
      </c>
      <c r="AZ8" s="102">
        <f>IF($AD$2="Off",'Activity data'!AZ8,'Net zero Intermediate calcs'!AU10*'Net zero Intermediate calcs'!AU11*Constants!$H$20)</f>
        <v>14197638.514468007</v>
      </c>
      <c r="BA8" s="102">
        <f>IF($AD$2="Off",'Activity data'!BA8,'Net zero Intermediate calcs'!AV10*'Net zero Intermediate calcs'!AV11*Constants!$H$20)</f>
        <v>13837558.240646992</v>
      </c>
      <c r="BB8" s="102">
        <f>IF($AD$2="Off",'Activity data'!BB8,'Net zero Intermediate calcs'!AW10*'Net zero Intermediate calcs'!AW11*Constants!$H$20)</f>
        <v>13458268.255725138</v>
      </c>
      <c r="BC8" s="102">
        <f>IF($AD$2="Off",'Activity data'!BC8,'Net zero Intermediate calcs'!AX10*'Net zero Intermediate calcs'!AX11*Constants!$H$20)</f>
        <v>-1039155.8627087944</v>
      </c>
      <c r="BD8" s="102">
        <f>IF($AD$2="Off",'Activity data'!BD8,'Net zero Intermediate calcs'!AY10*'Net zero Intermediate calcs'!AY11*Constants!$H$20)</f>
        <v>-1014135.9924717954</v>
      </c>
      <c r="BE8" s="102">
        <f>IF($AD$2="Off",'Activity data'!BE8,'Net zero Intermediate calcs'!AZ10*'Net zero Intermediate calcs'!AZ11*Constants!$H$20)</f>
        <v>-989376.44121652725</v>
      </c>
      <c r="BF8" s="102">
        <f>IF($AD$2="Off",'Activity data'!BF8,'Net zero Intermediate calcs'!BA10*'Net zero Intermediate calcs'!BA11*Constants!$H$20)</f>
        <v>-964874.65173804481</v>
      </c>
      <c r="BG8" s="102">
        <f>IF($AD$2="Off",'Activity data'!BG8,'Net zero Intermediate calcs'!BB10*'Net zero Intermediate calcs'!BB11*Constants!$H$20)</f>
        <v>-945428.22862049635</v>
      </c>
      <c r="BH8" s="102">
        <f>IF($AD$2="Off",'Activity data'!BH8,'Net zero Intermediate calcs'!BC10*'Net zero Intermediate calcs'!BC11*Constants!$H$20)</f>
        <v>-926166.27609481115</v>
      </c>
      <c r="BI8" s="102">
        <f>IF($AD$2="Off",'Activity data'!BI8,'Net zero Intermediate calcs'!BD10*'Net zero Intermediate calcs'!BD11*Constants!$H$20)</f>
        <v>-907074.46766085073</v>
      </c>
      <c r="BJ8" s="102">
        <f>IF($AD$2="Off",'Activity data'!BJ8,'Net zero Intermediate calcs'!BE10*'Net zero Intermediate calcs'!BE11*Constants!$H$20)</f>
        <v>-888148.07415729144</v>
      </c>
      <c r="BK8" s="102">
        <f>IF($AD$2="Off",'Activity data'!BK8,'Net zero Intermediate calcs'!BF10*'Net zero Intermediate calcs'!BF11*Constants!$H$20)</f>
        <v>-869373.25849270087</v>
      </c>
      <c r="BL8" s="102">
        <f>IF($AD$2="Off",'Activity data'!BL8,'Net zero Intermediate calcs'!BG10*'Net zero Intermediate calcs'!BG11*Constants!$H$20)</f>
        <v>-850736.4700094898</v>
      </c>
      <c r="BM8" s="102">
        <f>IF($AD$2="Off",'Activity data'!BM8,'Net zero Intermediate calcs'!BH10*'Net zero Intermediate calcs'!BH11*Constants!$H$20)</f>
        <v>-832235.53239271138</v>
      </c>
      <c r="BN8" s="102">
        <f>IF($AD$2="Off",'Activity data'!BN8,'Net zero Intermediate calcs'!BI10*'Net zero Intermediate calcs'!BI11*Constants!$H$20)</f>
        <v>-813871.5886540697</v>
      </c>
      <c r="BO8" s="102">
        <f>IF($AD$2="Off",'Activity data'!BO8,'Net zero Intermediate calcs'!BJ10*'Net zero Intermediate calcs'!BJ11*Constants!$H$20)</f>
        <v>-795645.3399709207</v>
      </c>
      <c r="BP8" s="102">
        <f>IF($AD$2="Off",'Activity data'!BP8,'Net zero Intermediate calcs'!BK10*'Net zero Intermediate calcs'!BK11*Constants!$H$20)</f>
        <v>-777546.31788674416</v>
      </c>
      <c r="BQ8" s="11">
        <v>5916196.5823583361</v>
      </c>
    </row>
    <row r="9" spans="1:72" x14ac:dyDescent="0.25">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5280742.7858025115</v>
      </c>
      <c r="AE9" s="102">
        <f>IF($AD$2="Off",'Activity data'!AE9,'Net zero Intermediate calcs'!Z10*'Net zero Intermediate calcs'!Z11*(1-Constants!$H$20))</f>
        <v>5234944.5900683487</v>
      </c>
      <c r="AF9" s="102">
        <f>IF($AD$2="Off",'Activity data'!AF9,'Net zero Intermediate calcs'!AA10*'Net zero Intermediate calcs'!AA11*(1-Constants!$H$20))</f>
        <v>5217510.6033805832</v>
      </c>
      <c r="AG9" s="102">
        <f>IF($AD$2="Off",'Activity data'!AG9,'Net zero Intermediate calcs'!AB10*'Net zero Intermediate calcs'!AB11*(1-Constants!$H$20))</f>
        <v>5147837.57884668</v>
      </c>
      <c r="AH9" s="102">
        <f>IF($AD$2="Off",'Activity data'!AH9,'Net zero Intermediate calcs'!AC10*'Net zero Intermediate calcs'!AC11*(1-Constants!$H$20))</f>
        <v>5046705.4822027264</v>
      </c>
      <c r="AI9" s="102">
        <f>IF($AD$2="Off",'Activity data'!AI9,'Net zero Intermediate calcs'!AD10*'Net zero Intermediate calcs'!AD11*(1-Constants!$H$20))</f>
        <v>4916205.5668842383</v>
      </c>
      <c r="AJ9" s="102">
        <f>IF($AD$2="Off",'Activity data'!AJ9,'Net zero Intermediate calcs'!AE10*'Net zero Intermediate calcs'!AE11*(1-Constants!$H$20))</f>
        <v>4813276.4669492589</v>
      </c>
      <c r="AK9" s="102">
        <f>IF($AD$2="Off",'Activity data'!AK9,'Net zero Intermediate calcs'!AF10*'Net zero Intermediate calcs'!AF11*(1-Constants!$H$20))</f>
        <v>4715893.8370102132</v>
      </c>
      <c r="AL9" s="102">
        <f>IF($AD$2="Off",'Activity data'!AL9,'Net zero Intermediate calcs'!AG10*'Net zero Intermediate calcs'!AG11*(1-Constants!$H$20))</f>
        <v>4217512.2967762044</v>
      </c>
      <c r="AM9" s="102">
        <f>IF($AD$2="Off",'Activity data'!AM9,'Net zero Intermediate calcs'!AH10*'Net zero Intermediate calcs'!AH11*(1-Constants!$H$20))</f>
        <v>4380000.2290653009</v>
      </c>
      <c r="AN9" s="102">
        <f>IF($AD$2="Off",'Activity data'!AN9,'Net zero Intermediate calcs'!AI10*'Net zero Intermediate calcs'!AI11*(1-Constants!$H$20))</f>
        <v>13804427.636079699</v>
      </c>
      <c r="AO9" s="102">
        <f>IF($AD$2="Off",'Activity data'!AO9,'Net zero Intermediate calcs'!AJ10*'Net zero Intermediate calcs'!AJ11*(1-Constants!$H$20))</f>
        <v>13871011.625457004</v>
      </c>
      <c r="AP9" s="102">
        <f>IF($AD$2="Off",'Activity data'!AP9,'Net zero Intermediate calcs'!AK10*'Net zero Intermediate calcs'!AK11*(1-Constants!$H$20))</f>
        <v>13913625.214047153</v>
      </c>
      <c r="AQ9" s="102">
        <f>IF($AD$2="Off",'Activity data'!AQ9,'Net zero Intermediate calcs'!AL10*'Net zero Intermediate calcs'!AL11*(1-Constants!$H$20))</f>
        <v>13932259.722280223</v>
      </c>
      <c r="AR9" s="102">
        <f>IF($AD$2="Off",'Activity data'!AR9,'Net zero Intermediate calcs'!AM10*'Net zero Intermediate calcs'!AM11*(1-Constants!$H$20))</f>
        <v>13927309.899504486</v>
      </c>
      <c r="AS9" s="102">
        <f>IF($AD$2="Off",'Activity data'!AS9,'Net zero Intermediate calcs'!AN10*'Net zero Intermediate calcs'!AN11*(1-Constants!$H$20))</f>
        <v>13898538.488660801</v>
      </c>
      <c r="AT9" s="102">
        <f>IF($AD$2="Off",'Activity data'!AT9,'Net zero Intermediate calcs'!AO10*'Net zero Intermediate calcs'!AO11*(1-Constants!$H$20))</f>
        <v>13845875.01178932</v>
      </c>
      <c r="AU9" s="102">
        <f>IF($AD$2="Off",'Activity data'!AU9,'Net zero Intermediate calcs'!AP10*'Net zero Intermediate calcs'!AP11*(1-Constants!$H$20))</f>
        <v>13769363.043027457</v>
      </c>
      <c r="AV9" s="102">
        <f>IF($AD$2="Off",'Activity data'!AV9,'Net zero Intermediate calcs'!AQ10*'Net zero Intermediate calcs'!AQ11*(1-Constants!$H$20))</f>
        <v>13669174.627354965</v>
      </c>
      <c r="AW9" s="102">
        <f>IF($AD$2="Off",'Activity data'!AW9,'Net zero Intermediate calcs'!AR10*'Net zero Intermediate calcs'!AR11*(1-Constants!$H$20))</f>
        <v>13431808.128763383</v>
      </c>
      <c r="AX9" s="102">
        <f>IF($AD$2="Off",'Activity data'!AX9,'Net zero Intermediate calcs'!AS10*'Net zero Intermediate calcs'!AS11*(1-Constants!$H$20))</f>
        <v>13172083.207378397</v>
      </c>
      <c r="AY9" s="102">
        <f>IF($AD$2="Off",'Activity data'!AY9,'Net zero Intermediate calcs'!AT10*'Net zero Intermediate calcs'!AT11*(1-Constants!$H$20))</f>
        <v>12891166.858829334</v>
      </c>
      <c r="AZ9" s="102">
        <f>IF($AD$2="Off",'Activity data'!AZ9,'Net zero Intermediate calcs'!AU10*'Net zero Intermediate calcs'!AU11*(1-Constants!$H$20))</f>
        <v>12590358.682641439</v>
      </c>
      <c r="BA9" s="102">
        <f>IF($AD$2="Off",'Activity data'!BA9,'Net zero Intermediate calcs'!AV10*'Net zero Intermediate calcs'!AV11*(1-Constants!$H$20))</f>
        <v>12271042.213403936</v>
      </c>
      <c r="BB9" s="102">
        <f>IF($AD$2="Off",'Activity data'!BB9,'Net zero Intermediate calcs'!AW10*'Net zero Intermediate calcs'!AW11*(1-Constants!$H$20))</f>
        <v>11934690.717341159</v>
      </c>
      <c r="BC9" s="102">
        <f>IF($AD$2="Off",'Activity data'!BC9,'Net zero Intermediate calcs'!AX10*'Net zero Intermediate calcs'!AX11*(1-Constants!$H$20))</f>
        <v>-921515.57636440243</v>
      </c>
      <c r="BD9" s="102">
        <f>IF($AD$2="Off",'Activity data'!BD9,'Net zero Intermediate calcs'!AY10*'Net zero Intermediate calcs'!AY11*(1-Constants!$H$20))</f>
        <v>-899328.14426744112</v>
      </c>
      <c r="BE9" s="102">
        <f>IF($AD$2="Off",'Activity data'!BE9,'Net zero Intermediate calcs'!AZ10*'Net zero Intermediate calcs'!AZ11*(1-Constants!$H$20))</f>
        <v>-877371.56107880711</v>
      </c>
      <c r="BF9" s="102">
        <f>IF($AD$2="Off",'Activity data'!BF9,'Net zero Intermediate calcs'!BA10*'Net zero Intermediate calcs'!BA11*(1-Constants!$H$20))</f>
        <v>-855643.55908845481</v>
      </c>
      <c r="BG9" s="102">
        <f>IF($AD$2="Off",'Activity data'!BG9,'Net zero Intermediate calcs'!BB10*'Net zero Intermediate calcs'!BB11*(1-Constants!$H$20))</f>
        <v>-838398.61783327023</v>
      </c>
      <c r="BH9" s="102">
        <f>IF($AD$2="Off",'Activity data'!BH9,'Net zero Intermediate calcs'!BC10*'Net zero Intermediate calcs'!BC11*(1-Constants!$H$20))</f>
        <v>-821317.26370671915</v>
      </c>
      <c r="BI9" s="102">
        <f>IF($AD$2="Off",'Activity data'!BI9,'Net zero Intermediate calcs'!BD10*'Net zero Intermediate calcs'!BD11*(1-Constants!$H$20))</f>
        <v>-804386.79207660339</v>
      </c>
      <c r="BJ9" s="102">
        <f>IF($AD$2="Off",'Activity data'!BJ9,'Net zero Intermediate calcs'!BE10*'Net zero Intermediate calcs'!BE11*(1-Constants!$H$20))</f>
        <v>-787603.00915835274</v>
      </c>
      <c r="BK9" s="102">
        <f>IF($AD$2="Off",'Activity data'!BK9,'Net zero Intermediate calcs'!BF10*'Net zero Intermediate calcs'!BF11*(1-Constants!$H$20))</f>
        <v>-770953.64432371582</v>
      </c>
      <c r="BL9" s="102">
        <f>IF($AD$2="Off",'Activity data'!BL9,'Net zero Intermediate calcs'!BG10*'Net zero Intermediate calcs'!BG11*(1-Constants!$H$20))</f>
        <v>-754426.68095181172</v>
      </c>
      <c r="BM9" s="102">
        <f>IF($AD$2="Off",'Activity data'!BM9,'Net zero Intermediate calcs'!BH10*'Net zero Intermediate calcs'!BH11*(1-Constants!$H$20))</f>
        <v>-738020.1891029703</v>
      </c>
      <c r="BN9" s="102">
        <f>IF($AD$2="Off",'Activity data'!BN9,'Net zero Intermediate calcs'!BI10*'Net zero Intermediate calcs'!BI11*(1-Constants!$H$20))</f>
        <v>-721735.1823913448</v>
      </c>
      <c r="BO9" s="102">
        <f>IF($AD$2="Off",'Activity data'!BO9,'Net zero Intermediate calcs'!BJ10*'Net zero Intermediate calcs'!BJ11*(1-Constants!$H$20))</f>
        <v>-705572.28261572216</v>
      </c>
      <c r="BP9" s="102">
        <f>IF($AD$2="Off",'Activity data'!BP9,'Net zero Intermediate calcs'!BK10*'Net zero Intermediate calcs'!BK11*(1-Constants!$H$20))</f>
        <v>-689522.20642786729</v>
      </c>
      <c r="BQ9" s="11">
        <v>5246438.4786951281</v>
      </c>
    </row>
    <row r="10" spans="1:72" x14ac:dyDescent="0.25">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559717.1030773099</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597546.77075746469</v>
      </c>
      <c r="AH10" s="102">
        <f>IF($AD$2="Off",'Activity data'!AH10,(((('Net zero Intermediate calcs'!AC9/('Net zero Intermediate calcs'!AC64+0.27))*ttokg)/Constants!$H$21)/(365/'Net zero Intermediate calcs'!AC65)))</f>
        <v>610009.49754182238</v>
      </c>
      <c r="AI10" s="102">
        <f>IF($AD$2="Off",'Activity data'!AI10,(((('Net zero Intermediate calcs'!AD9/('Net zero Intermediate calcs'!AD64+0.27))*ttokg)/Constants!$H$21)/(365/'Net zero Intermediate calcs'!AD65)))</f>
        <v>618596.39996388659</v>
      </c>
      <c r="AJ10" s="102">
        <f>IF($AD$2="Off",'Activity data'!AJ10,(((('Net zero Intermediate calcs'!AE9/('Net zero Intermediate calcs'!AE64+0.27))*ttokg)/Constants!$H$21)/(365/'Net zero Intermediate calcs'!AE65)))</f>
        <v>630321.10002649156</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597926.80550167628</v>
      </c>
      <c r="AM10" s="102">
        <f>IF($AD$2="Off",'Activity data'!AM10,(((('Net zero Intermediate calcs'!AH9/('Net zero Intermediate calcs'!AH64+0.27))*ttokg)/Constants!$H$21)/(365/'Net zero Intermediate calcs'!AH65)))</f>
        <v>635923.78226835607</v>
      </c>
      <c r="AN10" s="102">
        <f>IF($AD$2="Off",'Activity data'!AN10,(((('Net zero Intermediate calcs'!AI9/('Net zero Intermediate calcs'!AI64+0.27))*ttokg)/Constants!$H$21)/(365/'Net zero Intermediate calcs'!AI65)))</f>
        <v>2051862.6305769777</v>
      </c>
      <c r="AO10" s="102">
        <f>IF($AD$2="Off",'Activity data'!AO10,(((('Net zero Intermediate calcs'!AJ9/('Net zero Intermediate calcs'!AJ64+0.27))*ttokg)/Constants!$H$21)/(365/'Net zero Intermediate calcs'!AJ65)))</f>
        <v>2110128.1093969485</v>
      </c>
      <c r="AP10" s="102">
        <f>IF($AD$2="Off",'Activity data'!AP10,(((('Net zero Intermediate calcs'!AK9/('Net zero Intermediate calcs'!AK64+0.27))*ttokg)/Constants!$H$21)/(365/'Net zero Intermediate calcs'!AK65)))</f>
        <v>2165681.5943024219</v>
      </c>
      <c r="AQ10" s="102">
        <f>IF($AD$2="Off",'Activity data'!AQ10,(((('Net zero Intermediate calcs'!AL9/('Net zero Intermediate calcs'!AL64+0.27))*ttokg)/Constants!$H$21)/(365/'Net zero Intermediate calcs'!AL65)))</f>
        <v>2218309.6215923456</v>
      </c>
      <c r="AR10" s="102">
        <f>IF($AD$2="Off",'Activity data'!AR10,(((('Net zero Intermediate calcs'!AM9/('Net zero Intermediate calcs'!AM64+0.27))*ttokg)/Constants!$H$21)/(365/'Net zero Intermediate calcs'!AM65)))</f>
        <v>2267857.4872500789</v>
      </c>
      <c r="AS10" s="102">
        <f>IF($AD$2="Off",'Activity data'!AS10,(((('Net zero Intermediate calcs'!AN9/('Net zero Intermediate calcs'!AN64+0.27))*ttokg)/Constants!$H$21)/(365/'Net zero Intermediate calcs'!AN65)))</f>
        <v>2314063.8575068722</v>
      </c>
      <c r="AT10" s="102">
        <f>IF($AD$2="Off",'Activity data'!AT10,(((('Net zero Intermediate calcs'!AO9/('Net zero Intermediate calcs'!AO64+0.27))*ttokg)/Constants!$H$21)/(365/'Net zero Intermediate calcs'!AO65)))</f>
        <v>2356684.8108836943</v>
      </c>
      <c r="AU10" s="102">
        <f>IF($AD$2="Off",'Activity data'!AU10,(((('Net zero Intermediate calcs'!AP9/('Net zero Intermediate calcs'!AP64+0.27))*ttokg)/Constants!$H$21)/(365/'Net zero Intermediate calcs'!AP65)))</f>
        <v>2395487.2900291942</v>
      </c>
      <c r="AV10" s="102">
        <f>IF($AD$2="Off",'Activity data'!AV10,(((('Net zero Intermediate calcs'!AQ9/('Net zero Intermediate calcs'!AQ64+0.27))*ttokg)/Constants!$H$21)/(365/'Net zero Intermediate calcs'!AQ65)))</f>
        <v>2430253.3946859613</v>
      </c>
      <c r="AW10" s="102">
        <f>IF($AD$2="Off",'Activity data'!AW10,(((('Net zero Intermediate calcs'!AR9/('Net zero Intermediate calcs'!AR64+0.27))*ttokg)/Constants!$H$21)/(365/'Net zero Intermediate calcs'!AR65)))</f>
        <v>2467246.0848619989</v>
      </c>
      <c r="AX10" s="102">
        <f>IF($AD$2="Off",'Activity data'!AX10,(((('Net zero Intermediate calcs'!AS9/('Net zero Intermediate calcs'!AS64+0.27))*ttokg)/Constants!$H$21)/(365/'Net zero Intermediate calcs'!AS65)))</f>
        <v>2499930.2988543268</v>
      </c>
      <c r="AY10" s="102">
        <f>IF($AD$2="Off",'Activity data'!AY10,(((('Net zero Intermediate calcs'!AT9/('Net zero Intermediate calcs'!AT64+0.27))*ttokg)/Constants!$H$21)/(365/'Net zero Intermediate calcs'!AT65)))</f>
        <v>2528114.7198890457</v>
      </c>
      <c r="AZ10" s="102">
        <f>IF($AD$2="Off",'Activity data'!AZ10,(((('Net zero Intermediate calcs'!AU9/('Net zero Intermediate calcs'!AU64+0.27))*ttokg)/Constants!$H$21)/(365/'Net zero Intermediate calcs'!AU65)))</f>
        <v>2551633.274717289</v>
      </c>
      <c r="BA10" s="102">
        <f>IF($AD$2="Off",'Activity data'!BA10,(((('Net zero Intermediate calcs'!AV9/('Net zero Intermediate calcs'!AV64+0.27))*ttokg)/Constants!$H$21)/(365/'Net zero Intermediate calcs'!AV65)))</f>
        <v>2570339.3559679454</v>
      </c>
      <c r="BB10" s="102">
        <f>IF($AD$2="Off",'Activity data'!BB10,(((('Net zero Intermediate calcs'!AW9/('Net zero Intermediate calcs'!AW64+0.27))*ttokg)/Constants!$H$21)/(365/'Net zero Intermediate calcs'!AW65)))</f>
        <v>2584110.295193579</v>
      </c>
      <c r="BC10" s="102">
        <f>IF($AD$2="Off",'Activity data'!BC10,(((('Net zero Intermediate calcs'!AX9/('Net zero Intermediate calcs'!AX64+0.27))*ttokg)/Constants!$H$21)/(365/'Net zero Intermediate calcs'!AX65)))</f>
        <v>-206283.35899440647</v>
      </c>
      <c r="BD10" s="102">
        <f>IF($AD$2="Off",'Activity data'!BD10,(((('Net zero Intermediate calcs'!AY9/('Net zero Intermediate calcs'!AY64+0.27))*ttokg)/Constants!$H$21)/(365/'Net zero Intermediate calcs'!AY65)))</f>
        <v>-208171.35185682061</v>
      </c>
      <c r="BE10" s="102">
        <f>IF($AD$2="Off",'Activity data'!BE10,(((('Net zero Intermediate calcs'!AZ9/('Net zero Intermediate calcs'!AZ64+0.27))*ttokg)/Constants!$H$21)/(365/'Net zero Intermediate calcs'!AZ65)))</f>
        <v>-210046.86042128532</v>
      </c>
      <c r="BF10" s="102">
        <f>IF($AD$2="Off",'Activity data'!BF10,(((('Net zero Intermediate calcs'!BA9/('Net zero Intermediate calcs'!BA64+0.27))*ttokg)/Constants!$H$21)/(365/'Net zero Intermediate calcs'!BA65)))</f>
        <v>-211910.8188296984</v>
      </c>
      <c r="BG10" s="102">
        <f>IF($AD$2="Off",'Activity data'!BG10,(((('Net zero Intermediate calcs'!BB9/('Net zero Intermediate calcs'!BB64+0.27))*ttokg)/Constants!$H$21)/(365/'Net zero Intermediate calcs'!BB65)))</f>
        <v>-213498.50210210861</v>
      </c>
      <c r="BH10" s="102">
        <f>IF($AD$2="Off",'Activity data'!BH10,(((('Net zero Intermediate calcs'!BC9/('Net zero Intermediate calcs'!BC64+0.27))*ttokg)/Constants!$H$21)/(365/'Net zero Intermediate calcs'!BC65)))</f>
        <v>-215070.30981703315</v>
      </c>
      <c r="BI10" s="102">
        <f>IF($AD$2="Off",'Activity data'!BI10,(((('Net zero Intermediate calcs'!BD9/('Net zero Intermediate calcs'!BD64+0.27))*ttokg)/Constants!$H$21)/(365/'Net zero Intermediate calcs'!BD65)))</f>
        <v>-216623.83626085726</v>
      </c>
      <c r="BJ10" s="102">
        <f>IF($AD$2="Off",'Activity data'!BJ10,(((('Net zero Intermediate calcs'!BE9/('Net zero Intermediate calcs'!BE64+0.27))*ttokg)/Constants!$H$21)/(365/'Net zero Intermediate calcs'!BE65)))</f>
        <v>-218158.6541779798</v>
      </c>
      <c r="BK10" s="102">
        <f>IF($AD$2="Off",'Activity data'!BK10,(((('Net zero Intermediate calcs'!BF9/('Net zero Intermediate calcs'!BF64+0.27))*ttokg)/Constants!$H$21)/(365/'Net zero Intermediate calcs'!BF65)))</f>
        <v>-219671.89978816328</v>
      </c>
      <c r="BL10" s="102">
        <f>IF($AD$2="Off",'Activity data'!BL10,(((('Net zero Intermediate calcs'!BG9/('Net zero Intermediate calcs'!BG64+0.27))*ttokg)/Constants!$H$21)/(365/'Net zero Intermediate calcs'!BG65)))</f>
        <v>-221160.37634344128</v>
      </c>
      <c r="BM10" s="102">
        <f>IF($AD$2="Off",'Activity data'!BM10,(((('Net zero Intermediate calcs'!BH9/('Net zero Intermediate calcs'!BH64+0.27))*ttokg)/Constants!$H$21)/(365/'Net zero Intermediate calcs'!BH65)))</f>
        <v>-222623.4999354897</v>
      </c>
      <c r="BN10" s="102">
        <f>IF($AD$2="Off",'Activity data'!BN10,(((('Net zero Intermediate calcs'!BI9/('Net zero Intermediate calcs'!BI64+0.27))*ttokg)/Constants!$H$21)/(365/'Net zero Intermediate calcs'!BI65)))</f>
        <v>-224061.49175282463</v>
      </c>
      <c r="BO10" s="102">
        <f>IF($AD$2="Off",'Activity data'!BO10,(((('Net zero Intermediate calcs'!BJ9/('Net zero Intermediate calcs'!BJ64+0.27))*ttokg)/Constants!$H$21)/(365/'Net zero Intermediate calcs'!BJ65)))</f>
        <v>-225474.44027129476</v>
      </c>
      <c r="BP10" s="102">
        <f>IF($AD$2="Off",'Activity data'!BP10,(((('Net zero Intermediate calcs'!BK9/('Net zero Intermediate calcs'!BK64+0.27))*ttokg)/Constants!$H$21)/(365/'Net zero Intermediate calcs'!BK65)))</f>
        <v>-226859.15549894181</v>
      </c>
      <c r="BQ10" s="11">
        <v>1714907.4323024135</v>
      </c>
    </row>
    <row r="11" spans="1:72" x14ac:dyDescent="0.25">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19294878.757226616</v>
      </c>
      <c r="AM11" s="23">
        <f>('Net zero Intermediate calcs'!AH27*'Net zero Intermediate calcs'!AH28)*Constants!$H$22</f>
        <v>19307720.31860701</v>
      </c>
      <c r="AN11" s="23">
        <f>('Net zero Intermediate calcs'!AI27*'Net zero Intermediate calcs'!AI28)*Constants!$H$22</f>
        <v>19559205.069961581</v>
      </c>
      <c r="AO11" s="23">
        <f>('Net zero Intermediate calcs'!AJ27*'Net zero Intermediate calcs'!AJ28)*Constants!$H$22</f>
        <v>19565339.844192322</v>
      </c>
      <c r="AP11" s="23">
        <f>('Net zero Intermediate calcs'!AK27*'Net zero Intermediate calcs'!AK28)*Constants!$H$22</f>
        <v>19591581.184798744</v>
      </c>
      <c r="AQ11" s="23">
        <f>('Net zero Intermediate calcs'!AL27*'Net zero Intermediate calcs'!AL28)*Constants!$H$22</f>
        <v>19629513.679572582</v>
      </c>
      <c r="AR11" s="23">
        <f>('Net zero Intermediate calcs'!AM27*'Net zero Intermediate calcs'!AM28)*Constants!$H$22</f>
        <v>19664751.667307843</v>
      </c>
      <c r="AS11" s="23">
        <f>('Net zero Intermediate calcs'!AN27*'Net zero Intermediate calcs'!AN28)*Constants!$H$22</f>
        <v>19697731.441644121</v>
      </c>
      <c r="AT11" s="23">
        <f>('Net zero Intermediate calcs'!AO27*'Net zero Intermediate calcs'!AO28)*Constants!$H$22</f>
        <v>19728277.139336508</v>
      </c>
      <c r="AU11" s="23">
        <f>('Net zero Intermediate calcs'!AP27*'Net zero Intermediate calcs'!AP28)*Constants!$H$22</f>
        <v>19756663.97963132</v>
      </c>
      <c r="AV11" s="23">
        <f>('Net zero Intermediate calcs'!AQ27*'Net zero Intermediate calcs'!AQ28)*Constants!$H$22</f>
        <v>19783322.561984386</v>
      </c>
      <c r="AW11" s="23">
        <f>('Net zero Intermediate calcs'!AR27*'Net zero Intermediate calcs'!AR28)*Constants!$H$22</f>
        <v>19808227.76785814</v>
      </c>
      <c r="AX11" s="23">
        <f>('Net zero Intermediate calcs'!AS27*'Net zero Intermediate calcs'!AS28)*Constants!$H$22</f>
        <v>19831777.943671755</v>
      </c>
      <c r="AY11" s="23">
        <f>('Net zero Intermediate calcs'!AT27*'Net zero Intermediate calcs'!AT28)*Constants!$H$22</f>
        <v>19854030.096347492</v>
      </c>
      <c r="AZ11" s="23">
        <f>('Net zero Intermediate calcs'!AU27*'Net zero Intermediate calcs'!AU28)*Constants!$H$22</f>
        <v>19874679.234480295</v>
      </c>
      <c r="BA11" s="23">
        <f>('Net zero Intermediate calcs'!AV27*'Net zero Intermediate calcs'!AV28)*Constants!$H$22</f>
        <v>19893914.25161792</v>
      </c>
      <c r="BB11" s="23">
        <f>('Net zero Intermediate calcs'!AW27*'Net zero Intermediate calcs'!AW28)*Constants!$H$22</f>
        <v>19912042.010925505</v>
      </c>
      <c r="BC11" s="23">
        <f>('Net zero Intermediate calcs'!AX27*'Net zero Intermediate calcs'!AX28)*Constants!$H$22</f>
        <v>19475049.108869474</v>
      </c>
      <c r="BD11" s="23">
        <f>('Net zero Intermediate calcs'!AY27*'Net zero Intermediate calcs'!AY28)*Constants!$H$22</f>
        <v>19492958.180870771</v>
      </c>
      <c r="BE11" s="23">
        <f>('Net zero Intermediate calcs'!AZ27*'Net zero Intermediate calcs'!AZ28)*Constants!$H$22</f>
        <v>19509662.73535268</v>
      </c>
      <c r="BF11" s="23">
        <f>('Net zero Intermediate calcs'!BA27*'Net zero Intermediate calcs'!BA28)*Constants!$H$22</f>
        <v>19525264.861968085</v>
      </c>
      <c r="BG11" s="23">
        <f>('Net zero Intermediate calcs'!BB27*'Net zero Intermediate calcs'!BB28)*Constants!$H$22</f>
        <v>19539888.662803639</v>
      </c>
      <c r="BH11" s="23">
        <f>('Net zero Intermediate calcs'!BC27*'Net zero Intermediate calcs'!BC28)*Constants!$H$22</f>
        <v>19553149.472452078</v>
      </c>
      <c r="BI11" s="23">
        <f>('Net zero Intermediate calcs'!BD27*'Net zero Intermediate calcs'!BD28)*Constants!$H$22</f>
        <v>19564790.407166932</v>
      </c>
      <c r="BJ11" s="23">
        <f>('Net zero Intermediate calcs'!BE27*'Net zero Intermediate calcs'!BE28)*Constants!$H$22</f>
        <v>19574773.841368008</v>
      </c>
      <c r="BK11" s="23">
        <f>('Net zero Intermediate calcs'!BF27*'Net zero Intermediate calcs'!BF28)*Constants!$H$22</f>
        <v>19582807.445582233</v>
      </c>
      <c r="BL11" s="23">
        <f>('Net zero Intermediate calcs'!BG27*'Net zero Intermediate calcs'!BG28)*Constants!$H$22</f>
        <v>19588573.465668801</v>
      </c>
      <c r="BM11" s="23">
        <f>('Net zero Intermediate calcs'!BH27*'Net zero Intermediate calcs'!BH28)*Constants!$H$22</f>
        <v>19592036.068410829</v>
      </c>
      <c r="BN11" s="23">
        <f>('Net zero Intermediate calcs'!BI27*'Net zero Intermediate calcs'!BI28)*Constants!$H$22</f>
        <v>19593244.644470215</v>
      </c>
      <c r="BO11" s="23">
        <f>('Net zero Intermediate calcs'!BJ27*'Net zero Intermediate calcs'!BJ28)*Constants!$H$22</f>
        <v>19592234.545043476</v>
      </c>
      <c r="BP11" s="23">
        <f>('Net zero Intermediate calcs'!BK27*'Net zero Intermediate calcs'!BK28)*Constants!$H$22</f>
        <v>19588706.691560276</v>
      </c>
      <c r="BQ11">
        <v>20235541.527663115</v>
      </c>
    </row>
    <row r="12" spans="1:72" x14ac:dyDescent="0.25">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2883142.8028039774</v>
      </c>
      <c r="AM12" s="23">
        <f>('Net zero Intermediate calcs'!AH27*'Net zero Intermediate calcs'!AH28)*(1-Constants!$H$22)</f>
        <v>2885061.6568033467</v>
      </c>
      <c r="AN12" s="23">
        <f>('Net zero Intermediate calcs'!AI27*'Net zero Intermediate calcs'!AI28)*(1-Constants!$H$22)</f>
        <v>2922639.8380402364</v>
      </c>
      <c r="AO12" s="23">
        <f>('Net zero Intermediate calcs'!AJ27*'Net zero Intermediate calcs'!AJ28)*(1-Constants!$H$22)</f>
        <v>2923556.5284425314</v>
      </c>
      <c r="AP12" s="23">
        <f>('Net zero Intermediate calcs'!AK27*'Net zero Intermediate calcs'!AK28)*(1-Constants!$H$22)</f>
        <v>2927477.6483032606</v>
      </c>
      <c r="AQ12" s="23">
        <f>('Net zero Intermediate calcs'!AL27*'Net zero Intermediate calcs'!AL28)*(1-Constants!$H$22)</f>
        <v>2933145.7222349835</v>
      </c>
      <c r="AR12" s="23">
        <f>('Net zero Intermediate calcs'!AM27*'Net zero Intermediate calcs'!AM28)*(1-Constants!$H$22)</f>
        <v>2938411.1686781836</v>
      </c>
      <c r="AS12" s="23">
        <f>('Net zero Intermediate calcs'!AN27*'Net zero Intermediate calcs'!AN28)*(1-Constants!$H$22)</f>
        <v>2943339.1809353284</v>
      </c>
      <c r="AT12" s="23">
        <f>('Net zero Intermediate calcs'!AO27*'Net zero Intermediate calcs'!AO28)*(1-Constants!$H$22)</f>
        <v>2947903.480590513</v>
      </c>
      <c r="AU12" s="23">
        <f>('Net zero Intermediate calcs'!AP27*'Net zero Intermediate calcs'!AP28)*(1-Constants!$H$22)</f>
        <v>2952145.1923587029</v>
      </c>
      <c r="AV12" s="23">
        <f>('Net zero Intermediate calcs'!AQ27*'Net zero Intermediate calcs'!AQ28)*(1-Constants!$H$22)</f>
        <v>2956128.6586873224</v>
      </c>
      <c r="AW12" s="23">
        <f>('Net zero Intermediate calcs'!AR27*'Net zero Intermediate calcs'!AR28)*(1-Constants!$H$22)</f>
        <v>2959850.1262316764</v>
      </c>
      <c r="AX12" s="23">
        <f>('Net zero Intermediate calcs'!AS27*'Net zero Intermediate calcs'!AS28)*(1-Constants!$H$22)</f>
        <v>2963369.1180199175</v>
      </c>
      <c r="AY12" s="23">
        <f>('Net zero Intermediate calcs'!AT27*'Net zero Intermediate calcs'!AT28)*(1-Constants!$H$22)</f>
        <v>2966694.1523277862</v>
      </c>
      <c r="AZ12" s="23">
        <f>('Net zero Intermediate calcs'!AU27*'Net zero Intermediate calcs'!AU28)*(1-Constants!$H$22)</f>
        <v>2969779.6557269408</v>
      </c>
      <c r="BA12" s="23">
        <f>('Net zero Intermediate calcs'!AV27*'Net zero Intermediate calcs'!AV28)*(1-Constants!$H$22)</f>
        <v>2972653.8536900342</v>
      </c>
      <c r="BB12" s="23">
        <f>('Net zero Intermediate calcs'!AW27*'Net zero Intermediate calcs'!AW28)*(1-Constants!$H$22)</f>
        <v>2975362.5993336961</v>
      </c>
      <c r="BC12" s="23">
        <f>('Net zero Intermediate calcs'!AX27*'Net zero Intermediate calcs'!AX28)*(1-Constants!$H$22)</f>
        <v>2910064.809371301</v>
      </c>
      <c r="BD12" s="23">
        <f>('Net zero Intermediate calcs'!AY27*'Net zero Intermediate calcs'!AY28)*(1-Constants!$H$22)</f>
        <v>2912740.87760138</v>
      </c>
      <c r="BE12" s="23">
        <f>('Net zero Intermediate calcs'!AZ27*'Net zero Intermediate calcs'!AZ28)*(1-Constants!$H$22)</f>
        <v>2915236.9604549981</v>
      </c>
      <c r="BF12" s="23">
        <f>('Net zero Intermediate calcs'!BA27*'Net zero Intermediate calcs'!BA28)*(1-Constants!$H$22)</f>
        <v>2917568.3127078749</v>
      </c>
      <c r="BG12" s="23">
        <f>('Net zero Intermediate calcs'!BB27*'Net zero Intermediate calcs'!BB28)*(1-Constants!$H$22)</f>
        <v>2919753.4783499693</v>
      </c>
      <c r="BH12" s="23">
        <f>('Net zero Intermediate calcs'!BC27*'Net zero Intermediate calcs'!BC28)*(1-Constants!$H$22)</f>
        <v>2921734.9786422644</v>
      </c>
      <c r="BI12" s="23">
        <f>('Net zero Intermediate calcs'!BD27*'Net zero Intermediate calcs'!BD28)*(1-Constants!$H$22)</f>
        <v>2923474.428657128</v>
      </c>
      <c r="BJ12" s="23">
        <f>('Net zero Intermediate calcs'!BE27*'Net zero Intermediate calcs'!BE28)*(1-Constants!$H$22)</f>
        <v>2924966.2061814265</v>
      </c>
      <c r="BK12" s="23">
        <f>('Net zero Intermediate calcs'!BF27*'Net zero Intermediate calcs'!BF28)*(1-Constants!$H$22)</f>
        <v>2926166.6297996445</v>
      </c>
      <c r="BL12" s="23">
        <f>('Net zero Intermediate calcs'!BG27*'Net zero Intermediate calcs'!BG28)*(1-Constants!$H$22)</f>
        <v>2927028.2190079815</v>
      </c>
      <c r="BM12" s="23">
        <f>('Net zero Intermediate calcs'!BH27*'Net zero Intermediate calcs'!BH28)*(1-Constants!$H$22)</f>
        <v>2927545.6194177098</v>
      </c>
      <c r="BN12" s="23">
        <f>('Net zero Intermediate calcs'!BI27*'Net zero Intermediate calcs'!BI28)*(1-Constants!$H$22)</f>
        <v>2927726.2112426758</v>
      </c>
      <c r="BO12" s="23">
        <f>('Net zero Intermediate calcs'!BJ27*'Net zero Intermediate calcs'!BJ28)*(1-Constants!$H$22)</f>
        <v>2927575.2768455772</v>
      </c>
      <c r="BP12" s="23">
        <f>('Net zero Intermediate calcs'!BK27*'Net zero Intermediate calcs'!BK28)*(1-Constants!$H$22)</f>
        <v>2927048.1263250983</v>
      </c>
      <c r="BQ12">
        <v>3023701.607581845</v>
      </c>
    </row>
    <row r="13" spans="1:72" x14ac:dyDescent="0.25">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2068089.0408217218</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2125847.6846541641</v>
      </c>
      <c r="AK13" s="23">
        <f>'Net zero Intermediate calcs'!AF22*'Net zero Intermediate calcs'!AF25*Constants!$H$23</f>
        <v>2139834.1013227375</v>
      </c>
      <c r="AL13" s="23">
        <f>'Net zero Intermediate calcs'!AG22*'Net zero Intermediate calcs'!AG25*Constants!$H$23</f>
        <v>2134616.11169963</v>
      </c>
      <c r="AM13" s="23">
        <f>'Net zero Intermediate calcs'!AH22*'Net zero Intermediate calcs'!AH25*Constants!$H$23</f>
        <v>2138109.4674663781</v>
      </c>
      <c r="AN13" s="23">
        <f>'Net zero Intermediate calcs'!AI22*'Net zero Intermediate calcs'!AI25*Constants!$H$23</f>
        <v>2181460.1937599764</v>
      </c>
      <c r="AO13" s="23">
        <f>'Net zero Intermediate calcs'!AJ22*'Net zero Intermediate calcs'!AJ25*Constants!$H$23</f>
        <v>2183418.7272190307</v>
      </c>
      <c r="AP13" s="23">
        <f>'Net zero Intermediate calcs'!AK22*'Net zero Intermediate calcs'!AK25*Constants!$H$23</f>
        <v>2188603.9714687425</v>
      </c>
      <c r="AQ13" s="23">
        <f>'Net zero Intermediate calcs'!AL22*'Net zero Intermediate calcs'!AL25*Constants!$H$23</f>
        <v>2195602.1293189167</v>
      </c>
      <c r="AR13" s="23">
        <f>'Net zero Intermediate calcs'!AM22*'Net zero Intermediate calcs'!AM25*Constants!$H$23</f>
        <v>2202020.4162375215</v>
      </c>
      <c r="AS13" s="23">
        <f>'Net zero Intermediate calcs'!AN22*'Net zero Intermediate calcs'!AN25*Constants!$H$23</f>
        <v>2207943.6707722908</v>
      </c>
      <c r="AT13" s="23">
        <f>'Net zero Intermediate calcs'!AO22*'Net zero Intermediate calcs'!AO25*Constants!$H$23</f>
        <v>2213353.7246603156</v>
      </c>
      <c r="AU13" s="23">
        <f>'Net zero Intermediate calcs'!AP22*'Net zero Intermediate calcs'!AP25*Constants!$H$23</f>
        <v>2218306.1326348721</v>
      </c>
      <c r="AV13" s="23">
        <f>'Net zero Intermediate calcs'!AQ22*'Net zero Intermediate calcs'!AQ25*Constants!$H$23</f>
        <v>2222880.7982622627</v>
      </c>
      <c r="AW13" s="23">
        <f>'Net zero Intermediate calcs'!AR22*'Net zero Intermediate calcs'!AR25*Constants!$H$23</f>
        <v>2227081.4073423054</v>
      </c>
      <c r="AX13" s="23">
        <f>'Net zero Intermediate calcs'!AS22*'Net zero Intermediate calcs'!AS25*Constants!$H$23</f>
        <v>2230980.4914978449</v>
      </c>
      <c r="AY13" s="23">
        <f>'Net zero Intermediate calcs'!AT22*'Net zero Intermediate calcs'!AT25*Constants!$H$23</f>
        <v>2234593.6283040005</v>
      </c>
      <c r="AZ13" s="23">
        <f>'Net zero Intermediate calcs'!AU22*'Net zero Intermediate calcs'!AU25*Constants!$H$23</f>
        <v>2237876.7029687106</v>
      </c>
      <c r="BA13" s="23">
        <f>'Net zero Intermediate calcs'!AV22*'Net zero Intermediate calcs'!AV25*Constants!$H$23</f>
        <v>2240866.0743360408</v>
      </c>
      <c r="BB13" s="23">
        <f>'Net zero Intermediate calcs'!AW22*'Net zero Intermediate calcs'!AW25*Constants!$H$23</f>
        <v>2243616.6672446863</v>
      </c>
      <c r="BC13" s="23">
        <f>'Net zero Intermediate calcs'!AX22*'Net zero Intermediate calcs'!AX25*Constants!$H$23</f>
        <v>2172392.1510401987</v>
      </c>
      <c r="BD13" s="23">
        <f>'Net zero Intermediate calcs'!AY22*'Net zero Intermediate calcs'!AY25*Constants!$H$23</f>
        <v>2175137.4797161301</v>
      </c>
      <c r="BE13" s="23">
        <f>'Net zero Intermediate calcs'!AZ22*'Net zero Intermediate calcs'!AZ25*Constants!$H$23</f>
        <v>2177637.0641602017</v>
      </c>
      <c r="BF13" s="23">
        <f>'Net zero Intermediate calcs'!BA22*'Net zero Intermediate calcs'!BA25*Constants!$H$23</f>
        <v>2179911.1340294322</v>
      </c>
      <c r="BG13" s="23">
        <f>'Net zero Intermediate calcs'!BB22*'Net zero Intermediate calcs'!BB25*Constants!$H$23</f>
        <v>2181983.1167039187</v>
      </c>
      <c r="BH13" s="23">
        <f>'Net zero Intermediate calcs'!BC22*'Net zero Intermediate calcs'!BC25*Constants!$H$23</f>
        <v>2183794.1926580667</v>
      </c>
      <c r="BI13" s="23">
        <f>'Net zero Intermediate calcs'!BD22*'Net zero Intermediate calcs'!BD25*Constants!$H$23</f>
        <v>2185306.3123972258</v>
      </c>
      <c r="BJ13" s="23">
        <f>'Net zero Intermediate calcs'!BE22*'Net zero Intermediate calcs'!BE25*Constants!$H$23</f>
        <v>2186516.6980708055</v>
      </c>
      <c r="BK13" s="23">
        <f>'Net zero Intermediate calcs'!BF22*'Net zero Intermediate calcs'!BF25*Constants!$H$23</f>
        <v>2187381.648274323</v>
      </c>
      <c r="BL13" s="23">
        <f>'Net zero Intermediate calcs'!BG22*'Net zero Intermediate calcs'!BG25*Constants!$H$23</f>
        <v>2187853.5469475901</v>
      </c>
      <c r="BM13" s="23">
        <f>'Net zero Intermediate calcs'!BH22*'Net zero Intermediate calcs'!BH25*Constants!$H$23</f>
        <v>2187929.9590612692</v>
      </c>
      <c r="BN13" s="23">
        <f>'Net zero Intermediate calcs'!BI22*'Net zero Intermediate calcs'!BI25*Constants!$H$23</f>
        <v>2187621.9207132552</v>
      </c>
      <c r="BO13" s="23">
        <f>'Net zero Intermediate calcs'!BJ22*'Net zero Intermediate calcs'!BJ25*Constants!$H$23</f>
        <v>2186938.0464040749</v>
      </c>
      <c r="BP13" s="23">
        <f>'Net zero Intermediate calcs'!BK22*'Net zero Intermediate calcs'!BK25*Constants!$H$23</f>
        <v>2185833.6603005412</v>
      </c>
      <c r="BQ13">
        <v>2288591.5024888623</v>
      </c>
    </row>
    <row r="14" spans="1:72" x14ac:dyDescent="0.25">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4014525.785124518</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4077550.4703819798</v>
      </c>
      <c r="AI14" s="23">
        <f>'Net zero Intermediate calcs'!AD22*'Net zero Intermediate calcs'!AD25*(1-Constants!$H$23)</f>
        <v>4101196.8798749652</v>
      </c>
      <c r="AJ14" s="23">
        <f>'Net zero Intermediate calcs'!AE22*'Net zero Intermediate calcs'!AE25*(1-Constants!$H$23)</f>
        <v>4126645.5055051413</v>
      </c>
      <c r="AK14" s="23">
        <f>'Net zero Intermediate calcs'!AF22*'Net zero Intermediate calcs'!AF25*(1-Constants!$H$23)</f>
        <v>4153795.6084500193</v>
      </c>
      <c r="AL14" s="23">
        <f>'Net zero Intermediate calcs'!AG22*'Net zero Intermediate calcs'!AG25*(1-Constants!$H$23)</f>
        <v>4143666.5697698691</v>
      </c>
      <c r="AM14" s="23">
        <f>'Net zero Intermediate calcs'!AH22*'Net zero Intermediate calcs'!AH25*(1-Constants!$H$23)</f>
        <v>4150447.7897876743</v>
      </c>
      <c r="AN14" s="23">
        <f>'Net zero Intermediate calcs'!AI22*'Net zero Intermediate calcs'!AI25*(1-Constants!$H$23)</f>
        <v>4234599.1996517181</v>
      </c>
      <c r="AO14" s="23">
        <f>'Net zero Intermediate calcs'!AJ22*'Net zero Intermediate calcs'!AJ25*(1-Constants!$H$23)</f>
        <v>4238401.0587192941</v>
      </c>
      <c r="AP14" s="23">
        <f>'Net zero Intermediate calcs'!AK22*'Net zero Intermediate calcs'!AK25*(1-Constants!$H$23)</f>
        <v>4248466.5328510879</v>
      </c>
      <c r="AQ14" s="23">
        <f>'Net zero Intermediate calcs'!AL22*'Net zero Intermediate calcs'!AL25*(1-Constants!$H$23)</f>
        <v>4262051.1922073076</v>
      </c>
      <c r="AR14" s="23">
        <f>'Net zero Intermediate calcs'!AM22*'Net zero Intermediate calcs'!AM25*(1-Constants!$H$23)</f>
        <v>4274510.2197551876</v>
      </c>
      <c r="AS14" s="23">
        <f>'Net zero Intermediate calcs'!AN22*'Net zero Intermediate calcs'!AN25*(1-Constants!$H$23)</f>
        <v>4286008.3020873871</v>
      </c>
      <c r="AT14" s="23">
        <f>'Net zero Intermediate calcs'!AO22*'Net zero Intermediate calcs'!AO25*(1-Constants!$H$23)</f>
        <v>4296510.171399435</v>
      </c>
      <c r="AU14" s="23">
        <f>'Net zero Intermediate calcs'!AP22*'Net zero Intermediate calcs'!AP25*(1-Constants!$H$23)</f>
        <v>4306123.6692323983</v>
      </c>
      <c r="AV14" s="23">
        <f>'Net zero Intermediate calcs'!AQ22*'Net zero Intermediate calcs'!AQ25*(1-Constants!$H$23)</f>
        <v>4315003.9025090979</v>
      </c>
      <c r="AW14" s="23">
        <f>'Net zero Intermediate calcs'!AR22*'Net zero Intermediate calcs'!AR25*(1-Constants!$H$23)</f>
        <v>4323158.0260174153</v>
      </c>
      <c r="AX14" s="23">
        <f>'Net zero Intermediate calcs'!AS22*'Net zero Intermediate calcs'!AS25*(1-Constants!$H$23)</f>
        <v>4330726.8364369925</v>
      </c>
      <c r="AY14" s="23">
        <f>'Net zero Intermediate calcs'!AT22*'Net zero Intermediate calcs'!AT25*(1-Constants!$H$23)</f>
        <v>4337740.5725901173</v>
      </c>
      <c r="AZ14" s="23">
        <f>'Net zero Intermediate calcs'!AU22*'Net zero Intermediate calcs'!AU25*(1-Constants!$H$23)</f>
        <v>4344113.5998804374</v>
      </c>
      <c r="BA14" s="23">
        <f>'Net zero Intermediate calcs'!AV22*'Net zero Intermediate calcs'!AV25*(1-Constants!$H$23)</f>
        <v>4349916.497240549</v>
      </c>
      <c r="BB14" s="23">
        <f>'Net zero Intermediate calcs'!AW22*'Net zero Intermediate calcs'!AW25*(1-Constants!$H$23)</f>
        <v>4355255.8834749786</v>
      </c>
      <c r="BC14" s="23">
        <f>'Net zero Intermediate calcs'!AX22*'Net zero Intermediate calcs'!AX25*(1-Constants!$H$23)</f>
        <v>4216996.5284897964</v>
      </c>
      <c r="BD14" s="23">
        <f>'Net zero Intermediate calcs'!AY22*'Net zero Intermediate calcs'!AY25*(1-Constants!$H$23)</f>
        <v>4222325.6959195463</v>
      </c>
      <c r="BE14" s="23">
        <f>'Net zero Intermediate calcs'!AZ22*'Net zero Intermediate calcs'!AZ25*(1-Constants!$H$23)</f>
        <v>4227177.8304286264</v>
      </c>
      <c r="BF14" s="23">
        <f>'Net zero Intermediate calcs'!BA22*'Net zero Intermediate calcs'!BA25*(1-Constants!$H$23)</f>
        <v>4231592.2013512505</v>
      </c>
      <c r="BG14" s="23">
        <f>'Net zero Intermediate calcs'!BB22*'Net zero Intermediate calcs'!BB25*(1-Constants!$H$23)</f>
        <v>4235614.2853664299</v>
      </c>
      <c r="BH14" s="23">
        <f>'Net zero Intermediate calcs'!BC22*'Net zero Intermediate calcs'!BC25*(1-Constants!$H$23)</f>
        <v>4239129.9033950698</v>
      </c>
      <c r="BI14" s="23">
        <f>'Net zero Intermediate calcs'!BD22*'Net zero Intermediate calcs'!BD25*(1-Constants!$H$23)</f>
        <v>4242065.1946534375</v>
      </c>
      <c r="BJ14" s="23">
        <f>'Net zero Intermediate calcs'!BE22*'Net zero Intermediate calcs'!BE25*(1-Constants!$H$23)</f>
        <v>4244414.7668433273</v>
      </c>
      <c r="BK14" s="23">
        <f>'Net zero Intermediate calcs'!BF22*'Net zero Intermediate calcs'!BF25*(1-Constants!$H$23)</f>
        <v>4246093.7878266266</v>
      </c>
      <c r="BL14" s="23">
        <f>'Net zero Intermediate calcs'!BG22*'Net zero Intermediate calcs'!BG25*(1-Constants!$H$23)</f>
        <v>4247009.8264276739</v>
      </c>
      <c r="BM14" s="23">
        <f>'Net zero Intermediate calcs'!BH22*'Net zero Intermediate calcs'!BH25*(1-Constants!$H$23)</f>
        <v>4247158.1558248159</v>
      </c>
      <c r="BN14" s="23">
        <f>'Net zero Intermediate calcs'!BI22*'Net zero Intermediate calcs'!BI25*(1-Constants!$H$23)</f>
        <v>4246560.1990316128</v>
      </c>
      <c r="BO14" s="23">
        <f>'Net zero Intermediate calcs'!BJ22*'Net zero Intermediate calcs'!BJ25*(1-Constants!$H$23)</f>
        <v>4245232.6783137918</v>
      </c>
      <c r="BP14" s="23">
        <f>'Net zero Intermediate calcs'!BK22*'Net zero Intermediate calcs'!BK25*(1-Constants!$H$23)</f>
        <v>4243088.8699951675</v>
      </c>
      <c r="BQ14">
        <v>4442559.9754195558</v>
      </c>
    </row>
    <row r="15" spans="1:72" x14ac:dyDescent="0.25">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308478.97111537727</v>
      </c>
      <c r="AE15" s="23">
        <f>((Data!$AJ$61*((Drivers!AA5*1000000)/Drivers!AA4))+Data!$AK$61)</f>
        <v>309973.53172331408</v>
      </c>
      <c r="AF15" s="23">
        <f>((Data!$AJ$61*((Drivers!AB5*1000000)/Drivers!AB4))+Data!$AK$61)</f>
        <v>312241.56810798903</v>
      </c>
      <c r="AG15" s="23">
        <f>((Data!$AJ$61*((Drivers!AC5*1000000)/Drivers!AC4))+Data!$AK$61)</f>
        <v>312726.42527824314</v>
      </c>
      <c r="AH15" s="23">
        <f>((Data!$AJ$61*((Drivers!AD5*1000000)/Drivers!AD4))+Data!$AK$61)</f>
        <v>312032.30780712381</v>
      </c>
      <c r="AI15" s="23">
        <f>((Data!$AJ$61*((Drivers!AE5*1000000)/Drivers!AE4))+Data!$AK$61)</f>
        <v>310184.61831503396</v>
      </c>
      <c r="AJ15" s="23">
        <f>((Data!$AJ$61*((Drivers!AF5*1000000)/Drivers!AF4))+Data!$AK$61)</f>
        <v>309160.15388587426</v>
      </c>
      <c r="AK15" s="23">
        <f>((Data!$AJ$61*((Drivers!AG5*1000000)/Drivers!AG4))+Data!$AK$61)</f>
        <v>308239.46209968906</v>
      </c>
      <c r="AL15" s="23">
        <f>((Data!$AJ$61*((Drivers!AH5*1000000)/Drivers!AH4))+Data!$AK$61)</f>
        <v>294517.6531577555</v>
      </c>
      <c r="AM15" s="23">
        <f>((Data!$AJ$61*((Drivers!AI5*1000000)/Drivers!AI4))+Data!$AK$61)</f>
        <v>301858.44070166023</v>
      </c>
      <c r="AN15" s="23">
        <f>((Data!$AJ$61*((Drivers!AJ5*1000000)/Drivers!AJ4))+Data!$AK$61)</f>
        <v>647959.983994929</v>
      </c>
      <c r="AO15" s="23">
        <f>((Data!$AJ$61*((Drivers!AK5*1000000)/Drivers!AK4))+Data!$AK$61)</f>
        <v>656258.51310214202</v>
      </c>
      <c r="AP15" s="23">
        <f>((Data!$AJ$61*((Drivers!AL5*1000000)/Drivers!AL4))+Data!$AK$61)</f>
        <v>662941.93280236714</v>
      </c>
      <c r="AQ15" s="23">
        <f>((Data!$AJ$61*((Drivers!AM5*1000000)/Drivers!AM4))+Data!$AK$61)</f>
        <v>668320.71592275577</v>
      </c>
      <c r="AR15" s="23">
        <f>((Data!$AJ$61*((Drivers!AN5*1000000)/Drivers!AN4))+Data!$AK$61)</f>
        <v>672992.98154037318</v>
      </c>
      <c r="AS15" s="23">
        <f>((Data!$AJ$61*((Drivers!AO5*1000000)/Drivers!AO4))+Data!$AK$61)</f>
        <v>676905.65600066155</v>
      </c>
      <c r="AT15" s="23">
        <f>((Data!$AJ$61*((Drivers!AP5*1000000)/Drivers!AP4))+Data!$AK$61)</f>
        <v>680036.79493059521</v>
      </c>
      <c r="AU15" s="23">
        <f>((Data!$AJ$61*((Drivers!AQ5*1000000)/Drivers!AQ4))+Data!$AK$61)</f>
        <v>682348.24607523973</v>
      </c>
      <c r="AV15" s="23">
        <f>((Data!$AJ$61*((Drivers!AR5*1000000)/Drivers!AR4))+Data!$AK$61)</f>
        <v>683799.14378610451</v>
      </c>
      <c r="AW15" s="23">
        <f>((Data!$AJ$61*((Drivers!AS5*1000000)/Drivers!AS4))+Data!$AK$61)</f>
        <v>684373.63654909784</v>
      </c>
      <c r="AX15" s="23">
        <f>((Data!$AJ$61*((Drivers!AT5*1000000)/Drivers!AT4))+Data!$AK$61)</f>
        <v>684041.72165558289</v>
      </c>
      <c r="AY15" s="23">
        <f>((Data!$AJ$61*((Drivers!AU5*1000000)/Drivers!AU4))+Data!$AK$61)</f>
        <v>682793.70286200021</v>
      </c>
      <c r="AZ15" s="23">
        <f>((Data!$AJ$61*((Drivers!AV5*1000000)/Drivers!AV4))+Data!$AK$61)</f>
        <v>680640.86120435607</v>
      </c>
      <c r="BA15" s="23">
        <f>((Data!$AJ$61*((Drivers!AW5*1000000)/Drivers!AW4))+Data!$AK$61)</f>
        <v>677577.56070166884</v>
      </c>
      <c r="BB15" s="23">
        <f>((Data!$AJ$61*((Drivers!AX5*1000000)/Drivers!AX4))+Data!$AK$61)</f>
        <v>673598.32944589283</v>
      </c>
      <c r="BC15" s="23">
        <f>((Data!$AJ$61*((Drivers!AY5*1000000)/Drivers!AY4))+Data!$AK$61)</f>
        <v>99172.5386975859</v>
      </c>
      <c r="BD15" s="23">
        <f>((Data!$AJ$61*((Drivers!AZ5*1000000)/Drivers!AZ4))+Data!$AK$61)</f>
        <v>99172.5386975859</v>
      </c>
      <c r="BE15" s="23">
        <f>((Data!$AJ$61*((Drivers!BA5*1000000)/Drivers!BA4))+Data!$AK$61)</f>
        <v>99172.5386975859</v>
      </c>
      <c r="BF15" s="23">
        <f>((Data!$AJ$61*((Drivers!BB5*1000000)/Drivers!BB4))+Data!$AK$61)</f>
        <v>99172.5386975859</v>
      </c>
      <c r="BG15" s="23">
        <f>((Data!$AJ$61*((Drivers!BC5*1000000)/Drivers!BC4))+Data!$AK$61)</f>
        <v>99172.5386975859</v>
      </c>
      <c r="BH15" s="23">
        <f>((Data!$AJ$61*((Drivers!BD5*1000000)/Drivers!BD4))+Data!$AK$61)</f>
        <v>99172.5386975859</v>
      </c>
      <c r="BI15" s="23">
        <f>((Data!$AJ$61*((Drivers!BE5*1000000)/Drivers!BE4))+Data!$AK$61)</f>
        <v>99172.5386975859</v>
      </c>
      <c r="BJ15" s="23">
        <f>((Data!$AJ$61*((Drivers!BF5*1000000)/Drivers!BF4))+Data!$AK$61)</f>
        <v>99172.5386975859</v>
      </c>
      <c r="BK15" s="23">
        <f>((Data!$AJ$61*((Drivers!BG5*1000000)/Drivers!BG4))+Data!$AK$61)</f>
        <v>99172.5386975859</v>
      </c>
      <c r="BL15" s="23">
        <f>((Data!$AJ$61*((Drivers!BH5*1000000)/Drivers!BH4))+Data!$AK$61)</f>
        <v>99172.5386975859</v>
      </c>
      <c r="BM15" s="23">
        <f>((Data!$AJ$61*((Drivers!BI5*1000000)/Drivers!BI4))+Data!$AK$61)</f>
        <v>99172.5386975859</v>
      </c>
      <c r="BN15" s="23">
        <f>((Data!$AJ$61*((Drivers!BJ5*1000000)/Drivers!BJ4))+Data!$AK$61)</f>
        <v>99172.5386975859</v>
      </c>
      <c r="BO15" s="23">
        <f>((Data!$AJ$61*((Drivers!BK5*1000000)/Drivers!BK4))+Data!$AK$61)</f>
        <v>99172.5386975859</v>
      </c>
      <c r="BP15" s="23">
        <f>((Data!$AJ$61*((Drivers!BL5*1000000)/Drivers!BL4))+Data!$AK$61)</f>
        <v>99172.5386975859</v>
      </c>
      <c r="BQ15">
        <v>439500.1913407169</v>
      </c>
    </row>
    <row r="16" spans="1:72" x14ac:dyDescent="0.25">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25">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1656046.9024620028</v>
      </c>
      <c r="AE17" s="23">
        <f>'Net zero Intermediate calcs'!Z32*'Net zero Intermediate calcs'!Z33*Constants!$H$24</f>
        <v>1647045.1860532647</v>
      </c>
      <c r="AF17" s="23">
        <f>'Net zero Intermediate calcs'!AA32*'Net zero Intermediate calcs'!AA33*Constants!$H$24</f>
        <v>1647784.019010039</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1574056.8450456359</v>
      </c>
      <c r="AJ17" s="23">
        <f>'Net zero Intermediate calcs'!AE32*'Net zero Intermediate calcs'!AE33*Constants!$H$24</f>
        <v>1549447.5878836229</v>
      </c>
      <c r="AK17" s="23">
        <f>'Net zero Intermediate calcs'!AF32*'Net zero Intermediate calcs'!AF33*Constants!$H$24</f>
        <v>1527015.9199472496</v>
      </c>
      <c r="AL17" s="23">
        <f>'Net zero Intermediate calcs'!AG32*'Net zero Intermediate calcs'!AG33*Constants!$H$24</f>
        <v>1373893.3263119359</v>
      </c>
      <c r="AM17" s="23">
        <f>'Net zero Intermediate calcs'!AH32*'Net zero Intermediate calcs'!AH33*Constants!$H$24</f>
        <v>1422952.5691280668</v>
      </c>
      <c r="AN17" s="23">
        <f>'Net zero Intermediate calcs'!AI32*'Net zero Intermediate calcs'!AI33*Constants!$H$24</f>
        <v>4548493.9904950364</v>
      </c>
      <c r="AO17" s="23">
        <f>'Net zero Intermediate calcs'!AJ32*'Net zero Intermediate calcs'!AJ33*Constants!$H$24</f>
        <v>4560962.539341609</v>
      </c>
      <c r="AP17" s="23">
        <f>'Net zero Intermediate calcs'!AK32*'Net zero Intermediate calcs'!AK33*Constants!$H$24</f>
        <v>4565567.5401573936</v>
      </c>
      <c r="AQ17" s="23">
        <f>'Net zero Intermediate calcs'!AL32*'Net zero Intermediate calcs'!AL33*Constants!$H$24</f>
        <v>4562516.7726062052</v>
      </c>
      <c r="AR17" s="23">
        <f>'Net zero Intermediate calcs'!AM32*'Net zero Intermediate calcs'!AM33*Constants!$H$24</f>
        <v>4552270.4855006905</v>
      </c>
      <c r="AS17" s="23">
        <f>'Net zero Intermediate calcs'!AN32*'Net zero Intermediate calcs'!AN33*Constants!$H$24</f>
        <v>4534734.5602203431</v>
      </c>
      <c r="AT17" s="23">
        <f>'Net zero Intermediate calcs'!AO32*'Net zero Intermediate calcs'!AO33*Constants!$H$24</f>
        <v>4509883.7964351429</v>
      </c>
      <c r="AU17" s="23">
        <f>'Net zero Intermediate calcs'!AP32*'Net zero Intermediate calcs'!AP33*Constants!$H$24</f>
        <v>4477720.5244091665</v>
      </c>
      <c r="AV17" s="23">
        <f>'Net zero Intermediate calcs'!AQ32*'Net zero Intermediate calcs'!AQ33*Constants!$H$24</f>
        <v>4438285.9964855248</v>
      </c>
      <c r="AW17" s="23">
        <f>'Net zero Intermediate calcs'!AR32*'Net zero Intermediate calcs'!AR33*Constants!$H$24</f>
        <v>4391681.7093471689</v>
      </c>
      <c r="AX17" s="23">
        <f>'Net zero Intermediate calcs'!AS32*'Net zero Intermediate calcs'!AS33*Constants!$H$24</f>
        <v>4338036.0241695745</v>
      </c>
      <c r="AY17" s="23">
        <f>'Net zero Intermediate calcs'!AT32*'Net zero Intermediate calcs'!AT33*Constants!$H$24</f>
        <v>4277530.3261559019</v>
      </c>
      <c r="AZ17" s="23">
        <f>'Net zero Intermediate calcs'!AU32*'Net zero Intermediate calcs'!AU33*Constants!$H$24</f>
        <v>4210397.0505048446</v>
      </c>
      <c r="BA17" s="23">
        <f>'Net zero Intermediate calcs'!AV32*'Net zero Intermediate calcs'!AV33*Constants!$H$24</f>
        <v>4136887.9711882346</v>
      </c>
      <c r="BB17" s="23">
        <f>'Net zero Intermediate calcs'!AW32*'Net zero Intermediate calcs'!AW33*Constants!$H$24</f>
        <v>4057285.6229150845</v>
      </c>
      <c r="BC17" s="23">
        <f>'Net zero Intermediate calcs'!AX32*'Net zero Intermediate calcs'!AX33*Constants!$H$24</f>
        <v>-378067.1431512342</v>
      </c>
      <c r="BD17" s="23">
        <f>'Net zero Intermediate calcs'!AY32*'Net zero Intermediate calcs'!AY33*Constants!$H$24</f>
        <v>-373974.22118522861</v>
      </c>
      <c r="BE17" s="23">
        <f>'Net zero Intermediate calcs'!AZ32*'Net zero Intermediate calcs'!AZ33*Constants!$H$24</f>
        <v>-369866.79826982657</v>
      </c>
      <c r="BF17" s="23">
        <f>'Net zero Intermediate calcs'!BA32*'Net zero Intermediate calcs'!BA33*Constants!$H$24</f>
        <v>-365749.13565556059</v>
      </c>
      <c r="BG17" s="23">
        <f>'Net zero Intermediate calcs'!BB32*'Net zero Intermediate calcs'!BB33*Constants!$H$24</f>
        <v>-361625.94284646778</v>
      </c>
      <c r="BH17" s="23">
        <f>'Net zero Intermediate calcs'!BC32*'Net zero Intermediate calcs'!BC33*Constants!$H$24</f>
        <v>-357486.29005510121</v>
      </c>
      <c r="BI17" s="23">
        <f>'Net zero Intermediate calcs'!BD32*'Net zero Intermediate calcs'!BD33*Constants!$H$24</f>
        <v>-353323.7245647891</v>
      </c>
      <c r="BJ17" s="23">
        <f>'Net zero Intermediate calcs'!BE32*'Net zero Intermediate calcs'!BE33*Constants!$H$24</f>
        <v>-349138.64848070475</v>
      </c>
      <c r="BK17" s="23">
        <f>'Net zero Intermediate calcs'!BF32*'Net zero Intermediate calcs'!BF33*Constants!$H$24</f>
        <v>-344924.12642266747</v>
      </c>
      <c r="BL17" s="23">
        <f>'Net zero Intermediate calcs'!BG32*'Net zero Intermediate calcs'!BG33*Constants!$H$24</f>
        <v>-340672.96380764054</v>
      </c>
      <c r="BM17" s="23">
        <f>'Net zero Intermediate calcs'!BH32*'Net zero Intermediate calcs'!BH33*Constants!$H$24</f>
        <v>-336386.36719111202</v>
      </c>
      <c r="BN17" s="23">
        <f>'Net zero Intermediate calcs'!BI32*'Net zero Intermediate calcs'!BI33*Constants!$H$24</f>
        <v>-332067.9035896397</v>
      </c>
      <c r="BO17" s="23">
        <f>'Net zero Intermediate calcs'!BJ32*'Net zero Intermediate calcs'!BJ33*Constants!$H$24</f>
        <v>-327720.62418101879</v>
      </c>
      <c r="BP17" s="23">
        <f>'Net zero Intermediate calcs'!BK32*'Net zero Intermediate calcs'!BK33*Constants!$H$24</f>
        <v>-323338.51037587819</v>
      </c>
      <c r="BQ17">
        <v>1950275.6349015508</v>
      </c>
    </row>
    <row r="18" spans="1:72" x14ac:dyDescent="0.25">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225824.57760845491</v>
      </c>
      <c r="AE18" s="23">
        <f>'Net zero Intermediate calcs'!Z32*'Net zero Intermediate calcs'!Z33*(1-Constants!$H$24)</f>
        <v>224597.07082544517</v>
      </c>
      <c r="AF18" s="23">
        <f>'Net zero Intermediate calcs'!AA32*'Net zero Intermediate calcs'!AA33*(1-Constants!$H$24)</f>
        <v>224697.82077409624</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214644.1152334958</v>
      </c>
      <c r="AJ18" s="23">
        <f>'Net zero Intermediate calcs'!AE32*'Net zero Intermediate calcs'!AE33*(1-Constants!$H$24)</f>
        <v>211288.30743867584</v>
      </c>
      <c r="AK18" s="23">
        <f>'Net zero Intermediate calcs'!AF32*'Net zero Intermediate calcs'!AF33*(1-Constants!$H$24)</f>
        <v>208229.44362917039</v>
      </c>
      <c r="AL18" s="23">
        <f>'Net zero Intermediate calcs'!AG32*'Net zero Intermediate calcs'!AG33*(1-Constants!$H$24)</f>
        <v>187349.08995162763</v>
      </c>
      <c r="AM18" s="23">
        <f>'Net zero Intermediate calcs'!AH32*'Net zero Intermediate calcs'!AH33*(1-Constants!$H$24)</f>
        <v>194038.98669928181</v>
      </c>
      <c r="AN18" s="23">
        <f>'Net zero Intermediate calcs'!AI32*'Net zero Intermediate calcs'!AI33*(1-Constants!$H$24)</f>
        <v>620249.18052205048</v>
      </c>
      <c r="AO18" s="23">
        <f>'Net zero Intermediate calcs'!AJ32*'Net zero Intermediate calcs'!AJ33*(1-Constants!$H$24)</f>
        <v>621949.43718294671</v>
      </c>
      <c r="AP18" s="23">
        <f>'Net zero Intermediate calcs'!AK32*'Net zero Intermediate calcs'!AK33*(1-Constants!$H$24)</f>
        <v>622577.39183964464</v>
      </c>
      <c r="AQ18" s="23">
        <f>'Net zero Intermediate calcs'!AL32*'Net zero Intermediate calcs'!AL33*(1-Constants!$H$24)</f>
        <v>622161.37808266433</v>
      </c>
      <c r="AR18" s="23">
        <f>'Net zero Intermediate calcs'!AM32*'Net zero Intermediate calcs'!AM33*(1-Constants!$H$24)</f>
        <v>620764.15711373056</v>
      </c>
      <c r="AS18" s="23">
        <f>'Net zero Intermediate calcs'!AN32*'Net zero Intermediate calcs'!AN33*(1-Constants!$H$24)</f>
        <v>618372.89457550133</v>
      </c>
      <c r="AT18" s="23">
        <f>'Net zero Intermediate calcs'!AO32*'Net zero Intermediate calcs'!AO33*(1-Constants!$H$24)</f>
        <v>614984.15405933757</v>
      </c>
      <c r="AU18" s="23">
        <f>'Net zero Intermediate calcs'!AP32*'Net zero Intermediate calcs'!AP33*(1-Constants!$H$24)</f>
        <v>610598.25332852267</v>
      </c>
      <c r="AV18" s="23">
        <f>'Net zero Intermediate calcs'!AQ32*'Net zero Intermediate calcs'!AQ33*(1-Constants!$H$24)</f>
        <v>605220.81770257163</v>
      </c>
      <c r="AW18" s="23">
        <f>'Net zero Intermediate calcs'!AR32*'Net zero Intermediate calcs'!AR33*(1-Constants!$H$24)</f>
        <v>598865.6876382503</v>
      </c>
      <c r="AX18" s="23">
        <f>'Net zero Intermediate calcs'!AS32*'Net zero Intermediate calcs'!AS33*(1-Constants!$H$24)</f>
        <v>591550.3669322147</v>
      </c>
      <c r="AY18" s="23">
        <f>'Net zero Intermediate calcs'!AT32*'Net zero Intermediate calcs'!AT33*(1-Constants!$H$24)</f>
        <v>583299.58993035019</v>
      </c>
      <c r="AZ18" s="23">
        <f>'Net zero Intermediate calcs'!AU32*'Net zero Intermediate calcs'!AU33*(1-Constants!$H$24)</f>
        <v>574145.0523415698</v>
      </c>
      <c r="BA18" s="23">
        <f>'Net zero Intermediate calcs'!AV32*'Net zero Intermediate calcs'!AV33*(1-Constants!$H$24)</f>
        <v>564121.08698021376</v>
      </c>
      <c r="BB18" s="23">
        <f>'Net zero Intermediate calcs'!AW32*'Net zero Intermediate calcs'!AW33*(1-Constants!$H$24)</f>
        <v>553266.22130660247</v>
      </c>
      <c r="BC18" s="23">
        <f>'Net zero Intermediate calcs'!AX32*'Net zero Intermediate calcs'!AX33*(1-Constants!$H$24)</f>
        <v>-51554.61042971375</v>
      </c>
      <c r="BD18" s="23">
        <f>'Net zero Intermediate calcs'!AY32*'Net zero Intermediate calcs'!AY33*(1-Constants!$H$24)</f>
        <v>-50996.484707076626</v>
      </c>
      <c r="BE18" s="23">
        <f>'Net zero Intermediate calcs'!AZ32*'Net zero Intermediate calcs'!AZ33*(1-Constants!$H$24)</f>
        <v>-50436.381582249072</v>
      </c>
      <c r="BF18" s="23">
        <f>'Net zero Intermediate calcs'!BA32*'Net zero Intermediate calcs'!BA33*(1-Constants!$H$24)</f>
        <v>-49874.882134849169</v>
      </c>
      <c r="BG18" s="23">
        <f>'Net zero Intermediate calcs'!BB32*'Net zero Intermediate calcs'!BB33*(1-Constants!$H$24)</f>
        <v>-49312.628569972876</v>
      </c>
      <c r="BH18" s="23">
        <f>'Net zero Intermediate calcs'!BC32*'Net zero Intermediate calcs'!BC33*(1-Constants!$H$24)</f>
        <v>-48748.130462059256</v>
      </c>
      <c r="BI18" s="23">
        <f>'Net zero Intermediate calcs'!BD32*'Net zero Intermediate calcs'!BD33*(1-Constants!$H$24)</f>
        <v>-48180.507895198512</v>
      </c>
      <c r="BJ18" s="23">
        <f>'Net zero Intermediate calcs'!BE32*'Net zero Intermediate calcs'!BE33*(1-Constants!$H$24)</f>
        <v>-47609.815701914289</v>
      </c>
      <c r="BK18" s="23">
        <f>'Net zero Intermediate calcs'!BF32*'Net zero Intermediate calcs'!BF33*(1-Constants!$H$24)</f>
        <v>-47035.108148545558</v>
      </c>
      <c r="BL18" s="23">
        <f>'Net zero Intermediate calcs'!BG32*'Net zero Intermediate calcs'!BG33*(1-Constants!$H$24)</f>
        <v>-46455.404155587348</v>
      </c>
      <c r="BM18" s="23">
        <f>'Net zero Intermediate calcs'!BH32*'Net zero Intermediate calcs'!BH33*(1-Constants!$H$24)</f>
        <v>-45870.86825333345</v>
      </c>
      <c r="BN18" s="23">
        <f>'Net zero Intermediate calcs'!BI32*'Net zero Intermediate calcs'!BI33*(1-Constants!$H$24)</f>
        <v>-45281.986853132679</v>
      </c>
      <c r="BO18" s="23">
        <f>'Net zero Intermediate calcs'!BJ32*'Net zero Intermediate calcs'!BJ33*(1-Constants!$H$24)</f>
        <v>-44689.176024684377</v>
      </c>
      <c r="BP18" s="23">
        <f>'Net zero Intermediate calcs'!BK32*'Net zero Intermediate calcs'!BK33*(1-Constants!$H$24)</f>
        <v>-44091.615051256122</v>
      </c>
      <c r="BQ18">
        <v>265946.67748657509</v>
      </c>
    </row>
    <row r="19" spans="1:72" x14ac:dyDescent="0.25">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23653841.793715</v>
      </c>
      <c r="AE19" s="23">
        <f>'Net zero Intermediate calcs'!Z37*'Net zero Intermediate calcs'!Z38*Constants!$H$25</f>
        <v>24134771.290486101</v>
      </c>
      <c r="AF19" s="23">
        <f>'Net zero Intermediate calcs'!AA37*'Net zero Intermediate calcs'!AA38*Constants!$H$25</f>
        <v>24696932.291742448</v>
      </c>
      <c r="AG19" s="23">
        <f>'Net zero Intermediate calcs'!AB37*'Net zero Intermediate calcs'!AB38*Constants!$H$25</f>
        <v>25128517.122223888</v>
      </c>
      <c r="AH19" s="23">
        <f>'Net zero Intermediate calcs'!AC37*'Net zero Intermediate calcs'!AC38*Constants!$H$25</f>
        <v>25474971.393442623</v>
      </c>
      <c r="AI19" s="23">
        <f>'Net zero Intermediate calcs'!AD37*'Net zero Intermediate calcs'!AD38*Constants!$H$25</f>
        <v>25734234.718944561</v>
      </c>
      <c r="AJ19" s="23">
        <f>'Net zero Intermediate calcs'!AE37*'Net zero Intermediate calcs'!AE38*Constants!$H$25</f>
        <v>26066681.867313132</v>
      </c>
      <c r="AK19" s="23">
        <f>'Net zero Intermediate calcs'!AF37*'Net zero Intermediate calcs'!AF38*Constants!$H$25</f>
        <v>26412334.873995654</v>
      </c>
      <c r="AL19" s="23">
        <f>'Net zero Intermediate calcs'!AG37*'Net zero Intermediate calcs'!AG38*Constants!$H$25</f>
        <v>25371106.885045256</v>
      </c>
      <c r="AM19" s="23">
        <f>'Net zero Intermediate calcs'!AH37*'Net zero Intermediate calcs'!AH38*Constants!$H$25</f>
        <v>26301759.864103805</v>
      </c>
      <c r="AN19" s="23">
        <f>'Net zero Intermediate calcs'!AI37*'Net zero Intermediate calcs'!AI38*Constants!$H$25</f>
        <v>58453993.075396262</v>
      </c>
      <c r="AO19" s="23">
        <f>'Net zero Intermediate calcs'!AJ37*'Net zero Intermediate calcs'!AJ38*Constants!$H$25</f>
        <v>59739070.443922609</v>
      </c>
      <c r="AP19" s="23">
        <f>'Net zero Intermediate calcs'!AK37*'Net zero Intermediate calcs'!AK38*Constants!$H$25</f>
        <v>60971447.47047931</v>
      </c>
      <c r="AQ19" s="23">
        <f>'Net zero Intermediate calcs'!AL37*'Net zero Intermediate calcs'!AL38*Constants!$H$25</f>
        <v>62140240.38118834</v>
      </c>
      <c r="AR19" s="23">
        <f>'Net zero Intermediate calcs'!AM37*'Net zero Intermediate calcs'!AM38*Constants!$H$25</f>
        <v>63230690.129821882</v>
      </c>
      <c r="AS19" s="23">
        <f>'Net zero Intermediate calcs'!AN37*'Net zero Intermediate calcs'!AN38*Constants!$H$25</f>
        <v>64238030.957677633</v>
      </c>
      <c r="AT19" s="23">
        <f>'Net zero Intermediate calcs'!AO37*'Net zero Intermediate calcs'!AO38*Constants!$H$25</f>
        <v>65157412.811972722</v>
      </c>
      <c r="AU19" s="23">
        <f>'Net zero Intermediate calcs'!AP37*'Net zero Intermediate calcs'!AP38*Constants!$H$25</f>
        <v>65984651.89490328</v>
      </c>
      <c r="AV19" s="23">
        <f>'Net zero Intermediate calcs'!AQ37*'Net zero Intermediate calcs'!AQ38*Constants!$H$25</f>
        <v>66716076.782532059</v>
      </c>
      <c r="AW19" s="23">
        <f>'Net zero Intermediate calcs'!AR37*'Net zero Intermediate calcs'!AR38*Constants!$H$25</f>
        <v>67348150.272239521</v>
      </c>
      <c r="AX19" s="23">
        <f>'Net zero Intermediate calcs'!AS37*'Net zero Intermediate calcs'!AS38*Constants!$H$25</f>
        <v>67878097.621147081</v>
      </c>
      <c r="AY19" s="23">
        <f>'Net zero Intermediate calcs'!AT37*'Net zero Intermediate calcs'!AT38*Constants!$H$25</f>
        <v>68303415.631308526</v>
      </c>
      <c r="AZ19" s="23">
        <f>'Net zero Intermediate calcs'!AU37*'Net zero Intermediate calcs'!AU38*Constants!$H$25</f>
        <v>68621877.969516248</v>
      </c>
      <c r="BA19" s="23">
        <f>'Net zero Intermediate calcs'!AV37*'Net zero Intermediate calcs'!AV38*Constants!$H$25</f>
        <v>68832144.300082967</v>
      </c>
      <c r="BB19" s="23">
        <f>'Net zero Intermediate calcs'!AW37*'Net zero Intermediate calcs'!AW38*Constants!$H$25</f>
        <v>68933520.94400239</v>
      </c>
      <c r="BC19" s="23">
        <f>'Net zero Intermediate calcs'!AX37*'Net zero Intermediate calcs'!AX38*Constants!$H$25</f>
        <v>8986405.4583409671</v>
      </c>
      <c r="BD19" s="23">
        <f>'Net zero Intermediate calcs'!AY37*'Net zero Intermediate calcs'!AY38*Constants!$H$25</f>
        <v>9052359.785518948</v>
      </c>
      <c r="BE19" s="23">
        <f>'Net zero Intermediate calcs'!AZ37*'Net zero Intermediate calcs'!AZ38*Constants!$H$25</f>
        <v>9116679.1899604667</v>
      </c>
      <c r="BF19" s="23">
        <f>'Net zero Intermediate calcs'!BA37*'Net zero Intermediate calcs'!BA38*Constants!$H$25</f>
        <v>9179460.5648498666</v>
      </c>
      <c r="BG19" s="23">
        <f>'Net zero Intermediate calcs'!BB37*'Net zero Intermediate calcs'!BB38*Constants!$H$25</f>
        <v>9240815.6048103776</v>
      </c>
      <c r="BH19" s="23">
        <f>'Net zero Intermediate calcs'!BC37*'Net zero Intermediate calcs'!BC38*Constants!$H$25</f>
        <v>9300492.7436588462</v>
      </c>
      <c r="BI19" s="23">
        <f>'Net zero Intermediate calcs'!BD37*'Net zero Intermediate calcs'!BD38*Constants!$H$25</f>
        <v>9358326.3155942075</v>
      </c>
      <c r="BJ19" s="23">
        <f>'Net zero Intermediate calcs'!BE37*'Net zero Intermediate calcs'!BE38*Constants!$H$25</f>
        <v>9414304.1199616734</v>
      </c>
      <c r="BK19" s="23">
        <f>'Net zero Intermediate calcs'!BF37*'Net zero Intermediate calcs'!BF38*Constants!$H$25</f>
        <v>9468228.8191304449</v>
      </c>
      <c r="BL19" s="23">
        <f>'Net zero Intermediate calcs'!BG37*'Net zero Intermediate calcs'!BG38*Constants!$H$25</f>
        <v>9519880.7258345038</v>
      </c>
      <c r="BM19" s="23">
        <f>'Net zero Intermediate calcs'!BH37*'Net zero Intermediate calcs'!BH38*Constants!$H$25</f>
        <v>9569240.6276933048</v>
      </c>
      <c r="BN19" s="23">
        <f>'Net zero Intermediate calcs'!BI37*'Net zero Intermediate calcs'!BI38*Constants!$H$25</f>
        <v>9616350.1568514053</v>
      </c>
      <c r="BO19" s="23">
        <f>'Net zero Intermediate calcs'!BJ37*'Net zero Intermediate calcs'!BJ38*Constants!$H$25</f>
        <v>9661240.394951161</v>
      </c>
      <c r="BP19" s="23">
        <f>'Net zero Intermediate calcs'!BK37*'Net zero Intermediate calcs'!BK38*Constants!$H$25</f>
        <v>9703697.1154731549</v>
      </c>
      <c r="BQ19">
        <v>50062195.142061464</v>
      </c>
    </row>
    <row r="20" spans="1:72" x14ac:dyDescent="0.25">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94043391.409974962</v>
      </c>
      <c r="AE20" s="23">
        <f>'Net zero Intermediate calcs'!Z42*'Net zero Intermediate calcs'!Z43*Constants!$H$26</f>
        <v>95281774.784899995</v>
      </c>
      <c r="AF20" s="23">
        <f>'Net zero Intermediate calcs'!AA42*'Net zero Intermediate calcs'!AA43*Constants!$H$26</f>
        <v>97270973.713722691</v>
      </c>
      <c r="AG20" s="23">
        <f>'Net zero Intermediate calcs'!AB42*'Net zero Intermediate calcs'!AB43*Constants!$H$26</f>
        <v>97842130.842887655</v>
      </c>
      <c r="AH20" s="23">
        <f>'Net zero Intermediate calcs'!AC42*'Net zero Intermediate calcs'!AC43*Constants!$H$26</f>
        <v>97491901.623900309</v>
      </c>
      <c r="AI20" s="23">
        <f>'Net zero Intermediate calcs'!AD42*'Net zero Intermediate calcs'!AD43*Constants!$H$26</f>
        <v>96224012.280420974</v>
      </c>
      <c r="AJ20" s="23">
        <f>'Net zero Intermediate calcs'!AE42*'Net zero Intermediate calcs'!AE43*Constants!$H$26</f>
        <v>95690259.829558358</v>
      </c>
      <c r="AK20" s="23">
        <f>'Net zero Intermediate calcs'!AF42*'Net zero Intermediate calcs'!AF43*Constants!$H$26</f>
        <v>95277598.733681634</v>
      </c>
      <c r="AL20" s="23">
        <f>'Net zero Intermediate calcs'!AG42*'Net zero Intermediate calcs'!AG43*Constants!$H$26</f>
        <v>83092786.05011037</v>
      </c>
      <c r="AM20" s="23">
        <f>'Net zero Intermediate calcs'!AH42*'Net zero Intermediate calcs'!AH43*Constants!$H$26</f>
        <v>89381268.281634822</v>
      </c>
      <c r="AN20" s="23">
        <f>'Net zero Intermediate calcs'!AI42*'Net zero Intermediate calcs'!AI43*Constants!$H$26</f>
        <v>388652143.84659076</v>
      </c>
      <c r="AO20" s="23">
        <f>'Net zero Intermediate calcs'!AJ42*'Net zero Intermediate calcs'!AJ43*Constants!$H$26</f>
        <v>395620031.65685779</v>
      </c>
      <c r="AP20" s="23">
        <f>'Net zero Intermediate calcs'!AK42*'Net zero Intermediate calcs'!AK43*Constants!$H$26</f>
        <v>401810251.07019573</v>
      </c>
      <c r="AQ20" s="23">
        <f>'Net zero Intermediate calcs'!AL42*'Net zero Intermediate calcs'!AL43*Constants!$H$26</f>
        <v>407249233.73769373</v>
      </c>
      <c r="AR20" s="23">
        <f>'Net zero Intermediate calcs'!AM42*'Net zero Intermediate calcs'!AM43*Constants!$H$26</f>
        <v>412010896.32823962</v>
      </c>
      <c r="AS20" s="23">
        <f>'Net zero Intermediate calcs'!AN42*'Net zero Intermediate calcs'!AN43*Constants!$H$26</f>
        <v>416059521.97388119</v>
      </c>
      <c r="AT20" s="23">
        <f>'Net zero Intermediate calcs'!AO42*'Net zero Intermediate calcs'!AO43*Constants!$H$26</f>
        <v>419367689.7745806</v>
      </c>
      <c r="AU20" s="23">
        <f>'Net zero Intermediate calcs'!AP42*'Net zero Intermediate calcs'!AP43*Constants!$H$26</f>
        <v>421908447.5243901</v>
      </c>
      <c r="AV20" s="23">
        <f>'Net zero Intermediate calcs'!AQ42*'Net zero Intermediate calcs'!AQ43*Constants!$H$26</f>
        <v>423657757.3261283</v>
      </c>
      <c r="AW20" s="23">
        <f>'Net zero Intermediate calcs'!AR42*'Net zero Intermediate calcs'!AR43*Constants!$H$26</f>
        <v>424599227.84356123</v>
      </c>
      <c r="AX20" s="23">
        <f>'Net zero Intermediate calcs'!AS42*'Net zero Intermediate calcs'!AS43*Constants!$H$26</f>
        <v>424717662.24588925</v>
      </c>
      <c r="AY20" s="23">
        <f>'Net zero Intermediate calcs'!AT42*'Net zero Intermediate calcs'!AT43*Constants!$H$26</f>
        <v>424004872.02672267</v>
      </c>
      <c r="AZ20" s="23">
        <f>'Net zero Intermediate calcs'!AU42*'Net zero Intermediate calcs'!AU43*Constants!$H$26</f>
        <v>422459862.18418473</v>
      </c>
      <c r="BA20" s="23">
        <f>'Net zero Intermediate calcs'!AV42*'Net zero Intermediate calcs'!AV43*Constants!$H$26</f>
        <v>420082512.31946158</v>
      </c>
      <c r="BB20" s="23">
        <f>'Net zero Intermediate calcs'!AW42*'Net zero Intermediate calcs'!AW43*Constants!$H$26</f>
        <v>416876383.56053138</v>
      </c>
      <c r="BC20" s="23">
        <f>'Net zero Intermediate calcs'!AX42*'Net zero Intermediate calcs'!AX43*Constants!$H$26</f>
        <v>-89020230.204841599</v>
      </c>
      <c r="BD20" s="23">
        <f>'Net zero Intermediate calcs'!AY42*'Net zero Intermediate calcs'!AY43*Constants!$H$26</f>
        <v>-89146208.089037806</v>
      </c>
      <c r="BE20" s="23">
        <f>'Net zero Intermediate calcs'!AZ42*'Net zero Intermediate calcs'!AZ43*Constants!$H$26</f>
        <v>-89260278.921735153</v>
      </c>
      <c r="BF20" s="23">
        <f>'Net zero Intermediate calcs'!BA42*'Net zero Intermediate calcs'!BA43*Constants!$H$26</f>
        <v>-89363412.734265909</v>
      </c>
      <c r="BG20" s="23">
        <f>'Net zero Intermediate calcs'!BB42*'Net zero Intermediate calcs'!BB43*Constants!$H$26</f>
        <v>-89456718.537233844</v>
      </c>
      <c r="BH20" s="23">
        <f>'Net zero Intermediate calcs'!BC42*'Net zero Intermediate calcs'!BC43*Constants!$H$26</f>
        <v>-89537592.271047369</v>
      </c>
      <c r="BI20" s="23">
        <f>'Net zero Intermediate calcs'!BD42*'Net zero Intermediate calcs'!BD43*Constants!$H$26</f>
        <v>-89604368.784275606</v>
      </c>
      <c r="BJ20" s="23">
        <f>'Net zero Intermediate calcs'!BE42*'Net zero Intermediate calcs'!BE43*Constants!$H$26</f>
        <v>-89656972.479263023</v>
      </c>
      <c r="BK20" s="23">
        <f>'Net zero Intermediate calcs'!BF42*'Net zero Intermediate calcs'!BF43*Constants!$H$26</f>
        <v>-89693483.690001965</v>
      </c>
      <c r="BL20" s="23">
        <f>'Net zero Intermediate calcs'!BG42*'Net zero Intermediate calcs'!BG43*Constants!$H$26</f>
        <v>-89711808.563796133</v>
      </c>
      <c r="BM20" s="23">
        <f>'Net zero Intermediate calcs'!BH42*'Net zero Intermediate calcs'!BH43*Constants!$H$26</f>
        <v>-89711887.098993719</v>
      </c>
      <c r="BN20" s="23">
        <f>'Net zero Intermediate calcs'!BI42*'Net zero Intermediate calcs'!BI43*Constants!$H$26</f>
        <v>-89694262.947943121</v>
      </c>
      <c r="BO20" s="23">
        <f>'Net zero Intermediate calcs'!BJ42*'Net zero Intermediate calcs'!BJ43*Constants!$H$26</f>
        <v>-89659368.15995191</v>
      </c>
      <c r="BP20" s="23">
        <f>'Net zero Intermediate calcs'!BK42*'Net zero Intermediate calcs'!BK43*Constants!$H$26</f>
        <v>-89605239.831014261</v>
      </c>
      <c r="BQ20">
        <v>217498134.58556306</v>
      </c>
    </row>
    <row r="21" spans="1:72" x14ac:dyDescent="0.25">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985576.74140479264</v>
      </c>
      <c r="AE21" s="23">
        <f>'Net zero Intermediate calcs'!Z37*'Net zero Intermediate calcs'!Z38*(1-Constants!$H$25)</f>
        <v>1005615.4704369218</v>
      </c>
      <c r="AF21" s="23">
        <f>'Net zero Intermediate calcs'!AA37*'Net zero Intermediate calcs'!AA38*(1-Constants!$H$25)</f>
        <v>1029038.8454892697</v>
      </c>
      <c r="AG21" s="23">
        <f>'Net zero Intermediate calcs'!AB37*'Net zero Intermediate calcs'!AB38*(1-Constants!$H$25)</f>
        <v>1047021.5467593296</v>
      </c>
      <c r="AH21" s="23">
        <f>'Net zero Intermediate calcs'!AC37*'Net zero Intermediate calcs'!AC38*(1-Constants!$H$25)</f>
        <v>1061457.1413934438</v>
      </c>
      <c r="AI21" s="23">
        <f>'Net zero Intermediate calcs'!AD37*'Net zero Intermediate calcs'!AD38*(1-Constants!$H$25)</f>
        <v>1072259.7799560244</v>
      </c>
      <c r="AJ21" s="23">
        <f>'Net zero Intermediate calcs'!AE37*'Net zero Intermediate calcs'!AE38*(1-Constants!$H$25)</f>
        <v>1086111.7444713814</v>
      </c>
      <c r="AK21" s="23">
        <f>'Net zero Intermediate calcs'!AF37*'Net zero Intermediate calcs'!AF38*(1-Constants!$H$25)</f>
        <v>1100513.9530831533</v>
      </c>
      <c r="AL21" s="23">
        <f>'Net zero Intermediate calcs'!AG37*'Net zero Intermediate calcs'!AG38*(1-Constants!$H$25)</f>
        <v>1057129.4535435534</v>
      </c>
      <c r="AM21" s="23">
        <f>'Net zero Intermediate calcs'!AH37*'Net zero Intermediate calcs'!AH38*(1-Constants!$H$25)</f>
        <v>1095906.6610043263</v>
      </c>
      <c r="AN21" s="23">
        <f>'Net zero Intermediate calcs'!AI37*'Net zero Intermediate calcs'!AI38*(1-Constants!$H$25)</f>
        <v>2435583.0448081796</v>
      </c>
      <c r="AO21" s="23">
        <f>'Net zero Intermediate calcs'!AJ37*'Net zero Intermediate calcs'!AJ38*(1-Constants!$H$25)</f>
        <v>2489127.9351634444</v>
      </c>
      <c r="AP21" s="23">
        <f>'Net zero Intermediate calcs'!AK37*'Net zero Intermediate calcs'!AK38*(1-Constants!$H$25)</f>
        <v>2540476.9779366404</v>
      </c>
      <c r="AQ21" s="23">
        <f>'Net zero Intermediate calcs'!AL37*'Net zero Intermediate calcs'!AL38*(1-Constants!$H$25)</f>
        <v>2589176.6825495167</v>
      </c>
      <c r="AR21" s="23">
        <f>'Net zero Intermediate calcs'!AM37*'Net zero Intermediate calcs'!AM38*(1-Constants!$H$25)</f>
        <v>2634612.0887425812</v>
      </c>
      <c r="AS21" s="23">
        <f>'Net zero Intermediate calcs'!AN37*'Net zero Intermediate calcs'!AN38*(1-Constants!$H$25)</f>
        <v>2676584.6232365705</v>
      </c>
      <c r="AT21" s="23">
        <f>'Net zero Intermediate calcs'!AO37*'Net zero Intermediate calcs'!AO38*(1-Constants!$H$25)</f>
        <v>2714892.2004988659</v>
      </c>
      <c r="AU21" s="23">
        <f>'Net zero Intermediate calcs'!AP37*'Net zero Intermediate calcs'!AP38*(1-Constants!$H$25)</f>
        <v>2749360.4956209725</v>
      </c>
      <c r="AV21" s="23">
        <f>'Net zero Intermediate calcs'!AQ37*'Net zero Intermediate calcs'!AQ38*(1-Constants!$H$25)</f>
        <v>2779836.5326055051</v>
      </c>
      <c r="AW21" s="23">
        <f>'Net zero Intermediate calcs'!AR37*'Net zero Intermediate calcs'!AR38*(1-Constants!$H$25)</f>
        <v>2806172.9280099827</v>
      </c>
      <c r="AX21" s="23">
        <f>'Net zero Intermediate calcs'!AS37*'Net zero Intermediate calcs'!AS38*(1-Constants!$H$25)</f>
        <v>2828254.0675477977</v>
      </c>
      <c r="AY21" s="23">
        <f>'Net zero Intermediate calcs'!AT37*'Net zero Intermediate calcs'!AT38*(1-Constants!$H$25)</f>
        <v>2845975.6513045249</v>
      </c>
      <c r="AZ21" s="23">
        <f>'Net zero Intermediate calcs'!AU37*'Net zero Intermediate calcs'!AU38*(1-Constants!$H$25)</f>
        <v>2859244.915396513</v>
      </c>
      <c r="BA21" s="23">
        <f>'Net zero Intermediate calcs'!AV37*'Net zero Intermediate calcs'!AV38*(1-Constants!$H$25)</f>
        <v>2868006.0125034596</v>
      </c>
      <c r="BB21" s="23">
        <f>'Net zero Intermediate calcs'!AW37*'Net zero Intermediate calcs'!AW38*(1-Constants!$H$25)</f>
        <v>2872230.0393334352</v>
      </c>
      <c r="BC21" s="23">
        <f>'Net zero Intermediate calcs'!AX37*'Net zero Intermediate calcs'!AX38*(1-Constants!$H$25)</f>
        <v>374433.56076420727</v>
      </c>
      <c r="BD21" s="23">
        <f>'Net zero Intermediate calcs'!AY37*'Net zero Intermediate calcs'!AY38*(1-Constants!$H$25)</f>
        <v>377181.65772995655</v>
      </c>
      <c r="BE21" s="23">
        <f>'Net zero Intermediate calcs'!AZ37*'Net zero Intermediate calcs'!AZ38*(1-Constants!$H$25)</f>
        <v>379861.63291501981</v>
      </c>
      <c r="BF21" s="23">
        <f>'Net zero Intermediate calcs'!BA37*'Net zero Intermediate calcs'!BA38*(1-Constants!$H$25)</f>
        <v>382477.52353541146</v>
      </c>
      <c r="BG21" s="23">
        <f>'Net zero Intermediate calcs'!BB37*'Net zero Intermediate calcs'!BB38*(1-Constants!$H$25)</f>
        <v>385033.98353376606</v>
      </c>
      <c r="BH21" s="23">
        <f>'Net zero Intermediate calcs'!BC37*'Net zero Intermediate calcs'!BC38*(1-Constants!$H$25)</f>
        <v>387520.53098578565</v>
      </c>
      <c r="BI21" s="23">
        <f>'Net zero Intermediate calcs'!BD37*'Net zero Intermediate calcs'!BD38*(1-Constants!$H$25)</f>
        <v>389930.26314975898</v>
      </c>
      <c r="BJ21" s="23">
        <f>'Net zero Intermediate calcs'!BE37*'Net zero Intermediate calcs'!BE38*(1-Constants!$H$25)</f>
        <v>392262.67166507011</v>
      </c>
      <c r="BK21" s="23">
        <f>'Net zero Intermediate calcs'!BF37*'Net zero Intermediate calcs'!BF38*(1-Constants!$H$25)</f>
        <v>394509.53413043555</v>
      </c>
      <c r="BL21" s="23">
        <f>'Net zero Intermediate calcs'!BG37*'Net zero Intermediate calcs'!BG38*(1-Constants!$H$25)</f>
        <v>396661.69690977142</v>
      </c>
      <c r="BM21" s="23">
        <f>'Net zero Intermediate calcs'!BH37*'Net zero Intermediate calcs'!BH38*(1-Constants!$H$25)</f>
        <v>398718.35948722134</v>
      </c>
      <c r="BN21" s="23">
        <f>'Net zero Intermediate calcs'!BI37*'Net zero Intermediate calcs'!BI38*(1-Constants!$H$25)</f>
        <v>400681.25653547561</v>
      </c>
      <c r="BO21" s="23">
        <f>'Net zero Intermediate calcs'!BJ37*'Net zero Intermediate calcs'!BJ38*(1-Constants!$H$25)</f>
        <v>402551.68312296539</v>
      </c>
      <c r="BP21" s="23">
        <f>'Net zero Intermediate calcs'!BK37*'Net zero Intermediate calcs'!BK38*(1-Constants!$H$25)</f>
        <v>404320.71314471518</v>
      </c>
      <c r="BQ21">
        <v>2085924.7975858962</v>
      </c>
    </row>
    <row r="22" spans="1:72" x14ac:dyDescent="0.25">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3918474.6420822935</v>
      </c>
      <c r="AE22" s="23">
        <f>'Net zero Intermediate calcs'!Z42*'Net zero Intermediate calcs'!Z43*(1-Constants!$H$26)</f>
        <v>3970073.9493708364</v>
      </c>
      <c r="AF22" s="23">
        <f>'Net zero Intermediate calcs'!AA42*'Net zero Intermediate calcs'!AA43*(1-Constants!$H$26)</f>
        <v>4052957.2380717825</v>
      </c>
      <c r="AG22" s="23">
        <f>'Net zero Intermediate calcs'!AB42*'Net zero Intermediate calcs'!AB43*(1-Constants!$H$26)</f>
        <v>4076755.4517869898</v>
      </c>
      <c r="AH22" s="23">
        <f>'Net zero Intermediate calcs'!AC42*'Net zero Intermediate calcs'!AC43*(1-Constants!$H$26)</f>
        <v>4062162.5676625171</v>
      </c>
      <c r="AI22" s="23">
        <f>'Net zero Intermediate calcs'!AD42*'Net zero Intermediate calcs'!AD43*(1-Constants!$H$26)</f>
        <v>4009333.845017544</v>
      </c>
      <c r="AJ22" s="23">
        <f>'Net zero Intermediate calcs'!AE42*'Net zero Intermediate calcs'!AE43*(1-Constants!$H$26)</f>
        <v>3987094.1595649356</v>
      </c>
      <c r="AK22" s="23">
        <f>'Net zero Intermediate calcs'!AF42*'Net zero Intermediate calcs'!AF43*(1-Constants!$H$26)</f>
        <v>3969899.9472367382</v>
      </c>
      <c r="AL22" s="23">
        <f>'Net zero Intermediate calcs'!AG42*'Net zero Intermediate calcs'!AG43*(1-Constants!$H$26)</f>
        <v>3462199.4187546023</v>
      </c>
      <c r="AM22" s="23">
        <f>'Net zero Intermediate calcs'!AH42*'Net zero Intermediate calcs'!AH43*(1-Constants!$H$26)</f>
        <v>3724219.5117347874</v>
      </c>
      <c r="AN22" s="23">
        <f>'Net zero Intermediate calcs'!AI42*'Net zero Intermediate calcs'!AI43*(1-Constants!$H$26)</f>
        <v>16193839.326941296</v>
      </c>
      <c r="AO22" s="23">
        <f>'Net zero Intermediate calcs'!AJ42*'Net zero Intermediate calcs'!AJ43*(1-Constants!$H$26)</f>
        <v>16484167.985702422</v>
      </c>
      <c r="AP22" s="23">
        <f>'Net zero Intermediate calcs'!AK42*'Net zero Intermediate calcs'!AK43*(1-Constants!$H$26)</f>
        <v>16742093.794591503</v>
      </c>
      <c r="AQ22" s="23">
        <f>'Net zero Intermediate calcs'!AL42*'Net zero Intermediate calcs'!AL43*(1-Constants!$H$26)</f>
        <v>16968718.072403919</v>
      </c>
      <c r="AR22" s="23">
        <f>'Net zero Intermediate calcs'!AM42*'Net zero Intermediate calcs'!AM43*(1-Constants!$H$26)</f>
        <v>17167120.680343334</v>
      </c>
      <c r="AS22" s="23">
        <f>'Net zero Intermediate calcs'!AN42*'Net zero Intermediate calcs'!AN43*(1-Constants!$H$26)</f>
        <v>17335813.415578399</v>
      </c>
      <c r="AT22" s="23">
        <f>'Net zero Intermediate calcs'!AO42*'Net zero Intermediate calcs'!AO43*(1-Constants!$H$26)</f>
        <v>17473653.740607541</v>
      </c>
      <c r="AU22" s="23">
        <f>'Net zero Intermediate calcs'!AP42*'Net zero Intermediate calcs'!AP43*(1-Constants!$H$26)</f>
        <v>17579518.646849606</v>
      </c>
      <c r="AV22" s="23">
        <f>'Net zero Intermediate calcs'!AQ42*'Net zero Intermediate calcs'!AQ43*(1-Constants!$H$26)</f>
        <v>17652406.555255361</v>
      </c>
      <c r="AW22" s="23">
        <f>'Net zero Intermediate calcs'!AR42*'Net zero Intermediate calcs'!AR43*(1-Constants!$H$26)</f>
        <v>17691634.493481737</v>
      </c>
      <c r="AX22" s="23">
        <f>'Net zero Intermediate calcs'!AS42*'Net zero Intermediate calcs'!AS43*(1-Constants!$H$26)</f>
        <v>17696569.260245401</v>
      </c>
      <c r="AY22" s="23">
        <f>'Net zero Intermediate calcs'!AT42*'Net zero Intermediate calcs'!AT43*(1-Constants!$H$26)</f>
        <v>17666869.667780127</v>
      </c>
      <c r="AZ22" s="23">
        <f>'Net zero Intermediate calcs'!AU42*'Net zero Intermediate calcs'!AU43*(1-Constants!$H$26)</f>
        <v>17602494.257674381</v>
      </c>
      <c r="BA22" s="23">
        <f>'Net zero Intermediate calcs'!AV42*'Net zero Intermediate calcs'!AV43*(1-Constants!$H$26)</f>
        <v>17503438.013310917</v>
      </c>
      <c r="BB22" s="23">
        <f>'Net zero Intermediate calcs'!AW42*'Net zero Intermediate calcs'!AW43*(1-Constants!$H$26)</f>
        <v>17369849.315022156</v>
      </c>
      <c r="BC22" s="23">
        <f>'Net zero Intermediate calcs'!AX42*'Net zero Intermediate calcs'!AX43*(1-Constants!$H$26)</f>
        <v>-3709176.2585350703</v>
      </c>
      <c r="BD22" s="23">
        <f>'Net zero Intermediate calcs'!AY42*'Net zero Intermediate calcs'!AY43*(1-Constants!$H$26)</f>
        <v>-3714425.3370432453</v>
      </c>
      <c r="BE22" s="23">
        <f>'Net zero Intermediate calcs'!AZ42*'Net zero Intermediate calcs'!AZ43*(1-Constants!$H$26)</f>
        <v>-3719178.2884056349</v>
      </c>
      <c r="BF22" s="23">
        <f>'Net zero Intermediate calcs'!BA42*'Net zero Intermediate calcs'!BA43*(1-Constants!$H$26)</f>
        <v>-3723475.5305944164</v>
      </c>
      <c r="BG22" s="23">
        <f>'Net zero Intermediate calcs'!BB42*'Net zero Intermediate calcs'!BB43*(1-Constants!$H$26)</f>
        <v>-3727363.2723847469</v>
      </c>
      <c r="BH22" s="23">
        <f>'Net zero Intermediate calcs'!BC42*'Net zero Intermediate calcs'!BC43*(1-Constants!$H$26)</f>
        <v>-3730733.0112936441</v>
      </c>
      <c r="BI22" s="23">
        <f>'Net zero Intermediate calcs'!BD42*'Net zero Intermediate calcs'!BD43*(1-Constants!$H$26)</f>
        <v>-3733515.3660114869</v>
      </c>
      <c r="BJ22" s="23">
        <f>'Net zero Intermediate calcs'!BE42*'Net zero Intermediate calcs'!BE43*(1-Constants!$H$26)</f>
        <v>-3735707.1866359627</v>
      </c>
      <c r="BK22" s="23">
        <f>'Net zero Intermediate calcs'!BF42*'Net zero Intermediate calcs'!BF43*(1-Constants!$H$26)</f>
        <v>-3737228.4870834188</v>
      </c>
      <c r="BL22" s="23">
        <f>'Net zero Intermediate calcs'!BG42*'Net zero Intermediate calcs'!BG43*(1-Constants!$H$26)</f>
        <v>-3737992.0234915093</v>
      </c>
      <c r="BM22" s="23">
        <f>'Net zero Intermediate calcs'!BH42*'Net zero Intermediate calcs'!BH43*(1-Constants!$H$26)</f>
        <v>-3737995.295791408</v>
      </c>
      <c r="BN22" s="23">
        <f>'Net zero Intermediate calcs'!BI42*'Net zero Intermediate calcs'!BI43*(1-Constants!$H$26)</f>
        <v>-3737260.9561643</v>
      </c>
      <c r="BO22" s="23">
        <f>'Net zero Intermediate calcs'!BJ42*'Net zero Intermediate calcs'!BJ43*(1-Constants!$H$26)</f>
        <v>-3735807.0066646663</v>
      </c>
      <c r="BP22" s="23">
        <f>'Net zero Intermediate calcs'!BK42*'Net zero Intermediate calcs'!BK43*(1-Constants!$H$26)</f>
        <v>-3733551.6596255978</v>
      </c>
      <c r="BQ22">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3536340.4824694507</v>
      </c>
      <c r="AN41" s="22">
        <f>((Data!$AJ$42*LN('Intermediate calculations'!AH60))+Data!$AK$42)</f>
        <v>3563496.0859221276</v>
      </c>
      <c r="AO41" s="22">
        <f>((Data!$AJ$42*LN('Intermediate calculations'!AI60))+Data!$AK$42)</f>
        <v>4215209.0285238456</v>
      </c>
      <c r="AP41" s="22">
        <f>((Data!$AJ$42*LN('Intermediate calculations'!AJ60))+Data!$AK$42)</f>
        <v>4231490.20733344</v>
      </c>
      <c r="AQ41" s="22">
        <f>((Data!$AJ$42*LN('Intermediate calculations'!AK60))+Data!$AK$42)</f>
        <v>4246561.0039512403</v>
      </c>
      <c r="AR41" s="22">
        <f>((Data!$AJ$42*LN('Intermediate calculations'!AL60))+Data!$AK$42)</f>
        <v>4260423.0437018257</v>
      </c>
      <c r="AS41" s="22">
        <f>((Data!$AJ$42*LN('Intermediate calculations'!AM60))+Data!$AK$42)</f>
        <v>4273086.8475590721</v>
      </c>
      <c r="AT41" s="22">
        <f>((Data!$AJ$42*LN('Intermediate calculations'!AN60))+Data!$AK$42)</f>
        <v>4284541.4205668941</v>
      </c>
      <c r="AU41" s="22">
        <f>((Data!$AJ$42*LN('Intermediate calculations'!AO60))+Data!$AK$42)</f>
        <v>4294777.5678657647</v>
      </c>
      <c r="AV41" s="22">
        <f>((Data!$AJ$42*LN('Intermediate calculations'!AP60))+Data!$AK$42)</f>
        <v>4303786.2816398833</v>
      </c>
      <c r="AW41" s="22">
        <f>((Data!$AJ$42*LN('Intermediate calculations'!AQ60))+Data!$AK$42)</f>
        <v>4311559.1323509235</v>
      </c>
      <c r="AX41" s="22">
        <f>((Data!$AJ$42*LN('Intermediate calculations'!AR60))+Data!$AK$42)</f>
        <v>4318089.0880459901</v>
      </c>
      <c r="AY41" s="22">
        <f>((Data!$AJ$42*LN('Intermediate calculations'!AS60))+Data!$AK$42)</f>
        <v>4323369.2214795537</v>
      </c>
      <c r="AZ41" s="22">
        <f>((Data!$AJ$42*LN('Intermediate calculations'!AT60))+Data!$AK$42)</f>
        <v>4327393.7601321675</v>
      </c>
      <c r="BA41" s="22">
        <f>((Data!$AJ$42*LN('Intermediate calculations'!AU60))+Data!$AK$42)</f>
        <v>4330158.0834303666</v>
      </c>
      <c r="BB41" s="22">
        <f>((Data!$AJ$42*LN('Intermediate calculations'!AV60))+Data!$AK$42)</f>
        <v>4331657.4983833581</v>
      </c>
      <c r="BC41" s="22">
        <f>((Data!$AJ$42*LN('Intermediate calculations'!AW60))+Data!$AK$42)</f>
        <v>4331887.7516830992</v>
      </c>
      <c r="BD41" s="22">
        <f>((Data!$AJ$42*LN('Intermediate calculations'!AX60))+Data!$AK$42)</f>
        <v>2405421.3565535322</v>
      </c>
      <c r="BE41" s="22">
        <f>((Data!$AJ$42*LN('Intermediate calculations'!AY60))+Data!$AK$42)</f>
        <v>2403788.2854956239</v>
      </c>
      <c r="BF41" s="22">
        <f>((Data!$AJ$42*LN('Intermediate calculations'!AZ60))+Data!$AK$42)</f>
        <v>2402192.4110759087</v>
      </c>
      <c r="BG41" s="22">
        <f>((Data!$AJ$42*LN('Intermediate calculations'!BA60))+Data!$AK$42)</f>
        <v>2400631.5554386713</v>
      </c>
      <c r="BH41" s="22">
        <f>((Data!$AJ$42*LN('Intermediate calculations'!BB60))+Data!$AK$42)</f>
        <v>2399103.147229027</v>
      </c>
      <c r="BI41" s="22">
        <f>((Data!$AJ$42*LN('Intermediate calculations'!BC60))+Data!$AK$42)</f>
        <v>2397613.6863267925</v>
      </c>
      <c r="BJ41" s="22">
        <f>((Data!$AJ$42*LN('Intermediate calculations'!BD60))+Data!$AK$42)</f>
        <v>2396167.5612667147</v>
      </c>
      <c r="BK41" s="22">
        <f>((Data!$AJ$42*LN('Intermediate calculations'!BE60))+Data!$AK$42)</f>
        <v>2394765.3283680808</v>
      </c>
      <c r="BL41" s="22">
        <f>((Data!$AJ$42*LN('Intermediate calculations'!BF60))+Data!$AK$42)</f>
        <v>2393412.2009041701</v>
      </c>
      <c r="BM41" s="22">
        <f>((Data!$AJ$42*LN('Intermediate calculations'!BG60))+Data!$AK$42)</f>
        <v>2392113.9824916571</v>
      </c>
      <c r="BN41" s="22">
        <f>((Data!$AJ$42*LN('Intermediate calculations'!BH60))+Data!$AK$42)</f>
        <v>2390871.439684974</v>
      </c>
      <c r="BO41" s="22">
        <f>((Data!$AJ$42*LN('Intermediate calculations'!BI60))+Data!$AK$42)</f>
        <v>2389683.7917572055</v>
      </c>
      <c r="BP41" s="22">
        <f>((Data!$AJ$42*LN('Intermediate calculations'!BJ60))+Data!$AK$42)</f>
        <v>2388550.507793935</v>
      </c>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1950130.9088433851</v>
      </c>
      <c r="AN45" s="22">
        <f t="shared" si="46"/>
        <v>1965105.98884597</v>
      </c>
      <c r="AO45" s="22">
        <f t="shared" si="46"/>
        <v>2324496.0304330825</v>
      </c>
      <c r="AP45" s="22">
        <f t="shared" si="46"/>
        <v>2333474.3599198475</v>
      </c>
      <c r="AQ45" s="22">
        <f t="shared" si="46"/>
        <v>2341785.2186878189</v>
      </c>
      <c r="AR45" s="22">
        <f t="shared" si="46"/>
        <v>2349429.5030295672</v>
      </c>
      <c r="AS45" s="22">
        <f t="shared" si="46"/>
        <v>2356413.0147835882</v>
      </c>
      <c r="AT45" s="22">
        <f t="shared" si="46"/>
        <v>2362729.6907317592</v>
      </c>
      <c r="AU45" s="22">
        <f t="shared" si="46"/>
        <v>2368374.4603273217</v>
      </c>
      <c r="AV45" s="22">
        <f t="shared" si="46"/>
        <v>2373342.3561696257</v>
      </c>
      <c r="AW45" s="22">
        <f t="shared" si="46"/>
        <v>2377628.7297517415</v>
      </c>
      <c r="AX45" s="22">
        <f t="shared" si="46"/>
        <v>2381229.7032715296</v>
      </c>
      <c r="AY45" s="22">
        <f t="shared" si="46"/>
        <v>2384141.456668199</v>
      </c>
      <c r="AZ45" s="22">
        <f t="shared" si="46"/>
        <v>2386360.8066598647</v>
      </c>
      <c r="BA45" s="22">
        <f t="shared" si="46"/>
        <v>2387885.2052104506</v>
      </c>
      <c r="BB45" s="22">
        <f t="shared" si="46"/>
        <v>2388712.0643490166</v>
      </c>
      <c r="BC45" s="22">
        <f t="shared" si="46"/>
        <v>2388839.038569659</v>
      </c>
      <c r="BD45" s="22">
        <f t="shared" si="46"/>
        <v>1326480.4561271621</v>
      </c>
      <c r="BE45" s="22">
        <f t="shared" si="46"/>
        <v>1325579.8917267171</v>
      </c>
      <c r="BF45" s="22">
        <f t="shared" si="46"/>
        <v>1324699.8395801699</v>
      </c>
      <c r="BG45" s="22">
        <f t="shared" si="46"/>
        <v>1323839.0986991636</v>
      </c>
      <c r="BH45" s="22">
        <f t="shared" si="46"/>
        <v>1322996.2510984496</v>
      </c>
      <c r="BI45" s="22">
        <f t="shared" si="46"/>
        <v>1322174.8811660688</v>
      </c>
      <c r="BJ45" s="22">
        <f t="shared" si="46"/>
        <v>1321377.4089793009</v>
      </c>
      <c r="BK45" s="22">
        <f t="shared" si="46"/>
        <v>1320604.1413229259</v>
      </c>
      <c r="BL45" s="22">
        <f t="shared" si="46"/>
        <v>1319857.9530800069</v>
      </c>
      <c r="BM45" s="22">
        <f t="shared" si="46"/>
        <v>1319142.0446811349</v>
      </c>
      <c r="BN45" s="22">
        <f t="shared" si="46"/>
        <v>1318456.8388462088</v>
      </c>
      <c r="BO45" s="22">
        <f t="shared" si="46"/>
        <v>1317801.9050398497</v>
      </c>
      <c r="BP45" s="22">
        <f t="shared" si="46"/>
        <v>1317176.9504869082</v>
      </c>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640787.03747400374</v>
      </c>
      <c r="AN46" s="22">
        <f>((Data!$AJ$48*'Net zero Activity data'!AN47)+Data!$AK$48)</f>
        <v>640551.21895943326</v>
      </c>
      <c r="AO46" s="22">
        <f>((Data!$AJ$48*'Net zero Activity data'!AO47)+Data!$AK$48)</f>
        <v>634891.76166479173</v>
      </c>
      <c r="AP46" s="22">
        <f>((Data!$AJ$48*'Net zero Activity data'!AP47)+Data!$AK$48)</f>
        <v>634750.37635516224</v>
      </c>
      <c r="AQ46" s="22">
        <f>((Data!$AJ$48*'Net zero Activity data'!AQ47)+Data!$AK$48)</f>
        <v>634619.50197124376</v>
      </c>
      <c r="AR46" s="22">
        <f>((Data!$AJ$48*'Net zero Activity data'!AR47)+Data!$AK$48)</f>
        <v>634499.12439876248</v>
      </c>
      <c r="AS46" s="22">
        <f>((Data!$AJ$48*'Net zero Activity data'!AS47)+Data!$AK$48)</f>
        <v>634389.15227387007</v>
      </c>
      <c r="AT46" s="22">
        <f>((Data!$AJ$48*'Net zero Activity data'!AT47)+Data!$AK$48)</f>
        <v>634289.6810764632</v>
      </c>
      <c r="AU46" s="22">
        <f>((Data!$AJ$48*'Net zero Activity data'!AU47)+Data!$AK$48)</f>
        <v>634200.79065444949</v>
      </c>
      <c r="AV46" s="22">
        <f>((Data!$AJ$48*'Net zero Activity data'!AV47)+Data!$AK$48)</f>
        <v>634122.55923145416</v>
      </c>
      <c r="AW46" s="22">
        <f>((Data!$AJ$48*'Net zero Activity data'!AW47)+Data!$AK$48)</f>
        <v>634055.06000935624</v>
      </c>
      <c r="AX46" s="22">
        <f>((Data!$AJ$48*'Net zero Activity data'!AX47)+Data!$AK$48)</f>
        <v>633998.35405344167</v>
      </c>
      <c r="AY46" s="22">
        <f>((Data!$AJ$48*'Net zero Activity data'!AY47)+Data!$AK$48)</f>
        <v>633952.5015197203</v>
      </c>
      <c r="AZ46" s="22">
        <f>((Data!$AJ$48*'Net zero Activity data'!AZ47)+Data!$AK$48)</f>
        <v>633917.55253659259</v>
      </c>
      <c r="BA46" s="22">
        <f>((Data!$AJ$48*'Net zero Activity data'!BA47)+Data!$AK$48)</f>
        <v>633893.54722899164</v>
      </c>
      <c r="BB46" s="22">
        <f>((Data!$AJ$48*'Net zero Activity data'!BB47)+Data!$AK$48)</f>
        <v>633880.52635072032</v>
      </c>
      <c r="BC46" s="22">
        <f>((Data!$AJ$48*'Net zero Activity data'!BC47)+Data!$AK$48)</f>
        <v>633878.5268373891</v>
      </c>
      <c r="BD46" s="22">
        <f>((Data!$AJ$48*'Net zero Activity data'!BD47)+Data!$AK$48)</f>
        <v>650607.90810343029</v>
      </c>
      <c r="BE46" s="22">
        <f>((Data!$AJ$48*'Net zero Activity data'!BE47)+Data!$AK$48)</f>
        <v>650622.08964764595</v>
      </c>
      <c r="BF46" s="22">
        <f>((Data!$AJ$48*'Net zero Activity data'!BF47)+Data!$AK$48)</f>
        <v>650635.94817727699</v>
      </c>
      <c r="BG46" s="22">
        <f>((Data!$AJ$48*'Net zero Activity data'!BG47)+Data!$AK$48)</f>
        <v>650649.50260476267</v>
      </c>
      <c r="BH46" s="22">
        <f>((Data!$AJ$48*'Net zero Activity data'!BH47)+Data!$AK$48)</f>
        <v>650662.77525967848</v>
      </c>
      <c r="BI46" s="22">
        <f>((Data!$AJ$48*'Net zero Activity data'!BI47)+Data!$AK$48)</f>
        <v>650675.70969724632</v>
      </c>
      <c r="BJ46" s="22">
        <f>((Data!$AJ$48*'Net zero Activity data'!BJ47)+Data!$AK$48)</f>
        <v>650688.26780755108</v>
      </c>
      <c r="BK46" s="22">
        <f>((Data!$AJ$48*'Net zero Activity data'!BK47)+Data!$AK$48)</f>
        <v>650700.4447595313</v>
      </c>
      <c r="BL46" s="22">
        <f>((Data!$AJ$48*'Net zero Activity data'!BL47)+Data!$AK$48)</f>
        <v>650712.19528126507</v>
      </c>
      <c r="BM46" s="22">
        <f>((Data!$AJ$48*'Net zero Activity data'!BM47)+Data!$AK$48)</f>
        <v>650723.4689743045</v>
      </c>
      <c r="BN46" s="22">
        <f>((Data!$AJ$48*'Net zero Activity data'!BN47)+Data!$AK$48)</f>
        <v>650734.25918191206</v>
      </c>
      <c r="BO46" s="22">
        <f>((Data!$AJ$48*'Net zero Activity data'!BO47)+Data!$AK$48)</f>
        <v>650744.57268389873</v>
      </c>
      <c r="BP46" s="22">
        <f>((Data!$AJ$48*'Net zero Activity data'!BP47)+Data!$AK$48)</f>
        <v>650754.41409071081</v>
      </c>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420226.87274158868</v>
      </c>
      <c r="AN47" s="22">
        <f>((Data!$AJ$49*'Net zero Activity data'!AN41)+Data!$AK$49)</f>
        <v>420053.42264826311</v>
      </c>
      <c r="AO47" s="22">
        <f>((Data!$AJ$49*'Net zero Activity data'!AO41)+Data!$AK$49)</f>
        <v>415890.7579918601</v>
      </c>
      <c r="AP47" s="22">
        <f>((Data!$AJ$49*'Net zero Activity data'!AP41)+Data!$AK$49)</f>
        <v>415786.76575361373</v>
      </c>
      <c r="AQ47" s="22">
        <f>((Data!$AJ$49*'Net zero Activity data'!AQ41)+Data!$AK$49)</f>
        <v>415690.5045497556</v>
      </c>
      <c r="AR47" s="22">
        <f>((Data!$AJ$49*'Net zero Activity data'!AR41)+Data!$AK$49)</f>
        <v>415601.96399890346</v>
      </c>
      <c r="AS47" s="22">
        <f>((Data!$AJ$49*'Net zero Activity data'!AS41)+Data!$AK$49)</f>
        <v>415521.07690078672</v>
      </c>
      <c r="AT47" s="22">
        <f>((Data!$AJ$49*'Net zero Activity data'!AT41)+Data!$AK$49)</f>
        <v>415447.91348312696</v>
      </c>
      <c r="AU47" s="22">
        <f>((Data!$AJ$49*'Net zero Activity data'!AU41)+Data!$AK$49)</f>
        <v>415382.53247594816</v>
      </c>
      <c r="AV47" s="22">
        <f>((Data!$AJ$49*'Net zero Activity data'!AV41)+Data!$AK$49)</f>
        <v>415324.99141457619</v>
      </c>
      <c r="AW47" s="22">
        <f>((Data!$AJ$49*'Net zero Activity data'!AW41)+Data!$AK$49)</f>
        <v>415275.34414072405</v>
      </c>
      <c r="AX47" s="22">
        <f>((Data!$AJ$49*'Net zero Activity data'!AX41)+Data!$AK$49)</f>
        <v>415233.6355693533</v>
      </c>
      <c r="AY47" s="22">
        <f>((Data!$AJ$49*'Net zero Activity data'!AY41)+Data!$AK$49)</f>
        <v>415199.90994663164</v>
      </c>
      <c r="AZ47" s="22">
        <f>((Data!$AJ$49*'Net zero Activity data'!AZ41)+Data!$AK$49)</f>
        <v>415174.20414318284</v>
      </c>
      <c r="BA47" s="22">
        <f>((Data!$AJ$49*'Net zero Activity data'!BA41)+Data!$AK$49)</f>
        <v>415156.5476718439</v>
      </c>
      <c r="BB47" s="22">
        <f>((Data!$AJ$49*'Net zero Activity data'!BB41)+Data!$AK$49)</f>
        <v>415146.97050800058</v>
      </c>
      <c r="BC47" s="22">
        <f>((Data!$AJ$49*'Net zero Activity data'!BC41)+Data!$AK$49)</f>
        <v>415145.49981866759</v>
      </c>
      <c r="BD47" s="22">
        <f>((Data!$AJ$49*'Net zero Activity data'!BD41)+Data!$AK$49)</f>
        <v>427450.35530111392</v>
      </c>
      <c r="BE47" s="22">
        <f>((Data!$AJ$49*'Net zero Activity data'!BE41)+Data!$AK$49)</f>
        <v>427460.78616220289</v>
      </c>
      <c r="BF47" s="22">
        <f>((Data!$AJ$49*'Net zero Activity data'!BF41)+Data!$AK$49)</f>
        <v>427470.97943842737</v>
      </c>
      <c r="BG47" s="22">
        <f>((Data!$AJ$49*'Net zero Activity data'!BG41)+Data!$AK$49)</f>
        <v>427480.94904033357</v>
      </c>
      <c r="BH47" s="22">
        <f>((Data!$AJ$49*'Net zero Activity data'!BH41)+Data!$AK$49)</f>
        <v>427490.71139185212</v>
      </c>
      <c r="BI47" s="22">
        <f>((Data!$AJ$49*'Net zero Activity data'!BI41)+Data!$AK$49)</f>
        <v>427500.22497651418</v>
      </c>
      <c r="BJ47" s="22">
        <f>((Data!$AJ$49*'Net zero Activity data'!BJ41)+Data!$AK$49)</f>
        <v>427509.46176357614</v>
      </c>
      <c r="BK47" s="22">
        <f>((Data!$AJ$49*'Net zero Activity data'!BK41)+Data!$AK$49)</f>
        <v>427518.41819967801</v>
      </c>
      <c r="BL47" s="22">
        <f>((Data!$AJ$49*'Net zero Activity data'!BL41)+Data!$AK$49)</f>
        <v>427527.06098625081</v>
      </c>
      <c r="BM47" s="22">
        <f>((Data!$AJ$49*'Net zero Activity data'!BM41)+Data!$AK$49)</f>
        <v>427535.35305404448</v>
      </c>
      <c r="BN47" s="22">
        <f>((Data!$AJ$49*'Net zero Activity data'!BN41)+Data!$AK$49)</f>
        <v>427543.28950687108</v>
      </c>
      <c r="BO47" s="22">
        <f>((Data!$AJ$49*'Net zero Activity data'!BO41)+Data!$AK$49)</f>
        <v>427550.87533144199</v>
      </c>
      <c r="BP47" s="22">
        <f>((Data!$AJ$49*'Net zero Activity data'!BP41)+Data!$AK$49)</f>
        <v>427558.11391884944</v>
      </c>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2773.4973600944859</v>
      </c>
      <c r="AN48" s="22">
        <f t="shared" si="47"/>
        <v>2772.3525894785371</v>
      </c>
      <c r="AO48" s="22">
        <f t="shared" si="47"/>
        <v>2744.8790027462774</v>
      </c>
      <c r="AP48" s="22">
        <f t="shared" si="47"/>
        <v>2744.1926539738506</v>
      </c>
      <c r="AQ48" s="22">
        <f t="shared" si="47"/>
        <v>2743.5573300283877</v>
      </c>
      <c r="AR48" s="22">
        <f t="shared" si="47"/>
        <v>2742.9729623927633</v>
      </c>
      <c r="AS48" s="22">
        <f t="shared" si="47"/>
        <v>2742.4391075451927</v>
      </c>
      <c r="AT48" s="22">
        <f t="shared" si="47"/>
        <v>2741.956228988638</v>
      </c>
      <c r="AU48" s="22">
        <f t="shared" si="47"/>
        <v>2741.524714341258</v>
      </c>
      <c r="AV48" s="22">
        <f t="shared" si="47"/>
        <v>2741.1449433362031</v>
      </c>
      <c r="AW48" s="22">
        <f t="shared" si="47"/>
        <v>2740.817271328779</v>
      </c>
      <c r="AX48" s="22">
        <f t="shared" si="47"/>
        <v>2740.5419947577325</v>
      </c>
      <c r="AY48" s="22">
        <f t="shared" si="47"/>
        <v>2740.3194056477696</v>
      </c>
      <c r="AZ48" s="22">
        <f t="shared" si="47"/>
        <v>2740.1497473450072</v>
      </c>
      <c r="BA48" s="22">
        <f t="shared" si="47"/>
        <v>2740.0332146341702</v>
      </c>
      <c r="BB48" s="22">
        <f t="shared" si="47"/>
        <v>2739.9700053528045</v>
      </c>
      <c r="BC48" s="22">
        <f t="shared" si="47"/>
        <v>2739.9602988032066</v>
      </c>
      <c r="BD48" s="22">
        <f t="shared" si="47"/>
        <v>2821.1723449873525</v>
      </c>
      <c r="BE48" s="22">
        <f t="shared" si="47"/>
        <v>2821.2411886705395</v>
      </c>
      <c r="BF48" s="22">
        <f t="shared" si="47"/>
        <v>2821.308464293621</v>
      </c>
      <c r="BG48" s="22">
        <f t="shared" si="47"/>
        <v>2821.3742636662018</v>
      </c>
      <c r="BH48" s="22">
        <f t="shared" si="47"/>
        <v>2821.4386951862248</v>
      </c>
      <c r="BI48" s="22">
        <f t="shared" si="47"/>
        <v>2821.5014848449941</v>
      </c>
      <c r="BJ48" s="22">
        <f t="shared" si="47"/>
        <v>2821.5624476396029</v>
      </c>
      <c r="BK48" s="22">
        <f t="shared" si="47"/>
        <v>2821.6215601178756</v>
      </c>
      <c r="BL48" s="22">
        <f t="shared" si="47"/>
        <v>2821.6786025092561</v>
      </c>
      <c r="BM48" s="22">
        <f t="shared" si="47"/>
        <v>2821.7333301566941</v>
      </c>
      <c r="BN48" s="22">
        <f t="shared" si="47"/>
        <v>2821.7857107453492</v>
      </c>
      <c r="BO48" s="22">
        <f t="shared" si="47"/>
        <v>2821.8357771875176</v>
      </c>
      <c r="BP48" s="22">
        <f t="shared" si="47"/>
        <v>2821.8835518644069</v>
      </c>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20560385.837839566</v>
      </c>
      <c r="AG50" s="22">
        <f>((AG5*Constants!$H63*Constants!$H81*(1-Constants!$H99))+(AG5*Constants!$H63*Constants!$H115))</f>
        <v>20663786.784143396</v>
      </c>
      <c r="AH50" s="22">
        <f>((AH5*Constants!$H63*Constants!$H81*(1-Constants!$H99))+(AH5*Constants!$H63*Constants!$H115))</f>
        <v>20732497.185878474</v>
      </c>
      <c r="AI50" s="22">
        <f>((AI5*Constants!$H63*Constants!$H81*(1-Constants!$H99))+(AI5*Constants!$H63*Constants!$H115))</f>
        <v>20765840.779266842</v>
      </c>
      <c r="AJ50" s="22">
        <f>((AJ5*Constants!$H63*Constants!$H81*(1-Constants!$H99))+(AJ5*Constants!$H63*Constants!$H115))</f>
        <v>20839509.186275803</v>
      </c>
      <c r="AK50" s="22">
        <f>((AK5*Constants!$H63*Constants!$H81*(1-Constants!$H99))+(AK5*Constants!$H63*Constants!$H115))</f>
        <v>20924019.222796652</v>
      </c>
      <c r="AL50" s="22">
        <f>((AL5*Constants!$H63*Constants!$H81*(1-Constants!$H99))+(AL5*Constants!$H63*Constants!$H115))</f>
        <v>20329471.467798639</v>
      </c>
      <c r="AM50" s="22">
        <f>((AM5*Constants!$H63*Constants!$H81*(1-Constants!$H99))+(AM5*Constants!$H63*Constants!$H115))</f>
        <v>20679268.815322887</v>
      </c>
      <c r="AN50" s="22">
        <f>((AN5*Constants!$H63*Constants!$H81*(1-Constants!$H99))+(AN5*Constants!$H63*Constants!$H115))</f>
        <v>35580335.763395853</v>
      </c>
      <c r="AO50" s="22">
        <f>((AO5*Constants!$H63*Constants!$H81*(1-Constants!$H99))+(AO5*Constants!$H63*Constants!$H115))</f>
        <v>36009240.103814177</v>
      </c>
      <c r="AP50" s="22">
        <f>((AP5*Constants!$H63*Constants!$H81*(1-Constants!$H99))+(AP5*Constants!$H63*Constants!$H115))</f>
        <v>36419331.650464512</v>
      </c>
      <c r="AQ50" s="22">
        <f>((AQ5*Constants!$H63*Constants!$H81*(1-Constants!$H99))+(AQ5*Constants!$H63*Constants!$H115))</f>
        <v>36803634.836653389</v>
      </c>
      <c r="AR50" s="22">
        <f>((AR5*Constants!$H63*Constants!$H81*(1-Constants!$H99))+(AR5*Constants!$H63*Constants!$H115))</f>
        <v>37151886.755777255</v>
      </c>
      <c r="AS50" s="22">
        <f>((AS5*Constants!$H63*Constants!$H81*(1-Constants!$H99))+(AS5*Constants!$H63*Constants!$H115))</f>
        <v>37462461.063535869</v>
      </c>
      <c r="AT50" s="22">
        <f>((AT5*Constants!$H63*Constants!$H81*(1-Constants!$H99))+(AT5*Constants!$H63*Constants!$H115))</f>
        <v>37733548.500653714</v>
      </c>
      <c r="AU50" s="22">
        <f>((AU5*Constants!$H63*Constants!$H81*(1-Constants!$H99))+(AU5*Constants!$H63*Constants!$H115))</f>
        <v>37963779.724838428</v>
      </c>
      <c r="AV50" s="22">
        <f>((AV5*Constants!$H63*Constants!$H81*(1-Constants!$H99))+(AV5*Constants!$H63*Constants!$H115))</f>
        <v>38152068.750483029</v>
      </c>
      <c r="AW50" s="22">
        <f>((AW5*Constants!$H63*Constants!$H81*(1-Constants!$H99))+(AW5*Constants!$H63*Constants!$H115))</f>
        <v>38297273.962660141</v>
      </c>
      <c r="AX50" s="22">
        <f>((AX5*Constants!$H63*Constants!$H81*(1-Constants!$H99))+(AX5*Constants!$H63*Constants!$H115))</f>
        <v>38398711.921103403</v>
      </c>
      <c r="AY50" s="22">
        <f>((AY5*Constants!$H63*Constants!$H81*(1-Constants!$H99))+(AY5*Constants!$H63*Constants!$H115))</f>
        <v>38455727.05504597</v>
      </c>
      <c r="AZ50" s="22">
        <f>((AZ5*Constants!$H63*Constants!$H81*(1-Constants!$H99))+(AZ5*Constants!$H63*Constants!$H115))</f>
        <v>38467686.001884595</v>
      </c>
      <c r="BA50" s="22">
        <f>((BA5*Constants!$H63*Constants!$H81*(1-Constants!$H99))+(BA5*Constants!$H63*Constants!$H115))</f>
        <v>38434473.09744066</v>
      </c>
      <c r="BB50" s="22">
        <f>((BB5*Constants!$H63*Constants!$H81*(1-Constants!$H99))+(BB5*Constants!$H63*Constants!$H115))</f>
        <v>38356277.425729178</v>
      </c>
      <c r="BC50" s="22">
        <f>((BC5*Constants!$H63*Constants!$H81*(1-Constants!$H99))+(BC5*Constants!$H63*Constants!$H115))</f>
        <v>12135262.90524522</v>
      </c>
      <c r="BD50" s="22">
        <f>((BD5*Constants!$H63*Constants!$H81*(1-Constants!$H99))+(BD5*Constants!$H63*Constants!$H115))</f>
        <v>12144121.443514019</v>
      </c>
      <c r="BE50" s="22">
        <f>((BE5*Constants!$H63*Constants!$H81*(1-Constants!$H99))+(BE5*Constants!$H63*Constants!$H115))</f>
        <v>12152342.28571563</v>
      </c>
      <c r="BF50" s="22">
        <f>((BF5*Constants!$H63*Constants!$H81*(1-Constants!$H99))+(BF5*Constants!$H63*Constants!$H115))</f>
        <v>12159981.043016033</v>
      </c>
      <c r="BG50" s="22">
        <f>((BG5*Constants!$H63*Constants!$H81*(1-Constants!$H99))+(BG5*Constants!$H63*Constants!$H115))</f>
        <v>12167106.216716893</v>
      </c>
      <c r="BH50" s="22">
        <f>((BH5*Constants!$H63*Constants!$H81*(1-Constants!$H99))+(BH5*Constants!$H63*Constants!$H115))</f>
        <v>12173494.182228861</v>
      </c>
      <c r="BI50" s="22">
        <f>((BI5*Constants!$H63*Constants!$H81*(1-Constants!$H99))+(BI5*Constants!$H63*Constants!$H115))</f>
        <v>12178994.767031802</v>
      </c>
      <c r="BJ50" s="22">
        <f>((BJ5*Constants!$H63*Constants!$H81*(1-Constants!$H99))+(BJ5*Constants!$H63*Constants!$H115))</f>
        <v>12183583.889192184</v>
      </c>
      <c r="BK50" s="22">
        <f>((BK5*Constants!$H63*Constants!$H81*(1-Constants!$H99))+(BK5*Constants!$H63*Constants!$H115))</f>
        <v>12187091.156778457</v>
      </c>
      <c r="BL50" s="22">
        <f>((BL5*Constants!$H63*Constants!$H81*(1-Constants!$H99))+(BL5*Constants!$H63*Constants!$H115))</f>
        <v>12189331.577433044</v>
      </c>
      <c r="BM50" s="22">
        <f>((BM5*Constants!$H63*Constants!$H81*(1-Constants!$H99))+(BM5*Constants!$H63*Constants!$H115))</f>
        <v>12190282.302019646</v>
      </c>
      <c r="BN50" s="22">
        <f>((BN5*Constants!$H63*Constants!$H81*(1-Constants!$H99))+(BN5*Constants!$H63*Constants!$H115))</f>
        <v>12189969.606439846</v>
      </c>
      <c r="BO50" s="22">
        <f>((BO5*Constants!$H63*Constants!$H81*(1-Constants!$H99))+(BO5*Constants!$H63*Constants!$H115))</f>
        <v>12188411.815103695</v>
      </c>
      <c r="BP50" s="22">
        <f>((BP5*Constants!$H63*Constants!$H81*(1-Constants!$H99))+(BP5*Constants!$H63*Constants!$H115))</f>
        <v>12185434.932784775</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60117967.088665649</v>
      </c>
      <c r="AG51" s="22">
        <f>((AG6*Constants!$H64*Constants!$H82*(1-Constants!$H100))+(AG6*Constants!$H64*Constants!$H116))</f>
        <v>60420308.43263936</v>
      </c>
      <c r="AH51" s="22">
        <f>((AH6*Constants!$H64*Constants!$H82*(1-Constants!$H100))+(AH6*Constants!$H64*Constants!$H116))</f>
        <v>60621215.638502978</v>
      </c>
      <c r="AI51" s="22">
        <f>((AI6*Constants!$H64*Constants!$H82*(1-Constants!$H100))+(AI6*Constants!$H64*Constants!$H116))</f>
        <v>60718711.330740973</v>
      </c>
      <c r="AJ51" s="22">
        <f>((AJ6*Constants!$H64*Constants!$H82*(1-Constants!$H100))+(AJ6*Constants!$H64*Constants!$H116))</f>
        <v>60934115.599073708</v>
      </c>
      <c r="AK51" s="22">
        <f>((AK6*Constants!$H64*Constants!$H82*(1-Constants!$H100))+(AK6*Constants!$H64*Constants!$H116))</f>
        <v>61181220.475134552</v>
      </c>
      <c r="AL51" s="22">
        <f>((AL6*Constants!$H64*Constants!$H82*(1-Constants!$H100))+(AL6*Constants!$H64*Constants!$H116))</f>
        <v>59442780.221653096</v>
      </c>
      <c r="AM51" s="22">
        <f>((AM6*Constants!$H64*Constants!$H82*(1-Constants!$H100))+(AM6*Constants!$H64*Constants!$H116))</f>
        <v>60465577.439177245</v>
      </c>
      <c r="AN51" s="22">
        <f>((AN6*Constants!$H64*Constants!$H82*(1-Constants!$H100))+(AN6*Constants!$H64*Constants!$H116))</f>
        <v>104035861.54938948</v>
      </c>
      <c r="AO51" s="22">
        <f>((AO6*Constants!$H64*Constants!$H82*(1-Constants!$H100))+(AO6*Constants!$H64*Constants!$H116))</f>
        <v>105289965.30137256</v>
      </c>
      <c r="AP51" s="22">
        <f>((AP6*Constants!$H64*Constants!$H82*(1-Constants!$H100))+(AP6*Constants!$H64*Constants!$H116))</f>
        <v>106489060.99438682</v>
      </c>
      <c r="AQ51" s="22">
        <f>((AQ6*Constants!$H64*Constants!$H82*(1-Constants!$H100))+(AQ6*Constants!$H64*Constants!$H116))</f>
        <v>107612752.27535744</v>
      </c>
      <c r="AR51" s="22">
        <f>((AR6*Constants!$H64*Constants!$H82*(1-Constants!$H100))+(AR6*Constants!$H64*Constants!$H116))</f>
        <v>108631030.70542087</v>
      </c>
      <c r="AS51" s="22">
        <f>((AS6*Constants!$H64*Constants!$H82*(1-Constants!$H100))+(AS6*Constants!$H64*Constants!$H116))</f>
        <v>109539140.90139078</v>
      </c>
      <c r="AT51" s="22">
        <f>((AT6*Constants!$H64*Constants!$H82*(1-Constants!$H100))+(AT6*Constants!$H64*Constants!$H116))</f>
        <v>110331792.64204088</v>
      </c>
      <c r="AU51" s="22">
        <f>((AU6*Constants!$H64*Constants!$H82*(1-Constants!$H100))+(AU6*Constants!$H64*Constants!$H116))</f>
        <v>111004982.01054224</v>
      </c>
      <c r="AV51" s="22">
        <f>((AV6*Constants!$H64*Constants!$H82*(1-Constants!$H100))+(AV6*Constants!$H64*Constants!$H116))</f>
        <v>111555533.61672983</v>
      </c>
      <c r="AW51" s="22">
        <f>((AW6*Constants!$H64*Constants!$H82*(1-Constants!$H100))+(AW6*Constants!$H64*Constants!$H116))</f>
        <v>111980109.41193213</v>
      </c>
      <c r="AX51" s="22">
        <f>((AX6*Constants!$H64*Constants!$H82*(1-Constants!$H100))+(AX6*Constants!$H64*Constants!$H116))</f>
        <v>112276711.03679121</v>
      </c>
      <c r="AY51" s="22">
        <f>((AY6*Constants!$H64*Constants!$H82*(1-Constants!$H100))+(AY6*Constants!$H64*Constants!$H116))</f>
        <v>112443421.6215511</v>
      </c>
      <c r="AZ51" s="22">
        <f>((AZ6*Constants!$H64*Constants!$H82*(1-Constants!$H100))+(AZ6*Constants!$H64*Constants!$H116))</f>
        <v>112478389.2324768</v>
      </c>
      <c r="BA51" s="22">
        <f>((BA6*Constants!$H64*Constants!$H82*(1-Constants!$H100))+(BA6*Constants!$H64*Constants!$H116))</f>
        <v>112381275.67089155</v>
      </c>
      <c r="BB51" s="22">
        <f>((BB6*Constants!$H64*Constants!$H82*(1-Constants!$H100))+(BB6*Constants!$H64*Constants!$H116))</f>
        <v>112152633.81292722</v>
      </c>
      <c r="BC51" s="22">
        <f>((BC6*Constants!$H64*Constants!$H82*(1-Constants!$H100))+(BC6*Constants!$H64*Constants!$H116))</f>
        <v>35483153.94972647</v>
      </c>
      <c r="BD51" s="22">
        <f>((BD6*Constants!$H64*Constants!$H82*(1-Constants!$H100))+(BD6*Constants!$H64*Constants!$H116))</f>
        <v>35509056.056637183</v>
      </c>
      <c r="BE51" s="22">
        <f>((BE6*Constants!$H64*Constants!$H82*(1-Constants!$H100))+(BE6*Constants!$H64*Constants!$H116))</f>
        <v>35533093.558891073</v>
      </c>
      <c r="BF51" s="22">
        <f>((BF6*Constants!$H64*Constants!$H82*(1-Constants!$H100))+(BF6*Constants!$H64*Constants!$H116))</f>
        <v>35555429.061911575</v>
      </c>
      <c r="BG51" s="22">
        <f>((BG6*Constants!$H64*Constants!$H82*(1-Constants!$H100))+(BG6*Constants!$H64*Constants!$H116))</f>
        <v>35576262.861502096</v>
      </c>
      <c r="BH51" s="22">
        <f>((BH6*Constants!$H64*Constants!$H82*(1-Constants!$H100))+(BH6*Constants!$H64*Constants!$H116))</f>
        <v>35594941.085901245</v>
      </c>
      <c r="BI51" s="22">
        <f>((BI6*Constants!$H64*Constants!$H82*(1-Constants!$H100))+(BI6*Constants!$H64*Constants!$H116))</f>
        <v>35611024.635050535</v>
      </c>
      <c r="BJ51" s="22">
        <f>((BJ6*Constants!$H64*Constants!$H82*(1-Constants!$H100))+(BJ6*Constants!$H64*Constants!$H116))</f>
        <v>35624443.094080426</v>
      </c>
      <c r="BK51" s="22">
        <f>((BK6*Constants!$H64*Constants!$H82*(1-Constants!$H100))+(BK6*Constants!$H64*Constants!$H116))</f>
        <v>35634698.241964594</v>
      </c>
      <c r="BL51" s="22">
        <f>((BL6*Constants!$H64*Constants!$H82*(1-Constants!$H100))+(BL6*Constants!$H64*Constants!$H116))</f>
        <v>35641249.166457929</v>
      </c>
      <c r="BM51" s="22">
        <f>((BM6*Constants!$H64*Constants!$H82*(1-Constants!$H100))+(BM6*Constants!$H64*Constants!$H116))</f>
        <v>35644029.057353869</v>
      </c>
      <c r="BN51" s="22">
        <f>((BN6*Constants!$H64*Constants!$H82*(1-Constants!$H100))+(BN6*Constants!$H64*Constants!$H116))</f>
        <v>35643114.744620472</v>
      </c>
      <c r="BO51" s="22">
        <f>((BO6*Constants!$H64*Constants!$H82*(1-Constants!$H100))+(BO6*Constants!$H64*Constants!$H116))</f>
        <v>35638559.808296978</v>
      </c>
      <c r="BP51" s="22">
        <f>((BP6*Constants!$H64*Constants!$H82*(1-Constants!$H100))+(BP6*Constants!$H64*Constants!$H116))</f>
        <v>35629855.491428249</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3215972.2709733113</v>
      </c>
      <c r="AG52" s="22">
        <f>((AG7*Constants!$H65*Constants!$H83*(1-Constants!$H101))+(AG7*Constants!$H65*Constants!$H117))</f>
        <v>3232145.8281588736</v>
      </c>
      <c r="AH52" s="22">
        <f>((AH7*Constants!$H65*Constants!$H83*(1-Constants!$H101))+(AH7*Constants!$H65*Constants!$H117))</f>
        <v>3242893.2308803126</v>
      </c>
      <c r="AI52" s="22">
        <f>((AI7*Constants!$H65*Constants!$H83*(1-Constants!$H101))+(AI7*Constants!$H65*Constants!$H117))</f>
        <v>3248108.7006967533</v>
      </c>
      <c r="AJ52" s="22">
        <f>((AJ7*Constants!$H65*Constants!$H83*(1-Constants!$H101))+(AJ7*Constants!$H65*Constants!$H117))</f>
        <v>3259631.6145202648</v>
      </c>
      <c r="AK52" s="22">
        <f>((AK7*Constants!$H65*Constants!$H83*(1-Constants!$H101))+(AK7*Constants!$H65*Constants!$H117))</f>
        <v>3272850.3321169848</v>
      </c>
      <c r="AL52" s="22">
        <f>((AL7*Constants!$H65*Constants!$H83*(1-Constants!$H101))+(AL7*Constants!$H65*Constants!$H117))</f>
        <v>3179853.58055194</v>
      </c>
      <c r="AM52" s="22">
        <f>((AM7*Constants!$H65*Constants!$H83*(1-Constants!$H101))+(AM7*Constants!$H65*Constants!$H117))</f>
        <v>3234567.4647645419</v>
      </c>
      <c r="AN52" s="22">
        <f>((AN7*Constants!$H65*Constants!$H83*(1-Constants!$H101))+(AN7*Constants!$H65*Constants!$H117))</f>
        <v>5565331.9986053631</v>
      </c>
      <c r="AO52" s="22">
        <f>((AO7*Constants!$H65*Constants!$H83*(1-Constants!$H101))+(AO7*Constants!$H65*Constants!$H117))</f>
        <v>5632419.4782161238</v>
      </c>
      <c r="AP52" s="22">
        <f>((AP7*Constants!$H65*Constants!$H83*(1-Constants!$H101))+(AP7*Constants!$H65*Constants!$H117))</f>
        <v>5696564.33682869</v>
      </c>
      <c r="AQ52" s="22">
        <f>((AQ7*Constants!$H65*Constants!$H83*(1-Constants!$H101))+(AQ7*Constants!$H65*Constants!$H117))</f>
        <v>5756675.4845560584</v>
      </c>
      <c r="AR52" s="22">
        <f>((AR7*Constants!$H65*Constants!$H83*(1-Constants!$H101))+(AR7*Constants!$H65*Constants!$H117))</f>
        <v>5811147.6391181797</v>
      </c>
      <c r="AS52" s="22">
        <f>((AS7*Constants!$H65*Constants!$H83*(1-Constants!$H101))+(AS7*Constants!$H65*Constants!$H117))</f>
        <v>5859726.414327262</v>
      </c>
      <c r="AT52" s="22">
        <f>((AT7*Constants!$H65*Constants!$H83*(1-Constants!$H101))+(AT7*Constants!$H65*Constants!$H117))</f>
        <v>5902128.8131760117</v>
      </c>
      <c r="AU52" s="22">
        <f>((AU7*Constants!$H65*Constants!$H83*(1-Constants!$H101))+(AU7*Constants!$H65*Constants!$H117))</f>
        <v>5938140.6486897003</v>
      </c>
      <c r="AV52" s="22">
        <f>((AV7*Constants!$H65*Constants!$H83*(1-Constants!$H101))+(AV7*Constants!$H65*Constants!$H117))</f>
        <v>5967592.055398576</v>
      </c>
      <c r="AW52" s="22">
        <f>((AW7*Constants!$H65*Constants!$H83*(1-Constants!$H101))+(AW7*Constants!$H65*Constants!$H117))</f>
        <v>5990304.4665199164</v>
      </c>
      <c r="AX52" s="22">
        <f>((AX7*Constants!$H65*Constants!$H83*(1-Constants!$H101))+(AX7*Constants!$H65*Constants!$H117))</f>
        <v>6006170.9810955944</v>
      </c>
      <c r="AY52" s="22">
        <f>((AY7*Constants!$H65*Constants!$H83*(1-Constants!$H101))+(AY7*Constants!$H65*Constants!$H117))</f>
        <v>6015089.0574017148</v>
      </c>
      <c r="AZ52" s="22">
        <f>((AZ7*Constants!$H65*Constants!$H83*(1-Constants!$H101))+(AZ7*Constants!$H65*Constants!$H117))</f>
        <v>6016959.6274253726</v>
      </c>
      <c r="BA52" s="22">
        <f>((BA7*Constants!$H65*Constants!$H83*(1-Constants!$H101))+(BA7*Constants!$H65*Constants!$H117))</f>
        <v>6011764.5994442534</v>
      </c>
      <c r="BB52" s="22">
        <f>((BB7*Constants!$H65*Constants!$H83*(1-Constants!$H101))+(BB7*Constants!$H65*Constants!$H117))</f>
        <v>5999533.5492140837</v>
      </c>
      <c r="BC52" s="22">
        <f>((BC7*Constants!$H65*Constants!$H83*(1-Constants!$H101))+(BC7*Constants!$H65*Constants!$H117))</f>
        <v>1898148.6686117789</v>
      </c>
      <c r="BD52" s="22">
        <f>((BD7*Constants!$H65*Constants!$H83*(1-Constants!$H101))+(BD7*Constants!$H65*Constants!$H117))</f>
        <v>1899534.2852854398</v>
      </c>
      <c r="BE52" s="22">
        <f>((BE7*Constants!$H65*Constants!$H83*(1-Constants!$H101))+(BE7*Constants!$H65*Constants!$H117))</f>
        <v>1900820.1561233196</v>
      </c>
      <c r="BF52" s="22">
        <f>((BF7*Constants!$H65*Constants!$H83*(1-Constants!$H101))+(BF7*Constants!$H65*Constants!$H117))</f>
        <v>1902014.979598742</v>
      </c>
      <c r="BG52" s="22">
        <f>((BG7*Constants!$H65*Constants!$H83*(1-Constants!$H101))+(BG7*Constants!$H65*Constants!$H117))</f>
        <v>1903129.4704078427</v>
      </c>
      <c r="BH52" s="22">
        <f>((BH7*Constants!$H65*Constants!$H83*(1-Constants!$H101))+(BH7*Constants!$H65*Constants!$H117))</f>
        <v>1904128.6500981681</v>
      </c>
      <c r="BI52" s="22">
        <f>((BI7*Constants!$H65*Constants!$H83*(1-Constants!$H101))+(BI7*Constants!$H65*Constants!$H117))</f>
        <v>1904989.0292924065</v>
      </c>
      <c r="BJ52" s="22">
        <f>((BJ7*Constants!$H65*Constants!$H83*(1-Constants!$H101))+(BJ7*Constants!$H65*Constants!$H117))</f>
        <v>1905706.8411920613</v>
      </c>
      <c r="BK52" s="22">
        <f>((BK7*Constants!$H65*Constants!$H83*(1-Constants!$H101))+(BK7*Constants!$H65*Constants!$H117))</f>
        <v>1906255.4337813878</v>
      </c>
      <c r="BL52" s="22">
        <f>((BL7*Constants!$H65*Constants!$H83*(1-Constants!$H101))+(BL7*Constants!$H65*Constants!$H117))</f>
        <v>1906605.8713051435</v>
      </c>
      <c r="BM52" s="22">
        <f>((BM7*Constants!$H65*Constants!$H83*(1-Constants!$H101))+(BM7*Constants!$H65*Constants!$H117))</f>
        <v>1906754.5797939803</v>
      </c>
      <c r="BN52" s="22">
        <f>((BN7*Constants!$H65*Constants!$H83*(1-Constants!$H101))+(BN7*Constants!$H65*Constants!$H117))</f>
        <v>1906705.6692179912</v>
      </c>
      <c r="BO52" s="22">
        <f>((BO7*Constants!$H65*Constants!$H83*(1-Constants!$H101))+(BO7*Constants!$H65*Constants!$H117))</f>
        <v>1906462.0058071706</v>
      </c>
      <c r="BP52" s="22">
        <f>((BP7*Constants!$H65*Constants!$H83*(1-Constants!$H101))+(BP7*Constants!$H65*Constants!$H117))</f>
        <v>1905996.3739329877</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25454532.089860555</v>
      </c>
      <c r="AE53" s="22">
        <f>((AE8*Constants!$H66*Constants!$H84*(1-Constants!$H102))+(AE8*Constants!$H66*Constants!$H118))</f>
        <v>25233773.06215195</v>
      </c>
      <c r="AF53" s="22">
        <f>((AF8*Constants!$H66*Constants!$H84*(1-Constants!$H102))+(AF8*Constants!$H66*Constants!$H118))</f>
        <v>25149736.783242285</v>
      </c>
      <c r="AG53" s="22">
        <f>((AG8*Constants!$H66*Constants!$H84*(1-Constants!$H102))+(AG8*Constants!$H66*Constants!$H118))</f>
        <v>24813894.968798298</v>
      </c>
      <c r="AH53" s="22">
        <f>((AH8*Constants!$H66*Constants!$H84*(1-Constants!$H102))+(AH8*Constants!$H66*Constants!$H118))</f>
        <v>24326412.373308245</v>
      </c>
      <c r="AI53" s="22">
        <f>((AI8*Constants!$H66*Constants!$H84*(1-Constants!$H102))+(AI8*Constants!$H66*Constants!$H118))</f>
        <v>23697369.373689067</v>
      </c>
      <c r="AJ53" s="22">
        <f>((AJ8*Constants!$H66*Constants!$H84*(1-Constants!$H102))+(AJ8*Constants!$H66*Constants!$H118))</f>
        <v>23201224.762306098</v>
      </c>
      <c r="AK53" s="22">
        <f>((AK8*Constants!$H66*Constants!$H84*(1-Constants!$H102))+(AK8*Constants!$H66*Constants!$H118))</f>
        <v>22731815.556191601</v>
      </c>
      <c r="AL53" s="22">
        <f>((AL8*Constants!$H66*Constants!$H84*(1-Constants!$H102))+(AL8*Constants!$H66*Constants!$H118))</f>
        <v>20329488.947331246</v>
      </c>
      <c r="AM53" s="22">
        <f>((AM8*Constants!$H66*Constants!$H84*(1-Constants!$H102))+(AM8*Constants!$H66*Constants!$H118))</f>
        <v>21112722.377633486</v>
      </c>
      <c r="AN53" s="22">
        <f>((AN8*Constants!$H66*Constants!$H84*(1-Constants!$H102))+(AN8*Constants!$H66*Constants!$H118))</f>
        <v>66540875.118830226</v>
      </c>
      <c r="AO53" s="22">
        <f>((AO8*Constants!$H66*Constants!$H84*(1-Constants!$H102))+(AO8*Constants!$H66*Constants!$H118))</f>
        <v>66861826.993031003</v>
      </c>
      <c r="AP53" s="22">
        <f>((AP8*Constants!$H66*Constants!$H84*(1-Constants!$H102))+(AP8*Constants!$H66*Constants!$H118))</f>
        <v>67067235.399050757</v>
      </c>
      <c r="AQ53" s="22">
        <f>((AQ8*Constants!$H66*Constants!$H84*(1-Constants!$H102))+(AQ8*Constants!$H66*Constants!$H118))</f>
        <v>67157058.499140531</v>
      </c>
      <c r="AR53" s="22">
        <f>((AR8*Constants!$H66*Constants!$H84*(1-Constants!$H102))+(AR8*Constants!$H66*Constants!$H118))</f>
        <v>67133199.0862142</v>
      </c>
      <c r="AS53" s="22">
        <f>((AS8*Constants!$H66*Constants!$H84*(1-Constants!$H102))+(AS8*Constants!$H66*Constants!$H118))</f>
        <v>66994513.520509303</v>
      </c>
      <c r="AT53" s="22">
        <f>((AT8*Constants!$H66*Constants!$H84*(1-Constants!$H102))+(AT8*Constants!$H66*Constants!$H118))</f>
        <v>66740662.080217086</v>
      </c>
      <c r="AU53" s="22">
        <f>((AU8*Constants!$H66*Constants!$H84*(1-Constants!$H102))+(AU8*Constants!$H66*Constants!$H118))</f>
        <v>66371854.803834781</v>
      </c>
      <c r="AV53" s="22">
        <f>((AV8*Constants!$H66*Constants!$H84*(1-Constants!$H102))+(AV8*Constants!$H66*Constants!$H118))</f>
        <v>65888920.992208101</v>
      </c>
      <c r="AW53" s="22">
        <f>((AW8*Constants!$H66*Constants!$H84*(1-Constants!$H102))+(AW8*Constants!$H66*Constants!$H118))</f>
        <v>64744753.703526363</v>
      </c>
      <c r="AX53" s="22">
        <f>((AX8*Constants!$H66*Constants!$H84*(1-Constants!$H102))+(AX8*Constants!$H66*Constants!$H118))</f>
        <v>63492813.093257479</v>
      </c>
      <c r="AY53" s="22">
        <f>((AY8*Constants!$H66*Constants!$H84*(1-Constants!$H102))+(AY8*Constants!$H66*Constants!$H118))</f>
        <v>62138724.379083931</v>
      </c>
      <c r="AZ53" s="22">
        <f>((AZ8*Constants!$H66*Constants!$H84*(1-Constants!$H102))+(AZ8*Constants!$H66*Constants!$H118))</f>
        <v>60688751.963412941</v>
      </c>
      <c r="BA53" s="22">
        <f>((BA8*Constants!$H66*Constants!$H84*(1-Constants!$H102))+(BA8*Constants!$H66*Constants!$H118))</f>
        <v>59149564.837147377</v>
      </c>
      <c r="BB53" s="22">
        <f>((BB8*Constants!$H66*Constants!$H84*(1-Constants!$H102))+(BB8*Constants!$H66*Constants!$H118))</f>
        <v>57528264.520642482</v>
      </c>
      <c r="BC53" s="22">
        <f>((BC8*Constants!$H66*Constants!$H84*(1-Constants!$H102))+(BC8*Constants!$H66*Constants!$H118))</f>
        <v>-4441940.9846922345</v>
      </c>
      <c r="BD53" s="22">
        <f>((BD8*Constants!$H66*Constants!$H84*(1-Constants!$H102))+(BD8*Constants!$H66*Constants!$H118))</f>
        <v>-4334991.8820352918</v>
      </c>
      <c r="BE53" s="22">
        <f>((BE8*Constants!$H66*Constants!$H84*(1-Constants!$H102))+(BE8*Constants!$H66*Constants!$H118))</f>
        <v>-4229155.5302134631</v>
      </c>
      <c r="BF53" s="22">
        <f>((BF8*Constants!$H66*Constants!$H84*(1-Constants!$H102))+(BF8*Constants!$H66*Constants!$H118))</f>
        <v>-4124420.9982837993</v>
      </c>
      <c r="BG53" s="22">
        <f>((BG8*Constants!$H66*Constants!$H84*(1-Constants!$H102))+(BG8*Constants!$H66*Constants!$H118))</f>
        <v>-4041295.9667545184</v>
      </c>
      <c r="BH53" s="22">
        <f>((BH8*Constants!$H66*Constants!$H84*(1-Constants!$H102))+(BH8*Constants!$H66*Constants!$H118))</f>
        <v>-3958959.4670633124</v>
      </c>
      <c r="BI53" s="22">
        <f>((BI8*Constants!$H66*Constants!$H84*(1-Constants!$H102))+(BI8*Constants!$H66*Constants!$H118))</f>
        <v>-3877350.2596306191</v>
      </c>
      <c r="BJ53" s="22">
        <f>((BJ8*Constants!$H66*Constants!$H84*(1-Constants!$H102))+(BJ8*Constants!$H66*Constants!$H118))</f>
        <v>-3796448.1293412079</v>
      </c>
      <c r="BK53" s="22">
        <f>((BK8*Constants!$H66*Constants!$H84*(1-Constants!$H102))+(BK8*Constants!$H66*Constants!$H118))</f>
        <v>-3716193.9286256437</v>
      </c>
      <c r="BL53" s="22">
        <f>((BL8*Constants!$H66*Constants!$H84*(1-Constants!$H102))+(BL8*Constants!$H66*Constants!$H118))</f>
        <v>-3636529.7342950441</v>
      </c>
      <c r="BM53" s="22">
        <f>((BM8*Constants!$H66*Constants!$H84*(1-Constants!$H102))+(BM8*Constants!$H66*Constants!$H118))</f>
        <v>-3557446.2435461381</v>
      </c>
      <c r="BN53" s="22">
        <f>((BN8*Constants!$H66*Constants!$H84*(1-Constants!$H102))+(BN8*Constants!$H66*Constants!$H118))</f>
        <v>-3478948.3422586247</v>
      </c>
      <c r="BO53" s="22">
        <f>((BO8*Constants!$H66*Constants!$H84*(1-Constants!$H102))+(BO8*Constants!$H66*Constants!$H118))</f>
        <v>-3401039.0276618414</v>
      </c>
      <c r="BP53" s="22">
        <f>((BP8*Constants!$H66*Constants!$H84*(1-Constants!$H102))+(BP8*Constants!$H66*Constants!$H118))</f>
        <v>-3323673.5516407685</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169291745.38087153</v>
      </c>
      <c r="AE54" s="22">
        <f>((AE9*Constants!$H67*Constants!$H85*(1-Constants!$H103))+(AE9*Constants!$H67*Constants!$H119))</f>
        <v>167823532.13784513</v>
      </c>
      <c r="AF54" s="22">
        <f>((AF9*Constants!$H67*Constants!$H85*(1-Constants!$H103))+(AF9*Constants!$H67*Constants!$H119))</f>
        <v>167264627.80278578</v>
      </c>
      <c r="AG54" s="22">
        <f>((AG9*Constants!$H67*Constants!$H85*(1-Constants!$H103))+(AG9*Constants!$H67*Constants!$H119))</f>
        <v>165031027.64316043</v>
      </c>
      <c r="AH54" s="22">
        <f>((AH9*Constants!$H67*Constants!$H85*(1-Constants!$H103))+(AH9*Constants!$H67*Constants!$H119))</f>
        <v>161788902.46317402</v>
      </c>
      <c r="AI54" s="22">
        <f>((AI9*Constants!$H67*Constants!$H85*(1-Constants!$H103))+(AI9*Constants!$H67*Constants!$H119))</f>
        <v>157605294.33597654</v>
      </c>
      <c r="AJ54" s="22">
        <f>((AJ9*Constants!$H67*Constants!$H85*(1-Constants!$H103))+(AJ9*Constants!$H67*Constants!$H119))</f>
        <v>154305560.248317</v>
      </c>
      <c r="AK54" s="22">
        <f>((AK9*Constants!$H67*Constants!$H85*(1-Constants!$H103))+(AK9*Constants!$H67*Constants!$H119))</f>
        <v>151183636.67414027</v>
      </c>
      <c r="AL54" s="22">
        <f>((AL9*Constants!$H67*Constants!$H85*(1-Constants!$H103))+(AL9*Constants!$H67*Constants!$H119))</f>
        <v>135206361.4622781</v>
      </c>
      <c r="AM54" s="22">
        <f>((AM9*Constants!$H67*Constants!$H85*(1-Constants!$H103))+(AM9*Constants!$H67*Constants!$H119))</f>
        <v>140415451.69377092</v>
      </c>
      <c r="AN54" s="22">
        <f>((AN9*Constants!$H67*Constants!$H85*(1-Constants!$H103))+(AN9*Constants!$H67*Constants!$H119))</f>
        <v>442546767.24246508</v>
      </c>
      <c r="AO54" s="22">
        <f>((AO9*Constants!$H67*Constants!$H85*(1-Constants!$H103))+(AO9*Constants!$H67*Constants!$H119))</f>
        <v>444681338.1226092</v>
      </c>
      <c r="AP54" s="22">
        <f>((AP9*Constants!$H67*Constants!$H85*(1-Constants!$H103))+(AP9*Constants!$H67*Constants!$H119))</f>
        <v>446047458.20873874</v>
      </c>
      <c r="AQ54" s="22">
        <f>((AQ9*Constants!$H67*Constants!$H85*(1-Constants!$H103))+(AQ9*Constants!$H67*Constants!$H119))</f>
        <v>446644849.24841833</v>
      </c>
      <c r="AR54" s="22">
        <f>((AR9*Constants!$H67*Constants!$H85*(1-Constants!$H103))+(AR9*Constants!$H67*Constants!$H119))</f>
        <v>446486166.24282229</v>
      </c>
      <c r="AS54" s="22">
        <f>((AS9*Constants!$H67*Constants!$H85*(1-Constants!$H103))+(AS9*Constants!$H67*Constants!$H119))</f>
        <v>445563803.12907767</v>
      </c>
      <c r="AT54" s="22">
        <f>((AT9*Constants!$H67*Constants!$H85*(1-Constants!$H103))+(AT9*Constants!$H67*Constants!$H119))</f>
        <v>443875500.5021503</v>
      </c>
      <c r="AU54" s="22">
        <f>((AU9*Constants!$H67*Constants!$H85*(1-Constants!$H103))+(AU9*Constants!$H67*Constants!$H119))</f>
        <v>441422655.2757085</v>
      </c>
      <c r="AV54" s="22">
        <f>((AV9*Constants!$H67*Constants!$H85*(1-Constants!$H103))+(AV9*Constants!$H67*Constants!$H119))</f>
        <v>438210782.9228757</v>
      </c>
      <c r="AW54" s="22">
        <f>((AW9*Constants!$H67*Constants!$H85*(1-Constants!$H103))+(AW9*Constants!$H67*Constants!$H119))</f>
        <v>430601211.60469824</v>
      </c>
      <c r="AX54" s="22">
        <f>((AX9*Constants!$H67*Constants!$H85*(1-Constants!$H103))+(AX9*Constants!$H67*Constants!$H119))</f>
        <v>422274866.79987514</v>
      </c>
      <c r="AY54" s="22">
        <f>((AY9*Constants!$H67*Constants!$H85*(1-Constants!$H103))+(AY9*Constants!$H67*Constants!$H119))</f>
        <v>413269160.42846268</v>
      </c>
      <c r="AZ54" s="22">
        <f>((AZ9*Constants!$H67*Constants!$H85*(1-Constants!$H103))+(AZ9*Constants!$H67*Constants!$H119))</f>
        <v>403625755.46872902</v>
      </c>
      <c r="BA54" s="22">
        <f>((BA9*Constants!$H67*Constants!$H85*(1-Constants!$H103))+(BA9*Constants!$H67*Constants!$H119))</f>
        <v>393389005.71613544</v>
      </c>
      <c r="BB54" s="22">
        <f>((BB9*Constants!$H67*Constants!$H85*(1-Constants!$H103))+(BB9*Constants!$H67*Constants!$H119))</f>
        <v>382606141.61167181</v>
      </c>
      <c r="BC54" s="22">
        <f>((BC9*Constants!$H67*Constants!$H85*(1-Constants!$H103))+(BC9*Constants!$H67*Constants!$H119))</f>
        <v>-29542241.810719337</v>
      </c>
      <c r="BD54" s="22">
        <f>((BD9*Constants!$H67*Constants!$H85*(1-Constants!$H103))+(BD9*Constants!$H67*Constants!$H119))</f>
        <v>-28830949.998644587</v>
      </c>
      <c r="BE54" s="22">
        <f>((BE9*Constants!$H67*Constants!$H85*(1-Constants!$H103))+(BE9*Constants!$H67*Constants!$H119))</f>
        <v>-28127058.814889599</v>
      </c>
      <c r="BF54" s="22">
        <f>((BF9*Constants!$H67*Constants!$H85*(1-Constants!$H103))+(BF9*Constants!$H67*Constants!$H119))</f>
        <v>-27430495.560478639</v>
      </c>
      <c r="BG54" s="22">
        <f>((BG9*Constants!$H67*Constants!$H85*(1-Constants!$H103))+(BG9*Constants!$H67*Constants!$H119))</f>
        <v>-26877651.704510156</v>
      </c>
      <c r="BH54" s="22">
        <f>((BH9*Constants!$H67*Constants!$H85*(1-Constants!$H103))+(BH9*Constants!$H67*Constants!$H119))</f>
        <v>-26330052.17716201</v>
      </c>
      <c r="BI54" s="22">
        <f>((BI9*Constants!$H67*Constants!$H85*(1-Constants!$H103))+(BI9*Constants!$H67*Constants!$H119))</f>
        <v>-25787289.689261731</v>
      </c>
      <c r="BJ54" s="22">
        <f>((BJ9*Constants!$H67*Constants!$H85*(1-Constants!$H103))+(BJ9*Constants!$H67*Constants!$H119))</f>
        <v>-25249229.795118921</v>
      </c>
      <c r="BK54" s="22">
        <f>((BK9*Constants!$H67*Constants!$H85*(1-Constants!$H103))+(BK9*Constants!$H67*Constants!$H119))</f>
        <v>-24715479.118998788</v>
      </c>
      <c r="BL54" s="22">
        <f>((BL9*Constants!$H67*Constants!$H85*(1-Constants!$H103))+(BL9*Constants!$H67*Constants!$H119))</f>
        <v>-24185652.428216279</v>
      </c>
      <c r="BM54" s="22">
        <f>((BM9*Constants!$H67*Constants!$H85*(1-Constants!$H103))+(BM9*Constants!$H67*Constants!$H119))</f>
        <v>-23659687.85214664</v>
      </c>
      <c r="BN54" s="22">
        <f>((BN9*Constants!$H67*Constants!$H85*(1-Constants!$H103))+(BN9*Constants!$H67*Constants!$H119))</f>
        <v>-23137617.885557406</v>
      </c>
      <c r="BO54" s="22">
        <f>((BO9*Constants!$H67*Constants!$H85*(1-Constants!$H103))+(BO9*Constants!$H67*Constants!$H119))</f>
        <v>-22619462.462273438</v>
      </c>
      <c r="BP54" s="22">
        <f>((BP9*Constants!$H67*Constants!$H85*(1-Constants!$H103))+(BP9*Constants!$H67*Constants!$H119))</f>
        <v>-22104923.973740518</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22601454.870712783</v>
      </c>
      <c r="AF55" s="22">
        <f>((AF10*Constants!$H68*Constants!$H86*(1-Constants!$H104))+(AF10*Constants!$H68*Constants!$H120))</f>
        <v>23476461.448728886</v>
      </c>
      <c r="AG55" s="22">
        <f>((AG10*Constants!$H68*Constants!$H86*(1-Constants!$H104))+(AG10*Constants!$H68*Constants!$H120))</f>
        <v>24129022.140224975</v>
      </c>
      <c r="AH55" s="22">
        <f>((AH10*Constants!$H68*Constants!$H86*(1-Constants!$H104))+(AH10*Constants!$H68*Constants!$H120))</f>
        <v>24632268.790066544</v>
      </c>
      <c r="AI55" s="22">
        <f>((AI10*Constants!$H68*Constants!$H86*(1-Constants!$H104))+(AI10*Constants!$H68*Constants!$H120))</f>
        <v>24979009.110318452</v>
      </c>
      <c r="AJ55" s="22">
        <f>((AJ10*Constants!$H68*Constants!$H86*(1-Constants!$H104))+(AJ10*Constants!$H68*Constants!$H120))</f>
        <v>25452454.13795951</v>
      </c>
      <c r="AK55" s="22">
        <f>((AK10*Constants!$H68*Constants!$H86*(1-Constants!$H104))+(AK10*Constants!$H68*Constants!$H120))</f>
        <v>25948762.759661093</v>
      </c>
      <c r="AL55" s="22">
        <f>((AL10*Constants!$H68*Constants!$H86*(1-Constants!$H104))+(AL10*Constants!$H68*Constants!$H120))</f>
        <v>24144367.996325094</v>
      </c>
      <c r="AM55" s="22">
        <f>((AM10*Constants!$H68*Constants!$H86*(1-Constants!$H104))+(AM10*Constants!$H68*Constants!$H120))</f>
        <v>25678691.23014098</v>
      </c>
      <c r="AN55" s="22">
        <f>((AN10*Constants!$H68*Constants!$H86*(1-Constants!$H104))+(AN10*Constants!$H68*Constants!$H120))</f>
        <v>82854499.873094112</v>
      </c>
      <c r="AO55" s="22">
        <f>((AO10*Constants!$H68*Constants!$H86*(1-Constants!$H104))+(AO10*Constants!$H68*Constants!$H120))</f>
        <v>85207268.053358465</v>
      </c>
      <c r="AP55" s="22">
        <f>((AP10*Constants!$H68*Constants!$H86*(1-Constants!$H104))+(AP10*Constants!$H68*Constants!$H120))</f>
        <v>87450525.540218681</v>
      </c>
      <c r="AQ55" s="22">
        <f>((AQ10*Constants!$H68*Constants!$H86*(1-Constants!$H104))+(AQ10*Constants!$H68*Constants!$H120))</f>
        <v>89575652.639584005</v>
      </c>
      <c r="AR55" s="22">
        <f>((AR10*Constants!$H68*Constants!$H86*(1-Constants!$H104))+(AR10*Constants!$H68*Constants!$H120))</f>
        <v>91576402.381634906</v>
      </c>
      <c r="AS55" s="22">
        <f>((AS10*Constants!$H68*Constants!$H86*(1-Constants!$H104))+(AS10*Constants!$H68*Constants!$H120))</f>
        <v>93442222.072254777</v>
      </c>
      <c r="AT55" s="22">
        <f>((AT10*Constants!$H68*Constants!$H86*(1-Constants!$H104))+(AT10*Constants!$H68*Constants!$H120))</f>
        <v>95163262.128020138</v>
      </c>
      <c r="AU55" s="22">
        <f>((AU10*Constants!$H68*Constants!$H86*(1-Constants!$H104))+(AU10*Constants!$H68*Constants!$H120))</f>
        <v>96730111.660501987</v>
      </c>
      <c r="AV55" s="22">
        <f>((AV10*Constants!$H68*Constants!$H86*(1-Constants!$H104))+(AV10*Constants!$H68*Constants!$H120))</f>
        <v>98133971.826843679</v>
      </c>
      <c r="AW55" s="22">
        <f>((AW10*Constants!$H68*Constants!$H86*(1-Constants!$H104))+(AW10*Constants!$H68*Constants!$H120))</f>
        <v>99627741.827730179</v>
      </c>
      <c r="AX55" s="22">
        <f>((AX10*Constants!$H68*Constants!$H86*(1-Constants!$H104))+(AX10*Constants!$H68*Constants!$H120))</f>
        <v>100947534.95799348</v>
      </c>
      <c r="AY55" s="22">
        <f>((AY10*Constants!$H68*Constants!$H86*(1-Constants!$H104))+(AY10*Constants!$H68*Constants!$H120))</f>
        <v>102085625.81955749</v>
      </c>
      <c r="AZ55" s="22">
        <f>((AZ10*Constants!$H68*Constants!$H86*(1-Constants!$H104))+(AZ10*Constants!$H68*Constants!$H120))</f>
        <v>103035308.35141593</v>
      </c>
      <c r="BA55" s="22">
        <f>((BA10*Constants!$H68*Constants!$H86*(1-Constants!$H104))+(BA10*Constants!$H68*Constants!$H120))</f>
        <v>103790662.52742758</v>
      </c>
      <c r="BB55" s="22">
        <f>((BB10*Constants!$H68*Constants!$H86*(1-Constants!$H104))+(BB10*Constants!$H68*Constants!$H120))</f>
        <v>104346734.97853598</v>
      </c>
      <c r="BC55" s="22">
        <f>((BC10*Constants!$H68*Constants!$H86*(1-Constants!$H104))+(BC10*Constants!$H68*Constants!$H120))</f>
        <v>-8329750.8746077204</v>
      </c>
      <c r="BD55" s="22">
        <f>((BD10*Constants!$H68*Constants!$H86*(1-Constants!$H104))+(BD10*Constants!$H68*Constants!$H120))</f>
        <v>-8405988.2903334051</v>
      </c>
      <c r="BE55" s="22">
        <f>((BE10*Constants!$H68*Constants!$H86*(1-Constants!$H104))+(BE10*Constants!$H68*Constants!$H120))</f>
        <v>-8481721.5883625876</v>
      </c>
      <c r="BF55" s="22">
        <f>((BF10*Constants!$H68*Constants!$H86*(1-Constants!$H104))+(BF10*Constants!$H68*Constants!$H120))</f>
        <v>-8556988.4894756936</v>
      </c>
      <c r="BG55" s="22">
        <f>((BG10*Constants!$H68*Constants!$H86*(1-Constants!$H104))+(BG10*Constants!$H68*Constants!$H120))</f>
        <v>-8621099.3619737383</v>
      </c>
      <c r="BH55" s="22">
        <f>((BH10*Constants!$H68*Constants!$H86*(1-Constants!$H104))+(BH10*Constants!$H68*Constants!$H120))</f>
        <v>-8684569.1772411093</v>
      </c>
      <c r="BI55" s="22">
        <f>((BI10*Constants!$H68*Constants!$H86*(1-Constants!$H104))+(BI10*Constants!$H68*Constants!$H120))</f>
        <v>-8747300.7922257241</v>
      </c>
      <c r="BJ55" s="22">
        <f>((BJ10*Constants!$H68*Constants!$H86*(1-Constants!$H104))+(BJ10*Constants!$H68*Constants!$H120))</f>
        <v>-8809276.9542866778</v>
      </c>
      <c r="BK55" s="22">
        <f>((BK10*Constants!$H68*Constants!$H86*(1-Constants!$H104))+(BK10*Constants!$H68*Constants!$H120))</f>
        <v>-8870382.0235776231</v>
      </c>
      <c r="BL55" s="22">
        <f>((BL10*Constants!$H68*Constants!$H86*(1-Constants!$H104))+(BL10*Constants!$H68*Constants!$H120))</f>
        <v>-8930486.91496877</v>
      </c>
      <c r="BM55" s="22">
        <f>((BM10*Constants!$H68*Constants!$H86*(1-Constants!$H104))+(BM10*Constants!$H68*Constants!$H120))</f>
        <v>-8989568.0501603652</v>
      </c>
      <c r="BN55" s="22">
        <f>((BN10*Constants!$H68*Constants!$H86*(1-Constants!$H104))+(BN10*Constants!$H68*Constants!$H120))</f>
        <v>-9047634.3607756048</v>
      </c>
      <c r="BO55" s="22">
        <f>((BO10*Constants!$H68*Constants!$H86*(1-Constants!$H104))+(BO10*Constants!$H68*Constants!$H120))</f>
        <v>-9104689.4194816314</v>
      </c>
      <c r="BP55" s="22">
        <f>((BP10*Constants!$H68*Constants!$H86*(1-Constants!$H104))+(BP10*Constants!$H68*Constants!$H120))</f>
        <v>-9160604.4139572084</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3767729.0920704734</v>
      </c>
      <c r="AM56" s="22">
        <f>((AM11*Constants!$H69*Constants!$H87*(1-Constants!$H105))+(AM11*Constants!$H69*Constants!$H121))</f>
        <v>3770236.6758189537</v>
      </c>
      <c r="AN56" s="22">
        <f>((AN11*Constants!$H69*Constants!$H87*(1-Constants!$H105))+(AN11*Constants!$H69*Constants!$H121))</f>
        <v>3819344.3393504415</v>
      </c>
      <c r="AO56" s="22">
        <f>((AO11*Constants!$H69*Constants!$H87*(1-Constants!$H105))+(AO11*Constants!$H69*Constants!$H121))</f>
        <v>3820542.282474794</v>
      </c>
      <c r="AP56" s="22">
        <f>((AP11*Constants!$H69*Constants!$H87*(1-Constants!$H105))+(AP11*Constants!$H69*Constants!$H121))</f>
        <v>3825666.4536946164</v>
      </c>
      <c r="AQ56" s="22">
        <f>((AQ11*Constants!$H69*Constants!$H87*(1-Constants!$H105))+(AQ11*Constants!$H69*Constants!$H121))</f>
        <v>3833073.5675662532</v>
      </c>
      <c r="AR56" s="22">
        <f>((AR11*Constants!$H69*Constants!$H87*(1-Constants!$H105))+(AR11*Constants!$H69*Constants!$H121))</f>
        <v>3839954.522518429</v>
      </c>
      <c r="AS56" s="22">
        <f>((AS11*Constants!$H69*Constants!$H87*(1-Constants!$H105))+(AS11*Constants!$H69*Constants!$H121))</f>
        <v>3846394.5140198101</v>
      </c>
      <c r="AT56" s="22">
        <f>((AT11*Constants!$H69*Constants!$H87*(1-Constants!$H105))+(AT11*Constants!$H69*Constants!$H121))</f>
        <v>3852359.2010894339</v>
      </c>
      <c r="AU56" s="22">
        <f>((AU11*Constants!$H69*Constants!$H87*(1-Constants!$H105))+(AU11*Constants!$H69*Constants!$H121))</f>
        <v>3857902.32604795</v>
      </c>
      <c r="AV56" s="22">
        <f>((AV11*Constants!$H69*Constants!$H87*(1-Constants!$H105))+(AV11*Constants!$H69*Constants!$H121))</f>
        <v>3863107.9724554135</v>
      </c>
      <c r="AW56" s="22">
        <f>((AW11*Constants!$H69*Constants!$H87*(1-Constants!$H105))+(AW11*Constants!$H69*Constants!$H121))</f>
        <v>3867971.2353914087</v>
      </c>
      <c r="AX56" s="22">
        <f>((AX11*Constants!$H69*Constants!$H87*(1-Constants!$H105))+(AX11*Constants!$H69*Constants!$H121))</f>
        <v>3872569.9003352402</v>
      </c>
      <c r="AY56" s="22">
        <f>((AY11*Constants!$H69*Constants!$H87*(1-Constants!$H105))+(AY11*Constants!$H69*Constants!$H121))</f>
        <v>3876915.0990821449</v>
      </c>
      <c r="AZ56" s="22">
        <f>((AZ11*Constants!$H69*Constants!$H87*(1-Constants!$H105))+(AZ11*Constants!$H69*Constants!$H121))</f>
        <v>3880947.2756740809</v>
      </c>
      <c r="BA56" s="22">
        <f>((BA11*Constants!$H69*Constants!$H87*(1-Constants!$H105))+(BA11*Constants!$H69*Constants!$H121))</f>
        <v>3884703.3155314843</v>
      </c>
      <c r="BB56" s="22">
        <f>((BB11*Constants!$H69*Constants!$H87*(1-Constants!$H105))+(BB11*Constants!$H69*Constants!$H121))</f>
        <v>3888243.1401127428</v>
      </c>
      <c r="BC56" s="22">
        <f>((BC11*Constants!$H69*Constants!$H87*(1-Constants!$H105))+(BC11*Constants!$H69*Constants!$H121))</f>
        <v>3802911.1258087843</v>
      </c>
      <c r="BD56" s="22">
        <f>((BD11*Constants!$H69*Constants!$H87*(1-Constants!$H105))+(BD11*Constants!$H69*Constants!$H121))</f>
        <v>3806408.2471144055</v>
      </c>
      <c r="BE56" s="22">
        <f>((BE11*Constants!$H69*Constants!$H87*(1-Constants!$H105))+(BE11*Constants!$H69*Constants!$H121))</f>
        <v>3809670.1611530199</v>
      </c>
      <c r="BF56" s="22">
        <f>((BF11*Constants!$H69*Constants!$H87*(1-Constants!$H105))+(BF11*Constants!$H69*Constants!$H121))</f>
        <v>3812716.8030670052</v>
      </c>
      <c r="BG56" s="22">
        <f>((BG11*Constants!$H69*Constants!$H87*(1-Constants!$H105))+(BG11*Constants!$H69*Constants!$H121))</f>
        <v>3815572.4063873482</v>
      </c>
      <c r="BH56" s="22">
        <f>((BH11*Constants!$H69*Constants!$H87*(1-Constants!$H105))+(BH11*Constants!$H69*Constants!$H121))</f>
        <v>3818161.8571387879</v>
      </c>
      <c r="BI56" s="22">
        <f>((BI11*Constants!$H69*Constants!$H87*(1-Constants!$H105))+(BI11*Constants!$H69*Constants!$H121))</f>
        <v>3820434.9933909457</v>
      </c>
      <c r="BJ56" s="22">
        <f>((BJ11*Constants!$H69*Constants!$H87*(1-Constants!$H105))+(BJ11*Constants!$H69*Constants!$H121))</f>
        <v>3822384.4679614496</v>
      </c>
      <c r="BK56" s="22">
        <f>((BK11*Constants!$H69*Constants!$H87*(1-Constants!$H105))+(BK11*Constants!$H69*Constants!$H121))</f>
        <v>3823953.1973996055</v>
      </c>
      <c r="BL56" s="22">
        <f>((BL11*Constants!$H69*Constants!$H87*(1-Constants!$H105))+(BL11*Constants!$H69*Constants!$H121))</f>
        <v>3825079.1335559799</v>
      </c>
      <c r="BM56" s="22">
        <f>((BM11*Constants!$H69*Constants!$H87*(1-Constants!$H105))+(BM11*Constants!$H69*Constants!$H121))</f>
        <v>3825755.2792446665</v>
      </c>
      <c r="BN56" s="22">
        <f>((BN11*Constants!$H69*Constants!$H87*(1-Constants!$H105))+(BN11*Constants!$H69*Constants!$H121))</f>
        <v>3825991.2790265894</v>
      </c>
      <c r="BO56" s="22">
        <f>((BO11*Constants!$H69*Constants!$H87*(1-Constants!$H105))+(BO11*Constants!$H69*Constants!$H121))</f>
        <v>3825794.0359630855</v>
      </c>
      <c r="BP56" s="22">
        <f>((BP11*Constants!$H69*Constants!$H87*(1-Constants!$H105))+(BP11*Constants!$H69*Constants!$H121))</f>
        <v>3825105.1487009027</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3066419.3290910418</v>
      </c>
      <c r="AM57" s="22">
        <f>((AM12*Constants!$H70*Constants!$H88*(1-Constants!$H106))+(AM12*Constants!$H70*Constants!$H122))</f>
        <v>3068460.1614034916</v>
      </c>
      <c r="AN57" s="22">
        <f>((AN12*Constants!$H70*Constants!$H88*(1-Constants!$H106))+(AN12*Constants!$H70*Constants!$H122))</f>
        <v>3108427.1242555631</v>
      </c>
      <c r="AO57" s="22">
        <f>((AO12*Constants!$H70*Constants!$H88*(1-Constants!$H106))+(AO12*Constants!$H70*Constants!$H122))</f>
        <v>3109402.0871209665</v>
      </c>
      <c r="AP57" s="22">
        <f>((AP12*Constants!$H70*Constants!$H88*(1-Constants!$H106))+(AP12*Constants!$H70*Constants!$H122))</f>
        <v>3113572.465959271</v>
      </c>
      <c r="AQ57" s="22">
        <f>((AQ12*Constants!$H70*Constants!$H88*(1-Constants!$H106))+(AQ12*Constants!$H70*Constants!$H122))</f>
        <v>3119600.8497930681</v>
      </c>
      <c r="AR57" s="22">
        <f>((AR12*Constants!$H70*Constants!$H88*(1-Constants!$H106))+(AR12*Constants!$H70*Constants!$H122))</f>
        <v>3125201.0117878262</v>
      </c>
      <c r="AS57" s="22">
        <f>((AS12*Constants!$H70*Constants!$H88*(1-Constants!$H106))+(AS12*Constants!$H70*Constants!$H122))</f>
        <v>3130442.2894743183</v>
      </c>
      <c r="AT57" s="22">
        <f>((AT12*Constants!$H70*Constants!$H88*(1-Constants!$H106))+(AT12*Constants!$H70*Constants!$H122))</f>
        <v>3135296.733962052</v>
      </c>
      <c r="AU57" s="22">
        <f>((AU12*Constants!$H70*Constants!$H88*(1-Constants!$H106))+(AU12*Constants!$H70*Constants!$H122))</f>
        <v>3139808.0841947775</v>
      </c>
      <c r="AV57" s="22">
        <f>((AV12*Constants!$H70*Constants!$H88*(1-Constants!$H106))+(AV12*Constants!$H70*Constants!$H122))</f>
        <v>3144044.7727608043</v>
      </c>
      <c r="AW57" s="22">
        <f>((AW12*Constants!$H70*Constants!$H88*(1-Constants!$H106))+(AW12*Constants!$H70*Constants!$H122))</f>
        <v>3148002.8077216442</v>
      </c>
      <c r="AX57" s="22">
        <f>((AX12*Constants!$H70*Constants!$H88*(1-Constants!$H106))+(AX12*Constants!$H70*Constants!$H122))</f>
        <v>3151745.4958839789</v>
      </c>
      <c r="AY57" s="22">
        <f>((AY12*Constants!$H70*Constants!$H88*(1-Constants!$H106))+(AY12*Constants!$H70*Constants!$H122))</f>
        <v>3155281.8970159739</v>
      </c>
      <c r="AZ57" s="22">
        <f>((AZ12*Constants!$H70*Constants!$H88*(1-Constants!$H106))+(AZ12*Constants!$H70*Constants!$H122))</f>
        <v>3158563.5406632959</v>
      </c>
      <c r="BA57" s="22">
        <f>((BA12*Constants!$H70*Constants!$H88*(1-Constants!$H106))+(BA12*Constants!$H70*Constants!$H122))</f>
        <v>3161620.4465442994</v>
      </c>
      <c r="BB57" s="22">
        <f>((BB12*Constants!$H70*Constants!$H88*(1-Constants!$H106))+(BB12*Constants!$H70*Constants!$H122))</f>
        <v>3164501.3825809178</v>
      </c>
      <c r="BC57" s="22">
        <f>((BC12*Constants!$H70*Constants!$H88*(1-Constants!$H106))+(BC12*Constants!$H70*Constants!$H122))</f>
        <v>3095052.7222187314</v>
      </c>
      <c r="BD57" s="22">
        <f>((BD12*Constants!$H70*Constants!$H88*(1-Constants!$H106))+(BD12*Constants!$H70*Constants!$H122))</f>
        <v>3097898.9035936887</v>
      </c>
      <c r="BE57" s="22">
        <f>((BE12*Constants!$H70*Constants!$H88*(1-Constants!$H106))+(BE12*Constants!$H70*Constants!$H122))</f>
        <v>3100553.6582253017</v>
      </c>
      <c r="BF57" s="22">
        <f>((BF12*Constants!$H70*Constants!$H88*(1-Constants!$H106))+(BF12*Constants!$H70*Constants!$H122))</f>
        <v>3103033.2106096614</v>
      </c>
      <c r="BG57" s="22">
        <f>((BG12*Constants!$H70*Constants!$H88*(1-Constants!$H106))+(BG12*Constants!$H70*Constants!$H122))</f>
        <v>3105357.2835468971</v>
      </c>
      <c r="BH57" s="22">
        <f>((BH12*Constants!$H70*Constants!$H88*(1-Constants!$H106))+(BH12*Constants!$H70*Constants!$H122))</f>
        <v>3107464.7444714773</v>
      </c>
      <c r="BI57" s="22">
        <f>((BI12*Constants!$H70*Constants!$H88*(1-Constants!$H106))+(BI12*Constants!$H70*Constants!$H122))</f>
        <v>3109314.7683906457</v>
      </c>
      <c r="BJ57" s="22">
        <f>((BJ12*Constants!$H70*Constants!$H88*(1-Constants!$H106))+(BJ12*Constants!$H70*Constants!$H122))</f>
        <v>3110901.3756966605</v>
      </c>
      <c r="BK57" s="22">
        <f>((BK12*Constants!$H70*Constants!$H88*(1-Constants!$H106))+(BK12*Constants!$H70*Constants!$H122))</f>
        <v>3112178.1082200799</v>
      </c>
      <c r="BL57" s="22">
        <f>((BL12*Constants!$H70*Constants!$H88*(1-Constants!$H106))+(BL12*Constants!$H70*Constants!$H122))</f>
        <v>3113094.4672015393</v>
      </c>
      <c r="BM57" s="22">
        <f>((BM12*Constants!$H70*Constants!$H88*(1-Constants!$H106))+(BM12*Constants!$H70*Constants!$H122))</f>
        <v>3113644.7578828498</v>
      </c>
      <c r="BN57" s="22">
        <f>((BN12*Constants!$H70*Constants!$H88*(1-Constants!$H106))+(BN12*Constants!$H70*Constants!$H122))</f>
        <v>3113836.829625607</v>
      </c>
      <c r="BO57" s="22">
        <f>((BO12*Constants!$H70*Constants!$H88*(1-Constants!$H106))+(BO12*Constants!$H70*Constants!$H122))</f>
        <v>3113676.300583397</v>
      </c>
      <c r="BP57" s="22">
        <f>((BP12*Constants!$H70*Constants!$H88*(1-Constants!$H106))+(BP12*Constants!$H70*Constants!$H122))</f>
        <v>3113115.6399932369</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459078.62878496031</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471900.01049903827</v>
      </c>
      <c r="AK58" s="22">
        <f>((AK13*Constants!$H71*Constants!$H89*(1-Constants!$H107))+(AK13*Constants!$H71*Constants!$H123))</f>
        <v>475004.74383453937</v>
      </c>
      <c r="AL58" s="22">
        <f>((AL13*Constants!$H71*Constants!$H89*(1-Constants!$H107))+(AL13*Constants!$H71*Constants!$H123))</f>
        <v>473846.44384169258</v>
      </c>
      <c r="AM58" s="22">
        <f>((AM13*Constants!$H71*Constants!$H89*(1-Constants!$H107))+(AM13*Constants!$H71*Constants!$H123))</f>
        <v>474621.9060890142</v>
      </c>
      <c r="AN58" s="22">
        <f>((AN13*Constants!$H71*Constants!$H89*(1-Constants!$H107))+(AN13*Constants!$H71*Constants!$H123))</f>
        <v>484244.98884360859</v>
      </c>
      <c r="AO58" s="22">
        <f>((AO13*Constants!$H71*Constants!$H89*(1-Constants!$H107))+(AO13*Constants!$H71*Constants!$H123))</f>
        <v>484679.74810061575</v>
      </c>
      <c r="AP58" s="22">
        <f>((AP13*Constants!$H71*Constants!$H89*(1-Constants!$H107))+(AP13*Constants!$H71*Constants!$H123))</f>
        <v>485830.77920860262</v>
      </c>
      <c r="AQ58" s="22">
        <f>((AQ13*Constants!$H71*Constants!$H89*(1-Constants!$H107))+(AQ13*Constants!$H71*Constants!$H123))</f>
        <v>487384.24457999802</v>
      </c>
      <c r="AR58" s="22">
        <f>((AR13*Constants!$H71*Constants!$H89*(1-Constants!$H107))+(AR13*Constants!$H71*Constants!$H123))</f>
        <v>488808.9890177765</v>
      </c>
      <c r="AS58" s="22">
        <f>((AS13*Constants!$H71*Constants!$H89*(1-Constants!$H107))+(AS13*Constants!$H71*Constants!$H123))</f>
        <v>490123.84515602374</v>
      </c>
      <c r="AT58" s="22">
        <f>((AT13*Constants!$H71*Constants!$H89*(1-Constants!$H107))+(AT13*Constants!$H71*Constants!$H123))</f>
        <v>491324.77996663528</v>
      </c>
      <c r="AU58" s="22">
        <f>((AU13*Constants!$H71*Constants!$H89*(1-Constants!$H107))+(AU13*Constants!$H71*Constants!$H123))</f>
        <v>492424.12560275925</v>
      </c>
      <c r="AV58" s="22">
        <f>((AV13*Constants!$H71*Constants!$H89*(1-Constants!$H107))+(AV13*Constants!$H71*Constants!$H123))</f>
        <v>493439.61922122439</v>
      </c>
      <c r="AW58" s="22">
        <f>((AW13*Constants!$H71*Constants!$H89*(1-Constants!$H107))+(AW13*Constants!$H71*Constants!$H123))</f>
        <v>494372.07900340157</v>
      </c>
      <c r="AX58" s="22">
        <f>((AX13*Constants!$H71*Constants!$H89*(1-Constants!$H107))+(AX13*Constants!$H71*Constants!$H123))</f>
        <v>495237.60566705576</v>
      </c>
      <c r="AY58" s="22">
        <f>((AY13*Constants!$H71*Constants!$H89*(1-Constants!$H107))+(AY13*Constants!$H71*Constants!$H123))</f>
        <v>496039.65715412487</v>
      </c>
      <c r="AZ58" s="22">
        <f>((AZ13*Constants!$H71*Constants!$H89*(1-Constants!$H107))+(AZ13*Constants!$H71*Constants!$H123))</f>
        <v>496768.44077297475</v>
      </c>
      <c r="BA58" s="22">
        <f>((BA13*Constants!$H71*Constants!$H89*(1-Constants!$H107))+(BA13*Constants!$H71*Constants!$H123))</f>
        <v>497432.02753406396</v>
      </c>
      <c r="BB58" s="22">
        <f>((BB13*Constants!$H71*Constants!$H89*(1-Constants!$H107))+(BB13*Constants!$H71*Constants!$H123))</f>
        <v>498042.60976525501</v>
      </c>
      <c r="BC58" s="22">
        <f>((BC13*Constants!$H71*Constants!$H89*(1-Constants!$H107))+(BC13*Constants!$H71*Constants!$H123))</f>
        <v>482232.04620168795</v>
      </c>
      <c r="BD58" s="22">
        <f>((BD13*Constants!$H71*Constants!$H89*(1-Constants!$H107))+(BD13*Constants!$H71*Constants!$H123))</f>
        <v>482841.45986775024</v>
      </c>
      <c r="BE58" s="22">
        <f>((BE13*Constants!$H71*Constants!$H89*(1-Constants!$H107))+(BE13*Constants!$H71*Constants!$H123))</f>
        <v>483396.32272735937</v>
      </c>
      <c r="BF58" s="22">
        <f>((BF13*Constants!$H71*Constants!$H89*(1-Constants!$H107))+(BF13*Constants!$H71*Constants!$H123))</f>
        <v>483901.12540109368</v>
      </c>
      <c r="BG58" s="22">
        <f>((BG13*Constants!$H71*Constants!$H89*(1-Constants!$H107))+(BG13*Constants!$H71*Constants!$H123))</f>
        <v>484361.06834663131</v>
      </c>
      <c r="BH58" s="22">
        <f>((BH13*Constants!$H71*Constants!$H89*(1-Constants!$H107))+(BH13*Constants!$H71*Constants!$H123))</f>
        <v>484763.09468555782</v>
      </c>
      <c r="BI58" s="22">
        <f>((BI13*Constants!$H71*Constants!$H89*(1-Constants!$H107))+(BI13*Constants!$H71*Constants!$H123))</f>
        <v>485098.75811334531</v>
      </c>
      <c r="BJ58" s="22">
        <f>((BJ13*Constants!$H71*Constants!$H89*(1-Constants!$H107))+(BJ13*Constants!$H71*Constants!$H123))</f>
        <v>485367.44199704647</v>
      </c>
      <c r="BK58" s="22">
        <f>((BK13*Constants!$H71*Constants!$H89*(1-Constants!$H107))+(BK13*Constants!$H71*Constants!$H123))</f>
        <v>485559.44540964632</v>
      </c>
      <c r="BL58" s="22">
        <f>((BL13*Constants!$H71*Constants!$H89*(1-Constants!$H107))+(BL13*Constants!$H71*Constants!$H123))</f>
        <v>485664.19844086148</v>
      </c>
      <c r="BM58" s="22">
        <f>((BM13*Constants!$H71*Constants!$H89*(1-Constants!$H107))+(BM13*Constants!$H71*Constants!$H123))</f>
        <v>485681.16055790673</v>
      </c>
      <c r="BN58" s="22">
        <f>((BN13*Constants!$H71*Constants!$H89*(1-Constants!$H107))+(BN13*Constants!$H71*Constants!$H123))</f>
        <v>485612.78157633083</v>
      </c>
      <c r="BO58" s="22">
        <f>((BO13*Constants!$H71*Constants!$H89*(1-Constants!$H107))+(BO13*Constants!$H71*Constants!$H123))</f>
        <v>485460.97376055369</v>
      </c>
      <c r="BP58" s="22">
        <f>((BP13*Constants!$H71*Constants!$H89*(1-Constants!$H107))+(BP13*Constants!$H71*Constants!$H123))</f>
        <v>485215.81987788633</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5539270.0027186796</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5626231.8924071323</v>
      </c>
      <c r="AI59" s="22">
        <f>((AI14*Constants!$H72*Constants!$H90*(1-Constants!$H108))+(AI14*Constants!$H72*Constants!$H124))</f>
        <v>5658859.3691720953</v>
      </c>
      <c r="AJ59" s="22">
        <f>((AJ14*Constants!$H72*Constants!$H90*(1-Constants!$H108))+(AJ14*Constants!$H72*Constants!$H124))</f>
        <v>5693973.5560297295</v>
      </c>
      <c r="AK59" s="22">
        <f>((AK14*Constants!$H72*Constants!$H90*(1-Constants!$H108))+(AK14*Constants!$H72*Constants!$H124))</f>
        <v>5731435.4528670963</v>
      </c>
      <c r="AL59" s="22">
        <f>((AL14*Constants!$H72*Constants!$H90*(1-Constants!$H108))+(AL14*Constants!$H72*Constants!$H124))</f>
        <v>5717459.3363540992</v>
      </c>
      <c r="AM59" s="22">
        <f>((AM14*Constants!$H72*Constants!$H90*(1-Constants!$H108))+(AM14*Constants!$H72*Constants!$H124))</f>
        <v>5726816.1098902551</v>
      </c>
      <c r="AN59" s="22">
        <f>((AN14*Constants!$H72*Constants!$H90*(1-Constants!$H108))+(AN14*Constants!$H72*Constants!$H124))</f>
        <v>5842928.7979874676</v>
      </c>
      <c r="AO59" s="22">
        <f>((AO14*Constants!$H72*Constants!$H90*(1-Constants!$H108))+(AO14*Constants!$H72*Constants!$H124))</f>
        <v>5848174.6290058205</v>
      </c>
      <c r="AP59" s="22">
        <f>((AP14*Constants!$H72*Constants!$H90*(1-Constants!$H108))+(AP14*Constants!$H72*Constants!$H124))</f>
        <v>5862063.0387223521</v>
      </c>
      <c r="AQ59" s="22">
        <f>((AQ14*Constants!$H72*Constants!$H90*(1-Constants!$H108))+(AQ14*Constants!$H72*Constants!$H124))</f>
        <v>5880807.2441644706</v>
      </c>
      <c r="AR59" s="22">
        <f>((AR14*Constants!$H72*Constants!$H90*(1-Constants!$H108))+(AR14*Constants!$H72*Constants!$H124))</f>
        <v>5897998.2951759612</v>
      </c>
      <c r="AS59" s="22">
        <f>((AS14*Constants!$H72*Constants!$H90*(1-Constants!$H108))+(AS14*Constants!$H72*Constants!$H124))</f>
        <v>5913863.4274382936</v>
      </c>
      <c r="AT59" s="22">
        <f>((AT14*Constants!$H72*Constants!$H90*(1-Constants!$H108))+(AT14*Constants!$H72*Constants!$H124))</f>
        <v>5928353.9781948123</v>
      </c>
      <c r="AU59" s="22">
        <f>((AU14*Constants!$H72*Constants!$H90*(1-Constants!$H108))+(AU14*Constants!$H72*Constants!$H124))</f>
        <v>5941618.7479378916</v>
      </c>
      <c r="AV59" s="22">
        <f>((AV14*Constants!$H72*Constants!$H90*(1-Constants!$H108))+(AV14*Constants!$H72*Constants!$H124))</f>
        <v>5953871.7542553581</v>
      </c>
      <c r="AW59" s="22">
        <f>((AW14*Constants!$H72*Constants!$H90*(1-Constants!$H108))+(AW14*Constants!$H72*Constants!$H124))</f>
        <v>5965122.86937223</v>
      </c>
      <c r="AX59" s="22">
        <f>((AX14*Constants!$H72*Constants!$H90*(1-Constants!$H108))+(AX14*Constants!$H72*Constants!$H124))</f>
        <v>5975566.3655053936</v>
      </c>
      <c r="AY59" s="22">
        <f>((AY14*Constants!$H72*Constants!$H90*(1-Constants!$H108))+(AY14*Constants!$H72*Constants!$H124))</f>
        <v>5985243.9663876556</v>
      </c>
      <c r="AZ59" s="22">
        <f>((AZ14*Constants!$H72*Constants!$H90*(1-Constants!$H108))+(AZ14*Constants!$H72*Constants!$H124))</f>
        <v>5994037.5128201097</v>
      </c>
      <c r="BA59" s="22">
        <f>((BA14*Constants!$H72*Constants!$H90*(1-Constants!$H108))+(BA14*Constants!$H72*Constants!$H124))</f>
        <v>6002044.3900943398</v>
      </c>
      <c r="BB59" s="22">
        <f>((BB14*Constants!$H72*Constants!$H90*(1-Constants!$H108))+(BB14*Constants!$H72*Constants!$H124))</f>
        <v>6009411.711562518</v>
      </c>
      <c r="BC59" s="22">
        <f>((BC14*Constants!$H72*Constants!$H90*(1-Constants!$H108))+(BC14*Constants!$H72*Constants!$H124))</f>
        <v>5818640.5125077097</v>
      </c>
      <c r="BD59" s="22">
        <f>((BD14*Constants!$H72*Constants!$H90*(1-Constants!$H108))+(BD14*Constants!$H72*Constants!$H124))</f>
        <v>5825993.7339996379</v>
      </c>
      <c r="BE59" s="22">
        <f>((BE14*Constants!$H72*Constants!$H90*(1-Constants!$H108))+(BE14*Constants!$H72*Constants!$H124))</f>
        <v>5832688.7422207575</v>
      </c>
      <c r="BF59" s="22">
        <f>((BF14*Constants!$H72*Constants!$H90*(1-Constants!$H108))+(BF14*Constants!$H72*Constants!$H124))</f>
        <v>5838779.721265696</v>
      </c>
      <c r="BG59" s="22">
        <f>((BG14*Constants!$H72*Constants!$H90*(1-Constants!$H108))+(BG14*Constants!$H72*Constants!$H124))</f>
        <v>5844329.4201656897</v>
      </c>
      <c r="BH59" s="22">
        <f>((BH14*Constants!$H72*Constants!$H90*(1-Constants!$H108))+(BH14*Constants!$H72*Constants!$H124))</f>
        <v>5849180.2938502533</v>
      </c>
      <c r="BI59" s="22">
        <f>((BI14*Constants!$H72*Constants!$H90*(1-Constants!$H108))+(BI14*Constants!$H72*Constants!$H124))</f>
        <v>5853230.4287072681</v>
      </c>
      <c r="BJ59" s="22">
        <f>((BJ14*Constants!$H72*Constants!$H90*(1-Constants!$H108))+(BJ14*Constants!$H72*Constants!$H124))</f>
        <v>5856472.384406969</v>
      </c>
      <c r="BK59" s="22">
        <f>((BK14*Constants!$H72*Constants!$H90*(1-Constants!$H108))+(BK14*Constants!$H72*Constants!$H124))</f>
        <v>5858789.1089877868</v>
      </c>
      <c r="BL59" s="22">
        <f>((BL14*Constants!$H72*Constants!$H90*(1-Constants!$H108))+(BL14*Constants!$H72*Constants!$H124))</f>
        <v>5860053.0652844217</v>
      </c>
      <c r="BM59" s="22">
        <f>((BM14*Constants!$H72*Constants!$H90*(1-Constants!$H108))+(BM14*Constants!$H72*Constants!$H124))</f>
        <v>5860257.7311961846</v>
      </c>
      <c r="BN59" s="22">
        <f>((BN14*Constants!$H72*Constants!$H90*(1-Constants!$H108))+(BN14*Constants!$H72*Constants!$H124))</f>
        <v>5859432.6663429998</v>
      </c>
      <c r="BO59" s="22">
        <f>((BO14*Constants!$H72*Constants!$H90*(1-Constants!$H108))+(BO14*Constants!$H72*Constants!$H124))</f>
        <v>5857600.944220935</v>
      </c>
      <c r="BP59" s="22">
        <f>((BP14*Constants!$H72*Constants!$H90*(1-Constants!$H108))+(BP14*Constants!$H72*Constants!$H124))</f>
        <v>5854642.9029113157</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7930919.3723073695</v>
      </c>
      <c r="AE62" s="22">
        <f>((AE17*Constants!$H75*Constants!$H93*(1-Constants!$H111))+(AE17*Constants!$H75*Constants!$H127))</f>
        <v>7887809.5503911283</v>
      </c>
      <c r="AF62" s="22">
        <f>((AF17*Constants!$H75*Constants!$H93*(1-Constants!$H111))+(AF17*Constants!$H75*Constants!$H127))</f>
        <v>7891347.8708342696</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7538263.5038453471</v>
      </c>
      <c r="AJ62" s="22">
        <f>((AJ17*Constants!$H75*Constants!$H93*(1-Constants!$H111))+(AJ17*Constants!$H75*Constants!$H127))</f>
        <v>7420408.1254293481</v>
      </c>
      <c r="AK62" s="22">
        <f>((AK17*Constants!$H75*Constants!$H93*(1-Constants!$H111))+(AK17*Constants!$H75*Constants!$H127))</f>
        <v>7312981.3674521036</v>
      </c>
      <c r="AL62" s="22">
        <f>((AL17*Constants!$H75*Constants!$H93*(1-Constants!$H111))+(AL17*Constants!$H75*Constants!$H127))</f>
        <v>6579667.0256935256</v>
      </c>
      <c r="AM62" s="22">
        <f>((AM17*Constants!$H75*Constants!$H93*(1-Constants!$H111))+(AM17*Constants!$H75*Constants!$H127))</f>
        <v>6814615.0206221351</v>
      </c>
      <c r="AN62" s="22">
        <f>((AN17*Constants!$H75*Constants!$H93*(1-Constants!$H111))+(AN17*Constants!$H75*Constants!$H127))</f>
        <v>21783041.923758816</v>
      </c>
      <c r="AO62" s="22">
        <f>((AO17*Constants!$H75*Constants!$H93*(1-Constants!$H111))+(AO17*Constants!$H75*Constants!$H127))</f>
        <v>21842754.638081599</v>
      </c>
      <c r="AP62" s="22">
        <f>((AP17*Constants!$H75*Constants!$H93*(1-Constants!$H111))+(AP17*Constants!$H75*Constants!$H127))</f>
        <v>21864808.294970844</v>
      </c>
      <c r="AQ62" s="22">
        <f>((AQ17*Constants!$H75*Constants!$H93*(1-Constants!$H111))+(AQ17*Constants!$H75*Constants!$H127))</f>
        <v>21850197.96513287</v>
      </c>
      <c r="AR62" s="22">
        <f>((AR17*Constants!$H75*Constants!$H93*(1-Constants!$H111))+(AR17*Constants!$H75*Constants!$H127))</f>
        <v>21801127.810912877</v>
      </c>
      <c r="AS62" s="22">
        <f>((AS17*Constants!$H75*Constants!$H93*(1-Constants!$H111))+(AS17*Constants!$H75*Constants!$H127))</f>
        <v>21717147.091942608</v>
      </c>
      <c r="AT62" s="22">
        <f>((AT17*Constants!$H75*Constants!$H93*(1-Constants!$H111))+(AT17*Constants!$H75*Constants!$H127))</f>
        <v>21598135.122156207</v>
      </c>
      <c r="AU62" s="22">
        <f>((AU17*Constants!$H75*Constants!$H93*(1-Constants!$H111))+(AU17*Constants!$H75*Constants!$H127))</f>
        <v>21444103.061344173</v>
      </c>
      <c r="AV62" s="22">
        <f>((AV17*Constants!$H75*Constants!$H93*(1-Constants!$H111))+(AV17*Constants!$H75*Constants!$H127))</f>
        <v>21255248.469736625</v>
      </c>
      <c r="AW62" s="22">
        <f>((AW17*Constants!$H75*Constants!$H93*(1-Constants!$H111))+(AW17*Constants!$H75*Constants!$H127))</f>
        <v>21032057.421736315</v>
      </c>
      <c r="AX62" s="22">
        <f>((AX17*Constants!$H75*Constants!$H93*(1-Constants!$H111))+(AX17*Constants!$H75*Constants!$H127))</f>
        <v>20775144.647597391</v>
      </c>
      <c r="AY62" s="22">
        <f>((AY17*Constants!$H75*Constants!$H93*(1-Constants!$H111))+(AY17*Constants!$H75*Constants!$H127))</f>
        <v>20485378.813188829</v>
      </c>
      <c r="AZ62" s="22">
        <f>((AZ17*Constants!$H75*Constants!$H93*(1-Constants!$H111))+(AZ17*Constants!$H75*Constants!$H127))</f>
        <v>20163873.066222437</v>
      </c>
      <c r="BA62" s="22">
        <f>((BA17*Constants!$H75*Constants!$H93*(1-Constants!$H111))+(BA17*Constants!$H75*Constants!$H127))</f>
        <v>19811833.169087969</v>
      </c>
      <c r="BB62" s="22">
        <f>((BB17*Constants!$H75*Constants!$H93*(1-Constants!$H111))+(BB17*Constants!$H75*Constants!$H127))</f>
        <v>19430612.199402802</v>
      </c>
      <c r="BC62" s="22">
        <f>((BC17*Constants!$H75*Constants!$H93*(1-Constants!$H111))+(BC17*Constants!$H75*Constants!$H127))</f>
        <v>-1810588.8336817948</v>
      </c>
      <c r="BD62" s="22">
        <f>((BD17*Constants!$H75*Constants!$H93*(1-Constants!$H111))+(BD17*Constants!$H75*Constants!$H127))</f>
        <v>-1790987.5566519727</v>
      </c>
      <c r="BE62" s="22">
        <f>((BE17*Constants!$H75*Constants!$H93*(1-Constants!$H111))+(BE17*Constants!$H75*Constants!$H127))</f>
        <v>-1771316.8336056678</v>
      </c>
      <c r="BF62" s="22">
        <f>((BF17*Constants!$H75*Constants!$H93*(1-Constants!$H111))+(BF17*Constants!$H75*Constants!$H127))</f>
        <v>-1751597.0719566722</v>
      </c>
      <c r="BG62" s="22">
        <f>((BG17*Constants!$H75*Constants!$H93*(1-Constants!$H111))+(BG17*Constants!$H75*Constants!$H127))</f>
        <v>-1731850.8258347916</v>
      </c>
      <c r="BH62" s="22">
        <f>((BH17*Constants!$H75*Constants!$H93*(1-Constants!$H111))+(BH17*Constants!$H75*Constants!$H127))</f>
        <v>-1712025.7517569587</v>
      </c>
      <c r="BI62" s="22">
        <f>((BI17*Constants!$H75*Constants!$H93*(1-Constants!$H111))+(BI17*Constants!$H75*Constants!$H127))</f>
        <v>-1692090.9472314739</v>
      </c>
      <c r="BJ62" s="22">
        <f>((BJ17*Constants!$H75*Constants!$H93*(1-Constants!$H111))+(BJ17*Constants!$H75*Constants!$H127))</f>
        <v>-1672048.3379669054</v>
      </c>
      <c r="BK62" s="22">
        <f>((BK17*Constants!$H75*Constants!$H93*(1-Constants!$H111))+(BK17*Constants!$H75*Constants!$H127))</f>
        <v>-1651864.7099637298</v>
      </c>
      <c r="BL62" s="22">
        <f>((BL17*Constants!$H75*Constants!$H93*(1-Constants!$H111))+(BL17*Constants!$H75*Constants!$H127))</f>
        <v>-1631505.6078826098</v>
      </c>
      <c r="BM62" s="22">
        <f>((BM17*Constants!$H75*Constants!$H93*(1-Constants!$H111))+(BM17*Constants!$H75*Constants!$H127))</f>
        <v>-1610976.8099984734</v>
      </c>
      <c r="BN62" s="22">
        <f>((BN17*Constants!$H75*Constants!$H93*(1-Constants!$H111))+(BN17*Constants!$H75*Constants!$H127))</f>
        <v>-1590295.3989921769</v>
      </c>
      <c r="BO62" s="22">
        <f>((BO17*Constants!$H75*Constants!$H93*(1-Constants!$H111))+(BO17*Constants!$H75*Constants!$H127))</f>
        <v>-1569475.9871582442</v>
      </c>
      <c r="BP62" s="22">
        <f>((BP17*Constants!$H75*Constants!$H93*(1-Constants!$H111))+(BP17*Constants!$H75*Constants!$H127))</f>
        <v>-1548489.7510696545</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2012104.5308388222</v>
      </c>
      <c r="AE63" s="22">
        <f>((AE18*Constants!$H76*Constants!$H94*(1-Constants!$H112))+(AE18*Constants!$H76*Constants!$H128))</f>
        <v>2001167.404393659</v>
      </c>
      <c r="AF63" s="22">
        <f>((AF18*Constants!$H76*Constants!$H94*(1-Constants!$H112))+(AF18*Constants!$H76*Constants!$H128))</f>
        <v>2002065.0898019942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1912486.2375610496</v>
      </c>
      <c r="AJ63" s="22">
        <f>((AJ18*Constants!$H76*Constants!$H94*(1-Constants!$H112))+(AJ18*Constants!$H76*Constants!$H128))</f>
        <v>1882585.8779983767</v>
      </c>
      <c r="AK63" s="22">
        <f>((AK18*Constants!$H76*Constants!$H94*(1-Constants!$H112))+(AK18*Constants!$H76*Constants!$H128))</f>
        <v>1855331.2992651612</v>
      </c>
      <c r="AL63" s="22">
        <f>((AL18*Constants!$H76*Constants!$H94*(1-Constants!$H112))+(AL18*Constants!$H76*Constants!$H128))</f>
        <v>1669286.6504273994</v>
      </c>
      <c r="AM63" s="22">
        <f>((AM18*Constants!$H76*Constants!$H94*(1-Constants!$H112))+(AM18*Constants!$H76*Constants!$H128))</f>
        <v>1728893.8539450688</v>
      </c>
      <c r="AN63" s="22">
        <f>((AN18*Constants!$H76*Constants!$H94*(1-Constants!$H112))+(AN18*Constants!$H76*Constants!$H128))</f>
        <v>5526440.9197360929</v>
      </c>
      <c r="AO63" s="22">
        <f>((AO18*Constants!$H76*Constants!$H94*(1-Constants!$H112))+(AO18*Constants!$H76*Constants!$H128))</f>
        <v>5541590.263386853</v>
      </c>
      <c r="AP63" s="22">
        <f>((AP18*Constants!$H76*Constants!$H94*(1-Constants!$H112))+(AP18*Constants!$H76*Constants!$H128))</f>
        <v>5547185.3603567407</v>
      </c>
      <c r="AQ63" s="22">
        <f>((AQ18*Constants!$H76*Constants!$H94*(1-Constants!$H112))+(AQ18*Constants!$H76*Constants!$H128))</f>
        <v>5543478.6638838593</v>
      </c>
      <c r="AR63" s="22">
        <f>((AR18*Constants!$H76*Constants!$H94*(1-Constants!$H112))+(AR18*Constants!$H76*Constants!$H128))</f>
        <v>5531029.3783723004</v>
      </c>
      <c r="AS63" s="22">
        <f>((AS18*Constants!$H76*Constants!$H94*(1-Constants!$H112))+(AS18*Constants!$H76*Constants!$H128))</f>
        <v>5509723.1492693787</v>
      </c>
      <c r="AT63" s="22">
        <f>((AT18*Constants!$H76*Constants!$H94*(1-Constants!$H112))+(AT18*Constants!$H76*Constants!$H128))</f>
        <v>5479529.3580593169</v>
      </c>
      <c r="AU63" s="22">
        <f>((AU18*Constants!$H76*Constants!$H94*(1-Constants!$H112))+(AU18*Constants!$H76*Constants!$H128))</f>
        <v>5440450.8360235849</v>
      </c>
      <c r="AV63" s="22">
        <f>((AV18*Constants!$H76*Constants!$H94*(1-Constants!$H112))+(AV18*Constants!$H76*Constants!$H128))</f>
        <v>5392537.704946992</v>
      </c>
      <c r="AW63" s="22">
        <f>((AW18*Constants!$H76*Constants!$H94*(1-Constants!$H112))+(AW18*Constants!$H76*Constants!$H128))</f>
        <v>5335913.2837617034</v>
      </c>
      <c r="AX63" s="22">
        <f>((AX18*Constants!$H76*Constants!$H94*(1-Constants!$H112))+(AX18*Constants!$H76*Constants!$H128))</f>
        <v>5270733.5318806926</v>
      </c>
      <c r="AY63" s="22">
        <f>((AY18*Constants!$H76*Constants!$H94*(1-Constants!$H112))+(AY18*Constants!$H76*Constants!$H128))</f>
        <v>5197218.8331521209</v>
      </c>
      <c r="AZ63" s="22">
        <f>((AZ18*Constants!$H76*Constants!$H94*(1-Constants!$H112))+(AZ18*Constants!$H76*Constants!$H128))</f>
        <v>5115651.5974012958</v>
      </c>
      <c r="BA63" s="22">
        <f>((BA18*Constants!$H76*Constants!$H94*(1-Constants!$H112))+(BA18*Constants!$H76*Constants!$H128))</f>
        <v>5026337.7311509792</v>
      </c>
      <c r="BB63" s="22">
        <f>((BB18*Constants!$H76*Constants!$H94*(1-Constants!$H112))+(BB18*Constants!$H76*Constants!$H128))</f>
        <v>4929620.51535975</v>
      </c>
      <c r="BC63" s="22">
        <f>((BC18*Constants!$H76*Constants!$H94*(1-Constants!$H112))+(BC18*Constants!$H76*Constants!$H128))</f>
        <v>-459353.30126517481</v>
      </c>
      <c r="BD63" s="22">
        <f>((BD18*Constants!$H76*Constants!$H94*(1-Constants!$H112))+(BD18*Constants!$H76*Constants!$H128))</f>
        <v>-454380.38243061386</v>
      </c>
      <c r="BE63" s="22">
        <f>((BE18*Constants!$H76*Constants!$H94*(1-Constants!$H112))+(BE18*Constants!$H76*Constants!$H128))</f>
        <v>-449389.84487647517</v>
      </c>
      <c r="BF63" s="22">
        <f>((BF18*Constants!$H76*Constants!$H94*(1-Constants!$H112))+(BF18*Constants!$H76*Constants!$H128))</f>
        <v>-444386.86604156852</v>
      </c>
      <c r="BG63" s="22">
        <f>((BG18*Constants!$H76*Constants!$H94*(1-Constants!$H112))+(BG18*Constants!$H76*Constants!$H128))</f>
        <v>-439377.16799475363</v>
      </c>
      <c r="BH63" s="22">
        <f>((BH18*Constants!$H76*Constants!$H94*(1-Constants!$H112))+(BH18*Constants!$H76*Constants!$H128))</f>
        <v>-434347.47099449049</v>
      </c>
      <c r="BI63" s="22">
        <f>((BI18*Constants!$H76*Constants!$H94*(1-Constants!$H112))+(BI18*Constants!$H76*Constants!$H128))</f>
        <v>-429289.93496062653</v>
      </c>
      <c r="BJ63" s="22">
        <f>((BJ18*Constants!$H76*Constants!$H94*(1-Constants!$H112))+(BJ18*Constants!$H76*Constants!$H128))</f>
        <v>-424205.04845277936</v>
      </c>
      <c r="BK63" s="22">
        <f>((BK18*Constants!$H76*Constants!$H94*(1-Constants!$H112))+(BK18*Constants!$H76*Constants!$H128))</f>
        <v>-419084.38495243399</v>
      </c>
      <c r="BL63" s="22">
        <f>((BL18*Constants!$H76*Constants!$H94*(1-Constants!$H112))+(BL18*Constants!$H76*Constants!$H128))</f>
        <v>-413919.20300842536</v>
      </c>
      <c r="BM63" s="22">
        <f>((BM18*Constants!$H76*Constants!$H94*(1-Constants!$H112))+(BM18*Constants!$H76*Constants!$H128))</f>
        <v>-408710.96859116765</v>
      </c>
      <c r="BN63" s="22">
        <f>((BN18*Constants!$H76*Constants!$H94*(1-Constants!$H112))+(BN18*Constants!$H76*Constants!$H128))</f>
        <v>-403464.01564202906</v>
      </c>
      <c r="BO63" s="22">
        <f>((BO18*Constants!$H76*Constants!$H94*(1-Constants!$H112))+(BO18*Constants!$H76*Constants!$H128))</f>
        <v>-398182.05135593045</v>
      </c>
      <c r="BP63" s="22">
        <f>((BP18*Constants!$H76*Constants!$H94*(1-Constants!$H112))+(BP18*Constants!$H76*Constants!$H128))</f>
        <v>-392857.76311936771</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9991382.7736652158</v>
      </c>
      <c r="AE64" s="22">
        <f>((AE19*Constants!$H77*Constants!$H95*(1-Constants!$H113))+(AE19*Constants!$H77*Constants!$H129))</f>
        <v>10194527.393101329</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10870140.745282182</v>
      </c>
      <c r="AJ64" s="22">
        <f>((AJ19*Constants!$H77*Constants!$H95*(1-Constants!$H113))+(AJ19*Constants!$H77*Constants!$H129))</f>
        <v>11010566.420753065</v>
      </c>
      <c r="AK64" s="22">
        <f>((AK19*Constants!$H77*Constants!$H95*(1-Constants!$H113))+(AK19*Constants!$H77*Constants!$H129))</f>
        <v>11156570.250775764</v>
      </c>
      <c r="AL64" s="22">
        <f>((AL19*Constants!$H77*Constants!$H95*(1-Constants!$H113))+(AL19*Constants!$H77*Constants!$H129))</f>
        <v>10716755.548243115</v>
      </c>
      <c r="AM64" s="22">
        <f>((AM19*Constants!$H77*Constants!$H95*(1-Constants!$H113))+(AM19*Constants!$H77*Constants!$H129))</f>
        <v>11109863.366597446</v>
      </c>
      <c r="AN64" s="22">
        <f>((AN19*Constants!$H77*Constants!$H95*(1-Constants!$H113))+(AN19*Constants!$H77*Constants!$H129))</f>
        <v>24690966.675047379</v>
      </c>
      <c r="AO64" s="22">
        <f>((AO19*Constants!$H77*Constants!$H95*(1-Constants!$H113))+(AO19*Constants!$H77*Constants!$H129))</f>
        <v>25233783.355512906</v>
      </c>
      <c r="AP64" s="22">
        <f>((AP19*Constants!$H77*Constants!$H95*(1-Constants!$H113))+(AP19*Constants!$H77*Constants!$H129))</f>
        <v>25754339.411530457</v>
      </c>
      <c r="AQ64" s="22">
        <f>((AQ19*Constants!$H77*Constants!$H95*(1-Constants!$H113))+(AQ19*Constants!$H77*Constants!$H129))</f>
        <v>26248037.537013955</v>
      </c>
      <c r="AR64" s="22">
        <f>((AR19*Constants!$H77*Constants!$H95*(1-Constants!$H113))+(AR19*Constants!$H77*Constants!$H129))</f>
        <v>26708643.510836761</v>
      </c>
      <c r="AS64" s="22">
        <f>((AS19*Constants!$H77*Constants!$H95*(1-Constants!$H113))+(AS19*Constants!$H77*Constants!$H129))</f>
        <v>27134144.276523028</v>
      </c>
      <c r="AT64" s="22">
        <f>((AT19*Constants!$H77*Constants!$H95*(1-Constants!$H113))+(AT19*Constants!$H77*Constants!$H129))</f>
        <v>27522491.171777278</v>
      </c>
      <c r="AU64" s="22">
        <f>((AU19*Constants!$H77*Constants!$H95*(1-Constants!$H113))+(AU19*Constants!$H77*Constants!$H129))</f>
        <v>27871916.960407145</v>
      </c>
      <c r="AV64" s="22">
        <f>((AV19*Constants!$H77*Constants!$H95*(1-Constants!$H113))+(AV19*Constants!$H77*Constants!$H129))</f>
        <v>28180870.83294154</v>
      </c>
      <c r="AW64" s="22">
        <f>((AW19*Constants!$H77*Constants!$H95*(1-Constants!$H113))+(AW19*Constants!$H77*Constants!$H129))</f>
        <v>28447858.674993973</v>
      </c>
      <c r="AX64" s="22">
        <f>((AX19*Constants!$H77*Constants!$H95*(1-Constants!$H113))+(AX19*Constants!$H77*Constants!$H129))</f>
        <v>28671708.435172521</v>
      </c>
      <c r="AY64" s="22">
        <f>((AY19*Constants!$H77*Constants!$H95*(1-Constants!$H113))+(AY19*Constants!$H77*Constants!$H129))</f>
        <v>28851362.762664717</v>
      </c>
      <c r="AZ64" s="22">
        <f>((AZ19*Constants!$H77*Constants!$H95*(1-Constants!$H113))+(AZ19*Constants!$H77*Constants!$H129))</f>
        <v>28985881.254323658</v>
      </c>
      <c r="BA64" s="22">
        <f>((BA19*Constants!$H77*Constants!$H95*(1-Constants!$H113))+(BA19*Constants!$H77*Constants!$H129))</f>
        <v>29074697.752355039</v>
      </c>
      <c r="BB64" s="22">
        <f>((BB19*Constants!$H77*Constants!$H95*(1-Constants!$H113))+(BB19*Constants!$H77*Constants!$H129))</f>
        <v>29117519.246746603</v>
      </c>
      <c r="BC64" s="22">
        <f>((BC19*Constants!$H77*Constants!$H95*(1-Constants!$H113))+(BC19*Constants!$H77*Constants!$H129))</f>
        <v>3795857.6656032237</v>
      </c>
      <c r="BD64" s="22">
        <f>((BD19*Constants!$H77*Constants!$H95*(1-Constants!$H113))+(BD19*Constants!$H77*Constants!$H129))</f>
        <v>3823716.7734032031</v>
      </c>
      <c r="BE64" s="22">
        <f>((BE19*Constants!$H77*Constants!$H95*(1-Constants!$H113))+(BE19*Constants!$H77*Constants!$H129))</f>
        <v>3850885.2898393008</v>
      </c>
      <c r="BF64" s="22">
        <f>((BF19*Constants!$H77*Constants!$H95*(1-Constants!$H113))+(BF19*Constants!$H77*Constants!$H129))</f>
        <v>3877404.1425925829</v>
      </c>
      <c r="BG64" s="22">
        <f>((BG19*Constants!$H77*Constants!$H95*(1-Constants!$H113))+(BG19*Constants!$H77*Constants!$H129))</f>
        <v>3903320.5114719034</v>
      </c>
      <c r="BH64" s="22">
        <f>((BH19*Constants!$H77*Constants!$H95*(1-Constants!$H113))+(BH19*Constants!$H77*Constants!$H129))</f>
        <v>3928528.1349214963</v>
      </c>
      <c r="BI64" s="22">
        <f>((BI19*Constants!$H77*Constants!$H95*(1-Constants!$H113))+(BI19*Constants!$H77*Constants!$H129))</f>
        <v>3952957.0357069927</v>
      </c>
      <c r="BJ64" s="22">
        <f>((BJ19*Constants!$H77*Constants!$H95*(1-Constants!$H113))+(BJ19*Constants!$H77*Constants!$H129))</f>
        <v>3976602.0602718103</v>
      </c>
      <c r="BK64" s="22">
        <f>((BK19*Constants!$H77*Constants!$H95*(1-Constants!$H113))+(BK19*Constants!$H77*Constants!$H129))</f>
        <v>3999379.8532006997</v>
      </c>
      <c r="BL64" s="22">
        <f>((BL19*Constants!$H77*Constants!$H95*(1-Constants!$H113))+(BL19*Constants!$H77*Constants!$H129))</f>
        <v>4021197.6185924937</v>
      </c>
      <c r="BM64" s="22">
        <f>((BM19*Constants!$H77*Constants!$H95*(1-Constants!$H113))+(BM19*Constants!$H77*Constants!$H129))</f>
        <v>4042047.2411376513</v>
      </c>
      <c r="BN64" s="22">
        <f>((BN19*Constants!$H77*Constants!$H95*(1-Constants!$H113))+(BN19*Constants!$H77*Constants!$H129))</f>
        <v>4061946.306254033</v>
      </c>
      <c r="BO64" s="22">
        <f>((BO19*Constants!$H77*Constants!$H95*(1-Constants!$H113))+(BO19*Constants!$H77*Constants!$H129))</f>
        <v>4080907.94282737</v>
      </c>
      <c r="BP64" s="22">
        <f>((BP19*Constants!$H77*Constants!$H95*(1-Constants!$H113))+(BP19*Constants!$H77*Constants!$H129))</f>
        <v>4098841.6615758603</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50031084.230106682</v>
      </c>
      <c r="AE65" s="22">
        <f>((AE20*Constants!$H78*Constants!$H96*(1-Constants!$H114))+(AE20*Constants!$H78*Constants!$H130))</f>
        <v>50689904.185566798</v>
      </c>
      <c r="AF65" s="22">
        <f>((AF20*Constants!$H78*Constants!$H96*(1-Constants!$H114))+(AF20*Constants!$H78*Constants!$H130))</f>
        <v>51748158.015700467</v>
      </c>
      <c r="AG65" s="22">
        <f>((AG20*Constants!$H78*Constants!$H96*(1-Constants!$H114))+(AG20*Constants!$H78*Constants!$H130))</f>
        <v>52052013.608416229</v>
      </c>
      <c r="AH65" s="22">
        <f>((AH20*Constants!$H78*Constants!$H96*(1-Constants!$H114))+(AH20*Constants!$H78*Constants!$H130))</f>
        <v>51865691.663914956</v>
      </c>
      <c r="AI65" s="22">
        <f>((AI20*Constants!$H78*Constants!$H96*(1-Constants!$H114))+(AI20*Constants!$H78*Constants!$H130))</f>
        <v>51191174.533183947</v>
      </c>
      <c r="AJ65" s="22">
        <f>((AJ20*Constants!$H78*Constants!$H96*(1-Constants!$H114))+(AJ20*Constants!$H78*Constants!$H130))</f>
        <v>50907218.229325041</v>
      </c>
      <c r="AK65" s="22">
        <f>((AK20*Constants!$H78*Constants!$H96*(1-Constants!$H114))+(AK20*Constants!$H78*Constants!$H130))</f>
        <v>50687682.526318632</v>
      </c>
      <c r="AL65" s="22">
        <f>((AL20*Constants!$H78*Constants!$H96*(1-Constants!$H114))+(AL20*Constants!$H78*Constants!$H130))</f>
        <v>44205362.178658716</v>
      </c>
      <c r="AM65" s="22">
        <f>((AM20*Constants!$H78*Constants!$H96*(1-Constants!$H114))+(AM20*Constants!$H78*Constants!$H130))</f>
        <v>47550834.72582972</v>
      </c>
      <c r="AN65" s="22">
        <f>((AN20*Constants!$H78*Constants!$H96*(1-Constants!$H114))+(AN20*Constants!$H78*Constants!$H130))</f>
        <v>206762940.52638629</v>
      </c>
      <c r="AO65" s="22">
        <f>((AO20*Constants!$H78*Constants!$H96*(1-Constants!$H114))+(AO20*Constants!$H78*Constants!$H130))</f>
        <v>210469856.84144831</v>
      </c>
      <c r="AP65" s="22">
        <f>((AP20*Constants!$H78*Constants!$H96*(1-Constants!$H114))+(AP20*Constants!$H78*Constants!$H130))</f>
        <v>213763053.5693441</v>
      </c>
      <c r="AQ65" s="22">
        <f>((AQ20*Constants!$H78*Constants!$H96*(1-Constants!$H114))+(AQ20*Constants!$H78*Constants!$H130))</f>
        <v>216656592.34845304</v>
      </c>
      <c r="AR65" s="22">
        <f>((AR20*Constants!$H78*Constants!$H96*(1-Constants!$H114))+(AR20*Constants!$H78*Constants!$H130))</f>
        <v>219189796.84662348</v>
      </c>
      <c r="AS65" s="22">
        <f>((AS20*Constants!$H78*Constants!$H96*(1-Constants!$H114))+(AS20*Constants!$H78*Constants!$H130))</f>
        <v>221343665.69010475</v>
      </c>
      <c r="AT65" s="22">
        <f>((AT20*Constants!$H78*Constants!$H96*(1-Constants!$H114))+(AT20*Constants!$H78*Constants!$H130))</f>
        <v>223103610.96007687</v>
      </c>
      <c r="AU65" s="22">
        <f>((AU20*Constants!$H78*Constants!$H96*(1-Constants!$H114))+(AU20*Constants!$H78*Constants!$H130))</f>
        <v>224455294.08297551</v>
      </c>
      <c r="AV65" s="22">
        <f>((AV20*Constants!$H78*Constants!$H96*(1-Constants!$H114))+(AV20*Constants!$H78*Constants!$H130))</f>
        <v>225385926.89750028</v>
      </c>
      <c r="AW65" s="22">
        <f>((AW20*Constants!$H78*Constants!$H96*(1-Constants!$H114))+(AW20*Constants!$H78*Constants!$H130))</f>
        <v>225886789.21277454</v>
      </c>
      <c r="AX65" s="22">
        <f>((AX20*Constants!$H78*Constants!$H96*(1-Constants!$H114))+(AX20*Constants!$H78*Constants!$H130))</f>
        <v>225949796.31481308</v>
      </c>
      <c r="AY65" s="22">
        <f>((AY20*Constants!$H78*Constants!$H96*(1-Constants!$H114))+(AY20*Constants!$H78*Constants!$H130))</f>
        <v>225570591.91821644</v>
      </c>
      <c r="AZ65" s="22">
        <f>((AZ20*Constants!$H78*Constants!$H96*(1-Constants!$H114))+(AZ20*Constants!$H78*Constants!$H130))</f>
        <v>224748646.68198627</v>
      </c>
      <c r="BA65" s="22">
        <f>((BA20*Constants!$H78*Constants!$H96*(1-Constants!$H114))+(BA20*Constants!$H78*Constants!$H130))</f>
        <v>223483896.55395353</v>
      </c>
      <c r="BB65" s="22">
        <f>((BB20*Constants!$H78*Constants!$H96*(1-Constants!$H114))+(BB20*Constants!$H78*Constants!$H130))</f>
        <v>221778236.05420265</v>
      </c>
      <c r="BC65" s="22">
        <f>((BC20*Constants!$H78*Constants!$H96*(1-Constants!$H114))+(BC20*Constants!$H78*Constants!$H130))</f>
        <v>-47358762.46897573</v>
      </c>
      <c r="BD65" s="22">
        <f>((BD20*Constants!$H78*Constants!$H96*(1-Constants!$H114))+(BD20*Constants!$H78*Constants!$H130))</f>
        <v>-47425782.703368112</v>
      </c>
      <c r="BE65" s="22">
        <f>((BE20*Constants!$H78*Constants!$H96*(1-Constants!$H114))+(BE20*Constants!$H78*Constants!$H130))</f>
        <v>-47486468.386363097</v>
      </c>
      <c r="BF65" s="22">
        <f>((BF20*Constants!$H78*Constants!$H96*(1-Constants!$H114))+(BF20*Constants!$H78*Constants!$H130))</f>
        <v>-47541335.574629463</v>
      </c>
      <c r="BG65" s="22">
        <f>((BG20*Constants!$H78*Constants!$H96*(1-Constants!$H114))+(BG20*Constants!$H78*Constants!$H130))</f>
        <v>-47590974.261808403</v>
      </c>
      <c r="BH65" s="22">
        <f>((BH20*Constants!$H78*Constants!$H96*(1-Constants!$H114))+(BH20*Constants!$H78*Constants!$H130))</f>
        <v>-47633999.088197194</v>
      </c>
      <c r="BI65" s="22">
        <f>((BI20*Constants!$H78*Constants!$H96*(1-Constants!$H114))+(BI20*Constants!$H78*Constants!$H130))</f>
        <v>-47669524.193234615</v>
      </c>
      <c r="BJ65" s="22">
        <f>((BJ20*Constants!$H78*Constants!$H96*(1-Constants!$H114))+(BJ20*Constants!$H78*Constants!$H130))</f>
        <v>-47697509.358967923</v>
      </c>
      <c r="BK65" s="22">
        <f>((BK20*Constants!$H78*Constants!$H96*(1-Constants!$H114))+(BK20*Constants!$H78*Constants!$H130))</f>
        <v>-47716933.323081039</v>
      </c>
      <c r="BL65" s="22">
        <f>((BL20*Constants!$H78*Constants!$H96*(1-Constants!$H114))+(BL20*Constants!$H78*Constants!$H130))</f>
        <v>-47726682.155939534</v>
      </c>
      <c r="BM65" s="22">
        <f>((BM20*Constants!$H78*Constants!$H96*(1-Constants!$H114))+(BM20*Constants!$H78*Constants!$H130))</f>
        <v>-47726723.936664656</v>
      </c>
      <c r="BN65" s="22">
        <f>((BN20*Constants!$H78*Constants!$H96*(1-Constants!$H114))+(BN20*Constants!$H78*Constants!$H130))</f>
        <v>-47717347.888305739</v>
      </c>
      <c r="BO65" s="22">
        <f>((BO20*Constants!$H78*Constants!$H96*(1-Constants!$H114))+(BO20*Constants!$H78*Constants!$H130))</f>
        <v>-47698783.861094415</v>
      </c>
      <c r="BP65" s="22">
        <f>((BP20*Constants!$H78*Constants!$H96*(1-Constants!$H114))+(BP20*Constants!$H78*Constants!$H130))</f>
        <v>-47669987.590099581</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34750269.993448354</v>
      </c>
      <c r="AG67" s="22">
        <f>AG6*Constants!$H64*(1-Constants!$H82)</f>
        <v>34925033.77609212</v>
      </c>
      <c r="AH67" s="22">
        <f>AH6*Constants!$H64*(1-Constants!$H82)</f>
        <v>35041165.108961262</v>
      </c>
      <c r="AI67" s="22">
        <f>AI6*Constants!$H64*(1-Constants!$H82)</f>
        <v>35097521.000428304</v>
      </c>
      <c r="AJ67" s="22">
        <f>AJ6*Constants!$H64*(1-Constants!$H82)</f>
        <v>35222032.138192892</v>
      </c>
      <c r="AK67" s="22">
        <f>AK6*Constants!$H64*(1-Constants!$H82)</f>
        <v>35364867.326667368</v>
      </c>
      <c r="AL67" s="22">
        <f>AL6*Constants!$H64*(1-Constants!$H82)</f>
        <v>34359988.567429535</v>
      </c>
      <c r="AM67" s="22">
        <f>AM6*Constants!$H64*(1-Constants!$H82)</f>
        <v>34951200.83189436</v>
      </c>
      <c r="AN67" s="22">
        <f>AN6*Constants!$H64*(1-Constants!$H82)</f>
        <v>60136336.155716456</v>
      </c>
      <c r="AO67" s="22">
        <f>AO6*Constants!$H64*(1-Constants!$H82)</f>
        <v>60861251.619290501</v>
      </c>
      <c r="AP67" s="22">
        <f>AP6*Constants!$H64*(1-Constants!$H82)</f>
        <v>61554370.516986609</v>
      </c>
      <c r="AQ67" s="22">
        <f>AQ6*Constants!$H64*(1-Constants!$H82)</f>
        <v>62203903.049339555</v>
      </c>
      <c r="AR67" s="22">
        <f>AR6*Constants!$H64*(1-Constants!$H82)</f>
        <v>62792503.297931142</v>
      </c>
      <c r="AS67" s="22">
        <f>AS6*Constants!$H64*(1-Constants!$H82)</f>
        <v>63317422.486353055</v>
      </c>
      <c r="AT67" s="22">
        <f>AT6*Constants!$H64*(1-Constants!$H82)</f>
        <v>63775602.683260627</v>
      </c>
      <c r="AU67" s="22">
        <f>AU6*Constants!$H64*(1-Constants!$H82)</f>
        <v>64164729.485862568</v>
      </c>
      <c r="AV67" s="22">
        <f>AV6*Constants!$H64*(1-Constants!$H82)</f>
        <v>64482967.408514351</v>
      </c>
      <c r="AW67" s="22">
        <f>AW6*Constants!$H64*(1-Constants!$H82)</f>
        <v>64728386.943313368</v>
      </c>
      <c r="AX67" s="22">
        <f>AX6*Constants!$H64*(1-Constants!$H82)</f>
        <v>64899832.969243467</v>
      </c>
      <c r="AY67" s="22">
        <f>AY6*Constants!$H64*(1-Constants!$H82)</f>
        <v>64996197.469104685</v>
      </c>
      <c r="AZ67" s="22">
        <f>AZ6*Constants!$H64*(1-Constants!$H82)</f>
        <v>65016409.960969247</v>
      </c>
      <c r="BA67" s="22">
        <f>BA6*Constants!$H64*(1-Constants!$H82)</f>
        <v>64960274.954272583</v>
      </c>
      <c r="BB67" s="22">
        <f>BB6*Constants!$H64*(1-Constants!$H82)</f>
        <v>64828112.03059376</v>
      </c>
      <c r="BC67" s="22">
        <f>BC6*Constants!$H64*(1-Constants!$H82)</f>
        <v>20510493.612558652</v>
      </c>
      <c r="BD67" s="22">
        <f>BD6*Constants!$H64*(1-Constants!$H82)</f>
        <v>20525465.928692017</v>
      </c>
      <c r="BE67" s="22">
        <f>BE6*Constants!$H64*(1-Constants!$H82)</f>
        <v>20539360.438665356</v>
      </c>
      <c r="BF67" s="22">
        <f>BF6*Constants!$H64*(1-Constants!$H82)</f>
        <v>20552271.134052936</v>
      </c>
      <c r="BG67" s="22">
        <f>BG6*Constants!$H64*(1-Constants!$H82)</f>
        <v>20564313.79277578</v>
      </c>
      <c r="BH67" s="22">
        <f>BH6*Constants!$H64*(1-Constants!$H82)</f>
        <v>20575110.454278175</v>
      </c>
      <c r="BI67" s="22">
        <f>BI6*Constants!$H64*(1-Constants!$H82)</f>
        <v>20584407.303497422</v>
      </c>
      <c r="BJ67" s="22">
        <f>BJ6*Constants!$H64*(1-Constants!$H82)</f>
        <v>20592163.638196778</v>
      </c>
      <c r="BK67" s="22">
        <f>BK6*Constants!$H64*(1-Constants!$H82)</f>
        <v>20598091.469343696</v>
      </c>
      <c r="BL67" s="22">
        <f>BL6*Constants!$H64*(1-Constants!$H82)</f>
        <v>20601878.130900536</v>
      </c>
      <c r="BM67" s="22">
        <f>BM6*Constants!$H64*(1-Constants!$H82)</f>
        <v>20603485.004250791</v>
      </c>
      <c r="BN67" s="22">
        <f>BN6*Constants!$H64*(1-Constants!$H82)</f>
        <v>20602956.499780618</v>
      </c>
      <c r="BO67" s="22">
        <f>BO6*Constants!$H64*(1-Constants!$H82)</f>
        <v>20600323.588610966</v>
      </c>
      <c r="BP67" s="22">
        <f>BP6*Constants!$H64*(1-Constants!$H82)</f>
        <v>20595292.191577021</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23665171.629935287</v>
      </c>
      <c r="AG68" s="22">
        <f>AG7*Constants!$H65*(1-Constants!$H83)</f>
        <v>23784186.961664833</v>
      </c>
      <c r="AH68" s="22">
        <f>AH7*Constants!$H65*(1-Constants!$H83)</f>
        <v>23863273.193929486</v>
      </c>
      <c r="AI68" s="22">
        <f>AI7*Constants!$H65*(1-Constants!$H83)</f>
        <v>23901651.9416105</v>
      </c>
      <c r="AJ68" s="22">
        <f>AJ7*Constants!$H65*(1-Constants!$H83)</f>
        <v>23986444.878344316</v>
      </c>
      <c r="AK68" s="22">
        <f>AK7*Constants!$H65*(1-Constants!$H83)</f>
        <v>24083716.618986327</v>
      </c>
      <c r="AL68" s="22">
        <f>AL7*Constants!$H65*(1-Constants!$H83)</f>
        <v>23399387.308476705</v>
      </c>
      <c r="AM68" s="22">
        <f>AM7*Constants!$H65*(1-Constants!$H83)</f>
        <v>23802006.905703444</v>
      </c>
      <c r="AN68" s="22">
        <f>AN7*Constants!$H65*(1-Constants!$H83)</f>
        <v>40953256.380132407</v>
      </c>
      <c r="AO68" s="22">
        <f>AO7*Constants!$H65*(1-Constants!$H83)</f>
        <v>41446928.770761557</v>
      </c>
      <c r="AP68" s="22">
        <f>AP7*Constants!$H65*(1-Constants!$H83)</f>
        <v>41918947.482472926</v>
      </c>
      <c r="AQ68" s="22">
        <f>AQ7*Constants!$H65*(1-Constants!$H83)</f>
        <v>42361283.581163868</v>
      </c>
      <c r="AR68" s="22">
        <f>AR7*Constants!$H65*(1-Constants!$H83)</f>
        <v>42762124.377709299</v>
      </c>
      <c r="AS68" s="22">
        <f>AS7*Constants!$H65*(1-Constants!$H83)</f>
        <v>43119597.936567768</v>
      </c>
      <c r="AT68" s="22">
        <f>AT7*Constants!$H65*(1-Constants!$H83)</f>
        <v>43431621.785570957</v>
      </c>
      <c r="AU68" s="22">
        <f>AU7*Constants!$H65*(1-Constants!$H83)</f>
        <v>43696619.80058261</v>
      </c>
      <c r="AV68" s="22">
        <f>AV7*Constants!$H65*(1-Constants!$H83)</f>
        <v>43913342.003320269</v>
      </c>
      <c r="AW68" s="22">
        <f>AW7*Constants!$H65*(1-Constants!$H83)</f>
        <v>44080474.38570039</v>
      </c>
      <c r="AX68" s="22">
        <f>AX7*Constants!$H65*(1-Constants!$H83)</f>
        <v>44197230.30240754</v>
      </c>
      <c r="AY68" s="22">
        <f>AY7*Constants!$H65*(1-Constants!$H83)</f>
        <v>44262855.186147392</v>
      </c>
      <c r="AZ68" s="22">
        <f>AZ7*Constants!$H65*(1-Constants!$H83)</f>
        <v>44276620.031402819</v>
      </c>
      <c r="BA68" s="22">
        <f>BA7*Constants!$H65*(1-Constants!$H83)</f>
        <v>44238391.707761735</v>
      </c>
      <c r="BB68" s="22">
        <f>BB7*Constants!$H65*(1-Constants!$H83)</f>
        <v>44148387.852466144</v>
      </c>
      <c r="BC68" s="22">
        <f>BC7*Constants!$H65*(1-Constants!$H83)</f>
        <v>13967786.484749727</v>
      </c>
      <c r="BD68" s="22">
        <f>BD7*Constants!$H65*(1-Constants!$H83)</f>
        <v>13977982.734478448</v>
      </c>
      <c r="BE68" s="22">
        <f>BE7*Constants!$H65*(1-Constants!$H83)</f>
        <v>13987444.990837749</v>
      </c>
      <c r="BF68" s="22">
        <f>BF7*Constants!$H65*(1-Constants!$H83)</f>
        <v>13996237.262732802</v>
      </c>
      <c r="BG68" s="22">
        <f>BG7*Constants!$H65*(1-Constants!$H83)</f>
        <v>14004438.395719986</v>
      </c>
      <c r="BH68" s="22">
        <f>BH7*Constants!$H65*(1-Constants!$H83)</f>
        <v>14011790.996074824</v>
      </c>
      <c r="BI68" s="22">
        <f>BI7*Constants!$H65*(1-Constants!$H83)</f>
        <v>14018122.214002989</v>
      </c>
      <c r="BJ68" s="22">
        <f>BJ7*Constants!$H65*(1-Constants!$H83)</f>
        <v>14023404.331002774</v>
      </c>
      <c r="BK68" s="22">
        <f>BK7*Constants!$H65*(1-Constants!$H83)</f>
        <v>14027441.224572565</v>
      </c>
      <c r="BL68" s="22">
        <f>BL7*Constants!$H65*(1-Constants!$H83)</f>
        <v>14030019.967001442</v>
      </c>
      <c r="BM68" s="22">
        <f>BM7*Constants!$H65*(1-Constants!$H83)</f>
        <v>14031114.258747336</v>
      </c>
      <c r="BN68" s="22">
        <f>BN7*Constants!$H65*(1-Constants!$H83)</f>
        <v>14030754.343587074</v>
      </c>
      <c r="BO68" s="22">
        <f>BO7*Constants!$H65*(1-Constants!$H83)</f>
        <v>14028961.313065933</v>
      </c>
      <c r="BP68" s="22">
        <f>BP7*Constants!$H65*(1-Constants!$H83)</f>
        <v>14025534.89726056</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488521322.93671769</v>
      </c>
      <c r="AE69" s="22">
        <f>AE8*Constants!$H66*(1-Constants!$H84)</f>
        <v>484284533.51604748</v>
      </c>
      <c r="AF69" s="22">
        <f>AF8*Constants!$H66*(1-Constants!$H84)</f>
        <v>482671716.04202366</v>
      </c>
      <c r="AG69" s="22">
        <f>AG8*Constants!$H66*(1-Constants!$H84)</f>
        <v>476226267.07794714</v>
      </c>
      <c r="AH69" s="22">
        <f>AH8*Constants!$H66*(1-Constants!$H84)</f>
        <v>466870540.49783492</v>
      </c>
      <c r="AI69" s="22">
        <f>AI8*Constants!$H66*(1-Constants!$H84)</f>
        <v>454797998.08090127</v>
      </c>
      <c r="AJ69" s="22">
        <f>AJ8*Constants!$H66*(1-Constants!$H84)</f>
        <v>445276030.79173321</v>
      </c>
      <c r="AK69" s="22">
        <f>AK8*Constants!$H66*(1-Constants!$H84)</f>
        <v>436267167.24004078</v>
      </c>
      <c r="AL69" s="22">
        <f>AL8*Constants!$H66*(1-Constants!$H84)</f>
        <v>390161909.0901956</v>
      </c>
      <c r="AM69" s="22">
        <f>AM8*Constants!$H66*(1-Constants!$H84)</f>
        <v>405193661.79296583</v>
      </c>
      <c r="AN69" s="22">
        <f>AN8*Constants!$H66*(1-Constants!$H84)</f>
        <v>1277047098.240176</v>
      </c>
      <c r="AO69" s="22">
        <f>AO8*Constants!$H66*(1-Constants!$H84)</f>
        <v>1283206780.6743321</v>
      </c>
      <c r="AP69" s="22">
        <f>AP8*Constants!$H66*(1-Constants!$H84)</f>
        <v>1287148962.2040045</v>
      </c>
      <c r="AQ69" s="22">
        <f>AQ8*Constants!$H66*(1-Constants!$H84)</f>
        <v>1288872839.8824949</v>
      </c>
      <c r="AR69" s="22">
        <f>AR8*Constants!$H66*(1-Constants!$H84)</f>
        <v>1288414931.9576464</v>
      </c>
      <c r="AS69" s="22">
        <f>AS8*Constants!$H66*(1-Constants!$H84)</f>
        <v>1285753289.7875524</v>
      </c>
      <c r="AT69" s="22">
        <f>AT8*Constants!$H66*(1-Constants!$H84)</f>
        <v>1280881393.4587114</v>
      </c>
      <c r="AU69" s="22">
        <f>AU8*Constants!$H66*(1-Constants!$H84)</f>
        <v>1273803274.0129907</v>
      </c>
      <c r="AV69" s="22">
        <f>AV8*Constants!$H66*(1-Constants!$H84)</f>
        <v>1264534847.325206</v>
      </c>
      <c r="AW69" s="22">
        <f>AW8*Constants!$H66*(1-Constants!$H84)</f>
        <v>1242576081.1787887</v>
      </c>
      <c r="AX69" s="22">
        <f>AX8*Constants!$H66*(1-Constants!$H84)</f>
        <v>1218548938.1534262</v>
      </c>
      <c r="AY69" s="22">
        <f>AY8*Constants!$H66*(1-Constants!$H84)</f>
        <v>1192561376.9723177</v>
      </c>
      <c r="AZ69" s="22">
        <f>AZ8*Constants!$H66*(1-Constants!$H84)</f>
        <v>1164733623.5402482</v>
      </c>
      <c r="BA69" s="22">
        <f>BA8*Constants!$H66*(1-Constants!$H84)</f>
        <v>1135193668.5917172</v>
      </c>
      <c r="BB69" s="22">
        <f>BB8*Constants!$H66*(1-Constants!$H84)</f>
        <v>1104077803.9315224</v>
      </c>
      <c r="BC69" s="22">
        <f>BC8*Constants!$H66*(1-Constants!$H84)</f>
        <v>-85249372.433487326</v>
      </c>
      <c r="BD69" s="22">
        <f>BD8*Constants!$H66*(1-Constants!$H84)</f>
        <v>-83196813.897647008</v>
      </c>
      <c r="BE69" s="22">
        <f>BE8*Constants!$H66*(1-Constants!$H84)</f>
        <v>-81165611.185914934</v>
      </c>
      <c r="BF69" s="22">
        <f>BF8*Constants!$H66*(1-Constants!$H84)</f>
        <v>-79155554.512517348</v>
      </c>
      <c r="BG69" s="22">
        <f>BG8*Constants!$H66*(1-Constants!$H84)</f>
        <v>-77560225.624581665</v>
      </c>
      <c r="BH69" s="22">
        <f>BH8*Constants!$H66*(1-Constants!$H84)</f>
        <v>-75980030.175962552</v>
      </c>
      <c r="BI69" s="22">
        <f>BI8*Constants!$H66*(1-Constants!$H84)</f>
        <v>-74413792.861597732</v>
      </c>
      <c r="BJ69" s="22">
        <f>BJ8*Constants!$H66*(1-Constants!$H84)</f>
        <v>-72861125.714629233</v>
      </c>
      <c r="BK69" s="22">
        <f>BK8*Constants!$H66*(1-Constants!$H84)</f>
        <v>-71320893.579684064</v>
      </c>
      <c r="BL69" s="22">
        <f>BL8*Constants!$H66*(1-Constants!$H84)</f>
        <v>-69791984.799601853</v>
      </c>
      <c r="BM69" s="22">
        <f>BM8*Constants!$H66*(1-Constants!$H84)</f>
        <v>-68274220.83573395</v>
      </c>
      <c r="BN69" s="22">
        <f>BN8*Constants!$H66*(1-Constants!$H84)</f>
        <v>-66767695.45748876</v>
      </c>
      <c r="BO69" s="22">
        <f>BO8*Constants!$H66*(1-Constants!$H84)</f>
        <v>-65272466.18744947</v>
      </c>
      <c r="BP69" s="22">
        <f>BP8*Constants!$H66*(1-Constants!$H84)</f>
        <v>-63787674.223408684</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307182602.50561363</v>
      </c>
      <c r="AE70" s="94">
        <f>IF('Net zero activities &amp; levers'!$C$10="Off",AE9*Constants!$H67*(1-Constants!$H85),IF('Net zero activities &amp; levers'!$C$10="On",('Net zero supporting data'!C197*Constants!$H67*(1-Constants!$H85-'Net zero supporting data'!C199))+('Net zero supporting data'!C198*Constants!$H67*(1-Constants!$H85)),"ERROR"))</f>
        <v>304518505.89528352</v>
      </c>
      <c r="AF70" s="94">
        <f>IF('Net zero activities &amp; levers'!$C$10="Off",AF9*Constants!$H67*(1-Constants!$H85),IF('Net zero activities &amp; levers'!$C$10="On",('Net zero supporting data'!D197*Constants!$H67*(1-Constants!$H85-'Net zero supporting data'!D199))+('Net zero supporting data'!D198*Constants!$H67*(1-Constants!$H85)),"ERROR"))</f>
        <v>303504364.96473223</v>
      </c>
      <c r="AG70" s="94">
        <f>IF('Net zero activities &amp; levers'!$C$10="Off",AG9*Constants!$H67*(1-Constants!$H85),IF('Net zero activities &amp; levers'!$C$10="On",('Net zero supporting data'!E197*Constants!$H67*(1-Constants!$H85-'Net zero supporting data'!E199))+('Net zero supporting data'!E198*Constants!$H67*(1-Constants!$H85)),"ERROR"))</f>
        <v>299451461.449283</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285977348.5935058</v>
      </c>
      <c r="AJ70" s="94">
        <f>IF('Net zero activities &amp; levers'!$C$10="Off",AJ9*Constants!$H67*(1-Constants!$H85),IF('Net zero activities &amp; levers'!$C$10="On",('Net zero supporting data'!H197*Constants!$H67*(1-Constants!$H85-'Net zero supporting data'!H199))+('Net zero supporting data'!H198*Constants!$H67*(1-Constants!$H85)),"ERROR"))</f>
        <v>279989927.86993003</v>
      </c>
      <c r="AK70" s="94">
        <f>IF('Net zero activities &amp; levers'!$C$10="Off",AK9*Constants!$H67*(1-Constants!$H85),IF('Net zero activities &amp; levers'!$C$10="On",('Net zero supporting data'!I197*Constants!$H67*(1-Constants!$H85-'Net zero supporting data'!I199))+('Net zero supporting data'!I198*Constants!$H67*(1-Constants!$H85)),"ERROR"))</f>
        <v>274325147.19098032</v>
      </c>
      <c r="AL70" s="94">
        <f>IF('Net zero activities &amp; levers'!$C$10="Off",AL9*Constants!$H67*(1-Constants!$H85),IF('Net zero activities &amp; levers'!$C$10="On",('Net zero supporting data'!J197*Constants!$H67*(1-Constants!$H85-'Net zero supporting data'!J199))+('Net zero supporting data'!J198*Constants!$H67*(1-Constants!$H85)),"ERROR"))</f>
        <v>245334123.62106916</v>
      </c>
      <c r="AM70" s="94">
        <f>IF('Net zero activities &amp; levers'!$C$10="Off",AM9*Constants!$H67*(1-Constants!$H85),IF('Net zero activities &amp; levers'!$C$10="On",('Net zero supporting data'!K197*Constants!$H67*(1-Constants!$H85-'Net zero supporting data'!K199))+('Net zero supporting data'!K198*Constants!$H67*(1-Constants!$H85)),"ERROR"))</f>
        <v>254786101.86369723</v>
      </c>
      <c r="AN70" s="94">
        <f>IF('Net zero activities &amp; levers'!$C$10="Off",AN9*Constants!$H67*(1-Constants!$H85),IF('Net zero activities &amp; levers'!$C$10="On",('Net zero supporting data'!L197*Constants!$H67*(1-Constants!$H85-'Net zero supporting data'!L199))+('Net zero supporting data'!L198*Constants!$H67*(1-Constants!$H85)),"ERROR"))</f>
        <v>803008247.01253736</v>
      </c>
      <c r="AO70" s="94">
        <f>IF('Net zero activities &amp; levers'!$C$10="Off",AO9*Constants!$H67*(1-Constants!$H85),IF('Net zero activities &amp; levers'!$C$10="On",('Net zero supporting data'!M197*Constants!$H67*(1-Constants!$H85-'Net zero supporting data'!M199))+('Net zero supporting data'!M198*Constants!$H67*(1-Constants!$H85)),"ERROR"))</f>
        <v>806881460.30312157</v>
      </c>
      <c r="AP70" s="94">
        <f>IF('Net zero activities &amp; levers'!$C$10="Off",AP9*Constants!$H67*(1-Constants!$H85),IF('Net zero activities &amp; levers'!$C$10="On",('Net zero supporting data'!N197*Constants!$H67*(1-Constants!$H85-'Net zero supporting data'!N199))+('Net zero supporting data'!N198*Constants!$H67*(1-Constants!$H85)),"ERROR"))</f>
        <v>809360307.23359859</v>
      </c>
      <c r="AQ70" s="94">
        <f>IF('Net zero activities &amp; levers'!$C$10="Off",AQ9*Constants!$H67*(1-Constants!$H85),IF('Net zero activities &amp; levers'!$C$10="On",('Net zero supporting data'!O197*Constants!$H67*(1-Constants!$H85-'Net zero supporting data'!O199))+('Net zero supporting data'!O198*Constants!$H67*(1-Constants!$H85)),"ERROR"))</f>
        <v>810444282.91043651</v>
      </c>
      <c r="AR70" s="94">
        <f>IF('Net zero activities &amp; levers'!$C$10="Off",AR9*Constants!$H67*(1-Constants!$H85),IF('Net zero activities &amp; levers'!$C$10="On",('Net zero supporting data'!P197*Constants!$H67*(1-Constants!$H85-'Net zero supporting data'!P199))+('Net zero supporting data'!P198*Constants!$H67*(1-Constants!$H85)),"ERROR"))</f>
        <v>810156350.03737915</v>
      </c>
      <c r="AS70" s="94">
        <f>IF('Net zero activities &amp; levers'!$C$10="Off",AS9*Constants!$H67*(1-Constants!$H85),IF('Net zero activities &amp; levers'!$C$10="On",('Net zero supporting data'!Q197*Constants!$H67*(1-Constants!$H85-'Net zero supporting data'!Q199))+('Net zero supporting data'!Q198*Constants!$H67*(1-Constants!$H85)),"ERROR"))</f>
        <v>808482707.29066503</v>
      </c>
      <c r="AT70" s="94">
        <f>IF('Net zero activities &amp; levers'!$C$10="Off",AT9*Constants!$H67*(1-Constants!$H85),IF('Net zero activities &amp; levers'!$C$10="On",('Net zero supporting data'!R197*Constants!$H67*(1-Constants!$H85-'Net zero supporting data'!R199))+('Net zero supporting data'!R198*Constants!$H67*(1-Constants!$H85)),"ERROR"))</f>
        <v>805419254.94341779</v>
      </c>
      <c r="AU70" s="94">
        <f>IF('Net zero activities &amp; levers'!$C$10="Off",AU9*Constants!$H67*(1-Constants!$H85),IF('Net zero activities &amp; levers'!$C$10="On",('Net zero supporting data'!S197*Constants!$H67*(1-Constants!$H85-'Net zero supporting data'!S199))+('Net zero supporting data'!S198*Constants!$H67*(1-Constants!$H85)),"ERROR"))</f>
        <v>800968527.71801949</v>
      </c>
      <c r="AV70" s="94">
        <f>IF('Net zero activities &amp; levers'!$C$10="Off",AV9*Constants!$H67*(1-Constants!$H85),IF('Net zero activities &amp; levers'!$C$10="On",('Net zero supporting data'!T197*Constants!$H67*(1-Constants!$H85-'Net zero supporting data'!T199))+('Net zero supporting data'!T198*Constants!$H67*(1-Constants!$H85)),"ERROR"))</f>
        <v>795140533.52941144</v>
      </c>
      <c r="AW70" s="94">
        <f>IF('Net zero activities &amp; levers'!$C$10="Off",AW9*Constants!$H67*(1-Constants!$H85),IF('Net zero activities &amp; levers'!$C$10="On",('Net zero supporting data'!U197*Constants!$H67*(1-Constants!$H85-'Net zero supporting data'!U199))+('Net zero supporting data'!U198*Constants!$H67*(1-Constants!$H85)),"ERROR"))</f>
        <v>781332843.63755727</v>
      </c>
      <c r="AX70" s="94">
        <f>IF('Net zero activities &amp; levers'!$C$10="Off",AX9*Constants!$H67*(1-Constants!$H85),IF('Net zero activities &amp; levers'!$C$10="On",('Net zero supporting data'!V197*Constants!$H67*(1-Constants!$H85-'Net zero supporting data'!V199))+('Net zero supporting data'!V198*Constants!$H67*(1-Constants!$H85)),"ERROR"))</f>
        <v>766224556.69332182</v>
      </c>
      <c r="AY70" s="94">
        <f>IF('Net zero activities &amp; levers'!$C$10="Off",AY9*Constants!$H67*(1-Constants!$H85),IF('Net zero activities &amp; levers'!$C$10="On",('Net zero supporting data'!W197*Constants!$H67*(1-Constants!$H85-'Net zero supporting data'!W199))+('Net zero supporting data'!W198*Constants!$H67*(1-Constants!$H85)),"ERROR"))</f>
        <v>749883557.2290653</v>
      </c>
      <c r="AZ70" s="94">
        <f>IF('Net zero activities &amp; levers'!$C$10="Off",AZ9*Constants!$H67*(1-Constants!$H85),IF('Net zero activities &amp; levers'!$C$10="On",('Net zero supporting data'!X197*Constants!$H67*(1-Constants!$H85-'Net zero supporting data'!X199))+('Net zero supporting data'!X198*Constants!$H67*(1-Constants!$H85)),"ERROR"))</f>
        <v>732385443.39083898</v>
      </c>
      <c r="BA70" s="94">
        <f>IF('Net zero activities &amp; levers'!$C$10="Off",BA9*Constants!$H67*(1-Constants!$H85),IF('Net zero activities &amp; levers'!$C$10="On",('Net zero supporting data'!Y197*Constants!$H67*(1-Constants!$H85-'Net zero supporting data'!Y199))+('Net zero supporting data'!Y198*Constants!$H67*(1-Constants!$H85)),"ERROR"))</f>
        <v>713810695.85589099</v>
      </c>
      <c r="BB70" s="94">
        <f>IF('Net zero activities &amp; levers'!$C$10="Off",BB9*Constants!$H67*(1-Constants!$H85),IF('Net zero activities &amp; levers'!$C$10="On",('Net zero supporting data'!Z197*Constants!$H67*(1-Constants!$H85-'Net zero supporting data'!Z199))+('Net zero supporting data'!Z198*Constants!$H67*(1-Constants!$H85)),"ERROR"))</f>
        <v>694245015.02117872</v>
      </c>
      <c r="BC70" s="94">
        <f>IF('Net zero activities &amp; levers'!$C$10="Off",BC9*Constants!$H67*(1-Constants!$H85),IF('Net zero activities &amp; levers'!$C$10="On",('Net zero supporting data'!AA197*Constants!$H67*(1-Constants!$H85-'Net zero supporting data'!AA199))+('Net zero supporting data'!AA198*Constants!$H67*(1-Constants!$H85)),"ERROR"))</f>
        <v>-53604874.253321379</v>
      </c>
      <c r="BD70" s="94">
        <f>IF('Net zero activities &amp; levers'!$C$10="Off",BD9*Constants!$H67*(1-Constants!$H85),IF('Net zero activities &amp; levers'!$C$10="On",('Net zero supporting data'!AB197*Constants!$H67*(1-Constants!$H85-'Net zero supporting data'!AB199))+('Net zero supporting data'!AB198*Constants!$H67*(1-Constants!$H85)),"ERROR"))</f>
        <v>-52314223.787863165</v>
      </c>
      <c r="BE70" s="94">
        <f>IF('Net zero activities &amp; levers'!$C$10="Off",BE9*Constants!$H67*(1-Constants!$H85),IF('Net zero activities &amp; levers'!$C$10="On",('Net zero supporting data'!AC197*Constants!$H67*(1-Constants!$H85-'Net zero supporting data'!AC199))+('Net zero supporting data'!AC198*Constants!$H67*(1-Constants!$H85)),"ERROR"))</f>
        <v>-51037001.881856121</v>
      </c>
      <c r="BF70" s="94">
        <f>IF('Net zero activities &amp; levers'!$C$10="Off",BF9*Constants!$H67*(1-Constants!$H85),IF('Net zero activities &amp; levers'!$C$10="On",('Net zero supporting data'!AD197*Constants!$H67*(1-Constants!$H85-'Net zero supporting data'!AD199))+('Net zero supporting data'!AD198*Constants!$H67*(1-Constants!$H85)),"ERROR"))</f>
        <v>-49773076.621836238</v>
      </c>
      <c r="BG70" s="94">
        <f>IF('Net zero activities &amp; levers'!$C$10="Off",BG9*Constants!$H67*(1-Constants!$H85),IF('Net zero activities &amp; levers'!$C$10="On",('Net zero supporting data'!AE197*Constants!$H67*(1-Constants!$H85-'Net zero supporting data'!AE199))+('Net zero supporting data'!AE198*Constants!$H67*(1-Constants!$H85)),"ERROR"))</f>
        <v>-48769932.528345041</v>
      </c>
      <c r="BH70" s="94">
        <f>IF('Net zero activities &amp; levers'!$C$10="Off",BH9*Constants!$H67*(1-Constants!$H85),IF('Net zero activities &amp; levers'!$C$10="On",('Net zero supporting data'!AF197*Constants!$H67*(1-Constants!$H85-'Net zero supporting data'!AF199))+('Net zero supporting data'!AF198*Constants!$H67*(1-Constants!$H85)),"ERROR"))</f>
        <v>-47776304.353721395</v>
      </c>
      <c r="BI70" s="94">
        <f>IF('Net zero activities &amp; levers'!$C$10="Off",BI9*Constants!$H67*(1-Constants!$H85),IF('Net zero activities &amp; levers'!$C$10="On",('Net zero supporting data'!AG197*Constants!$H67*(1-Constants!$H85-'Net zero supporting data'!AG199))+('Net zero supporting data'!AG198*Constants!$H67*(1-Constants!$H85)),"ERROR"))</f>
        <v>-46791453.065192655</v>
      </c>
      <c r="BJ70" s="94">
        <f>IF('Net zero activities &amp; levers'!$C$10="Off",BJ9*Constants!$H67*(1-Constants!$H85),IF('Net zero activities &amp; levers'!$C$10="On",('Net zero supporting data'!AH197*Constants!$H67*(1-Constants!$H85-'Net zero supporting data'!AH199))+('Net zero supporting data'!AH198*Constants!$H67*(1-Constants!$H85)),"ERROR"))</f>
        <v>-45815134.708885141</v>
      </c>
      <c r="BK70" s="94">
        <f>IF('Net zero activities &amp; levers'!$C$10="Off",BK9*Constants!$H67*(1-Constants!$H85),IF('Net zero activities &amp; levers'!$C$10="On",('Net zero supporting data'!AI197*Constants!$H67*(1-Constants!$H85-'Net zero supporting data'!AI199))+('Net zero supporting data'!AI198*Constants!$H67*(1-Constants!$H85)),"ERROR"))</f>
        <v>-44846635.498183288</v>
      </c>
      <c r="BL70" s="94">
        <f>IF('Net zero activities &amp; levers'!$C$10="Off",BL9*Constants!$H67*(1-Constants!$H85),IF('Net zero activities &amp; levers'!$C$10="On",('Net zero supporting data'!AJ197*Constants!$H67*(1-Constants!$H85-'Net zero supporting data'!AJ199))+('Net zero supporting data'!AJ198*Constants!$H67*(1-Constants!$H85)),"ERROR"))</f>
        <v>-43885256.422166638</v>
      </c>
      <c r="BM70" s="94">
        <f>IF('Net zero activities &amp; levers'!$C$10="Off",BM9*Constants!$H67*(1-Constants!$H85),IF('Net zero activities &amp; levers'!$C$10="On",('Net zero supporting data'!AK197*Constants!$H67*(1-Constants!$H85-'Net zero supporting data'!AK199))+('Net zero supporting data'!AK198*Constants!$H67*(1-Constants!$H85)),"ERROR"))</f>
        <v>-42930885.215588659</v>
      </c>
      <c r="BN70" s="94">
        <f>IF('Net zero activities &amp; levers'!$C$10="Off",BN9*Constants!$H67*(1-Constants!$H85),IF('Net zero activities &amp; levers'!$C$10="On",('Net zero supporting data'!AL197*Constants!$H67*(1-Constants!$H85-'Net zero supporting data'!AL199))+('Net zero supporting data'!AL198*Constants!$H67*(1-Constants!$H85)),"ERROR"))</f>
        <v>-41983580.840729155</v>
      </c>
      <c r="BO70" s="94">
        <f>IF('Net zero activities &amp; levers'!$C$10="Off",BO9*Constants!$H67*(1-Constants!$H85),IF('Net zero activities &amp; levers'!$C$10="On",('Net zero supporting data'!AM197*Constants!$H67*(1-Constants!$H85-'Net zero supporting data'!AM199))+('Net zero supporting data'!AM198*Constants!$H67*(1-Constants!$H85)),"ERROR"))</f>
        <v>-41043379.46783486</v>
      </c>
      <c r="BP70" s="94">
        <f>IF('Net zero activities &amp; levers'!$C$10="Off",BP9*Constants!$H67*(1-Constants!$H85),IF('Net zero activities &amp; levers'!$C$10="On",('Net zero supporting data'!AN197*Constants!$H67*(1-Constants!$H85-'Net zero supporting data'!AN199))+('Net zero supporting data'!AN198*Constants!$H67*(1-Constants!$H85)),"ERROR"))</f>
        <v>-40109741.081384011</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374503192.88652295</v>
      </c>
      <c r="AM72" s="22">
        <f>AM11*Constants!$H69*(1-Constants!$H87)</f>
        <v>374752440.66875142</v>
      </c>
      <c r="AN72" s="22">
        <f>AN11*Constants!$H69*(1-Constants!$H87)</f>
        <v>379633624.09206194</v>
      </c>
      <c r="AO72" s="22">
        <f>AO11*Constants!$H69*(1-Constants!$H87)</f>
        <v>379752696.75201267</v>
      </c>
      <c r="AP72" s="22">
        <f>AP11*Constants!$H69*(1-Constants!$H87)</f>
        <v>380262027.02386248</v>
      </c>
      <c r="AQ72" s="22">
        <f>AQ11*Constants!$H69*(1-Constants!$H87)</f>
        <v>380998276.294236</v>
      </c>
      <c r="AR72" s="22">
        <f>AR11*Constants!$H69*(1-Constants!$H87)</f>
        <v>381682226.63586795</v>
      </c>
      <c r="AS72" s="22">
        <f>AS11*Constants!$H69*(1-Constants!$H87)</f>
        <v>382322346.27305335</v>
      </c>
      <c r="AT72" s="22">
        <f>AT11*Constants!$H69*(1-Constants!$H87)</f>
        <v>382915221.79503411</v>
      </c>
      <c r="AU72" s="22">
        <f>AU11*Constants!$H69*(1-Constants!$H87)</f>
        <v>383466195.05898297</v>
      </c>
      <c r="AV72" s="22">
        <f>AV11*Constants!$H69*(1-Constants!$H87)</f>
        <v>383983623.76815856</v>
      </c>
      <c r="AW72" s="22">
        <f>AW11*Constants!$H69*(1-Constants!$H87)</f>
        <v>384467020.38529062</v>
      </c>
      <c r="AX72" s="22">
        <f>AX11*Constants!$H69*(1-Constants!$H87)</f>
        <v>384924116.59958708</v>
      </c>
      <c r="AY72" s="22">
        <f>AY11*Constants!$H69*(1-Constants!$H87)</f>
        <v>385356018.88467097</v>
      </c>
      <c r="AZ72" s="22">
        <f>AZ11*Constants!$H69*(1-Constants!$H87)</f>
        <v>385756807.52182126</v>
      </c>
      <c r="BA72" s="22">
        <f>BA11*Constants!$H69*(1-Constants!$H87)</f>
        <v>386130148.83294874</v>
      </c>
      <c r="BB72" s="22">
        <f>BB11*Constants!$H69*(1-Constants!$H87)</f>
        <v>386481998.86662805</v>
      </c>
      <c r="BC72" s="22">
        <f>BC11*Constants!$H69*(1-Constants!$H87)</f>
        <v>378000202.26412612</v>
      </c>
      <c r="BD72" s="22">
        <f>BD11*Constants!$H69*(1-Constants!$H87)</f>
        <v>378347807.69510657</v>
      </c>
      <c r="BE72" s="22">
        <f>BE11*Constants!$H69*(1-Constants!$H87)</f>
        <v>378672034.09051102</v>
      </c>
      <c r="BF72" s="22">
        <f>BF11*Constants!$H69*(1-Constants!$H87)</f>
        <v>378974862.9554553</v>
      </c>
      <c r="BG72" s="22">
        <f>BG11*Constants!$H69*(1-Constants!$H87)</f>
        <v>379258703.04452556</v>
      </c>
      <c r="BH72" s="22">
        <f>BH11*Constants!$H69*(1-Constants!$H87)</f>
        <v>379516088.20957834</v>
      </c>
      <c r="BI72" s="22">
        <f>BI11*Constants!$H69*(1-Constants!$H87)</f>
        <v>379742032.47560602</v>
      </c>
      <c r="BJ72" s="22">
        <f>BJ11*Constants!$H69*(1-Constants!$H87)</f>
        <v>379935805.55038506</v>
      </c>
      <c r="BK72" s="22">
        <f>BK11*Constants!$H69*(1-Constants!$H87)</f>
        <v>380091733.47646683</v>
      </c>
      <c r="BL72" s="22">
        <f>BL11*Constants!$H69*(1-Constants!$H87)</f>
        <v>380203648.81731129</v>
      </c>
      <c r="BM72" s="22">
        <f>BM11*Constants!$H69*(1-Constants!$H87)</f>
        <v>380270856.06949997</v>
      </c>
      <c r="BN72" s="22">
        <f>BN11*Constants!$H69*(1-Constants!$H87)</f>
        <v>380294313.8791489</v>
      </c>
      <c r="BO72" s="22">
        <f>BO11*Constants!$H69*(1-Constants!$H87)</f>
        <v>380274708.39392114</v>
      </c>
      <c r="BP72" s="22">
        <f>BP11*Constants!$H69*(1-Constants!$H87)</f>
        <v>380206234.66002947</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41805614.249866866</v>
      </c>
      <c r="AM73" s="22">
        <f>AM12*Constants!$H70*(1-Constants!$H88)</f>
        <v>41833437.661881499</v>
      </c>
      <c r="AN73" s="22">
        <f>AN12*Constants!$H70*(1-Constants!$H88)</f>
        <v>42378321.858208209</v>
      </c>
      <c r="AO73" s="22">
        <f>AO12*Constants!$H70*(1-Constants!$H88)</f>
        <v>42391613.882906966</v>
      </c>
      <c r="AP73" s="22">
        <f>AP12*Constants!$H70*(1-Constants!$H88)</f>
        <v>42448470.180196755</v>
      </c>
      <c r="AQ73" s="22">
        <f>AQ12*Constants!$H70*(1-Constants!$H88)</f>
        <v>42530657.337939642</v>
      </c>
      <c r="AR73" s="22">
        <f>AR12*Constants!$H70*(1-Constants!$H88)</f>
        <v>42607006.391008988</v>
      </c>
      <c r="AS73" s="22">
        <f>AS12*Constants!$H70*(1-Constants!$H88)</f>
        <v>42678462.643276624</v>
      </c>
      <c r="AT73" s="22">
        <f>AT12*Constants!$H70*(1-Constants!$H88)</f>
        <v>42744645.057314493</v>
      </c>
      <c r="AU73" s="22">
        <f>AU12*Constants!$H70*(1-Constants!$H88)</f>
        <v>42806149.942111596</v>
      </c>
      <c r="AV73" s="22">
        <f>AV12*Constants!$H70*(1-Constants!$H88)</f>
        <v>42863910.264128819</v>
      </c>
      <c r="AW73" s="22">
        <f>AW12*Constants!$H70*(1-Constants!$H88)</f>
        <v>42917871.599811308</v>
      </c>
      <c r="AX73" s="22">
        <f>AX12*Constants!$H70*(1-Constants!$H88)</f>
        <v>42968897.033967599</v>
      </c>
      <c r="AY73" s="22">
        <f>AY12*Constants!$H70*(1-Constants!$H88)</f>
        <v>43017110.08172477</v>
      </c>
      <c r="AZ73" s="22">
        <f>AZ12*Constants!$H70*(1-Constants!$H88)</f>
        <v>43061849.927682541</v>
      </c>
      <c r="BA73" s="22">
        <f>BA12*Constants!$H70*(1-Constants!$H88)</f>
        <v>43103525.84162131</v>
      </c>
      <c r="BB73" s="22">
        <f>BB12*Constants!$H70*(1-Constants!$H88)</f>
        <v>43142802.694425754</v>
      </c>
      <c r="BC73" s="22">
        <f>BC12*Constants!$H70*(1-Constants!$H88)</f>
        <v>42195983.752304032</v>
      </c>
      <c r="BD73" s="22">
        <f>BD12*Constants!$H70*(1-Constants!$H88)</f>
        <v>42234786.78211727</v>
      </c>
      <c r="BE73" s="22">
        <f>BE12*Constants!$H70*(1-Constants!$H88)</f>
        <v>42270980.021249436</v>
      </c>
      <c r="BF73" s="22">
        <f>BF12*Constants!$H70*(1-Constants!$H88)</f>
        <v>42304784.664179206</v>
      </c>
      <c r="BG73" s="22">
        <f>BG12*Constants!$H70*(1-Constants!$H88)</f>
        <v>42336469.599041469</v>
      </c>
      <c r="BH73" s="22">
        <f>BH12*Constants!$H70*(1-Constants!$H88)</f>
        <v>42365201.383251093</v>
      </c>
      <c r="BI73" s="22">
        <f>BI12*Constants!$H70*(1-Constants!$H88)</f>
        <v>42390423.434776805</v>
      </c>
      <c r="BJ73" s="22">
        <f>BJ12*Constants!$H70*(1-Constants!$H88)</f>
        <v>42412054.231443137</v>
      </c>
      <c r="BK73" s="22">
        <f>BK12*Constants!$H70*(1-Constants!$H88)</f>
        <v>42429460.392064407</v>
      </c>
      <c r="BL73" s="22">
        <f>BL12*Constants!$H70*(1-Constants!$H88)</f>
        <v>42441953.448617324</v>
      </c>
      <c r="BM73" s="22">
        <f>BM12*Constants!$H70*(1-Constants!$H88)</f>
        <v>42449455.76238437</v>
      </c>
      <c r="BN73" s="22">
        <f>BN12*Constants!$H70*(1-Constants!$H88)</f>
        <v>42452074.346577927</v>
      </c>
      <c r="BO73" s="22">
        <f>BO12*Constants!$H70*(1-Constants!$H88)</f>
        <v>42449885.795537032</v>
      </c>
      <c r="BP73" s="22">
        <f>BP12*Constants!$H70*(1-Constants!$H88)</f>
        <v>42442242.105016634</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45631309.487661719</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46905723.935145371</v>
      </c>
      <c r="AK74" s="22">
        <f>AK13*Constants!$H71*(1-Constants!$H89)</f>
        <v>47214326.947409034</v>
      </c>
      <c r="AL74" s="22">
        <f>AL13*Constants!$H71*(1-Constants!$H89)</f>
        <v>47099194.719204389</v>
      </c>
      <c r="AM74" s="22">
        <f>AM13*Constants!$H71*(1-Constants!$H89)</f>
        <v>47176273.798004419</v>
      </c>
      <c r="AN74" s="22">
        <f>AN13*Constants!$H71*(1-Constants!$H89)</f>
        <v>48132785.035659887</v>
      </c>
      <c r="AO74" s="22">
        <f>AO13*Constants!$H71*(1-Constants!$H89)</f>
        <v>48175999.058193728</v>
      </c>
      <c r="AP74" s="22">
        <f>AP13*Constants!$H71*(1-Constants!$H89)</f>
        <v>48290408.776758701</v>
      </c>
      <c r="AQ74" s="22">
        <f>AQ13*Constants!$H71*(1-Constants!$H89)</f>
        <v>48444819.491385341</v>
      </c>
      <c r="AR74" s="22">
        <f>AR13*Constants!$H71*(1-Constants!$H89)</f>
        <v>48586435.655381396</v>
      </c>
      <c r="AS74" s="22">
        <f>AS13*Constants!$H71*(1-Constants!$H89)</f>
        <v>48717129.18719513</v>
      </c>
      <c r="AT74" s="22">
        <f>AT13*Constants!$H71*(1-Constants!$H89)</f>
        <v>48836499.213551097</v>
      </c>
      <c r="AU74" s="22">
        <f>AU13*Constants!$H71*(1-Constants!$H89)</f>
        <v>48945771.520756193</v>
      </c>
      <c r="AV74" s="22">
        <f>AV13*Constants!$H71*(1-Constants!$H89)</f>
        <v>49046709.139459051</v>
      </c>
      <c r="AW74" s="22">
        <f>AW13*Constants!$H71*(1-Constants!$H89)</f>
        <v>49139393.394916423</v>
      </c>
      <c r="AX74" s="22">
        <f>AX13*Constants!$H71*(1-Constants!$H89)</f>
        <v>49225424.65967723</v>
      </c>
      <c r="AY74" s="22">
        <f>AY13*Constants!$H71*(1-Constants!$H89)</f>
        <v>49305146.644837715</v>
      </c>
      <c r="AZ74" s="22">
        <f>AZ13*Constants!$H71*(1-Constants!$H89)</f>
        <v>49377585.980446286</v>
      </c>
      <c r="BA74" s="22">
        <f>BA13*Constants!$H71*(1-Constants!$H89)</f>
        <v>49443544.905494303</v>
      </c>
      <c r="BB74" s="22">
        <f>BB13*Constants!$H71*(1-Constants!$H89)</f>
        <v>49504235.307992212</v>
      </c>
      <c r="BC74" s="22">
        <f>BC13*Constants!$H71*(1-Constants!$H89)</f>
        <v>47932703.387517169</v>
      </c>
      <c r="BD74" s="22">
        <f>BD13*Constants!$H71*(1-Constants!$H89)</f>
        <v>47993277.637457103</v>
      </c>
      <c r="BE74" s="22">
        <f>BE13*Constants!$H71*(1-Constants!$H89)</f>
        <v>48048429.668683305</v>
      </c>
      <c r="BF74" s="22">
        <f>BF13*Constants!$H71*(1-Constants!$H89)</f>
        <v>48098605.838060521</v>
      </c>
      <c r="BG74" s="22">
        <f>BG13*Constants!$H71*(1-Constants!$H89)</f>
        <v>48144323.058550701</v>
      </c>
      <c r="BH74" s="22">
        <f>BH13*Constants!$H71*(1-Constants!$H89)</f>
        <v>48184283.507901832</v>
      </c>
      <c r="BI74" s="22">
        <f>BI13*Constants!$H71*(1-Constants!$H89)</f>
        <v>48217647.643796369</v>
      </c>
      <c r="BJ74" s="22">
        <f>BJ13*Constants!$H71*(1-Constants!$H89)</f>
        <v>48244354.174405225</v>
      </c>
      <c r="BK74" s="22">
        <f>BK13*Constants!$H71*(1-Constants!$H89)</f>
        <v>48263438.850958817</v>
      </c>
      <c r="BL74" s="22">
        <f>BL13*Constants!$H71*(1-Constants!$H89)</f>
        <v>48273851.04984466</v>
      </c>
      <c r="BM74" s="22">
        <f>BM13*Constants!$H71*(1-Constants!$H89)</f>
        <v>48275537.04340639</v>
      </c>
      <c r="BN74" s="22">
        <f>BN13*Constants!$H71*(1-Constants!$H89)</f>
        <v>48268740.337406382</v>
      </c>
      <c r="BO74" s="22">
        <f>BO13*Constants!$H71*(1-Constants!$H89)</f>
        <v>48253651.006320097</v>
      </c>
      <c r="BP74" s="22">
        <f>BP13*Constants!$H71*(1-Constants!$H89)</f>
        <v>48229283.301115207</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75518890.310465023</v>
      </c>
      <c r="AE75" s="22">
        <f>AE14*Constants!$H72*(1-Constants!$H90)</f>
        <v>75715202.97270821</v>
      </c>
      <c r="AF75" s="22">
        <f>AF14*Constants!$H72*(1-Constants!$H90)</f>
        <v>75986009.352827772</v>
      </c>
      <c r="AG75" s="22">
        <f>AG14*Constants!$H72*(1-Constants!$H90)</f>
        <v>76315923.044017896</v>
      </c>
      <c r="AH75" s="22">
        <f>AH14*Constants!$H72*(1-Constants!$H90)</f>
        <v>76704473.501995638</v>
      </c>
      <c r="AI75" s="22">
        <f>AI14*Constants!$H72*(1-Constants!$H90)</f>
        <v>77149295.804882318</v>
      </c>
      <c r="AJ75" s="22">
        <f>AJ14*Constants!$H72*(1-Constants!$H90)</f>
        <v>77628020.334349439</v>
      </c>
      <c r="AK75" s="22">
        <f>AK14*Constants!$H72*(1-Constants!$H90)</f>
        <v>78138752.051108971</v>
      </c>
      <c r="AL75" s="22">
        <f>AL14*Constants!$H72*(1-Constants!$H90)</f>
        <v>77948210.552067891</v>
      </c>
      <c r="AM75" s="22">
        <f>AM14*Constants!$H72*(1-Constants!$H90)</f>
        <v>78075774.861803651</v>
      </c>
      <c r="AN75" s="22">
        <f>AN14*Constants!$H72*(1-Constants!$H90)</f>
        <v>79658781.530870691</v>
      </c>
      <c r="AO75" s="22">
        <f>AO14*Constants!$H72*(1-Constants!$H90)</f>
        <v>79730299.860374004</v>
      </c>
      <c r="AP75" s="22">
        <f>AP14*Constants!$H72*(1-Constants!$H90)</f>
        <v>79919645.620637491</v>
      </c>
      <c r="AQ75" s="22">
        <f>AQ14*Constants!$H72*(1-Constants!$H90)</f>
        <v>80175192.216857836</v>
      </c>
      <c r="AR75" s="22">
        <f>AR14*Constants!$H72*(1-Constants!$H90)</f>
        <v>80409564.091675475</v>
      </c>
      <c r="AS75" s="22">
        <f>AS14*Constants!$H72*(1-Constants!$H90)</f>
        <v>80625859.232098684</v>
      </c>
      <c r="AT75" s="22">
        <f>AT14*Constants!$H72*(1-Constants!$H90)</f>
        <v>80823414.200999394</v>
      </c>
      <c r="AU75" s="22">
        <f>AU14*Constants!$H72*(1-Constants!$H90)</f>
        <v>81004257.649816588</v>
      </c>
      <c r="AV75" s="22">
        <f>AV14*Constants!$H72*(1-Constants!$H90)</f>
        <v>81171307.358461961</v>
      </c>
      <c r="AW75" s="22">
        <f>AW14*Constants!$H72*(1-Constants!$H90)</f>
        <v>81324697.918583497</v>
      </c>
      <c r="AX75" s="22">
        <f>AX14*Constants!$H72*(1-Constants!$H90)</f>
        <v>81467077.914241955</v>
      </c>
      <c r="AY75" s="22">
        <f>AY14*Constants!$H72*(1-Constants!$H90)</f>
        <v>81599016.180319846</v>
      </c>
      <c r="AZ75" s="22">
        <f>AZ14*Constants!$H72*(1-Constants!$H90)</f>
        <v>81718901.809319079</v>
      </c>
      <c r="BA75" s="22">
        <f>BA14*Constants!$H72*(1-Constants!$H90)</f>
        <v>81828062.490474746</v>
      </c>
      <c r="BB75" s="22">
        <f>BB14*Constants!$H72*(1-Constants!$H90)</f>
        <v>81928503.873827472</v>
      </c>
      <c r="BC75" s="22">
        <f>BC14*Constants!$H72*(1-Constants!$H90)</f>
        <v>79327650.467377678</v>
      </c>
      <c r="BD75" s="22">
        <f>BD14*Constants!$H72*(1-Constants!$H90)</f>
        <v>79427899.620606348</v>
      </c>
      <c r="BE75" s="22">
        <f>BE14*Constants!$H72*(1-Constants!$H90)</f>
        <v>79519175.112003267</v>
      </c>
      <c r="BF75" s="22">
        <f>BF14*Constants!$H72*(1-Constants!$H90)</f>
        <v>79602215.653112903</v>
      </c>
      <c r="BG75" s="22">
        <f>BG14*Constants!$H72*(1-Constants!$H90)</f>
        <v>79677876.724387452</v>
      </c>
      <c r="BH75" s="22">
        <f>BH14*Constants!$H72*(1-Constants!$H90)</f>
        <v>79744010.456362009</v>
      </c>
      <c r="BI75" s="22">
        <f>BI14*Constants!$H72*(1-Constants!$H90)</f>
        <v>79799227.423554316</v>
      </c>
      <c r="BJ75" s="22">
        <f>BJ14*Constants!$H72*(1-Constants!$H90)</f>
        <v>79843426.189232275</v>
      </c>
      <c r="BK75" s="22">
        <f>BK14*Constants!$H72*(1-Constants!$H90)</f>
        <v>79875010.941268638</v>
      </c>
      <c r="BL75" s="22">
        <f>BL14*Constants!$H72*(1-Constants!$H90)</f>
        <v>79892242.918925613</v>
      </c>
      <c r="BM75" s="22">
        <f>BM14*Constants!$H72*(1-Constants!$H90)</f>
        <v>79895033.204023317</v>
      </c>
      <c r="BN75" s="22">
        <f>BN14*Constants!$H72*(1-Constants!$H90)</f>
        <v>79883784.793652266</v>
      </c>
      <c r="BO75" s="22">
        <f>BO14*Constants!$H72*(1-Constants!$H90)</f>
        <v>79858812.257208362</v>
      </c>
      <c r="BP75" s="22">
        <f>BP14*Constants!$H72*(1-Constants!$H90)</f>
        <v>79818484.200066283</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12184919.359057402</v>
      </c>
      <c r="AE76" s="22">
        <f>AE15*Constants!$H73*(1-Constants!$H91)</f>
        <v>12243954.503070906</v>
      </c>
      <c r="AF76" s="22">
        <f>AF15*Constants!$H73*(1-Constants!$H91)</f>
        <v>12333541.940265566</v>
      </c>
      <c r="AG76" s="22">
        <f>AG15*Constants!$H73*(1-Constants!$H91)</f>
        <v>12352693.798490604</v>
      </c>
      <c r="AH76" s="22">
        <f>AH15*Constants!$H73*(1-Constants!$H91)</f>
        <v>12325276.158381391</v>
      </c>
      <c r="AI76" s="22">
        <f>AI15*Constants!$H73*(1-Constants!$H91)</f>
        <v>12252292.423443841</v>
      </c>
      <c r="AJ76" s="22">
        <f>AJ15*Constants!$H73*(1-Constants!$H91)</f>
        <v>12211826.078492032</v>
      </c>
      <c r="AK76" s="22">
        <f>AK15*Constants!$H73*(1-Constants!$H91)</f>
        <v>12175458.752937717</v>
      </c>
      <c r="AL76" s="22">
        <f>AL15*Constants!$H73*(1-Constants!$H91)</f>
        <v>11633447.299731342</v>
      </c>
      <c r="AM76" s="22">
        <f>AM15*Constants!$H73*(1-Constants!$H91)</f>
        <v>11923408.407715579</v>
      </c>
      <c r="AN76" s="22">
        <f>AN15*Constants!$H73*(1-Constants!$H91)</f>
        <v>25594419.367799696</v>
      </c>
      <c r="AO76" s="22">
        <f>AO15*Constants!$H73*(1-Constants!$H91)</f>
        <v>25922211.26753461</v>
      </c>
      <c r="AP76" s="22">
        <f>AP15*Constants!$H73*(1-Constants!$H91)</f>
        <v>26186206.345693503</v>
      </c>
      <c r="AQ76" s="22">
        <f>AQ15*Constants!$H73*(1-Constants!$H91)</f>
        <v>26398668.278948855</v>
      </c>
      <c r="AR76" s="22">
        <f>AR15*Constants!$H73*(1-Constants!$H91)</f>
        <v>26583222.770844739</v>
      </c>
      <c r="AS76" s="22">
        <f>AS15*Constants!$H73*(1-Constants!$H91)</f>
        <v>26737773.41202613</v>
      </c>
      <c r="AT76" s="22">
        <f>AT15*Constants!$H73*(1-Constants!$H91)</f>
        <v>26861453.39975851</v>
      </c>
      <c r="AU76" s="22">
        <f>AU15*Constants!$H73*(1-Constants!$H91)</f>
        <v>26952755.71997197</v>
      </c>
      <c r="AV76" s="22">
        <f>AV15*Constants!$H73*(1-Constants!$H91)</f>
        <v>27010066.179551128</v>
      </c>
      <c r="AW76" s="22">
        <f>AW15*Constants!$H73*(1-Constants!$H91)</f>
        <v>27032758.643689364</v>
      </c>
      <c r="AX76" s="22">
        <f>AX15*Constants!$H73*(1-Constants!$H91)</f>
        <v>27019648.005395524</v>
      </c>
      <c r="AY76" s="22">
        <f>AY15*Constants!$H73*(1-Constants!$H91)</f>
        <v>26970351.263049006</v>
      </c>
      <c r="AZ76" s="22">
        <f>AZ15*Constants!$H73*(1-Constants!$H91)</f>
        <v>26885314.017572064</v>
      </c>
      <c r="BA76" s="22">
        <f>BA15*Constants!$H73*(1-Constants!$H91)</f>
        <v>26764313.647715919</v>
      </c>
      <c r="BB76" s="22">
        <f>BB15*Constants!$H73*(1-Constants!$H91)</f>
        <v>26607134.013112769</v>
      </c>
      <c r="BC76" s="22">
        <f>BC15*Constants!$H73*(1-Constants!$H91)</f>
        <v>3917315.278554643</v>
      </c>
      <c r="BD76" s="22">
        <f>BD15*Constants!$H73*(1-Constants!$H91)</f>
        <v>3917315.278554643</v>
      </c>
      <c r="BE76" s="22">
        <f>BE15*Constants!$H73*(1-Constants!$H91)</f>
        <v>3917315.278554643</v>
      </c>
      <c r="BF76" s="22">
        <f>BF15*Constants!$H73*(1-Constants!$H91)</f>
        <v>3917315.278554643</v>
      </c>
      <c r="BG76" s="22">
        <f>BG15*Constants!$H73*(1-Constants!$H91)</f>
        <v>3917315.278554643</v>
      </c>
      <c r="BH76" s="22">
        <f>BH15*Constants!$H73*(1-Constants!$H91)</f>
        <v>3917315.278554643</v>
      </c>
      <c r="BI76" s="22">
        <f>BI15*Constants!$H73*(1-Constants!$H91)</f>
        <v>3917315.278554643</v>
      </c>
      <c r="BJ76" s="22">
        <f>BJ15*Constants!$H73*(1-Constants!$H91)</f>
        <v>3917315.278554643</v>
      </c>
      <c r="BK76" s="22">
        <f>BK15*Constants!$H73*(1-Constants!$H91)</f>
        <v>3917315.278554643</v>
      </c>
      <c r="BL76" s="22">
        <f>BL15*Constants!$H73*(1-Constants!$H91)</f>
        <v>3917315.278554643</v>
      </c>
      <c r="BM76" s="22">
        <f>BM15*Constants!$H73*(1-Constants!$H91)</f>
        <v>3917315.278554643</v>
      </c>
      <c r="BN76" s="22">
        <f>BN15*Constants!$H73*(1-Constants!$H91)</f>
        <v>3917315.278554643</v>
      </c>
      <c r="BO76" s="22">
        <f>BO15*Constants!$H73*(1-Constants!$H91)</f>
        <v>3917315.278554643</v>
      </c>
      <c r="BP76" s="22">
        <f>BP15*Constants!$H73*(1-Constants!$H91)</f>
        <v>3917315.278554643</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101177601.00264658</v>
      </c>
      <c r="AN82" s="22">
        <f>((AN41*Constants!$H$45*Constants!$H$48)*(1+Constants!$H$51))*Constants!$H$54*Constants!$H$42*Constants!$H$57*Constants!$H$58*ttokg</f>
        <v>101954545.08502252</v>
      </c>
      <c r="AO82" s="22">
        <f>((AO41*Constants!$H$45*Constants!$H$48)*(1+Constants!$H$51))*Constants!$H$54*Constants!$H$42*Constants!$H$57*Constants!$H$58*ttokg</f>
        <v>120600586.7774706</v>
      </c>
      <c r="AP82" s="22">
        <f>((AP41*Constants!$H$45*Constants!$H$48)*(1+Constants!$H$51))*Constants!$H$54*Constants!$H$42*Constants!$H$57*Constants!$H$58*ttokg</f>
        <v>121066404.65377975</v>
      </c>
      <c r="AQ82" s="22">
        <f>((AQ41*Constants!$H$45*Constants!$H$48)*(1+Constants!$H$51))*Constants!$H$54*Constants!$H$42*Constants!$H$57*Constants!$H$58*ttokg</f>
        <v>121497592.50306821</v>
      </c>
      <c r="AR82" s="22">
        <f>((AR41*Constants!$H$45*Constants!$H$48)*(1+Constants!$H$51))*Constants!$H$54*Constants!$H$42*Constants!$H$57*Constants!$H$58*ttokg</f>
        <v>121894196.82720508</v>
      </c>
      <c r="AS82" s="22">
        <f>((AS41*Constants!$H$45*Constants!$H$48)*(1+Constants!$H$51))*Constants!$H$54*Constants!$H$42*Constants!$H$57*Constants!$H$58*ttokg</f>
        <v>122256518.63988006</v>
      </c>
      <c r="AT82" s="22">
        <f>((AT41*Constants!$H$45*Constants!$H$48)*(1+Constants!$H$51))*Constants!$H$54*Constants!$H$42*Constants!$H$57*Constants!$H$58*ttokg</f>
        <v>122584243.3663837</v>
      </c>
      <c r="AU82" s="22">
        <f>((AU41*Constants!$H$45*Constants!$H$48)*(1+Constants!$H$51))*Constants!$H$54*Constants!$H$42*Constants!$H$57*Constants!$H$58*ttokg</f>
        <v>122877107.93424518</v>
      </c>
      <c r="AV82" s="22">
        <f>((AV41*Constants!$H$45*Constants!$H$48)*(1+Constants!$H$51))*Constants!$H$54*Constants!$H$42*Constants!$H$57*Constants!$H$58*ttokg</f>
        <v>123134854.62246802</v>
      </c>
      <c r="AW82" s="22">
        <f>((AW41*Constants!$H$45*Constants!$H$48)*(1+Constants!$H$51))*Constants!$H$54*Constants!$H$42*Constants!$H$57*Constants!$H$58*ttokg</f>
        <v>123357242.25504845</v>
      </c>
      <c r="AX82" s="22">
        <f>((AX41*Constants!$H$45*Constants!$H$48)*(1+Constants!$H$51))*Constants!$H$54*Constants!$H$42*Constants!$H$57*Constants!$H$58*ttokg</f>
        <v>123544069.64204797</v>
      </c>
      <c r="AY82" s="22">
        <f>((AY41*Constants!$H$45*Constants!$H$48)*(1+Constants!$H$51))*Constants!$H$54*Constants!$H$42*Constants!$H$57*Constants!$H$58*ttokg</f>
        <v>123695138.58929163</v>
      </c>
      <c r="AZ82" s="22">
        <f>((AZ41*Constants!$H$45*Constants!$H$48)*(1+Constants!$H$51))*Constants!$H$54*Constants!$H$42*Constants!$H$57*Constants!$H$58*ttokg</f>
        <v>123810283.94026461</v>
      </c>
      <c r="BA82" s="22">
        <f>((BA41*Constants!$H$45*Constants!$H$48)*(1+Constants!$H$51))*Constants!$H$54*Constants!$H$42*Constants!$H$57*Constants!$H$58*ttokg</f>
        <v>123889373.49657123</v>
      </c>
      <c r="BB82" s="22">
        <f>((BB41*Constants!$H$45*Constants!$H$48)*(1+Constants!$H$51))*Constants!$H$54*Constants!$H$42*Constants!$H$57*Constants!$H$58*ttokg</f>
        <v>123932272.98789652</v>
      </c>
      <c r="BC82" s="22">
        <f>((BC41*Constants!$H$45*Constants!$H$48)*(1+Constants!$H$51))*Constants!$H$54*Constants!$H$42*Constants!$H$57*Constants!$H$58*ttokg</f>
        <v>123938860.72360986</v>
      </c>
      <c r="BD82" s="22">
        <f>((BD41*Constants!$H$45*Constants!$H$48)*(1+Constants!$H$51))*Constants!$H$54*Constants!$H$42*Constants!$H$57*Constants!$H$58*ttokg</f>
        <v>68821077.45650892</v>
      </c>
      <c r="BE82" s="22">
        <f>((BE41*Constants!$H$45*Constants!$H$48)*(1+Constants!$H$51))*Constants!$H$54*Constants!$H$42*Constants!$H$57*Constants!$H$58*ttokg</f>
        <v>68774353.954423904</v>
      </c>
      <c r="BF82" s="22">
        <f>((BF41*Constants!$H$45*Constants!$H$48)*(1+Constants!$H$51))*Constants!$H$54*Constants!$H$42*Constants!$H$57*Constants!$H$58*ttokg</f>
        <v>68728694.678658828</v>
      </c>
      <c r="BG82" s="22">
        <f>((BG41*Constants!$H$45*Constants!$H$48)*(1+Constants!$H$51))*Constants!$H$54*Constants!$H$42*Constants!$H$57*Constants!$H$58*ttokg</f>
        <v>68684037.318975851</v>
      </c>
      <c r="BH82" s="22">
        <f>((BH41*Constants!$H$45*Constants!$H$48)*(1+Constants!$H$51))*Constants!$H$54*Constants!$H$42*Constants!$H$57*Constants!$H$58*ttokg</f>
        <v>68640308.306803182</v>
      </c>
      <c r="BI82" s="22">
        <f>((BI41*Constants!$H$45*Constants!$H$48)*(1+Constants!$H$51))*Constants!$H$54*Constants!$H$42*Constants!$H$57*Constants!$H$58*ttokg</f>
        <v>68597693.609032318</v>
      </c>
      <c r="BJ82" s="22">
        <f>((BJ41*Constants!$H$45*Constants!$H$48)*(1+Constants!$H$51))*Constants!$H$54*Constants!$H$42*Constants!$H$57*Constants!$H$58*ttokg</f>
        <v>68556318.785240963</v>
      </c>
      <c r="BK82" s="22">
        <f>((BK41*Constants!$H$45*Constants!$H$48)*(1+Constants!$H$51))*Constants!$H$54*Constants!$H$42*Constants!$H$57*Constants!$H$58*ttokg</f>
        <v>68516199.75218004</v>
      </c>
      <c r="BL82" s="22">
        <f>((BL41*Constants!$H$45*Constants!$H$48)*(1+Constants!$H$51))*Constants!$H$54*Constants!$H$42*Constants!$H$57*Constants!$H$58*ttokg</f>
        <v>68477485.665873036</v>
      </c>
      <c r="BM82" s="22">
        <f>((BM41*Constants!$H$45*Constants!$H$48)*(1+Constants!$H$51))*Constants!$H$54*Constants!$H$42*Constants!$H$57*Constants!$H$58*ttokg</f>
        <v>68440342.572551951</v>
      </c>
      <c r="BN82" s="22">
        <f>((BN41*Constants!$H$45*Constants!$H$48)*(1+Constants!$H$51))*Constants!$H$54*Constants!$H$42*Constants!$H$57*Constants!$H$58*ttokg</f>
        <v>68404792.403967649</v>
      </c>
      <c r="BO82" s="22">
        <f>((BO41*Constants!$H$45*Constants!$H$48)*(1+Constants!$H$51))*Constants!$H$54*Constants!$H$42*Constants!$H$57*Constants!$H$58*ttokg</f>
        <v>68370812.822882891</v>
      </c>
      <c r="BP82" s="22">
        <f>((BP41*Constants!$H$45*Constants!$H$48)*(1+Constants!$H$51))*Constants!$H$54*Constants!$H$42*Constants!$H$57*Constants!$H$58*ttokg</f>
        <v>68338388.639400855</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189068677.61941099</v>
      </c>
      <c r="AN85" s="22">
        <f>SUM(AN82:AN84)/Constants!$H$41</f>
        <v>190363584.4233709</v>
      </c>
      <c r="AO85" s="22">
        <f>SUM(AO82:AO84)/Constants!$H$41</f>
        <v>221440320.57745102</v>
      </c>
      <c r="AP85" s="22">
        <f>SUM(AP82:AP84)/Constants!$H$41</f>
        <v>222216683.70463291</v>
      </c>
      <c r="AQ85" s="22">
        <f>SUM(AQ82:AQ84)/Constants!$H$41</f>
        <v>222935330.12011367</v>
      </c>
      <c r="AR85" s="22">
        <f>SUM(AR82:AR84)/Constants!$H$41</f>
        <v>223596337.32700849</v>
      </c>
      <c r="AS85" s="22">
        <f>SUM(AS82:AS84)/Constants!$H$41</f>
        <v>224200207.01480013</v>
      </c>
      <c r="AT85" s="22">
        <f>SUM(AT82:AT84)/Constants!$H$41</f>
        <v>224746414.89230618</v>
      </c>
      <c r="AU85" s="22">
        <f>SUM(AU82:AU84)/Constants!$H$41</f>
        <v>225234522.50540867</v>
      </c>
      <c r="AV85" s="22">
        <f>SUM(AV82:AV84)/Constants!$H$41</f>
        <v>225664100.3191134</v>
      </c>
      <c r="AW85" s="22">
        <f>SUM(AW82:AW84)/Constants!$H$41</f>
        <v>226034746.3734141</v>
      </c>
      <c r="AX85" s="22">
        <f>SUM(AX82:AX84)/Constants!$H$41</f>
        <v>226346125.35174665</v>
      </c>
      <c r="AY85" s="22">
        <f>SUM(AY82:AY84)/Constants!$H$41</f>
        <v>226597906.93048608</v>
      </c>
      <c r="AZ85" s="22">
        <f>SUM(AZ82:AZ84)/Constants!$H$41</f>
        <v>226789815.84877437</v>
      </c>
      <c r="BA85" s="22">
        <f>SUM(BA82:BA84)/Constants!$H$41</f>
        <v>226921631.7759521</v>
      </c>
      <c r="BB85" s="22">
        <f>SUM(BB82:BB84)/Constants!$H$41</f>
        <v>226993130.92816091</v>
      </c>
      <c r="BC85" s="22">
        <f>SUM(BC82:BC84)/Constants!$H$41</f>
        <v>227004110.48768312</v>
      </c>
      <c r="BD85" s="22">
        <f>SUM(BD82:BD84)/Constants!$H$41</f>
        <v>135141138.3758482</v>
      </c>
      <c r="BE85" s="22">
        <f>SUM(BE82:BE84)/Constants!$H$41</f>
        <v>135063265.87237316</v>
      </c>
      <c r="BF85" s="22">
        <f>SUM(BF82:BF84)/Constants!$H$41</f>
        <v>134987167.07943138</v>
      </c>
      <c r="BG85" s="22">
        <f>SUM(BG82:BG84)/Constants!$H$41</f>
        <v>134912738.14662644</v>
      </c>
      <c r="BH85" s="22">
        <f>SUM(BH82:BH84)/Constants!$H$41</f>
        <v>134839856.45967197</v>
      </c>
      <c r="BI85" s="22">
        <f>SUM(BI82:BI84)/Constants!$H$41</f>
        <v>134768831.96338722</v>
      </c>
      <c r="BJ85" s="22">
        <f>SUM(BJ82:BJ84)/Constants!$H$41</f>
        <v>134699873.92373496</v>
      </c>
      <c r="BK85" s="22">
        <f>SUM(BK82:BK84)/Constants!$H$41</f>
        <v>134633008.86863339</v>
      </c>
      <c r="BL85" s="22">
        <f>SUM(BL82:BL84)/Constants!$H$41</f>
        <v>134568485.39145508</v>
      </c>
      <c r="BM85" s="22">
        <f>SUM(BM82:BM84)/Constants!$H$41</f>
        <v>134506580.23591992</v>
      </c>
      <c r="BN85" s="22">
        <f>SUM(BN82:BN84)/Constants!$H$41</f>
        <v>134447329.95494607</v>
      </c>
      <c r="BO85" s="22">
        <f>SUM(BO82:BO84)/Constants!$H$41</f>
        <v>134390697.31980482</v>
      </c>
      <c r="BP85" s="22">
        <f>SUM(BP82:BP84)/Constants!$H$41</f>
        <v>134336657.01400143</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5546875" defaultRowHeight="15" x14ac:dyDescent="0.25"/>
  <cols>
    <col min="1" max="1" width="29.42578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53.055510064255728</v>
      </c>
      <c r="D4" s="22">
        <f>(Drivers!E5*1000000)/Drivers!E4</f>
        <v>53.316539004606724</v>
      </c>
      <c r="E4" s="22">
        <f>(Drivers!F5*1000000)/Drivers!F4</f>
        <v>53.561819221405095</v>
      </c>
      <c r="F4" s="22">
        <f>(Drivers!G5*1000000)/Drivers!G4</f>
        <v>53.830799268378051</v>
      </c>
      <c r="G4" s="22">
        <f>(Drivers!H5*1000000)/Drivers!H4</f>
        <v>54.174113436679775</v>
      </c>
      <c r="H4" s="22">
        <f>(Drivers!I5*1000000)/Drivers!I4</f>
        <v>54.625466046252036</v>
      </c>
      <c r="I4" s="22">
        <f>(Drivers!J5*1000000)/Drivers!J4</f>
        <v>55.834657711728646</v>
      </c>
      <c r="J4" s="22">
        <f>(Drivers!K5*1000000)/Drivers!K4</f>
        <v>56.291617519292565</v>
      </c>
      <c r="K4" s="22">
        <f>(Drivers!L5*1000000)/Drivers!L4</f>
        <v>55.78403106264804</v>
      </c>
      <c r="L4" s="22">
        <f>(Drivers!M5*1000000)/Drivers!M4</f>
        <v>56.442211182769086</v>
      </c>
      <c r="M4" s="22">
        <f>(Drivers!N5*1000000)/Drivers!N4</f>
        <v>58.101210883911371</v>
      </c>
      <c r="N4" s="22">
        <f>(Drivers!O5*1000000)/Drivers!O4</f>
        <v>58.994311981554404</v>
      </c>
      <c r="O4" s="22">
        <f>(Drivers!P5*1000000)/Drivers!P4</f>
        <v>60.467237153685474</v>
      </c>
      <c r="P4" s="22">
        <f>(Drivers!Q5*1000000)/Drivers!Q4</f>
        <v>61.512608972488358</v>
      </c>
      <c r="Q4" s="22">
        <f>(Drivers!R5*1000000)/Drivers!R4</f>
        <v>63.501216640406959</v>
      </c>
      <c r="R4" s="22">
        <f>(Drivers!S5*1000000)/Drivers!S4</f>
        <v>66.052032205946048</v>
      </c>
      <c r="S4" s="22">
        <f>(Drivers!T5*1000000)/Drivers!T4</f>
        <v>68.826966536313918</v>
      </c>
      <c r="T4" s="22">
        <f>(Drivers!U5*1000000)/Drivers!U4</f>
        <v>71.738914034854218</v>
      </c>
      <c r="U4" s="22">
        <f>(Drivers!V5*1000000)/Drivers!V4</f>
        <v>73.45116431369587</v>
      </c>
      <c r="V4" s="22">
        <f>(Drivers!W5*1000000)/Drivers!W4</f>
        <v>71.463862138314738</v>
      </c>
      <c r="W4" s="22">
        <f>(Drivers!X5*1000000)/Drivers!X4</f>
        <v>72.600473223053768</v>
      </c>
      <c r="X4" s="22">
        <f>(Drivers!Y5*1000000)/Drivers!Y4</f>
        <v>73.955054425464226</v>
      </c>
      <c r="Y4" s="22">
        <f>(Drivers!Z5*1000000)/Drivers!Z4</f>
        <v>75.293491074918535</v>
      </c>
      <c r="Z4" s="22">
        <f>(Drivers!AA5*1000000)/Drivers!AA4</f>
        <v>75.831127135572402</v>
      </c>
      <c r="AA4" s="22">
        <f>(Drivers!AB5*1000000)/Drivers!AB4</f>
        <v>76.647004484942386</v>
      </c>
      <c r="AB4" s="22">
        <f>(Drivers!AC5*1000000)/Drivers!AC4</f>
        <v>76.821421432378884</v>
      </c>
      <c r="AC4" s="22">
        <f>(Drivers!AD5*1000000)/Drivers!AD4</f>
        <v>76.571727588702132</v>
      </c>
      <c r="AD4" s="22">
        <f>(Drivers!AE5*1000000)/Drivers!AE4</f>
        <v>75.907061000700693</v>
      </c>
      <c r="AE4" s="22">
        <f>(Drivers!AF5*1000000)/Drivers!AF4</f>
        <v>75.538531938012639</v>
      </c>
      <c r="AF4" s="22">
        <f>(Drivers!AG5*1000000)/Drivers!AG4</f>
        <v>75.207332853564452</v>
      </c>
      <c r="AG4" s="22">
        <f>(Drivers!AH5*1000000)/Drivers!AH4</f>
        <v>70.271206967863336</v>
      </c>
      <c r="AH4" s="22">
        <f>(Drivers!AI5*1000000)/Drivers!AI4</f>
        <v>72.911897533534102</v>
      </c>
      <c r="AI4" s="22">
        <f>(Drivers!AJ5*1000000)/Drivers!AJ4</f>
        <v>197.41449002410388</v>
      </c>
      <c r="AJ4" s="22">
        <f>(Drivers!AK5*1000000)/Drivers!AK4</f>
        <v>200.3997075353445</v>
      </c>
      <c r="AK4" s="22">
        <f>(Drivers!AL5*1000000)/Drivers!AL4</f>
        <v>202.8039241460618</v>
      </c>
      <c r="AL4" s="22">
        <f>(Drivers!AM5*1000000)/Drivers!AM4</f>
        <v>204.7388257837741</v>
      </c>
      <c r="AM4" s="22">
        <f>(Drivers!AN5*1000000)/Drivers!AN4</f>
        <v>206.41957293289911</v>
      </c>
      <c r="AN4" s="22">
        <f>(Drivers!AO5*1000000)/Drivers!AO4</f>
        <v>207.82707348676047</v>
      </c>
      <c r="AO4" s="22">
        <f>(Drivers!AP5*1000000)/Drivers!AP4</f>
        <v>208.95343342874591</v>
      </c>
      <c r="AP4" s="22">
        <f>(Drivers!AQ5*1000000)/Drivers!AQ4</f>
        <v>209.78492830503342</v>
      </c>
      <c r="AQ4" s="22">
        <f>(Drivers!AR5*1000000)/Drivers!AR4</f>
        <v>210.30685757677963</v>
      </c>
      <c r="AR4" s="22">
        <f>(Drivers!AS5*1000000)/Drivers!AS4</f>
        <v>210.51351900243853</v>
      </c>
      <c r="AS4" s="22">
        <f>(Drivers!AT5*1000000)/Drivers!AT4</f>
        <v>210.39411975233514</v>
      </c>
      <c r="AT4" s="22">
        <f>(Drivers!AU5*1000000)/Drivers!AU4</f>
        <v>209.94517181122083</v>
      </c>
      <c r="AU4" s="22">
        <f>(Drivers!AV5*1000000)/Drivers!AV4</f>
        <v>209.17073328936982</v>
      </c>
      <c r="AV4" s="22">
        <f>(Drivers!AW5*1000000)/Drivers!AW4</f>
        <v>208.06877676374103</v>
      </c>
      <c r="AW4" s="22">
        <f>(Drivers!AX5*1000000)/Drivers!AX4</f>
        <v>206.63733383300601</v>
      </c>
      <c r="AX4" s="22">
        <f>(Drivers!AY5*1000000)/Drivers!AY4</f>
        <v>0</v>
      </c>
      <c r="AY4" s="22">
        <f>(Drivers!AZ5*1000000)/Drivers!AZ4</f>
        <v>0</v>
      </c>
      <c r="AZ4" s="22">
        <f>(Drivers!BA5*1000000)/Drivers!BA4</f>
        <v>0</v>
      </c>
      <c r="BA4" s="22">
        <f>(Drivers!BB5*1000000)/Drivers!BB4</f>
        <v>0</v>
      </c>
      <c r="BB4" s="22">
        <f>(Drivers!BC5*1000000)/Drivers!BC4</f>
        <v>0</v>
      </c>
      <c r="BC4" s="22">
        <f>(Drivers!BD5*1000000)/Drivers!BD4</f>
        <v>0</v>
      </c>
      <c r="BD4" s="22">
        <f>(Drivers!BE5*1000000)/Drivers!BE4</f>
        <v>0</v>
      </c>
      <c r="BE4" s="22">
        <f>(Drivers!BF5*1000000)/Drivers!BF4</f>
        <v>0</v>
      </c>
      <c r="BF4" s="22">
        <f>(Drivers!BG5*1000000)/Drivers!BG4</f>
        <v>0</v>
      </c>
      <c r="BG4" s="22">
        <f>(Drivers!BH5*1000000)/Drivers!BH4</f>
        <v>0</v>
      </c>
      <c r="BH4" s="22">
        <f>(Drivers!BI5*1000000)/Drivers!BI4</f>
        <v>0</v>
      </c>
      <c r="BI4" s="22">
        <f>(Drivers!BJ5*1000000)/Drivers!BJ4</f>
        <v>0</v>
      </c>
      <c r="BJ4" s="22">
        <f>(Drivers!BK5*1000000)/Drivers!BK4</f>
        <v>0</v>
      </c>
      <c r="BK4" s="22">
        <f>(Drivers!BL5*1000000)/Drivers!BL4</f>
        <v>0</v>
      </c>
      <c r="BL4">
        <v>89.344659551365254</v>
      </c>
    </row>
    <row r="5" spans="1:67" s="79" customFormat="1" x14ac:dyDescent="0.25">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941691.58339834912</v>
      </c>
      <c r="AA5" s="93">
        <f>IF('Net zero activities &amp; levers'!$C$12="Off",((Data!$AJ$5*'Intermediate calculations'!AA4)+Data!$AK$5)*Drivers!AB4,'Net zero supporting data'!D205)</f>
        <v>967640.07013586559</v>
      </c>
      <c r="AB5" s="93">
        <f>IF('Net zero activities &amp; levers'!$C$12="Off",((Data!$AJ$5*'Intermediate calculations'!AB4)+Data!$AK$5)*Drivers!AC4,'Net zero supporting data'!E205)</f>
        <v>985205.95615671005</v>
      </c>
      <c r="AC5" s="93">
        <f>IF('Net zero activities &amp; levers'!$C$12="Off",((Data!$AJ$5*'Intermediate calculations'!AC4)+Data!$AK$5)*Drivers!AD4,'Net zero supporting data'!F205)</f>
        <v>997182.14033234725</v>
      </c>
      <c r="AD5" s="93">
        <f>IF('Net zero activities &amp; levers'!$C$12="Off",((Data!$AJ$5*'Intermediate calculations'!AD4)+Data!$AK$5)*Drivers!AE4,'Net zero supporting data'!G205)</f>
        <v>1003428.5497078976</v>
      </c>
      <c r="AE5" s="93">
        <f>IF('Net zero activities &amp; levers'!$C$12="Off",((Data!$AJ$5*'Intermediate calculations'!AE4)+Data!$AK$5)*Drivers!AF4,'Net zero supporting data'!H205)</f>
        <v>1014063.5244529058</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956351.78084582905</v>
      </c>
      <c r="AH5" s="93">
        <f>IF('Net zero activities &amp; levers'!$C$12="Off",((Data!$AJ$5*'Intermediate calculations'!AH4)+Data!$AK$5)*Drivers!AI4,'Net zero supporting data'!K205)</f>
        <v>1007387.8258021324</v>
      </c>
      <c r="AI5" s="93">
        <f>IF('Net zero activities &amp; levers'!$C$12="Off",((Data!$AJ$5*'Intermediate calculations'!AI4)+Data!$AK$5)*Drivers!AJ4,'Net zero supporting data'!L205)</f>
        <v>2985961.7659312617</v>
      </c>
      <c r="AJ5" s="93">
        <f>IF('Net zero activities &amp; levers'!$C$12="Off",((Data!$AJ$5*'Intermediate calculations'!AJ4)+Data!$AK$5)*Drivers!AK4,'Net zero supporting data'!M205)</f>
        <v>3059563.5098653822</v>
      </c>
      <c r="AK5" s="93">
        <f>IF('Net zero activities &amp; levers'!$C$12="Off",((Data!$AJ$5*'Intermediate calculations'!AK4)+Data!$AK$5)*Drivers!AL4,'Net zero supporting data'!N205)</f>
        <v>3128997.7311205785</v>
      </c>
      <c r="AL5" s="93">
        <f>IF('Net zero activities &amp; levers'!$C$12="Off",((Data!$AJ$5*'Intermediate calculations'!AL4)+Data!$AK$5)*Drivers!AM4,'Net zero supporting data'!O205)</f>
        <v>3194001.5122424313</v>
      </c>
      <c r="AM5" s="93">
        <f>IF('Net zero activities &amp; levers'!$C$12="Off",((Data!$AJ$5*'Intermediate calculations'!AM4)+Data!$AK$5)*Drivers!AN4,'Net zero supporting data'!P205)</f>
        <v>3254396.0660710209</v>
      </c>
      <c r="AN5" s="93">
        <f>IF('Net zero activities &amp; levers'!$C$12="Off",((Data!$AJ$5*'Intermediate calculations'!AN4)+Data!$AK$5)*Drivers!AO4,'Net zero supporting data'!Q205)</f>
        <v>3309857.3003503131</v>
      </c>
      <c r="AO5" s="93">
        <f>IF('Net zero activities &amp; levers'!$C$12="Off",((Data!$AJ$5*'Intermediate calculations'!AO4)+Data!$AK$5)*Drivers!AP4,'Net zero supporting data'!R205)</f>
        <v>3360088.5263923523</v>
      </c>
      <c r="AP5" s="93">
        <f>IF('Net zero activities &amp; levers'!$C$12="Off",((Data!$AJ$5*'Intermediate calculations'!AP4)+Data!$AK$5)*Drivers!AQ4,'Net zero supporting data'!S205)</f>
        <v>3404811.1055382169</v>
      </c>
      <c r="AQ5" s="93">
        <f>IF('Net zero activities &amp; levers'!$C$12="Off",((Data!$AJ$5*'Intermediate calculations'!AQ4)+Data!$AK$5)*Drivers!AR4,'Net zero supporting data'!T205)</f>
        <v>3443770.091296671</v>
      </c>
      <c r="AR5" s="93">
        <f>IF('Net zero activities &amp; levers'!$C$12="Off",((Data!$AJ$5*'Intermediate calculations'!AR4)+Data!$AK$5)*Drivers!AS4,'Net zero supporting data'!U205)</f>
        <v>3476743.4036606485</v>
      </c>
      <c r="AS5" s="93">
        <f>IF('Net zero activities &amp; levers'!$C$12="Off",((Data!$AJ$5*'Intermediate calculations'!AS4)+Data!$AK$5)*Drivers!AT4,'Net zero supporting data'!V205)</f>
        <v>3503533.8301411686</v>
      </c>
      <c r="AT5" s="93">
        <f>IF('Net zero activities &amp; levers'!$C$12="Off",((Data!$AJ$5*'Intermediate calculations'!AT4)+Data!$AK$5)*Drivers!AU4,'Net zero supporting data'!W205)</f>
        <v>3523979.5236164173</v>
      </c>
      <c r="AU5" s="93">
        <f>IF('Net zero activities &amp; levers'!$C$12="Off",((Data!$AJ$5*'Intermediate calculations'!AU4)+Data!$AK$5)*Drivers!AV4,'Net zero supporting data'!X205)</f>
        <v>3537955.8346506641</v>
      </c>
      <c r="AV5" s="93">
        <f>IF('Net zero activities &amp; levers'!$C$12="Off",((Data!$AJ$5*'Intermediate calculations'!AV4)+Data!$AK$5)*Drivers!AW4,'Net zero supporting data'!Y205)</f>
        <v>3545366.6475507529</v>
      </c>
      <c r="AW5" s="93">
        <f>IF('Net zero activities &amp; levers'!$C$12="Off",((Data!$AJ$5*'Intermediate calculations'!AW4)+Data!$AK$5)*Drivers!AX4,'Net zero supporting data'!Z205)</f>
        <v>3546149.5912012719</v>
      </c>
      <c r="AX5" s="93">
        <f>IF('Net zero activities &amp; levers'!$C$12="Off",((Data!$AJ$5*'Intermediate calculations'!AX4)+Data!$AK$5)*Drivers!AY4,'Net zero supporting data'!AA205)</f>
        <v>-157187.03278201248</v>
      </c>
      <c r="AY5" s="93">
        <f>IF('Net zero activities &amp; levers'!$C$12="Off",((Data!$AJ$5*'Intermediate calculations'!AY4)+Data!$AK$5)*Drivers!AZ4,'Net zero supporting data'!AB205)</f>
        <v>-158292.15434093127</v>
      </c>
      <c r="AZ5" s="93">
        <f>IF('Net zero activities &amp; levers'!$C$12="Off",((Data!$AJ$5*'Intermediate calculations'!AZ4)+Data!$AK$5)*Drivers!BA4,'Net zero supporting data'!AC205)</f>
        <v>-159369.84397577762</v>
      </c>
      <c r="BA5" s="93">
        <f>IF('Net zero activities &amp; levers'!$C$12="Off",((Data!$AJ$5*'Intermediate calculations'!BA4)+Data!$AK$5)*Drivers!BB4,'Net zero supporting data'!AD205)</f>
        <v>-160421.72859455581</v>
      </c>
      <c r="BB5" s="93">
        <f>IF('Net zero activities &amp; levers'!$C$12="Off",((Data!$AJ$5*'Intermediate calculations'!BB4)+Data!$AK$5)*Drivers!BC4,'Net zero supporting data'!AE205)</f>
        <v>-161449.68362869936</v>
      </c>
      <c r="BC5" s="93">
        <f>IF('Net zero activities &amp; levers'!$C$12="Off",((Data!$AJ$5*'Intermediate calculations'!BC4)+Data!$AK$5)*Drivers!BD4,'Net zero supporting data'!AF205)</f>
        <v>-162449.48417991144</v>
      </c>
      <c r="BD5" s="93">
        <f>IF('Net zero activities &amp; levers'!$C$12="Off",((Data!$AJ$5*'Intermediate calculations'!BD4)+Data!$AK$5)*Drivers!BE4,'Net zero supporting data'!AG205)</f>
        <v>-163418.34816647036</v>
      </c>
      <c r="BE5" s="93">
        <f>IF('Net zero activities &amp; levers'!$C$12="Off",((Data!$AJ$5*'Intermediate calculations'!BE4)+Data!$AK$5)*Drivers!BF4,'Net zero supporting data'!AH205)</f>
        <v>-164356.07078666129</v>
      </c>
      <c r="BF5" s="93">
        <f>IF('Net zero activities &amp; levers'!$C$12="Off",((Data!$AJ$5*'Intermediate calculations'!BF4)+Data!$AK$5)*Drivers!BG4,'Net zero supporting data'!AI205)</f>
        <v>-165259.33839476126</v>
      </c>
      <c r="BG5" s="93">
        <f>IF('Net zero activities &amp; levers'!$C$12="Off",((Data!$AJ$5*'Intermediate calculations'!BG4)+Data!$AK$5)*Drivers!BH4,'Net zero supporting data'!AJ205)</f>
        <v>-166124.46225876047</v>
      </c>
      <c r="BH5" s="93">
        <f>IF('Net zero activities &amp; levers'!$C$12="Off",((Data!$AJ$5*'Intermediate calculations'!BH4)+Data!$AK$5)*Drivers!BI4,'Net zero supporting data'!AK205)</f>
        <v>-166951.12021865809</v>
      </c>
      <c r="BI5" s="93">
        <f>IF('Net zero activities &amp; levers'!$C$12="Off",((Data!$AJ$5*'Intermediate calculations'!BI4)+Data!$AK$5)*Drivers!BJ4,'Net zero supporting data'!AL205)</f>
        <v>-167740.01182188452</v>
      </c>
      <c r="BJ5" s="93">
        <f>IF('Net zero activities &amp; levers'!$C$12="Off",((Data!$AJ$5*'Intermediate calculations'!BJ4)+Data!$AK$5)*Drivers!BK4,'Net zero supporting data'!AM205)</f>
        <v>-168491.65942786974</v>
      </c>
      <c r="BK5" s="93">
        <f>IF('Net zero activities &amp; levers'!$C$12="Off",((Data!$AJ$5*'Intermediate calculations'!BK4)+Data!$AK$5)*Drivers!BL4,'Net zero supporting data'!AN205)</f>
        <v>-169202.46635031851</v>
      </c>
      <c r="BL5" s="79">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2.3134891901423464</v>
      </c>
      <c r="AP6" s="22"/>
      <c r="AQ6" s="22">
        <f>(AQ8-AD8)/AD8</f>
        <v>2.7477324966526573</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17.732839906466509</v>
      </c>
      <c r="AA7" s="45">
        <f>AA5*ttokg/Drivers!AB4</f>
        <v>17.948388235719666</v>
      </c>
      <c r="AB7" s="45">
        <f>AB5*ttokg/Drivers!AC4</f>
        <v>17.994467810845023</v>
      </c>
      <c r="AC7" s="45">
        <f>AC5*ttokg/Drivers!AD4</f>
        <v>17.928500676359818</v>
      </c>
      <c r="AD7" s="45">
        <f>AD5*ttokg/Drivers!AE4</f>
        <v>17.752901031799595</v>
      </c>
      <c r="AE7" s="45">
        <f>AE5*ttokg/Drivers!AF4</f>
        <v>17.655538574311372</v>
      </c>
      <c r="AF7" s="45">
        <f>AF5*ttokg/Drivers!AG4</f>
        <v>17.568038401205563</v>
      </c>
      <c r="AG7" s="45">
        <f>AG5*ttokg/Drivers!AH4</f>
        <v>16.26395306476655</v>
      </c>
      <c r="AH7" s="45">
        <f>AH5*ttokg/Drivers!AI4</f>
        <v>16.961602582729554</v>
      </c>
      <c r="AI7" s="45">
        <f>AI5*ttokg/Drivers!AJ4</f>
        <v>49.854200740714376</v>
      </c>
      <c r="AJ7" s="45">
        <f>AJ5*ttokg/Drivers!AK4</f>
        <v>50.642871547058071</v>
      </c>
      <c r="AK7" s="45">
        <f>AK5*ttokg/Drivers!AL4</f>
        <v>51.278046520358856</v>
      </c>
      <c r="AL7" s="45">
        <f>AL5*ttokg/Drivers!AM4</f>
        <v>51.789232197470909</v>
      </c>
      <c r="AM7" s="45">
        <f>AM5*ttokg/Drivers!AN4</f>
        <v>52.233272273066405</v>
      </c>
      <c r="AN7" s="45">
        <f>AN5*ttokg/Drivers!AO4</f>
        <v>52.605122763880949</v>
      </c>
      <c r="AO7" s="45">
        <f>AO5*ttokg/Drivers!AP4</f>
        <v>52.9026981332917</v>
      </c>
      <c r="AP7" s="45">
        <f>AP5*ttokg/Drivers!AQ4</f>
        <v>53.122372489375671</v>
      </c>
      <c r="AQ7" s="45">
        <f>AQ5*ttokg/Drivers!AR4</f>
        <v>53.260262066283374</v>
      </c>
      <c r="AR7" s="45">
        <f>AR5*ttokg/Drivers!AS4</f>
        <v>53.314860376992989</v>
      </c>
      <c r="AS7" s="45">
        <f>AS5*ttokg/Drivers!AT4</f>
        <v>53.283316041445829</v>
      </c>
      <c r="AT7" s="45">
        <f>AT5*ttokg/Drivers!AU4</f>
        <v>53.164707553658346</v>
      </c>
      <c r="AU7" s="45">
        <f>AU5*ttokg/Drivers!AV4</f>
        <v>52.960107034201393</v>
      </c>
      <c r="AV7" s="45">
        <f>AV5*ttokg/Drivers!AW4</f>
        <v>52.668978853976363</v>
      </c>
      <c r="AW7" s="45">
        <f>AW5*ttokg/Drivers!AX4</f>
        <v>52.290802976953394</v>
      </c>
      <c r="AX7" s="45">
        <f>AX5*ttokg/Drivers!AY4</f>
        <v>-2.3011428632205324</v>
      </c>
      <c r="AY7" s="45">
        <f>AY5*ttokg/Drivers!AZ4</f>
        <v>-2.3011428632205324</v>
      </c>
      <c r="AZ7" s="45">
        <f>AZ5*ttokg/Drivers!BA4</f>
        <v>-2.3011428632205324</v>
      </c>
      <c r="BA7" s="45">
        <f>BA5*ttokg/Drivers!BB4</f>
        <v>-2.3011428632205324</v>
      </c>
      <c r="BB7" s="45">
        <f>BB5*ttokg/Drivers!BC4</f>
        <v>-2.3011428632205324</v>
      </c>
      <c r="BC7" s="45">
        <f>BC5*ttokg/Drivers!BD4</f>
        <v>-2.3011428632205324</v>
      </c>
      <c r="BD7" s="45">
        <f>BD5*ttokg/Drivers!BE4</f>
        <v>-2.3011428632205324</v>
      </c>
      <c r="BE7" s="45">
        <f>BE5*ttokg/Drivers!BF4</f>
        <v>-2.3011428632205324</v>
      </c>
      <c r="BF7" s="45">
        <f>BF5*ttokg/Drivers!BG4</f>
        <v>-2.3011428632205324</v>
      </c>
      <c r="BG7" s="45">
        <f>BG5*ttokg/Drivers!BH4</f>
        <v>-2.3011428632205324</v>
      </c>
      <c r="BH7" s="45">
        <f>BH5*ttokg/Drivers!BI4</f>
        <v>-2.3011428632205324</v>
      </c>
      <c r="BI7" s="45">
        <f>BI5*ttokg/Drivers!BJ4</f>
        <v>-2.301142863220532</v>
      </c>
      <c r="BJ7" s="45">
        <f>BJ5*ttokg/Drivers!BK4</f>
        <v>-2.3011428632205324</v>
      </c>
      <c r="BK7" s="45">
        <f>BK5*ttokg/Drivers!BL4</f>
        <v>-2.3011428632205324</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944208.34947610251</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993926.4264411605</v>
      </c>
      <c r="AC8" s="94">
        <f>IF('Net zero activities &amp; levers'!$C$14="Off",((Data!$AJ$14*'Net zero Intermediate calcs'!AC5)+Data!$AK$14),IF('Net zero activities &amp; levers'!$C$14="On",((Data!$AJ$14*'Net zero Intermediate calcs'!AC5)+Data!$AK$14)*(1-'Net zero supporting data'!F213),"ERROR"))</f>
        <v>1007610.0166861247</v>
      </c>
      <c r="AD8" s="94">
        <f>IF('Net zero activities &amp; levers'!$C$14="Off",((Data!$AJ$14*'Net zero Intermediate calcs'!AD5)+Data!$AK$14),IF('Net zero activities &amp; levers'!$C$14="On",((Data!$AJ$14*'Net zero Intermediate calcs'!AD5)+Data!$AK$14)*(1-'Net zero supporting data'!G213),"ERROR"))</f>
        <v>1014746.956561449</v>
      </c>
      <c r="AE8" s="94">
        <f>IF('Net zero activities &amp; levers'!$C$14="Off",((Data!$AJ$14*'Net zero Intermediate calcs'!AE5)+Data!$AK$14),IF('Net zero activities &amp; levers'!$C$14="On",((Data!$AJ$14*'Net zero Intermediate calcs'!AE5)+Data!$AK$14)*(1-'Net zero supporting data'!H213),"ERROR"))</f>
        <v>1026898.1254598256</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960958.60413481668</v>
      </c>
      <c r="AH8" s="94">
        <f>IF('Net zero activities &amp; levers'!$C$14="Off",((Data!$AJ$14*'Net zero Intermediate calcs'!AH5)+Data!$AK$14),IF('Net zero activities &amp; levers'!$C$14="On",((Data!$AJ$14*'Net zero Intermediate calcs'!AH5)+Data!$AK$14)*(1-'Net zero supporting data'!K213),"ERROR"))</f>
        <v>1019270.6939176598</v>
      </c>
      <c r="AI8" s="94">
        <f>IF('Net zero activities &amp; levers'!$C$14="Off",((Data!$AJ$14*'Net zero Intermediate calcs'!AI5)+Data!$AK$14),IF('Net zero activities &amp; levers'!$C$14="On",((Data!$AJ$14*'Net zero Intermediate calcs'!AI5)+Data!$AK$14)*(1-'Net zero supporting data'!L213),"ERROR"))</f>
        <v>3279923.5587230441</v>
      </c>
      <c r="AJ8" s="94">
        <f>IF('Net zero activities &amp; levers'!$C$14="Off",((Data!$AJ$14*'Net zero Intermediate calcs'!AJ5)+Data!$AK$14),IF('Net zero activities &amp; levers'!$C$14="On",((Data!$AJ$14*'Net zero Intermediate calcs'!AJ5)+Data!$AK$14)*(1-'Net zero supporting data'!M213),"ERROR"))</f>
        <v>3364018.466628524</v>
      </c>
      <c r="AK8" s="94">
        <f>IF('Net zero activities &amp; levers'!$C$14="Off",((Data!$AJ$14*'Net zero Intermediate calcs'!AK5)+Data!$AK$14),IF('Net zero activities &amp; levers'!$C$14="On",((Data!$AJ$14*'Net zero Intermediate calcs'!AK5)+Data!$AK$14)*(1-'Net zero supporting data'!N213),"ERROR"))</f>
        <v>3443351.7015471272</v>
      </c>
      <c r="AL8" s="94">
        <f>IF('Net zero activities &amp; levers'!$C$14="Off",((Data!$AJ$14*'Net zero Intermediate calcs'!AL5)+Data!$AK$14),IF('Net zero activities &amp; levers'!$C$14="On",((Data!$AJ$14*'Net zero Intermediate calcs'!AL5)+Data!$AK$14)*(1-'Net zero supporting data'!O213),"ERROR"))</f>
        <v>3517622.8627283508</v>
      </c>
      <c r="AM8" s="94">
        <f>IF('Net zero activities &amp; levers'!$C$14="Off",((Data!$AJ$14*'Net zero Intermediate calcs'!AM5)+Data!$AK$14),IF('Net zero activities &amp; levers'!$C$14="On",((Data!$AJ$14*'Net zero Intermediate calcs'!AM5)+Data!$AK$14)*(1-'Net zero supporting data'!P213),"ERROR"))</f>
        <v>3586627.6739017623</v>
      </c>
      <c r="AN8" s="94">
        <f>IF('Net zero activities &amp; levers'!$C$14="Off",((Data!$AJ$14*'Net zero Intermediate calcs'!AN5)+Data!$AK$14),IF('Net zero activities &amp; levers'!$C$14="On",((Data!$AJ$14*'Net zero Intermediate calcs'!AN5)+Data!$AK$14)*(1-'Net zero supporting data'!Q213),"ERROR"))</f>
        <v>3649995.8380204821</v>
      </c>
      <c r="AO8" s="94">
        <f>IF('Net zero activities &amp; levers'!$C$14="Off",((Data!$AJ$14*'Net zero Intermediate calcs'!AO5)+Data!$AK$14),IF('Net zero activities &amp; levers'!$C$14="On",((Data!$AJ$14*'Net zero Intermediate calcs'!AO5)+Data!$AK$14)*(1-'Net zero supporting data'!R213),"ERROR"))</f>
        <v>3707388.3684442942</v>
      </c>
      <c r="AP8" s="94">
        <f>IF('Net zero activities &amp; levers'!$C$14="Off",((Data!$AJ$14*'Net zero Intermediate calcs'!AP5)+Data!$AK$14),IF('Net zero activities &amp; levers'!$C$14="On",((Data!$AJ$14*'Net zero Intermediate calcs'!AP5)+Data!$AK$14)*(1-'Net zero supporting data'!S213),"ERROR"))</f>
        <v>3758486.9018966178</v>
      </c>
      <c r="AQ8" s="94">
        <f>IF('Net zero activities &amp; levers'!$C$14="Off",((Data!$AJ$14*'Net zero Intermediate calcs'!AQ5)+Data!$AK$14),IF('Net zero activities &amp; levers'!$C$14="On",((Data!$AJ$14*'Net zero Intermediate calcs'!AQ5)+Data!$AK$14)*(1-'Net zero supporting data'!T213),"ERROR"))</f>
        <v>3803000.1449847249</v>
      </c>
      <c r="AR8" s="94">
        <f>IF('Net zero activities &amp; levers'!$C$14="Off",((Data!$AJ$14*'Net zero Intermediate calcs'!AR5)+Data!$AK$14),IF('Net zero activities &amp; levers'!$C$14="On",((Data!$AJ$14*'Net zero Intermediate calcs'!AR5)+Data!$AK$14)*(1-'Net zero supporting data'!U213),"ERROR"))</f>
        <v>3840674.3564690244</v>
      </c>
      <c r="AS8" s="94">
        <f>IF('Net zero activities &amp; levers'!$C$14="Off",((Data!$AJ$14*'Net zero Intermediate calcs'!AS5)+Data!$AK$14),IF('Net zero activities &amp; levers'!$C$14="On",((Data!$AJ$14*'Net zero Intermediate calcs'!AS5)+Data!$AK$14)*(1-'Net zero supporting data'!V213),"ERROR"))</f>
        <v>3871284.2079101047</v>
      </c>
      <c r="AT8" s="94">
        <f>IF('Net zero activities &amp; levers'!$C$14="Off",((Data!$AJ$14*'Net zero Intermediate calcs'!AT5)+Data!$AK$14),IF('Net zero activities &amp; levers'!$C$14="On",((Data!$AJ$14*'Net zero Intermediate calcs'!AT5)+Data!$AK$14)*(1-'Net zero supporting data'!W213),"ERROR"))</f>
        <v>3894644.7781624035</v>
      </c>
      <c r="AU8" s="94">
        <f>IF('Net zero activities &amp; levers'!$C$14="Off",((Data!$AJ$14*'Net zero Intermediate calcs'!AU5)+Data!$AK$14),IF('Net zero activities &amp; levers'!$C$14="On",((Data!$AJ$14*'Net zero Intermediate calcs'!AU5)+Data!$AK$14)*(1-'Net zero supporting data'!X213),"ERROR"))</f>
        <v>3910613.6469209394</v>
      </c>
      <c r="AV8" s="94">
        <f>IF('Net zero activities &amp; levers'!$C$14="Off",((Data!$AJ$14*'Net zero Intermediate calcs'!AV5)+Data!$AK$14),IF('Net zero activities &amp; levers'!$C$14="On",((Data!$AJ$14*'Net zero Intermediate calcs'!AV5)+Data!$AK$14)*(1-'Net zero supporting data'!Y213),"ERROR"))</f>
        <v>3919080.9955872362</v>
      </c>
      <c r="AW8" s="94">
        <f>IF('Net zero activities &amp; levers'!$C$14="Off",((Data!$AJ$14*'Net zero Intermediate calcs'!AW5)+Data!$AK$14),IF('Net zero activities &amp; levers'!$C$14="On",((Data!$AJ$14*'Net zero Intermediate calcs'!AW5)+Data!$AK$14)*(1-'Net zero supporting data'!Z213),"ERROR"))</f>
        <v>3919975.5609965082</v>
      </c>
      <c r="AX8" s="94">
        <f>IF('Net zero activities &amp; levers'!$C$14="Off",((Data!$AJ$14*'Net zero Intermediate calcs'!AX5)+Data!$AK$14),IF('Net zero activities &amp; levers'!$C$14="On",((Data!$AJ$14*'Net zero Intermediate calcs'!AX5)+Data!$AK$14)*(1-'Net zero supporting data'!AA213),"ERROR"))</f>
        <v>-311333.85764474107</v>
      </c>
      <c r="AY8" s="94">
        <f>IF('Net zero activities &amp; levers'!$C$14="Off",((Data!$AJ$14*'Net zero Intermediate calcs'!AY5)+Data!$AK$14),IF('Net zero activities &amp; levers'!$C$14="On",((Data!$AJ$14*'Net zero Intermediate calcs'!AY5)+Data!$AK$14)*(1-'Net zero supporting data'!AB213),"ERROR"))</f>
        <v>-312596.53283087281</v>
      </c>
      <c r="AZ8" s="94">
        <f>IF('Net zero activities &amp; levers'!$C$14="Off",((Data!$AJ$14*'Net zero Intermediate calcs'!AZ5)+Data!$AK$14),IF('Net zero activities &amp; levers'!$C$14="On",((Data!$AJ$14*'Net zero Intermediate calcs'!AZ5)+Data!$AK$14)*(1-'Net zero supporting data'!AC213),"ERROR"))</f>
        <v>-313827.86521172256</v>
      </c>
      <c r="BA8" s="94">
        <f>IF('Net zero activities &amp; levers'!$C$14="Off",((Data!$AJ$14*'Net zero Intermediate calcs'!BA5)+Data!$AK$14),IF('Net zero activities &amp; levers'!$C$14="On",((Data!$AJ$14*'Net zero Intermediate calcs'!BA5)+Data!$AK$14)*(1-'Net zero supporting data'!AD213),"ERROR"))</f>
        <v>-315029.71363833756</v>
      </c>
      <c r="BB8" s="94">
        <f>IF('Net zero activities &amp; levers'!$C$14="Off",((Data!$AJ$14*'Net zero Intermediate calcs'!BB5)+Data!$AK$14),IF('Net zero activities &amp; levers'!$C$14="On",((Data!$AJ$14*'Net zero Intermediate calcs'!BB5)+Data!$AK$14)*(1-'Net zero supporting data'!AE213),"ERROR"))</f>
        <v>-316204.22091638052</v>
      </c>
      <c r="BC8" s="94">
        <f>IF('Net zero activities &amp; levers'!$C$14="Off",((Data!$AJ$14*'Net zero Intermediate calcs'!BC5)+Data!$AK$14),IF('Net zero activities &amp; levers'!$C$14="On",((Data!$AJ$14*'Net zero Intermediate calcs'!BC5)+Data!$AK$14)*(1-'Net zero supporting data'!AF213),"ERROR"))</f>
        <v>-317346.55981738918</v>
      </c>
      <c r="BD8" s="94">
        <f>IF('Net zero activities &amp; levers'!$C$14="Off",((Data!$AJ$14*'Net zero Intermediate calcs'!BD5)+Data!$AK$14),IF('Net zero activities &amp; levers'!$C$14="On",((Data!$AJ$14*'Net zero Intermediate calcs'!BD5)+Data!$AK$14)*(1-'Net zero supporting data'!AG213),"ERROR"))</f>
        <v>-318453.55162719649</v>
      </c>
      <c r="BE8" s="94">
        <f>IF('Net zero activities &amp; levers'!$C$14="Off",((Data!$AJ$14*'Net zero Intermediate calcs'!BE5)+Data!$AK$14),IF('Net zero activities &amp; levers'!$C$14="On",((Data!$AJ$14*'Net zero Intermediate calcs'!BE5)+Data!$AK$14)*(1-'Net zero supporting data'!AH213),"ERROR"))</f>
        <v>-319524.96234616573</v>
      </c>
      <c r="BF8" s="94">
        <f>IF('Net zero activities &amp; levers'!$C$14="Off",((Data!$AJ$14*'Net zero Intermediate calcs'!BF5)+Data!$AK$14),IF('Net zero activities &amp; levers'!$C$14="On",((Data!$AJ$14*'Net zero Intermediate calcs'!BF5)+Data!$AK$14)*(1-'Net zero supporting data'!AI213),"ERROR"))</f>
        <v>-320557.00591275783</v>
      </c>
      <c r="BG8" s="94">
        <f>IF('Net zero activities &amp; levers'!$C$14="Off",((Data!$AJ$14*'Net zero Intermediate calcs'!BG5)+Data!$AK$14),IF('Net zero activities &amp; levers'!$C$14="On",((Data!$AJ$14*'Net zero Intermediate calcs'!BG5)+Data!$AK$14)*(1-'Net zero supporting data'!AJ213),"ERROR"))</f>
        <v>-321545.46770430135</v>
      </c>
      <c r="BH8" s="94">
        <f>IF('Net zero activities &amp; levers'!$C$14="Off",((Data!$AJ$14*'Net zero Intermediate calcs'!BH5)+Data!$AK$14),IF('Net zero activities &amp; levers'!$C$14="On",((Data!$AJ$14*'Net zero Intermediate calcs'!BH5)+Data!$AK$14)*(1-'Net zero supporting data'!AK213),"ERROR"))</f>
        <v>-322489.97963147995</v>
      </c>
      <c r="BI8" s="94">
        <f>IF('Net zero activities &amp; levers'!$C$14="Off",((Data!$AJ$14*'Net zero Intermediate calcs'!BI5)+Data!$AK$14),IF('Net zero activities &amp; levers'!$C$14="On",((Data!$AJ$14*'Net zero Intermediate calcs'!BI5)+Data!$AK$14)*(1-'Net zero supporting data'!AL213),"ERROR"))</f>
        <v>-323391.34097395185</v>
      </c>
      <c r="BJ8" s="94">
        <f>IF('Net zero activities &amp; levers'!$C$14="Off",((Data!$AJ$14*'Net zero Intermediate calcs'!BJ5)+Data!$AK$14),IF('Net zero activities &amp; levers'!$C$14="On",((Data!$AJ$14*'Net zero Intermediate calcs'!BJ5)+Data!$AK$14)*(1-'Net zero supporting data'!AM213),"ERROR"))</f>
        <v>-324250.14856225136</v>
      </c>
      <c r="BK8" s="94">
        <f>IF('Net zero activities &amp; levers'!$C$14="Off",((Data!$AJ$14*'Net zero Intermediate calcs'!BK5)+Data!$AK$14),IF('Net zero activities &amp; levers'!$C$14="On",((Data!$AJ$14*'Net zero Intermediate calcs'!BK5)+Data!$AK$14)*(1-'Net zero supporting data'!AN213),"ERROR"))</f>
        <v>-325062.29294208309</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665666.8863806522</v>
      </c>
      <c r="AA9" s="22">
        <f t="shared" si="1"/>
        <v>691437.92225787498</v>
      </c>
      <c r="AB9" s="22">
        <f t="shared" si="1"/>
        <v>710657.39490542968</v>
      </c>
      <c r="AC9" s="22">
        <f t="shared" si="1"/>
        <v>725479.21201400983</v>
      </c>
      <c r="AD9" s="22">
        <f t="shared" si="1"/>
        <v>735691.54350705049</v>
      </c>
      <c r="AE9" s="22">
        <f t="shared" si="1"/>
        <v>749635.63158567273</v>
      </c>
      <c r="AF9" s="22">
        <f t="shared" si="1"/>
        <v>764253.10717659467</v>
      </c>
      <c r="AG9" s="22">
        <f t="shared" si="1"/>
        <v>711109.36705976434</v>
      </c>
      <c r="AH9" s="22">
        <f t="shared" si="1"/>
        <v>756298.85488690354</v>
      </c>
      <c r="AI9" s="22">
        <f t="shared" si="1"/>
        <v>2440263.1276899446</v>
      </c>
      <c r="AJ9" s="22">
        <f t="shared" si="1"/>
        <v>2509557.7761048791</v>
      </c>
      <c r="AK9" s="22">
        <f t="shared" si="1"/>
        <v>2575627.0727572511</v>
      </c>
      <c r="AL9" s="22">
        <f t="shared" si="1"/>
        <v>2638217.1470462633</v>
      </c>
      <c r="AM9" s="22">
        <f t="shared" si="1"/>
        <v>2697144.0107741253</v>
      </c>
      <c r="AN9" s="22">
        <f t="shared" si="1"/>
        <v>2752096.8618674437</v>
      </c>
      <c r="AO9" s="22">
        <f t="shared" si="1"/>
        <v>2802785.6065438865</v>
      </c>
      <c r="AP9" s="22">
        <f t="shared" si="1"/>
        <v>2848933.0716376365</v>
      </c>
      <c r="AQ9" s="22">
        <f t="shared" si="1"/>
        <v>2890280.1101883911</v>
      </c>
      <c r="AR9" s="22">
        <f t="shared" si="1"/>
        <v>2934275.2083423347</v>
      </c>
      <c r="AS9" s="22">
        <f t="shared" si="1"/>
        <v>2973146.2716749604</v>
      </c>
      <c r="AT9" s="22">
        <f t="shared" si="1"/>
        <v>3006665.7687413758</v>
      </c>
      <c r="AU9" s="22">
        <f t="shared" si="1"/>
        <v>3034636.1900106492</v>
      </c>
      <c r="AV9" s="22">
        <f t="shared" si="1"/>
        <v>3056883.1765580443</v>
      </c>
      <c r="AW9" s="22">
        <f t="shared" si="1"/>
        <v>3073260.8398212628</v>
      </c>
      <c r="AX9" s="22">
        <f t="shared" si="1"/>
        <v>-245331.07982405598</v>
      </c>
      <c r="AY9" s="22">
        <f t="shared" si="1"/>
        <v>-247576.45400205126</v>
      </c>
      <c r="AZ9" s="22">
        <f t="shared" si="1"/>
        <v>-249806.98070853116</v>
      </c>
      <c r="BA9" s="22">
        <f t="shared" si="1"/>
        <v>-252023.77091067005</v>
      </c>
      <c r="BB9" s="22">
        <f t="shared" si="1"/>
        <v>-253911.98939585357</v>
      </c>
      <c r="BC9" s="22">
        <f t="shared" si="1"/>
        <v>-255781.3272128157</v>
      </c>
      <c r="BD9" s="22">
        <f t="shared" si="1"/>
        <v>-257628.92326640198</v>
      </c>
      <c r="BE9" s="22">
        <f t="shared" si="1"/>
        <v>-259454.26942508659</v>
      </c>
      <c r="BF9" s="22">
        <f t="shared" si="1"/>
        <v>-261253.95981889765</v>
      </c>
      <c r="BG9" s="22">
        <f t="shared" si="1"/>
        <v>-263024.1925821185</v>
      </c>
      <c r="BH9" s="22">
        <f t="shared" si="1"/>
        <v>-264764.27327744506</v>
      </c>
      <c r="BI9" s="22">
        <f t="shared" si="1"/>
        <v>-266474.46496253635</v>
      </c>
      <c r="BJ9" s="22">
        <f t="shared" si="1"/>
        <v>-268154.87286098191</v>
      </c>
      <c r="BK9" s="22">
        <f t="shared" si="1"/>
        <v>-269801.70314192894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278541.46309545031</v>
      </c>
      <c r="AA10" s="22">
        <f t="shared" si="2"/>
        <v>282418.3062743434</v>
      </c>
      <c r="AB10" s="22">
        <f t="shared" si="2"/>
        <v>283269.03153573081</v>
      </c>
      <c r="AC10" s="22">
        <f t="shared" si="2"/>
        <v>282130.8046721149</v>
      </c>
      <c r="AD10" s="22">
        <f t="shared" si="2"/>
        <v>279055.41305439849</v>
      </c>
      <c r="AE10" s="22">
        <f t="shared" si="2"/>
        <v>277262.49387415289</v>
      </c>
      <c r="AF10" s="22">
        <f t="shared" si="2"/>
        <v>275547.03864190145</v>
      </c>
      <c r="AG10" s="22">
        <f t="shared" si="2"/>
        <v>249849.23707505234</v>
      </c>
      <c r="AH10" s="22">
        <f t="shared" si="2"/>
        <v>262971.83903075627</v>
      </c>
      <c r="AI10" s="22">
        <f t="shared" si="2"/>
        <v>839660.43103309954</v>
      </c>
      <c r="AJ10" s="22">
        <f t="shared" si="2"/>
        <v>854460.69052364491</v>
      </c>
      <c r="AK10" s="22">
        <f t="shared" si="2"/>
        <v>867724.62878987612</v>
      </c>
      <c r="AL10" s="22">
        <f t="shared" si="2"/>
        <v>879405.71568208747</v>
      </c>
      <c r="AM10" s="22">
        <f t="shared" si="2"/>
        <v>889483.663127637</v>
      </c>
      <c r="AN10" s="22">
        <f t="shared" si="2"/>
        <v>897898.97615303844</v>
      </c>
      <c r="AO10" s="22">
        <f t="shared" si="2"/>
        <v>904602.76190040773</v>
      </c>
      <c r="AP10" s="22">
        <f t="shared" si="2"/>
        <v>909553.83025898132</v>
      </c>
      <c r="AQ10" s="22">
        <f t="shared" si="2"/>
        <v>912720.03479633387</v>
      </c>
      <c r="AR10" s="22">
        <f t="shared" si="2"/>
        <v>906399.14812668972</v>
      </c>
      <c r="AS10" s="22">
        <f t="shared" si="2"/>
        <v>898137.93623514427</v>
      </c>
      <c r="AT10" s="22">
        <f t="shared" si="2"/>
        <v>887979.00942102773</v>
      </c>
      <c r="AU10" s="22">
        <f t="shared" si="2"/>
        <v>875977.45691029029</v>
      </c>
      <c r="AV10" s="22">
        <f t="shared" si="2"/>
        <v>862197.81902919197</v>
      </c>
      <c r="AW10" s="22">
        <f t="shared" si="2"/>
        <v>846714.72117524548</v>
      </c>
      <c r="AX10" s="22">
        <f t="shared" si="2"/>
        <v>-66002.777820685093</v>
      </c>
      <c r="AY10" s="22">
        <f t="shared" si="2"/>
        <v>-65020.078828821541</v>
      </c>
      <c r="AZ10" s="22">
        <f t="shared" si="2"/>
        <v>-64020.884503191395</v>
      </c>
      <c r="BA10" s="22">
        <f t="shared" si="2"/>
        <v>-63005.942727667512</v>
      </c>
      <c r="BB10" s="22">
        <f t="shared" si="2"/>
        <v>-62292.231520526955</v>
      </c>
      <c r="BC10" s="22">
        <f t="shared" si="2"/>
        <v>-61565.232604573481</v>
      </c>
      <c r="BD10" s="22">
        <f t="shared" si="2"/>
        <v>-60824.628360794508</v>
      </c>
      <c r="BE10" s="22">
        <f t="shared" si="2"/>
        <v>-60070.692921079142</v>
      </c>
      <c r="BF10" s="22">
        <f t="shared" si="2"/>
        <v>-59303.046093860175</v>
      </c>
      <c r="BG10" s="22">
        <f t="shared" si="2"/>
        <v>-58521.275122182851</v>
      </c>
      <c r="BH10" s="22">
        <f t="shared" si="2"/>
        <v>-57725.70635403489</v>
      </c>
      <c r="BI10" s="22">
        <f t="shared" si="2"/>
        <v>-56916.876011415501</v>
      </c>
      <c r="BJ10" s="22">
        <f t="shared" si="2"/>
        <v>-56095.275701269449</v>
      </c>
      <c r="BK10" s="22">
        <f t="shared" si="2"/>
        <v>-55260.58980015415</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40.711692719818259</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39.307247949386721</v>
      </c>
      <c r="AB11" s="94">
        <f>IF($Y$1="Off",((Data!$AJ$15*LN('Net zero Intermediate calcs'!AB2))+Data!$AK$15),IF($Y$1="PQ",'Net zero supporting data'!E100,IF($Y$1="GS",'Net zero supporting data'!E64,'Net zero supporting data'!E83)))</f>
        <v>38.665878345611461</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37.483637138389774</v>
      </c>
      <c r="AE11" s="94">
        <f>IF($Y$1="Off",((Data!$AJ$15*LN('Net zero Intermediate calcs'!AE2))+Data!$AK$15),IF($Y$1="PQ",'Net zero supporting data'!H100,IF($Y$1="GS",'Net zero supporting data'!H64,'Net zero supporting data'!H83)))</f>
        <v>36.936166938305107</v>
      </c>
      <c r="AF11" s="94">
        <f>IF($Y$1="Off",((Data!$AJ$15*LN('Net zero Intermediate calcs'!AF2))+Data!$AK$15),IF($Y$1="PQ",'Net zero supporting data'!I100,IF($Y$1="GS",'Net zero supporting data'!I64,'Net zero supporting data'!I83)))</f>
        <v>36.414169878013745</v>
      </c>
      <c r="AG11" s="94">
        <f>IF($Y$1="Off",((Data!$AJ$15*LN('Net zero Intermediate calcs'!AG2))+Data!$AK$15),IF($Y$1="PQ",'Net zero supporting data'!J100,IF($Y$1="GS",'Net zero supporting data'!J64,'Net zero supporting data'!J83)))</f>
        <v>35.915380505953848</v>
      </c>
      <c r="AH11" s="94">
        <f>IF($Y$1="Off",((Data!$AJ$15*LN('Net zero Intermediate calcs'!AH2))+Data!$AK$15),IF($Y$1="PQ",'Net zero supporting data'!K100,IF($Y$1="GS",'Net zero supporting data'!K64,'Net zero supporting data'!K83)))</f>
        <v>35.437822764182968</v>
      </c>
      <c r="AI11" s="94">
        <f>IF($Y$1="Off",((Data!$AJ$15*LN('Net zero Intermediate calcs'!AI2))+Data!$AK$15),IF($Y$1="PQ",'Net zero supporting data'!L100,IF($Y$1="GS",'Net zero supporting data'!L64,'Net zero supporting data'!L83)))</f>
        <v>34.979762704572408</v>
      </c>
      <c r="AJ11" s="94">
        <f>IF($Y$1="Off",((Data!$AJ$15*LN('Net zero Intermediate calcs'!AJ2))+Data!$AK$15),IF($Y$1="PQ",'Net zero supporting data'!M100,IF($Y$1="GS",'Net zero supporting data'!M64,'Net zero supporting data'!M83)))</f>
        <v>34.539670484285459</v>
      </c>
      <c r="AK11" s="94">
        <f>IF($Y$1="Off",((Data!$AJ$15*LN('Net zero Intermediate calcs'!AK2))+Data!$AK$15),IF($Y$1="PQ",'Net zero supporting data'!N100,IF($Y$1="GS",'Net zero supporting data'!N64,'Net zero supporting data'!N83)))</f>
        <v>34.116189537587289</v>
      </c>
      <c r="AL11" s="94">
        <f>IF($Y$1="Off",((Data!$AJ$15*LN('Net zero Intermediate calcs'!AL2))+Data!$AK$15),IF($Y$1="PQ",'Net zero supporting data'!O100,IF($Y$1="GS",'Net zero supporting data'!O64,'Net zero supporting data'!O83)))</f>
        <v>33.708111356876621</v>
      </c>
      <c r="AM11" s="94">
        <f>IF($Y$1="Off",((Data!$AJ$15*LN('Net zero Intermediate calcs'!AM2))+Data!$AK$15),IF($Y$1="PQ",'Net zero supporting data'!P100,IF($Y$1="GS",'Net zero supporting data'!P64,'Net zero supporting data'!P83)))</f>
        <v>33.314354701096654</v>
      </c>
      <c r="AN11" s="94">
        <f>IF($Y$1="Off",((Data!$AJ$15*LN('Net zero Intermediate calcs'!AN2))+Data!$AK$15),IF($Y$1="PQ",'Net zero supporting data'!Q100,IF($Y$1="GS",'Net zero supporting data'!Q64,'Net zero supporting data'!Q83)))</f>
        <v>32.933948330365602</v>
      </c>
      <c r="AO11" s="94">
        <f>IF($Y$1="Off",((Data!$AJ$15*LN('Net zero Intermediate calcs'!AO2))+Data!$AK$15),IF($Y$1="PQ",'Net zero supporting data'!R100,IF($Y$1="GS",'Net zero supporting data'!R64,'Net zero supporting data'!R83)))</f>
        <v>32.566016572659194</v>
      </c>
      <c r="AP11" s="94">
        <f>IF($Y$1="Off",((Data!$AJ$15*LN('Net zero Intermediate calcs'!AP2))+Data!$AK$15),IF($Y$1="PQ",'Net zero supporting data'!S100,IF($Y$1="GS",'Net zero supporting data'!S64,'Net zero supporting data'!S83)))</f>
        <v>32.209767182754483</v>
      </c>
      <c r="AQ11" s="94">
        <f>IF($Y$1="Off",((Data!$AJ$15*LN('Net zero Intermediate calcs'!AQ2))+Data!$AK$15),IF($Y$1="PQ",'Net zero supporting data'!T100,IF($Y$1="GS",'Net zero supporting data'!T64,'Net zero supporting data'!T83)))</f>
        <v>31.86448106998958</v>
      </c>
      <c r="AR11" s="94">
        <f>IF($Y$1="Off",((Data!$AJ$15*LN('Net zero Intermediate calcs'!AR2))+Data!$AK$15),IF($Y$1="PQ",'Net zero supporting data'!U100,IF($Y$1="GS",'Net zero supporting data'!U64,'Net zero supporting data'!U83)))</f>
        <v>31.529503559934064</v>
      </c>
      <c r="AS11" s="94">
        <f>IF($Y$1="Off",((Data!$AJ$15*LN('Net zero Intermediate calcs'!AS2))+Data!$AK$15),IF($Y$1="PQ",'Net zero supporting data'!V100,IF($Y$1="GS",'Net zero supporting data'!V64,'Net zero supporting data'!V83)))</f>
        <v>31.204236923059256</v>
      </c>
      <c r="AT11" s="94">
        <f>IF($Y$1="Off",((Data!$AJ$15*LN('Net zero Intermediate calcs'!AT2))+Data!$AK$15),IF($Y$1="PQ",'Net zero supporting data'!W100,IF($Y$1="GS",'Net zero supporting data'!W64,'Net zero supporting data'!W83)))</f>
        <v>30.888133956158804</v>
      </c>
      <c r="AU11" s="94">
        <f>IF($Y$1="Off",((Data!$AJ$15*LN('Net zero Intermediate calcs'!AU2))+Data!$AK$15),IF($Y$1="PQ",'Net zero supporting data'!X100,IF($Y$1="GS",'Net zero supporting data'!X64,'Net zero supporting data'!X83)))</f>
        <v>30.580692443381942</v>
      </c>
      <c r="AV11" s="94">
        <f>IF($Y$1="Off",((Data!$AJ$15*LN('Net zero Intermediate calcs'!AV2))+Data!$AK$15),IF($Y$1="PQ",'Net zero supporting data'!Y100,IF($Y$1="GS",'Net zero supporting data'!Y64,'Net zero supporting data'!Y83)))</f>
        <v>30.281450356077684</v>
      </c>
      <c r="AW11" s="94">
        <f>IF($Y$1="Off",((Data!$AJ$15*LN('Net zero Intermediate calcs'!AW2))+Data!$AK$15),IF($Y$1="PQ",'Net zero supporting data'!Z100,IF($Y$1="GS",'Net zero supporting data'!Z64,'Net zero supporting data'!Z83)))</f>
        <v>29.989981676261287</v>
      </c>
      <c r="AX11" s="94">
        <f>IF($Y$1="Off",((Data!$AJ$15*LN('Net zero Intermediate calcs'!AX2))+Data!$AK$15),IF($Y$1="PQ",'Net zero supporting data'!AA100,IF($Y$1="GS",'Net zero supporting data'!AA64,'Net zero supporting data'!AA83)))</f>
        <v>29.705892748937117</v>
      </c>
      <c r="AY11" s="94">
        <f>IF($Y$1="Off",((Data!$AJ$15*LN('Net zero Intermediate calcs'!AY2))+Data!$AK$15),IF($Y$1="PQ",'Net zero supporting data'!AB100,IF($Y$1="GS",'Net zero supporting data'!AB64,'Net zero supporting data'!AB83)))</f>
        <v>29.428819084898628</v>
      </c>
      <c r="AZ11" s="94">
        <f>IF($Y$1="Off",((Data!$AJ$15*LN('Net zero Intermediate calcs'!AZ2))+Data!$AK$15),IF($Y$1="PQ",'Net zero supporting data'!AC100,IF($Y$1="GS",'Net zero supporting data'!AC64,'Net zero supporting data'!AC83)))</f>
        <v>29.15842254885245</v>
      </c>
      <c r="BA11" s="94">
        <f>IF($Y$1="Off",((Data!$AJ$15*LN('Net zero Intermediate calcs'!BA2))+Data!$AK$15),IF($Y$1="PQ",'Net zero supporting data'!AD100,IF($Y$1="GS",'Net zero supporting data'!AD64,'Net zero supporting data'!AD83)))</f>
        <v>28.894388878448822</v>
      </c>
      <c r="BB11" s="94">
        <f>IF($Y$1="Off",((Data!$AJ$15*LN('Net zero Intermediate calcs'!BB2))+Data!$AK$15),IF($Y$1="PQ",'Net zero supporting data'!AE100,IF($Y$1="GS",'Net zero supporting data'!AE64,'Net zero supporting data'!AE83)))</f>
        <v>28.636425488561088</v>
      </c>
      <c r="BC11" s="94">
        <f>IF($Y$1="Off",((Data!$AJ$15*LN('Net zero Intermediate calcs'!BC2))+Data!$AK$15),IF($Y$1="PQ",'Net zero supporting data'!AF100,IF($Y$1="GS",'Net zero supporting data'!AF64,'Net zero supporting data'!AF83)))</f>
        <v>28.384259522341438</v>
      </c>
      <c r="BD11" s="94">
        <f>IF($Y$1="Off",((Data!$AJ$15*LN('Net zero Intermediate calcs'!BD2))+Data!$AK$15),IF($Y$1="PQ",'Net zero supporting data'!AG100,IF($Y$1="GS",'Net zero supporting data'!AG64,'Net zero supporting data'!AG83)))</f>
        <v>28.137636116501191</v>
      </c>
      <c r="BE11" s="94">
        <f>IF($Y$1="Off",((Data!$AJ$15*LN('Net zero Intermediate calcs'!BE2))+Data!$AK$15),IF($Y$1="PQ",'Net zero supporting data'!AH100,IF($Y$1="GS",'Net zero supporting data'!AH64,'Net zero supporting data'!AH83)))</f>
        <v>27.896316853165743</v>
      </c>
      <c r="BF11" s="94">
        <f>IF($Y$1="Off",((Data!$AJ$15*LN('Net zero Intermediate calcs'!BF2))+Data!$AK$15),IF($Y$1="PQ",'Net zero supporting data'!AI100,IF($Y$1="GS",'Net zero supporting data'!AI64,'Net zero supporting data'!AI83)))</f>
        <v>27.660078374730311</v>
      </c>
      <c r="BG11" s="94">
        <f>IF($Y$1="Off",((Data!$AJ$15*LN('Net zero Intermediate calcs'!BG2))+Data!$AK$15),IF($Y$1="PQ",'Net zero supporting data'!AJ100,IF($Y$1="GS",'Net zero supporting data'!AJ64,'Net zero supporting data'!AJ83)))</f>
        <v>27.428711141546103</v>
      </c>
      <c r="BH11" s="94">
        <f>IF($Y$1="Off",((Data!$AJ$15*LN('Net zero Intermediate calcs'!BH2))+Data!$AK$15),IF($Y$1="PQ",'Net zero supporting data'!AK100,IF($Y$1="GS",'Net zero supporting data'!AK64,'Net zero supporting data'!AK83)))</f>
        <v>27.202018315119751</v>
      </c>
      <c r="BI11" s="94">
        <f>IF($Y$1="Off",((Data!$AJ$15*LN('Net zero Intermediate calcs'!BI2))+Data!$AK$15),IF($Y$1="PQ",'Net zero supporting data'!AL100,IF($Y$1="GS",'Net zero supporting data'!AL64,'Net zero supporting data'!AL83)))</f>
        <v>26.979814751909899</v>
      </c>
      <c r="BJ11" s="94">
        <f>IF($Y$1="Off",((Data!$AJ$15*LN('Net zero Intermediate calcs'!BJ2))+Data!$AK$15),IF($Y$1="PQ",'Net zero supporting data'!AM100,IF($Y$1="GS",'Net zero supporting data'!AM64,'Net zero supporting data'!AM83)))</f>
        <v>26.761926094832795</v>
      </c>
      <c r="BK11" s="94">
        <f>IF($Y$1="Off",((Data!$AJ$15*LN('Net zero Intermediate calcs'!BK2))+Data!$AK$15),IF($Y$1="PQ",'Net zero supporting data'!AN100,IF($Y$1="GS",'Net zero supporting data'!AN64,'Net zero supporting data'!AN83)))</f>
        <v>26.548187951307732</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1952293.7553922522</v>
      </c>
      <c r="Z12" s="22">
        <f>((Data!$AJ$6*'Net zero Intermediate calcs'!Z4)+Data!$AK$6)*Drivers!AA4</f>
        <v>1989214.0809840127</v>
      </c>
      <c r="AA12" s="22">
        <f>((Data!$AJ$6*'Net zero Intermediate calcs'!AA4)+Data!$AK$6)*Drivers!AB4</f>
        <v>2031584.5891224523</v>
      </c>
      <c r="AB12" s="22">
        <f>((Data!$AJ$6*'Net zero Intermediate calcs'!AB4)+Data!$AK$6)*Drivers!AC4</f>
        <v>2065795.7253002259</v>
      </c>
      <c r="AC12" s="22">
        <f>((Data!$AJ$6*'Net zero Intermediate calcs'!AC4)+Data!$AK$6)*Drivers!AD4</f>
        <v>2094779.0652397452</v>
      </c>
      <c r="AD12" s="22">
        <f>((Data!$AJ$6*'Net zero Intermediate calcs'!AD4)+Data!$AK$6)*Drivers!AE4</f>
        <v>2118412.1564230556</v>
      </c>
      <c r="AE12" s="22">
        <f>((Data!$AJ$6*'Net zero Intermediate calcs'!AE4)+Data!$AK$6)*Drivers!AF4</f>
        <v>2146845.3123571593</v>
      </c>
      <c r="AF12" s="22">
        <f>((Data!$AJ$6*'Net zero Intermediate calcs'!AF4)+Data!$AK$6)*Drivers!AG4</f>
        <v>2176243.6654550009</v>
      </c>
      <c r="AG12" s="22">
        <f>((Data!$AJ$6*'Net zero Intermediate calcs'!AG4)+Data!$AK$6)*Drivers!AH4</f>
        <v>2112664.6254841024</v>
      </c>
      <c r="AH12" s="22">
        <f>((Data!$AJ$6*'Net zero Intermediate calcs'!AH4)+Data!$AK$6)*Drivers!AI4</f>
        <v>2177035.1178663955</v>
      </c>
      <c r="AI12" s="22">
        <f>((Data!$AJ$6*'Net zero Intermediate calcs'!AI4)+Data!$AK$6)*Drivers!AJ4</f>
        <v>4247548.4144928819</v>
      </c>
      <c r="AJ12" s="22">
        <f>((Data!$AJ$6*'Net zero Intermediate calcs'!AJ4)+Data!$AK$6)*Drivers!AK4</f>
        <v>4334100.8083033757</v>
      </c>
      <c r="AK12" s="22">
        <f>((Data!$AJ$6*'Net zero Intermediate calcs'!AK4)+Data!$AK$6)*Drivers!AL4</f>
        <v>4417928.1916928254</v>
      </c>
      <c r="AL12" s="22">
        <f>((Data!$AJ$6*'Net zero Intermediate calcs'!AL4)+Data!$AK$6)*Drivers!AM4</f>
        <v>4498035.5282044597</v>
      </c>
      <c r="AM12" s="22">
        <f>((Data!$AJ$6*'Net zero Intermediate calcs'!AM4)+Data!$AK$6)*Drivers!AN4</f>
        <v>4572944.7781088324</v>
      </c>
      <c r="AN12" s="22">
        <f>((Data!$AJ$6*'Net zero Intermediate calcs'!AN4)+Data!$AK$6)*Drivers!AO4</f>
        <v>4642371.9120897977</v>
      </c>
      <c r="AO12" s="22">
        <f>((Data!$AJ$6*'Net zero Intermediate calcs'!AO4)+Data!$AK$6)*Drivers!AP4</f>
        <v>4706003.8959987601</v>
      </c>
      <c r="AP12" s="22">
        <f>((Data!$AJ$6*'Net zero Intermediate calcs'!AP4)+Data!$AK$6)*Drivers!AQ4</f>
        <v>4763587.2248669965</v>
      </c>
      <c r="AQ12" s="22">
        <f>((Data!$AJ$6*'Net zero Intermediate calcs'!AQ4)+Data!$AK$6)*Drivers!AR4</f>
        <v>4814907.0662420532</v>
      </c>
      <c r="AR12" s="22">
        <f>((Data!$AJ$6*'Net zero Intermediate calcs'!AR4)+Data!$AK$6)*Drivers!AS4</f>
        <v>4859739.4186851867</v>
      </c>
      <c r="AS12" s="22">
        <f>((Data!$AJ$6*'Net zero Intermediate calcs'!AS4)+Data!$AK$6)*Drivers!AT4</f>
        <v>4897925.3354718061</v>
      </c>
      <c r="AT12" s="22">
        <f>((Data!$AJ$6*'Net zero Intermediate calcs'!AT4)+Data!$AK$6)*Drivers!AU4</f>
        <v>4929309.8416947834</v>
      </c>
      <c r="AU12" s="22">
        <f>((Data!$AJ$6*'Net zero Intermediate calcs'!AU4)+Data!$AK$6)*Drivers!AV4</f>
        <v>4953741.184714024</v>
      </c>
      <c r="AV12" s="22">
        <f>((Data!$AJ$6*'Net zero Intermediate calcs'!AV4)+Data!$AK$6)*Drivers!AW4</f>
        <v>4971143.4538005879</v>
      </c>
      <c r="AW12" s="22">
        <f>((Data!$AJ$6*'Net zero Intermediate calcs'!AW4)+Data!$AK$6)*Drivers!AX4</f>
        <v>4981486.7300152462</v>
      </c>
      <c r="AX12" s="22">
        <f>((Data!$AJ$6*'Net zero Intermediate calcs'!AX4)+Data!$AK$6)*Drivers!AY4</f>
        <v>1133240.1372872726</v>
      </c>
      <c r="AY12" s="22">
        <f>((Data!$AJ$6*'Net zero Intermediate calcs'!AY4)+Data!$AK$6)*Drivers!AZ4</f>
        <v>1141207.5127442866</v>
      </c>
      <c r="AZ12" s="22">
        <f>((Data!$AJ$6*'Net zero Intermediate calcs'!AZ4)+Data!$AK$6)*Drivers!BA4</f>
        <v>1148977.1177055305</v>
      </c>
      <c r="BA12" s="22">
        <f>((Data!$AJ$6*'Net zero Intermediate calcs'!BA4)+Data!$AK$6)*Drivers!BB4</f>
        <v>1156560.6813665845</v>
      </c>
      <c r="BB12" s="22">
        <f>((Data!$AJ$6*'Net zero Intermediate calcs'!BB4)+Data!$AK$6)*Drivers!BC4</f>
        <v>1163971.7246530463</v>
      </c>
      <c r="BC12" s="22">
        <f>((Data!$AJ$6*'Net zero Intermediate calcs'!BC4)+Data!$AK$6)*Drivers!BD4</f>
        <v>1171179.7881546121</v>
      </c>
      <c r="BD12" s="22">
        <f>((Data!$AJ$6*'Net zero Intermediate calcs'!BD4)+Data!$AK$6)*Drivers!BE4</f>
        <v>1178164.8144491371</v>
      </c>
      <c r="BE12" s="22">
        <f>((Data!$AJ$6*'Net zero Intermediate calcs'!BE4)+Data!$AK$6)*Drivers!BF4</f>
        <v>1184925.327018366</v>
      </c>
      <c r="BF12" s="22">
        <f>((Data!$AJ$6*'Net zero Intermediate calcs'!BF4)+Data!$AK$6)*Drivers!BG4</f>
        <v>1191437.4361287267</v>
      </c>
      <c r="BG12" s="22">
        <f>((Data!$AJ$6*'Net zero Intermediate calcs'!BG4)+Data!$AK$6)*Drivers!BH4</f>
        <v>1197674.5478615284</v>
      </c>
      <c r="BH12" s="22">
        <f>((Data!$AJ$6*'Net zero Intermediate calcs'!BH4)+Data!$AK$6)*Drivers!BI4</f>
        <v>1203634.3396037847</v>
      </c>
      <c r="BI12" s="22">
        <f>((Data!$AJ$6*'Net zero Intermediate calcs'!BI4)+Data!$AK$6)*Drivers!BJ4</f>
        <v>1209321.854743694</v>
      </c>
      <c r="BJ12" s="22">
        <f>((Data!$AJ$6*'Net zero Intermediate calcs'!BJ4)+Data!$AK$6)*Drivers!BK4</f>
        <v>1214740.8592323123</v>
      </c>
      <c r="BK12" s="22">
        <f>((Data!$AJ$6*'Net zero Intermediate calcs'!BK4)+Data!$AK$6)*Drivers!BL4</f>
        <v>1219865.4227546589</v>
      </c>
      <c r="BL12">
        <v>3795265.5831033587</v>
      </c>
    </row>
    <row r="13" spans="1:67" x14ac:dyDescent="0.25">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37.310608777805804</v>
      </c>
      <c r="Z13" s="45">
        <f>Z12*ttokg/Drivers!AA4</f>
        <v>37.458564417111091</v>
      </c>
      <c r="AA13" s="45">
        <f>AA12*ttokg/Drivers!AB4</f>
        <v>37.68309112514838</v>
      </c>
      <c r="AB13" s="45">
        <f>AB12*ttokg/Drivers!AC4</f>
        <v>37.731090083648787</v>
      </c>
      <c r="AC13" s="45">
        <f>AC12*ttokg/Drivers!AD4</f>
        <v>37.662375175971533</v>
      </c>
      <c r="AD13" s="45">
        <f>AD12*ttokg/Drivers!AE4</f>
        <v>37.47946116192081</v>
      </c>
      <c r="AE13" s="45">
        <f>AE12*ttokg/Drivers!AF4</f>
        <v>37.37804320084453</v>
      </c>
      <c r="AF13" s="45">
        <f>AF12*ttokg/Drivers!AG4</f>
        <v>37.286898324481022</v>
      </c>
      <c r="AG13" s="45">
        <f>AG12*ttokg/Drivers!AH4</f>
        <v>35.928493048945533</v>
      </c>
      <c r="AH13" s="45">
        <f>AH12*ttokg/Drivers!AI4</f>
        <v>36.655202229085184</v>
      </c>
      <c r="AI13" s="45">
        <f>AI12*ttokg/Drivers!AJ4</f>
        <v>70.91789778694239</v>
      </c>
      <c r="AJ13" s="45">
        <f>AJ12*ttokg/Drivers!AK4</f>
        <v>71.739419626090992</v>
      </c>
      <c r="AK13" s="45">
        <f>AK12*ttokg/Drivers!AL4</f>
        <v>72.401051967557208</v>
      </c>
      <c r="AL13" s="45">
        <f>AL12*ttokg/Drivers!AM4</f>
        <v>72.933530403717953</v>
      </c>
      <c r="AM13" s="45">
        <f>AM12*ttokg/Drivers!AN4</f>
        <v>73.396066377694311</v>
      </c>
      <c r="AN13" s="45">
        <f>AN12*ttokg/Drivers!AO4</f>
        <v>73.783405805812009</v>
      </c>
      <c r="AO13" s="45">
        <f>AO12*ttokg/Drivers!AP4</f>
        <v>74.093376281195759</v>
      </c>
      <c r="AP13" s="45">
        <f>AP12*ttokg/Drivers!AQ4</f>
        <v>74.32220088022018</v>
      </c>
      <c r="AQ13" s="45">
        <f>AQ12*ttokg/Drivers!AR4</f>
        <v>74.465834063938246</v>
      </c>
      <c r="AR13" s="45">
        <f>AR12*ttokg/Drivers!AS4</f>
        <v>74.52270659461621</v>
      </c>
      <c r="AS13" s="45">
        <f>AS12*ttokg/Drivers!AT4</f>
        <v>74.489848321753826</v>
      </c>
      <c r="AT13" s="45">
        <f>AT12*ttokg/Drivers!AU4</f>
        <v>74.366299355262285</v>
      </c>
      <c r="AU13" s="45">
        <f>AU12*ttokg/Drivers!AV4</f>
        <v>74.153176473467937</v>
      </c>
      <c r="AV13" s="45">
        <f>AV12*ttokg/Drivers!AW4</f>
        <v>73.849921736354943</v>
      </c>
      <c r="AW13" s="45">
        <f>AW12*ttokg/Drivers!AX4</f>
        <v>73.455993446484712</v>
      </c>
      <c r="AX13" s="45">
        <f>AX12*ttokg/Drivers!AY4</f>
        <v>16.590092758160893</v>
      </c>
      <c r="AY13" s="45">
        <f>AY12*ttokg/Drivers!AZ4</f>
        <v>16.590092758160889</v>
      </c>
      <c r="AZ13" s="45">
        <f>AZ12*ttokg/Drivers!BA4</f>
        <v>16.590092758160889</v>
      </c>
      <c r="BA13" s="45">
        <f>BA12*ttokg/Drivers!BB4</f>
        <v>16.590092758160889</v>
      </c>
      <c r="BB13" s="45">
        <f>BB12*ttokg/Drivers!BC4</f>
        <v>16.590092758160889</v>
      </c>
      <c r="BC13" s="45">
        <f>BC12*ttokg/Drivers!BD4</f>
        <v>16.590092758160889</v>
      </c>
      <c r="BD13" s="45">
        <f>BD12*ttokg/Drivers!BE4</f>
        <v>16.590092758160889</v>
      </c>
      <c r="BE13" s="45">
        <f>BE12*ttokg/Drivers!BF4</f>
        <v>16.590092758160889</v>
      </c>
      <c r="BF13" s="45">
        <f>BF12*ttokg/Drivers!BG4</f>
        <v>16.590092758160889</v>
      </c>
      <c r="BG13" s="45">
        <f>BG12*ttokg/Drivers!BH4</f>
        <v>16.590092758160889</v>
      </c>
      <c r="BH13" s="45">
        <f>BH12*ttokg/Drivers!BI4</f>
        <v>16.590092758160893</v>
      </c>
      <c r="BI13" s="45">
        <f>BI12*ttokg/Drivers!BJ4</f>
        <v>16.590092758160893</v>
      </c>
      <c r="BJ13" s="45">
        <f>BJ12*ttokg/Drivers!BK4</f>
        <v>16.590092758160889</v>
      </c>
      <c r="BK13" s="45">
        <f>BK12*ttokg/Drivers!BL4</f>
        <v>16.590092758160889</v>
      </c>
      <c r="BL13">
        <v>50.256436652233361</v>
      </c>
    </row>
    <row r="14" spans="1:67" x14ac:dyDescent="0.25">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1.7779325797120531E-2</v>
      </c>
      <c r="Z14" s="22">
        <f>((Data!$AJ$6*LN('Net zero Intermediate calcs'!Z4))+Data!$AK$6)</f>
        <v>1.7781283866762018E-2</v>
      </c>
      <c r="AA14" s="22">
        <f>((Data!$AJ$6*LN('Net zero Intermediate calcs'!AA4))+Data!$AK$6)</f>
        <v>1.7784228929748909E-2</v>
      </c>
      <c r="AB14" s="22">
        <f>((Data!$AJ$6*LN('Net zero Intermediate calcs'!AB4))+Data!$AK$6)</f>
        <v>1.7784854452280716E-2</v>
      </c>
      <c r="AC14" s="22">
        <f>((Data!$AJ$6*LN('Net zero Intermediate calcs'!AC4))+Data!$AK$6)</f>
        <v>1.7783958519590005E-2</v>
      </c>
      <c r="AD14" s="22">
        <f>((Data!$AJ$6*LN('Net zero Intermediate calcs'!AD4))+Data!$AK$6)</f>
        <v>1.778155929836972E-2</v>
      </c>
      <c r="AE14" s="22">
        <f>((Data!$AJ$6*LN('Net zero Intermediate calcs'!AE4))+Data!$AK$6)</f>
        <v>1.7780219963770535E-2</v>
      </c>
      <c r="AF14" s="22">
        <f>((Data!$AJ$6*LN('Net zero Intermediate calcs'!AF4))+Data!$AK$6)</f>
        <v>1.7779010709730363E-2</v>
      </c>
      <c r="AG14" s="22">
        <f>((Data!$AJ$6*LN('Net zero Intermediate calcs'!AG4))+Data!$AK$6)</f>
        <v>1.7760328546277983E-2</v>
      </c>
      <c r="AH14" s="22">
        <f>((Data!$AJ$6*LN('Net zero Intermediate calcs'!AH4))+Data!$AK$6)</f>
        <v>1.7770480464586985E-2</v>
      </c>
      <c r="AI14" s="22">
        <f>((Data!$AJ$6*LN('Net zero Intermediate calcs'!AI4))+Data!$AK$6)</f>
        <v>1.80445910994162E-2</v>
      </c>
      <c r="AJ14" s="22">
        <f>((Data!$AJ$6*LN('Net zero Intermediate calcs'!AJ4))+Data!$AK$6)</f>
        <v>1.8048721355525123E-2</v>
      </c>
      <c r="AK14" s="22">
        <f>((Data!$AJ$6*LN('Net zero Intermediate calcs'!AK4))+Data!$AK$6)</f>
        <v>1.8052003271316792E-2</v>
      </c>
      <c r="AL14" s="22">
        <f>((Data!$AJ$6*LN('Net zero Intermediate calcs'!AL4))+Data!$AK$6)</f>
        <v>1.8054616407912429E-2</v>
      </c>
      <c r="AM14" s="22">
        <f>((Data!$AJ$6*LN('Net zero Intermediate calcs'!AM4))+Data!$AK$6)</f>
        <v>1.8056866336659261E-2</v>
      </c>
      <c r="AN14" s="22">
        <f>((Data!$AJ$6*LN('Net zero Intermediate calcs'!AN4))+Data!$AK$6)</f>
        <v>1.8058736434689197E-2</v>
      </c>
      <c r="AO14" s="22">
        <f>((Data!$AJ$6*LN('Net zero Intermediate calcs'!AO4))+Data!$AK$6)</f>
        <v>1.8060223890195785E-2</v>
      </c>
      <c r="AP14" s="22">
        <f>((Data!$AJ$6*LN('Net zero Intermediate calcs'!AP4))+Data!$AK$6)</f>
        <v>1.8061316815615059E-2</v>
      </c>
      <c r="AQ14" s="22">
        <f>((Data!$AJ$6*LN('Net zero Intermediate calcs'!AQ4))+Data!$AK$6)</f>
        <v>1.8062000634068306E-2</v>
      </c>
      <c r="AR14" s="22">
        <f>((Data!$AJ$6*LN('Net zero Intermediate calcs'!AR4))+Data!$AK$6)</f>
        <v>1.8062270927706237E-2</v>
      </c>
      <c r="AS14" s="22">
        <f>((Data!$AJ$6*LN('Net zero Intermediate calcs'!AS4))+Data!$AK$6)</f>
        <v>1.8062114797141149E-2</v>
      </c>
      <c r="AT14" s="22">
        <f>((Data!$AJ$6*LN('Net zero Intermediate calcs'!AT4))+Data!$AK$6)</f>
        <v>1.8061526943395613E-2</v>
      </c>
      <c r="AU14" s="22">
        <f>((Data!$AJ$6*LN('Net zero Intermediate calcs'!AU4))+Data!$AK$6)</f>
        <v>1.8060509930575251E-2</v>
      </c>
      <c r="AV14" s="22">
        <f>((Data!$AJ$6*LN('Net zero Intermediate calcs'!AV4))+Data!$AK$6)</f>
        <v>1.8059056302935014E-2</v>
      </c>
      <c r="AW14" s="22">
        <f>((Data!$AJ$6*LN('Net zero Intermediate calcs'!AW4))+Data!$AK$6)</f>
        <v>1.8057156500427791E-2</v>
      </c>
      <c r="AX14" s="22" t="e">
        <f>((Data!$AJ$6*LN('Net zero Intermediate calcs'!AX4))+Data!$AK$6)</f>
        <v>#NUM!</v>
      </c>
      <c r="AY14" s="22" t="e">
        <f>((Data!$AJ$6*LN('Net zero Intermediate calcs'!AY4))+Data!$AK$6)</f>
        <v>#NUM!</v>
      </c>
      <c r="AZ14" s="22" t="e">
        <f>((Data!$AJ$6*LN('Net zero Intermediate calcs'!AZ4))+Data!$AK$6)</f>
        <v>#NUM!</v>
      </c>
      <c r="BA14" s="22" t="e">
        <f>((Data!$AJ$6*LN('Net zero Intermediate calcs'!BA4))+Data!$AK$6)</f>
        <v>#NUM!</v>
      </c>
      <c r="BB14" s="22" t="e">
        <f>((Data!$AJ$6*LN('Net zero Intermediate calcs'!BB4))+Data!$AK$6)</f>
        <v>#NUM!</v>
      </c>
      <c r="BC14" s="22" t="e">
        <f>((Data!$AJ$6*LN('Net zero Intermediate calcs'!BC4))+Data!$AK$6)</f>
        <v>#NUM!</v>
      </c>
      <c r="BD14" s="22" t="e">
        <f>((Data!$AJ$6*LN('Net zero Intermediate calcs'!BD4))+Data!$AK$6)</f>
        <v>#NUM!</v>
      </c>
      <c r="BE14" s="22" t="e">
        <f>((Data!$AJ$6*LN('Net zero Intermediate calcs'!BE4))+Data!$AK$6)</f>
        <v>#NUM!</v>
      </c>
      <c r="BF14" s="22" t="e">
        <f>((Data!$AJ$6*LN('Net zero Intermediate calcs'!BF4))+Data!$AK$6)</f>
        <v>#NUM!</v>
      </c>
      <c r="BG14" s="22" t="e">
        <f>((Data!$AJ$6*LN('Net zero Intermediate calcs'!BG4))+Data!$AK$6)</f>
        <v>#NUM!</v>
      </c>
      <c r="BH14" s="22" t="e">
        <f>((Data!$AJ$6*LN('Net zero Intermediate calcs'!BH4))+Data!$AK$6)</f>
        <v>#NUM!</v>
      </c>
      <c r="BI14" s="22" t="e">
        <f>((Data!$AJ$6*LN('Net zero Intermediate calcs'!BI4))+Data!$AK$6)</f>
        <v>#NUM!</v>
      </c>
      <c r="BJ14" s="22" t="e">
        <f>((Data!$AJ$6*LN('Net zero Intermediate calcs'!BJ4))+Data!$AK$6)</f>
        <v>#NUM!</v>
      </c>
      <c r="BK14" s="22" t="e">
        <f>((Data!$AJ$6*LN('Net zero Intermediate calcs'!BK4))+Data!$AK$6)</f>
        <v>#NUM!</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2896085.5151347183</v>
      </c>
      <c r="AA15" s="22">
        <f>((Data!$AJ$17*'Net zero Intermediate calcs'!AA12)+Data!$AK$17)</f>
        <v>2942445.3105118945</v>
      </c>
      <c r="AB15" s="22">
        <f>((Data!$AJ$17*'Net zero Intermediate calcs'!AB12)+Data!$AK$17)</f>
        <v>2979877.5090505611</v>
      </c>
      <c r="AC15" s="22">
        <f>((Data!$AJ$17*'Net zero Intermediate calcs'!AC12)+Data!$AK$17)</f>
        <v>3011589.701515968</v>
      </c>
      <c r="AD15" s="22">
        <f>((Data!$AJ$17*'Net zero Intermediate calcs'!AD12)+Data!$AK$17)</f>
        <v>3037447.9061853243</v>
      </c>
      <c r="AE15" s="22">
        <f>((Data!$AJ$17*'Net zero Intermediate calcs'!AE12)+Data!$AK$17)</f>
        <v>3068558.1134720882</v>
      </c>
      <c r="AF15" s="22">
        <f>((Data!$AJ$17*'Net zero Intermediate calcs'!AF12)+Data!$AK$17)</f>
        <v>3100724.3936023349</v>
      </c>
      <c r="AG15" s="22">
        <f>((Data!$AJ$17*'Net zero Intermediate calcs'!AG12)+Data!$AK$17)</f>
        <v>3031159.231114842</v>
      </c>
      <c r="AH15" s="22">
        <f>((Data!$AJ$17*'Net zero Intermediate calcs'!AH12)+Data!$AK$17)</f>
        <v>3101590.3631989965</v>
      </c>
      <c r="AI15" s="22">
        <f>((Data!$AJ$17*'Net zero Intermediate calcs'!AI12)+Data!$AK$17)</f>
        <v>5367047.5638466096</v>
      </c>
      <c r="AJ15" s="22">
        <f>((Data!$AJ$17*'Net zero Intermediate calcs'!AJ12)+Data!$AK$17)</f>
        <v>5461749.0777710788</v>
      </c>
      <c r="AK15" s="22">
        <f>((Data!$AJ$17*'Net zero Intermediate calcs'!AK12)+Data!$AK$17)</f>
        <v>5553469.0148613136</v>
      </c>
      <c r="AL15" s="22">
        <f>((Data!$AJ$17*'Net zero Intermediate calcs'!AL12)+Data!$AK$17)</f>
        <v>5641118.6535381917</v>
      </c>
      <c r="AM15" s="22">
        <f>((Data!$AJ$17*'Net zero Intermediate calcs'!AM12)+Data!$AK$17)</f>
        <v>5723080.7930074111</v>
      </c>
      <c r="AN15" s="22">
        <f>((Data!$AJ$17*'Net zero Intermediate calcs'!AN12)+Data!$AK$17)</f>
        <v>5799044.6618962362</v>
      </c>
      <c r="AO15" s="22">
        <f>((Data!$AJ$17*'Net zero Intermediate calcs'!AO12)+Data!$AK$17)</f>
        <v>5868667.7531233858</v>
      </c>
      <c r="AP15" s="22">
        <f>((Data!$AJ$17*'Net zero Intermediate calcs'!AP12)+Data!$AK$17)</f>
        <v>5931672.693605707</v>
      </c>
      <c r="AQ15" s="22">
        <f>((Data!$AJ$17*'Net zero Intermediate calcs'!AQ12)+Data!$AK$17)</f>
        <v>5987824.423888552</v>
      </c>
      <c r="AR15" s="22">
        <f>((Data!$AJ$17*'Net zero Intermediate calcs'!AR12)+Data!$AK$17)</f>
        <v>6036877.8522484433</v>
      </c>
      <c r="AS15" s="22">
        <f>((Data!$AJ$17*'Net zero Intermediate calcs'!AS12)+Data!$AK$17)</f>
        <v>6078659.0667369114</v>
      </c>
      <c r="AT15" s="22">
        <f>((Data!$AJ$17*'Net zero Intermediate calcs'!AT12)+Data!$AK$17)</f>
        <v>6112998.5011793077</v>
      </c>
      <c r="AU15" s="22">
        <f>((Data!$AJ$17*'Net zero Intermediate calcs'!AU12)+Data!$AK$17)</f>
        <v>6139730.1150523555</v>
      </c>
      <c r="AV15" s="22">
        <f>((Data!$AJ$17*'Net zero Intermediate calcs'!AV12)+Data!$AK$17)</f>
        <v>6158770.8504458433</v>
      </c>
      <c r="AW15" s="22">
        <f>((Data!$AJ$17*'Net zero Intermediate calcs'!AW12)+Data!$AK$17)</f>
        <v>6170087.9714790499</v>
      </c>
      <c r="AX15" s="22">
        <f>((Data!$AJ$17*'Net zero Intermediate calcs'!AX12)+Data!$AK$17)</f>
        <v>1959519.5256894764</v>
      </c>
      <c r="AY15" s="22">
        <f>((Data!$AJ$17*'Net zero Intermediate calcs'!AY12)+Data!$AK$17)</f>
        <v>1968237.0490827162</v>
      </c>
      <c r="AZ15" s="22">
        <f>((Data!$AJ$17*'Net zero Intermediate calcs'!AZ12)+Data!$AK$17)</f>
        <v>1976738.1814030525</v>
      </c>
      <c r="BA15" s="22">
        <f>((Data!$AJ$17*'Net zero Intermediate calcs'!BA12)+Data!$AK$17)</f>
        <v>1985035.7561785907</v>
      </c>
      <c r="BB15" s="22">
        <f>((Data!$AJ$17*'Net zero Intermediate calcs'!BB12)+Data!$AK$17)</f>
        <v>1993144.5673632284</v>
      </c>
      <c r="BC15" s="22">
        <f>((Data!$AJ$17*'Net zero Intermediate calcs'!BC12)+Data!$AK$17)</f>
        <v>2001031.2877184916</v>
      </c>
      <c r="BD15" s="22">
        <f>((Data!$AJ$17*'Net zero Intermediate calcs'!BD12)+Data!$AK$17)</f>
        <v>2008673.9713667578</v>
      </c>
      <c r="BE15" s="22">
        <f>((Data!$AJ$17*'Net zero Intermediate calcs'!BE12)+Data!$AK$17)</f>
        <v>2016071.0027719568</v>
      </c>
      <c r="BF15" s="22">
        <f>((Data!$AJ$17*'Net zero Intermediate calcs'!BF12)+Data!$AK$17)</f>
        <v>2023196.2429235205</v>
      </c>
      <c r="BG15" s="22">
        <f>((Data!$AJ$17*'Net zero Intermediate calcs'!BG12)+Data!$AK$17)</f>
        <v>2030020.5940201019</v>
      </c>
      <c r="BH15" s="22">
        <f>((Data!$AJ$17*'Net zero Intermediate calcs'!BH12)+Data!$AK$17)</f>
        <v>2036541.5147690065</v>
      </c>
      <c r="BI15" s="22">
        <f>((Data!$AJ$17*'Net zero Intermediate calcs'!BI12)+Data!$AK$17)</f>
        <v>2042764.5234057987</v>
      </c>
      <c r="BJ15" s="22">
        <f>((Data!$AJ$17*'Net zero Intermediate calcs'!BJ12)+Data!$AK$17)</f>
        <v>2048693.7404550612</v>
      </c>
      <c r="BK15" s="22">
        <f>((Data!$AJ$17*'Net zero Intermediate calcs'!BK12)+Data!$AK$17)</f>
        <v>2054300.7941990732</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176620.85105108059</v>
      </c>
      <c r="AH18" s="22">
        <f t="shared" si="3"/>
        <v>177878.64231482797</v>
      </c>
      <c r="AI18" s="22">
        <f t="shared" si="3"/>
        <v>181395.24587462499</v>
      </c>
      <c r="AJ18" s="22">
        <f t="shared" si="3"/>
        <v>182540.65816068763</v>
      </c>
      <c r="AK18" s="22">
        <f t="shared" si="3"/>
        <v>183852.84501564733</v>
      </c>
      <c r="AL18" s="22">
        <f t="shared" si="3"/>
        <v>185254.7004173914</v>
      </c>
      <c r="AM18" s="22">
        <f t="shared" si="3"/>
        <v>186608.47625420813</v>
      </c>
      <c r="AN18" s="22">
        <f t="shared" si="3"/>
        <v>187919.46470973082</v>
      </c>
      <c r="AO18" s="22">
        <f t="shared" si="3"/>
        <v>189186.86603374957</v>
      </c>
      <c r="AP18" s="22">
        <f t="shared" si="3"/>
        <v>190414.2390208806</v>
      </c>
      <c r="AQ18" s="22">
        <f t="shared" si="3"/>
        <v>191606.66214019965</v>
      </c>
      <c r="AR18" s="22">
        <f t="shared" si="3"/>
        <v>192764.634714129</v>
      </c>
      <c r="AS18" s="22">
        <f t="shared" si="3"/>
        <v>193892.85546432604</v>
      </c>
      <c r="AT18" s="22">
        <f t="shared" si="3"/>
        <v>194992.56895460986</v>
      </c>
      <c r="AU18" s="22">
        <f t="shared" si="3"/>
        <v>196061.28492497114</v>
      </c>
      <c r="AV18" s="22">
        <f t="shared" si="3"/>
        <v>197101.45897338053</v>
      </c>
      <c r="AW18" s="22">
        <f t="shared" si="3"/>
        <v>198116.74354957693</v>
      </c>
      <c r="AX18" s="22">
        <f t="shared" si="3"/>
        <v>194427.59579952547</v>
      </c>
      <c r="AY18" s="22">
        <f t="shared" si="3"/>
        <v>195396.93091514939</v>
      </c>
      <c r="AZ18" s="22">
        <f t="shared" si="3"/>
        <v>196342.20467111748</v>
      </c>
      <c r="BA18" s="22">
        <f t="shared" si="3"/>
        <v>197264.84407701585</v>
      </c>
      <c r="BB18" s="22">
        <f t="shared" si="3"/>
        <v>198166.49412975088</v>
      </c>
      <c r="BC18" s="22">
        <f t="shared" si="3"/>
        <v>199043.44904488089</v>
      </c>
      <c r="BD18" s="22">
        <f t="shared" si="3"/>
        <v>199893.26857546155</v>
      </c>
      <c r="BE18" s="22">
        <f t="shared" si="3"/>
        <v>200715.77308379387</v>
      </c>
      <c r="BF18" s="22">
        <f t="shared" si="3"/>
        <v>201508.05607227664</v>
      </c>
      <c r="BG18" s="22">
        <f t="shared" si="3"/>
        <v>202266.8820439273</v>
      </c>
      <c r="BH18" s="22">
        <f t="shared" si="3"/>
        <v>202991.96842259026</v>
      </c>
      <c r="BI18" s="22">
        <f t="shared" si="3"/>
        <v>203683.9288022035</v>
      </c>
      <c r="BJ18" s="22">
        <f t="shared" si="3"/>
        <v>204343.22135981946</v>
      </c>
      <c r="BK18" s="22">
        <f t="shared" si="3"/>
        <v>204966.69133450015</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168493.35641070592</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171016.70205543254</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187938.21358431838</v>
      </c>
      <c r="AG19" s="94">
        <f>IF('Net zero activities &amp; levers'!$C$12="Off",(((Data!$AJ$7*'Intermediate calculations'!AG4)+Data!$AK$7)*Drivers!AH4),IF('Net zero activities &amp; levers'!$C$12="PB",(((Data!$AJ$7*'Intermediate calculations'!AG4)+Data!$AK$7)*Drivers!AH4),IF('Net zero activities &amp; levers'!$C$12="MS",'Net zero supporting data'!J206,"ERROR")))</f>
        <v>189192.83903649283</v>
      </c>
      <c r="AH19" s="94">
        <f>IF('Net zero activities &amp; levers'!$C$12="Off",(((Data!$AJ$7*'Intermediate calculations'!AH4)+Data!$AK$7)*Drivers!AI4),IF('Net zero activities &amp; levers'!$C$12="PB",(((Data!$AJ$7*'Intermediate calculations'!AH4)+Data!$AK$7)*Drivers!AI4),IF('Net zero activities &amp; levers'!$C$12="MS",'Net zero supporting data'!K206,"ERROR")))</f>
        <v>191174.77999216525</v>
      </c>
      <c r="AI19" s="94">
        <f>IF('Net zero activities &amp; levers'!$C$12="Off",(((Data!$AJ$7*'Intermediate calculations'!AI4)+Data!$AK$7)*Drivers!AJ4),IF('Net zero activities &amp; levers'!$C$12="PB",(((Data!$AJ$7*'Intermediate calculations'!AI4)+Data!$AK$7)*Drivers!AJ4),IF('Net zero activities &amp; levers'!$C$12="MS",'Net zero supporting data'!L206,"ERROR")))</f>
        <v>196716.00199052782</v>
      </c>
      <c r="AJ19" s="94">
        <f>IF('Net zero activities &amp; levers'!$C$12="Off",(((Data!$AJ$7*'Intermediate calculations'!AJ4)+Data!$AK$7)*Drivers!AK4),IF('Net zero activities &amp; levers'!$C$12="PB",(((Data!$AJ$7*'Intermediate calculations'!AJ4)+Data!$AK$7)*Drivers!AK4),IF('Net zero activities &amp; levers'!$C$12="MS",'Net zero supporting data'!M206,"ERROR")))</f>
        <v>198520.86388320342</v>
      </c>
      <c r="AK19" s="94">
        <f>IF('Net zero activities &amp; levers'!$C$12="Off",(((Data!$AJ$7*'Intermediate calculations'!AK4)+Data!$AK$7)*Drivers!AL4),IF('Net zero activities &amp; levers'!$C$12="PB",(((Data!$AJ$7*'Intermediate calculations'!AK4)+Data!$AK$7)*Drivers!AL4),IF('Net zero activities &amp; levers'!$C$12="MS",'Net zero supporting data'!N206,"ERROR")))</f>
        <v>200588.51766988292</v>
      </c>
      <c r="AL19" s="94">
        <f>IF('Net zero activities &amp; levers'!$C$12="Off",(((Data!$AJ$7*'Intermediate calculations'!AL4)+Data!$AK$7)*Drivers!AM4),IF('Net zero activities &amp; levers'!$C$12="PB",(((Data!$AJ$7*'Intermediate calculations'!AL4)+Data!$AK$7)*Drivers!AM4),IF('Net zero activities &amp; levers'!$C$12="MS",'Net zero supporting data'!O206,"ERROR")))</f>
        <v>202797.46498469368</v>
      </c>
      <c r="AM19" s="94">
        <f>IF('Net zero activities &amp; levers'!$C$12="Off",(((Data!$AJ$7*'Intermediate calculations'!AM4)+Data!$AK$7)*Drivers!AN4),IF('Net zero activities &amp; levers'!$C$12="PB",(((Data!$AJ$7*'Intermediate calculations'!AM4)+Data!$AK$7)*Drivers!AN4),IF('Net zero activities &amp; levers'!$C$12="MS",'Net zero supporting data'!P206,"ERROR")))</f>
        <v>204930.65182826653</v>
      </c>
      <c r="AN19" s="94">
        <f>IF('Net zero activities &amp; levers'!$C$12="Off",(((Data!$AJ$7*'Intermediate calculations'!AN4)+Data!$AK$7)*Drivers!AO4),IF('Net zero activities &amp; levers'!$C$12="PB",(((Data!$AJ$7*'Intermediate calculations'!AN4)+Data!$AK$7)*Drivers!AO4),IF('Net zero activities &amp; levers'!$C$12="MS",'Net zero supporting data'!Q206,"ERROR")))</f>
        <v>206996.41725954565</v>
      </c>
      <c r="AO19" s="94">
        <f>IF('Net zero activities &amp; levers'!$C$12="Off",(((Data!$AJ$7*'Intermediate calculations'!AO4)+Data!$AK$7)*Drivers!AP4),IF('Net zero activities &amp; levers'!$C$12="PB",(((Data!$AJ$7*'Intermediate calculations'!AO4)+Data!$AK$7)*Drivers!AP4),IF('Net zero activities &amp; levers'!$C$12="MS",'Net zero supporting data'!R206,"ERROR")))</f>
        <v>208993.5010871613</v>
      </c>
      <c r="AP19" s="94">
        <f>IF('Net zero activities &amp; levers'!$C$12="Off",(((Data!$AJ$7*'Intermediate calculations'!AP4)+Data!$AK$7)*Drivers!AQ4),IF('Net zero activities &amp; levers'!$C$12="PB",(((Data!$AJ$7*'Intermediate calculations'!AP4)+Data!$AK$7)*Drivers!AQ4),IF('Net zero activities &amp; levers'!$C$12="MS",'Net zero supporting data'!S206,"ERROR")))</f>
        <v>210927.51101487665</v>
      </c>
      <c r="AQ19" s="94">
        <f>IF('Net zero activities &amp; levers'!$C$12="Off",(((Data!$AJ$7*'Intermediate calculations'!AQ4)+Data!$AK$7)*Drivers!AR4),IF('Net zero activities &amp; levers'!$C$12="PB",(((Data!$AJ$7*'Intermediate calculations'!AQ4)+Data!$AK$7)*Drivers!AR4),IF('Net zero activities &amp; levers'!$C$12="MS",'Net zero supporting data'!T206,"ERROR")))</f>
        <v>212806.44934493629</v>
      </c>
      <c r="AR19" s="94">
        <f>IF('Net zero activities &amp; levers'!$C$12="Off",(((Data!$AJ$7*'Intermediate calculations'!AR4)+Data!$AK$7)*Drivers!AS4),IF('Net zero activities &amp; levers'!$C$12="PB",(((Data!$AJ$7*'Intermediate calculations'!AR4)+Data!$AK$7)*Drivers!AS4),IF('Net zero activities &amp; levers'!$C$12="MS",'Net zero supporting data'!U206,"ERROR")))</f>
        <v>214631.10287526721</v>
      </c>
      <c r="AS19" s="94">
        <f>IF('Net zero activities &amp; levers'!$C$12="Off",(((Data!$AJ$7*'Intermediate calculations'!AS4)+Data!$AK$7)*Drivers!AT4),IF('Net zero activities &amp; levers'!$C$12="PB",(((Data!$AJ$7*'Intermediate calculations'!AS4)+Data!$AK$7)*Drivers!AT4),IF('Net zero activities &amp; levers'!$C$12="MS",'Net zero supporting data'!V206,"ERROR")))</f>
        <v>216408.87552825338</v>
      </c>
      <c r="AT19" s="94">
        <f>IF('Net zero activities &amp; levers'!$C$12="Off",(((Data!$AJ$7*'Intermediate calculations'!AT4)+Data!$AK$7)*Drivers!AU4),IF('Net zero activities &amp; levers'!$C$12="PB",(((Data!$AJ$7*'Intermediate calculations'!AT4)+Data!$AK$7)*Drivers!AU4),IF('Net zero activities &amp; levers'!$C$12="MS",'Net zero supporting data'!W206,"ERROR")))</f>
        <v>218141.72840195303</v>
      </c>
      <c r="AU19" s="94">
        <f>IF('Net zero activities &amp; levers'!$C$12="Off",(((Data!$AJ$7*'Intermediate calculations'!AU4)+Data!$AK$7)*Drivers!AV4),IF('Net zero activities &amp; levers'!$C$12="PB",(((Data!$AJ$7*'Intermediate calculations'!AU4)+Data!$AK$7)*Drivers!AV4),IF('Net zero activities &amp; levers'!$C$12="MS",'Net zero supporting data'!X206,"ERROR")))</f>
        <v>219825.73751593719</v>
      </c>
      <c r="AV19" s="94">
        <f>IF('Net zero activities &amp; levers'!$C$12="Off",(((Data!$AJ$7*'Intermediate calculations'!AV4)+Data!$AK$7)*Drivers!AW4),IF('Net zero activities &amp; levers'!$C$12="PB",(((Data!$AJ$7*'Intermediate calculations'!AV4)+Data!$AK$7)*Drivers!AW4),IF('Net zero activities &amp; levers'!$C$12="MS",'Net zero supporting data'!Y206,"ERROR")))</f>
        <v>221464.77223257857</v>
      </c>
      <c r="AW19" s="94">
        <f>IF('Net zero activities &amp; levers'!$C$12="Off",(((Data!$AJ$7*'Intermediate calculations'!AW4)+Data!$AK$7)*Drivers!AX4),IF('Net zero activities &amp; levers'!$C$12="PB",(((Data!$AJ$7*'Intermediate calculations'!AW4)+Data!$AK$7)*Drivers!AX4),IF('Net zero activities &amp; levers'!$C$12="MS",'Net zero supporting data'!Z206,"ERROR")))</f>
        <v>223064.58783094029</v>
      </c>
      <c r="AX19" s="94">
        <f>IF('Net zero activities &amp; levers'!$C$12="Off",(((Data!$AJ$7*'Intermediate calculations'!AX4)+Data!$AK$7)*Drivers!AY4),IF('Net zero activities &amp; levers'!$C$12="PB",(((Data!$AJ$7*'Intermediate calculations'!AX4)+Data!$AK$7)*Drivers!AY4),IF('Net zero activities &amp; levers'!$C$12="MS",'Net zero supporting data'!AA206,"ERROR")))</f>
        <v>217251.48256610494</v>
      </c>
      <c r="AY19" s="94">
        <f>IF('Net zero activities &amp; levers'!$C$12="Off",(((Data!$AJ$7*'Intermediate calculations'!AY4)+Data!$AK$7)*Drivers!AZ4),IF('Net zero activities &amp; levers'!$C$12="PB",(((Data!$AJ$7*'Intermediate calculations'!AY4)+Data!$AK$7)*Drivers!AZ4),IF('Net zero activities &amp; levers'!$C$12="MS",'Net zero supporting data'!AB206,"ERROR")))</f>
        <v>218778.89416515097</v>
      </c>
      <c r="AZ19" s="94">
        <f>IF('Net zero activities &amp; levers'!$C$12="Off",(((Data!$AJ$7*'Intermediate calculations'!AZ4)+Data!$AK$7)*Drivers!BA4),IF('Net zero activities &amp; levers'!$C$12="PB",(((Data!$AJ$7*'Intermediate calculations'!AZ4)+Data!$AK$7)*Drivers!BA4),IF('Net zero activities &amp; levers'!$C$12="MS",'Net zero supporting data'!AC206,"ERROR")))</f>
        <v>220268.39152872283</v>
      </c>
      <c r="BA19" s="94">
        <f>IF('Net zero activities &amp; levers'!$C$12="Off",(((Data!$AJ$7*'Intermediate calculations'!BA4)+Data!$AK$7)*Drivers!BB4),IF('Net zero activities &amp; levers'!$C$12="PB",(((Data!$AJ$7*'Intermediate calculations'!BA4)+Data!$AK$7)*Drivers!BB4),IF('Net zero activities &amp; levers'!$C$12="MS",'Net zero supporting data'!AD206,"ERROR")))</f>
        <v>221722.22324036891</v>
      </c>
      <c r="BB19" s="94">
        <f>IF('Net zero activities &amp; levers'!$C$12="Off",(((Data!$AJ$7*'Intermediate calculations'!BB4)+Data!$AK$7)*Drivers!BC4),IF('Net zero activities &amp; levers'!$C$12="PB",(((Data!$AJ$7*'Intermediate calculations'!BB4)+Data!$AK$7)*Drivers!BC4),IF('Net zero activities &amp; levers'!$C$12="MS",'Net zero supporting data'!AE206,"ERROR")))</f>
        <v>223142.98137306227</v>
      </c>
      <c r="BC19" s="94">
        <f>IF('Net zero activities &amp; levers'!$C$12="Off",(((Data!$AJ$7*'Intermediate calculations'!BC4)+Data!$AK$7)*Drivers!BD4),IF('Net zero activities &amp; levers'!$C$12="PB",(((Data!$AJ$7*'Intermediate calculations'!BC4)+Data!$AK$7)*Drivers!BD4),IF('Net zero activities &amp; levers'!$C$12="MS",'Net zero supporting data'!AF206,"ERROR")))</f>
        <v>224524.82660658387</v>
      </c>
      <c r="BD19" s="94">
        <f>IF('Net zero activities &amp; levers'!$C$12="Off",(((Data!$AJ$7*'Intermediate calculations'!BD4)+Data!$AK$7)*Drivers!BE4),IF('Net zero activities &amp; levers'!$C$12="PB",(((Data!$AJ$7*'Intermediate calculations'!BD4)+Data!$AK$7)*Drivers!BE4),IF('Net zero activities &amp; levers'!$C$12="MS",'Net zero supporting data'!AG206,"ERROR")))</f>
        <v>225863.91376765227</v>
      </c>
      <c r="BE19" s="94">
        <f>IF('Net zero activities &amp; levers'!$C$12="Off",(((Data!$AJ$7*'Intermediate calculations'!BE4)+Data!$AK$7)*Drivers!BF4),IF('Net zero activities &amp; levers'!$C$12="PB",(((Data!$AJ$7*'Intermediate calculations'!BE4)+Data!$AK$7)*Drivers!BF4),IF('Net zero activities &amp; levers'!$C$12="MS",'Net zero supporting data'!AH206,"ERROR")))</f>
        <v>227159.95979553793</v>
      </c>
      <c r="BF19" s="94">
        <f>IF('Net zero activities &amp; levers'!$C$12="Off",(((Data!$AJ$7*'Intermediate calculations'!BF4)+Data!$AK$7)*Drivers!BG4),IF('Net zero activities &amp; levers'!$C$12="PB",(((Data!$AJ$7*'Intermediate calculations'!BF4)+Data!$AK$7)*Drivers!BG4),IF('Net zero activities &amp; levers'!$C$12="MS",'Net zero supporting data'!AI206,"ERROR")))</f>
        <v>228408.38483124552</v>
      </c>
      <c r="BG19" s="94">
        <f>IF('Net zero activities &amp; levers'!$C$12="Off",(((Data!$AJ$7*'Intermediate calculations'!BG4)+Data!$AK$7)*Drivers!BH4),IF('Net zero activities &amp; levers'!$C$12="PB",(((Data!$AJ$7*'Intermediate calculations'!BG4)+Data!$AK$7)*Drivers!BH4),IF('Net zero activities &amp; levers'!$C$12="MS",'Net zero supporting data'!AJ206,"ERROR")))</f>
        <v>229604.09060118516</v>
      </c>
      <c r="BH19" s="94">
        <f>IF('Net zero activities &amp; levers'!$C$12="Off",(((Data!$AJ$7*'Intermediate calculations'!BH4)+Data!$AK$7)*Drivers!BI4),IF('Net zero activities &amp; levers'!$C$12="PB",(((Data!$AJ$7*'Intermediate calculations'!BH4)+Data!$AK$7)*Drivers!BI4),IF('Net zero activities &amp; levers'!$C$12="MS",'Net zero supporting data'!AK206,"ERROR")))</f>
        <v>230746.63184128789</v>
      </c>
      <c r="BI19" s="94">
        <f>IF('Net zero activities &amp; levers'!$C$12="Off",(((Data!$AJ$7*'Intermediate calculations'!BI4)+Data!$AK$7)*Drivers!BJ4),IF('Net zero activities &amp; levers'!$C$12="PB",(((Data!$AJ$7*'Intermediate calculations'!BI4)+Data!$AK$7)*Drivers!BJ4),IF('Net zero activities &amp; levers'!$C$12="MS",'Net zero supporting data'!AL206,"ERROR")))</f>
        <v>231836.97541067493</v>
      </c>
      <c r="BJ19" s="94">
        <f>IF('Net zero activities &amp; levers'!$C$12="Off",(((Data!$AJ$7*'Intermediate calculations'!BJ4)+Data!$AK$7)*Drivers!BK4),IF('Net zero activities &amp; levers'!$C$12="PB",(((Data!$AJ$7*'Intermediate calculations'!BJ4)+Data!$AK$7)*Drivers!BK4),IF('Net zero activities &amp; levers'!$C$12="MS",'Net zero supporting data'!AM206,"ERROR")))</f>
        <v>232875.84327322955</v>
      </c>
      <c r="BK19" s="94">
        <f>IF('Net zero activities &amp; levers'!$C$12="Off",(((Data!$AJ$7*'Intermediate calculations'!BK4)+Data!$AK$7)*Drivers!BL4),IF('Net zero activities &amp; levers'!$C$12="PB",(((Data!$AJ$7*'Intermediate calculations'!BK4)+Data!$AK$7)*Drivers!BL4),IF('Net zero activities &amp; levers'!$C$12="MS",'Net zero supporting data'!AN206,"ERROR")))</f>
        <v>233858.26437366731</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3.2201043953224923E-3</v>
      </c>
      <c r="Z20" s="22">
        <f>Z19/Drivers!AA4</f>
        <v>3.220387494530711E-3</v>
      </c>
      <c r="AA20" s="22">
        <f>AA19/Drivers!AB4</f>
        <v>3.2208171052813912E-3</v>
      </c>
      <c r="AB20" s="22">
        <f>AB19/Drivers!AC4</f>
        <v>3.2209089467766568E-3</v>
      </c>
      <c r="AC20" s="22">
        <f>AC19/Drivers!AD4</f>
        <v>3.2207774672599072E-3</v>
      </c>
      <c r="AD20" s="22">
        <f>AD19/Drivers!AE4</f>
        <v>3.2204274784876441E-3</v>
      </c>
      <c r="AE20" s="22">
        <f>AE19/Drivers!AF4</f>
        <v>3.2202334247522497E-3</v>
      </c>
      <c r="AF20" s="22">
        <f>AF19/Drivers!AG4</f>
        <v>3.2200590275987999E-3</v>
      </c>
      <c r="AG20" s="22">
        <f>AG19/Drivers!AH4</f>
        <v>3.217459846791974E-3</v>
      </c>
      <c r="AH20" s="22">
        <f>AH19/Drivers!AI4</f>
        <v>3.2188503364986771E-3</v>
      </c>
      <c r="AI20" s="22">
        <f>AI19/Drivers!AJ4</f>
        <v>3.2844087838103642E-3</v>
      </c>
      <c r="AJ20" s="22">
        <f>AJ19/Drivers!AK4</f>
        <v>3.2859806886278435E-3</v>
      </c>
      <c r="AK20" s="22">
        <f>AK19/Drivers!AL4</f>
        <v>3.2872466599208634E-3</v>
      </c>
      <c r="AL20" s="22">
        <f>AL19/Drivers!AM4</f>
        <v>3.2882655073563404E-3</v>
      </c>
      <c r="AM20" s="22">
        <f>AM19/Drivers!AN4</f>
        <v>3.2891505264649066E-3</v>
      </c>
      <c r="AN20" s="22">
        <f>AN19/Drivers!AO4</f>
        <v>3.2898916640513266E-3</v>
      </c>
      <c r="AO20" s="22">
        <f>AO19/Drivers!AP4</f>
        <v>3.2904847634192473E-3</v>
      </c>
      <c r="AP20" s="22">
        <f>AP19/Drivers!AQ4</f>
        <v>3.290922597780336E-3</v>
      </c>
      <c r="AQ20" s="22">
        <f>AQ19/Drivers!AR4</f>
        <v>3.2911974263760925E-3</v>
      </c>
      <c r="AR20" s="22">
        <f>AR19/Drivers!AS4</f>
        <v>3.2913062466176182E-3</v>
      </c>
      <c r="AS20" s="22">
        <f>AS19/Drivers!AT4</f>
        <v>3.2912433754011209E-3</v>
      </c>
      <c r="AT20" s="22">
        <f>AT19/Drivers!AU4</f>
        <v>3.2910069760671437E-3</v>
      </c>
      <c r="AU20" s="22">
        <f>AU19/Drivers!AV4</f>
        <v>3.2905991854660383E-3</v>
      </c>
      <c r="AV20" s="22">
        <f>AV19/Drivers!AW4</f>
        <v>3.2900189360320301E-3</v>
      </c>
      <c r="AW20" s="22">
        <f>AW19/Drivers!AX4</f>
        <v>3.2892651912779891E-3</v>
      </c>
      <c r="AX20" s="22">
        <f>AX19/Drivers!AY4</f>
        <v>3.1804576356140798E-3</v>
      </c>
      <c r="AY20" s="22">
        <f>AY19/Drivers!AZ4</f>
        <v>3.1804576356140798E-3</v>
      </c>
      <c r="AZ20" s="22">
        <f>AZ19/Drivers!BA4</f>
        <v>3.1804576356140798E-3</v>
      </c>
      <c r="BA20" s="22">
        <f>BA19/Drivers!BB4</f>
        <v>3.1804576356140798E-3</v>
      </c>
      <c r="BB20" s="22">
        <f>BB19/Drivers!BC4</f>
        <v>3.1804576356140798E-3</v>
      </c>
      <c r="BC20" s="22">
        <f>BC19/Drivers!BD4</f>
        <v>3.1804576356140798E-3</v>
      </c>
      <c r="BD20" s="22">
        <f>BD19/Drivers!BE4</f>
        <v>3.1804576356140798E-3</v>
      </c>
      <c r="BE20" s="22">
        <f>BE19/Drivers!BF4</f>
        <v>3.1804576356140798E-3</v>
      </c>
      <c r="BF20" s="22">
        <f>BF19/Drivers!BG4</f>
        <v>3.1804576356140798E-3</v>
      </c>
      <c r="BG20" s="22">
        <f>BG19/Drivers!BH4</f>
        <v>3.1804576356140798E-3</v>
      </c>
      <c r="BH20" s="22">
        <f>BH19/Drivers!BI4</f>
        <v>3.1804576356140798E-3</v>
      </c>
      <c r="BI20" s="22">
        <f>BI19/Drivers!BJ4</f>
        <v>3.1804576356140798E-3</v>
      </c>
      <c r="BJ20" s="22">
        <f>BJ19/Drivers!BK4</f>
        <v>3.1804576356140798E-3</v>
      </c>
      <c r="BK20" s="22">
        <f>BK19/Drivers!BL4</f>
        <v>3.1804576356140798E-3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3.2201043953224922</v>
      </c>
      <c r="Z21" s="22">
        <f t="shared" ref="Z21:BK21" si="6">Z20*1000</f>
        <v>3.2203874945307112</v>
      </c>
      <c r="AA21" s="22">
        <f t="shared" si="6"/>
        <v>3.220817105281391</v>
      </c>
      <c r="AB21" s="22">
        <f t="shared" si="6"/>
        <v>3.2209089467766567</v>
      </c>
      <c r="AC21" s="22">
        <f t="shared" si="6"/>
        <v>3.2207774672599072</v>
      </c>
      <c r="AD21" s="22">
        <f t="shared" si="6"/>
        <v>3.2204274784876441</v>
      </c>
      <c r="AE21" s="22">
        <f t="shared" si="6"/>
        <v>3.2202334247522497</v>
      </c>
      <c r="AF21" s="22">
        <f t="shared" si="6"/>
        <v>3.2200590275988001</v>
      </c>
      <c r="AG21" s="22">
        <f t="shared" si="6"/>
        <v>3.2174598467919742</v>
      </c>
      <c r="AH21" s="22">
        <f t="shared" si="6"/>
        <v>3.2188503364986771</v>
      </c>
      <c r="AI21" s="22">
        <f t="shared" si="6"/>
        <v>3.2844087838103642</v>
      </c>
      <c r="AJ21" s="22">
        <f t="shared" si="6"/>
        <v>3.2859806886278435</v>
      </c>
      <c r="AK21" s="22">
        <f t="shared" si="6"/>
        <v>3.2872466599208634</v>
      </c>
      <c r="AL21" s="22">
        <f t="shared" si="6"/>
        <v>3.2882655073563405</v>
      </c>
      <c r="AM21" s="22">
        <f t="shared" si="6"/>
        <v>3.2891505264649066</v>
      </c>
      <c r="AN21" s="22">
        <f t="shared" si="6"/>
        <v>3.2898916640513267</v>
      </c>
      <c r="AO21" s="22">
        <f t="shared" si="6"/>
        <v>3.2904847634192471</v>
      </c>
      <c r="AP21" s="22">
        <f t="shared" si="6"/>
        <v>3.290922597780336</v>
      </c>
      <c r="AQ21" s="22">
        <f t="shared" si="6"/>
        <v>3.2911974263760926</v>
      </c>
      <c r="AR21" s="22">
        <f t="shared" si="6"/>
        <v>3.2913062466176184</v>
      </c>
      <c r="AS21" s="22">
        <f t="shared" si="6"/>
        <v>3.291243375401121</v>
      </c>
      <c r="AT21" s="22">
        <f t="shared" si="6"/>
        <v>3.2910069760671439</v>
      </c>
      <c r="AU21" s="22">
        <f t="shared" si="6"/>
        <v>3.2905991854660384</v>
      </c>
      <c r="AV21" s="22">
        <f t="shared" si="6"/>
        <v>3.29001893603203</v>
      </c>
      <c r="AW21" s="22">
        <f t="shared" si="6"/>
        <v>3.2892651912779889</v>
      </c>
      <c r="AX21" s="22">
        <f t="shared" si="6"/>
        <v>3.1804576356140797</v>
      </c>
      <c r="AY21" s="22">
        <f t="shared" si="6"/>
        <v>3.1804576356140797</v>
      </c>
      <c r="AZ21" s="22">
        <f t="shared" si="6"/>
        <v>3.1804576356140797</v>
      </c>
      <c r="BA21" s="22">
        <f t="shared" si="6"/>
        <v>3.1804576356140797</v>
      </c>
      <c r="BB21" s="22">
        <f t="shared" si="6"/>
        <v>3.1804576356140797</v>
      </c>
      <c r="BC21" s="22">
        <f t="shared" si="6"/>
        <v>3.1804576356140797</v>
      </c>
      <c r="BD21" s="22">
        <f t="shared" si="6"/>
        <v>3.1804576356140797</v>
      </c>
      <c r="BE21" s="22">
        <f t="shared" si="6"/>
        <v>3.1804576356140797</v>
      </c>
      <c r="BF21" s="22">
        <f t="shared" si="6"/>
        <v>3.1804576356140797</v>
      </c>
      <c r="BG21" s="22">
        <f t="shared" si="6"/>
        <v>3.1804576356140797</v>
      </c>
      <c r="BH21" s="22">
        <f t="shared" si="6"/>
        <v>3.1804576356140797</v>
      </c>
      <c r="BI21" s="22">
        <f t="shared" si="6"/>
        <v>3.1804576356140797</v>
      </c>
      <c r="BJ21" s="22">
        <f t="shared" si="6"/>
        <v>3.1804576356140797</v>
      </c>
      <c r="BK21" s="22">
        <f t="shared" si="6"/>
        <v>3.1804576356140797</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10754.895090045064</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11434.433042269102</v>
      </c>
      <c r="AD22" s="22">
        <f>((Data!$AJ$8*'Net zero Intermediate calcs'!AD4)+Data!$AK$8)*Drivers!AE4</f>
        <v>11618.606464530285</v>
      </c>
      <c r="AE22" s="22">
        <f>((Data!$AJ$8*'Net zero Intermediate calcs'!AE4)+Data!$AK$8)*Drivers!AF4</f>
        <v>11805.786955654421</v>
      </c>
      <c r="AF22" s="22">
        <f>((Data!$AJ$8*'Net zero Intermediate calcs'!AF4)+Data!$AK$8)*Drivers!AG4</f>
        <v>11996.056186233092</v>
      </c>
      <c r="AG22" s="22">
        <f>((Data!$AJ$8*'Net zero Intermediate calcs'!AG4)+Data!$AK$8)*Drivers!AH4</f>
        <v>12076.1386619038</v>
      </c>
      <c r="AH22" s="22">
        <f>((Data!$AJ$8*'Net zero Intermediate calcs'!AH4)+Data!$AK$8)*Drivers!AI4</f>
        <v>12202.645531414804</v>
      </c>
      <c r="AI22" s="22">
        <f>((Data!$AJ$8*'Net zero Intermediate calcs'!AI4)+Data!$AK$8)*Drivers!AJ4</f>
        <v>12556.340552586889</v>
      </c>
      <c r="AJ22" s="22">
        <f>((Data!$AJ$8*'Net zero Intermediate calcs'!AJ4)+Data!$AK$8)*Drivers!AK4</f>
        <v>12671.544503183204</v>
      </c>
      <c r="AK22" s="22">
        <f>((Data!$AJ$8*'Net zero Intermediate calcs'!AK4)+Data!$AK$8)*Drivers!AL4</f>
        <v>12803.52240446062</v>
      </c>
      <c r="AL22" s="22">
        <f>((Data!$AJ$8*'Net zero Intermediate calcs'!AL4)+Data!$AK$8)*Drivers!AM4</f>
        <v>12944.519041576199</v>
      </c>
      <c r="AM22" s="22">
        <f>((Data!$AJ$8*'Net zero Intermediate calcs'!AM4)+Data!$AK$8)*Drivers!AN4</f>
        <v>13080.679903931914</v>
      </c>
      <c r="AN22" s="22">
        <f>((Data!$AJ$8*'Net zero Intermediate calcs'!AN4)+Data!$AK$8)*Drivers!AO4</f>
        <v>13212.537271885898</v>
      </c>
      <c r="AO22" s="22">
        <f>((Data!$AJ$8*'Net zero Intermediate calcs'!AO4)+Data!$AK$8)*Drivers!AP4</f>
        <v>13340.010707691155</v>
      </c>
      <c r="AP22" s="22">
        <f>((Data!$AJ$8*'Net zero Intermediate calcs'!AP4)+Data!$AK$8)*Drivers!AQ4</f>
        <v>13463.458149885753</v>
      </c>
      <c r="AQ22" s="22">
        <f>((Data!$AJ$8*'Net zero Intermediate calcs'!AQ4)+Data!$AK$8)*Drivers!AR4</f>
        <v>13583.390383719347</v>
      </c>
      <c r="AR22" s="22">
        <f>((Data!$AJ$8*'Net zero Intermediate calcs'!AR4)+Data!$AK$8)*Drivers!AS4</f>
        <v>13699.857630336213</v>
      </c>
      <c r="AS22" s="22">
        <f>((Data!$AJ$8*'Net zero Intermediate calcs'!AS4)+Data!$AK$8)*Drivers!AT4</f>
        <v>13813.332480526818</v>
      </c>
      <c r="AT22" s="22">
        <f>((Data!$AJ$8*'Net zero Intermediate calcs'!AT4)+Data!$AK$8)*Drivers!AU4</f>
        <v>13923.940110762967</v>
      </c>
      <c r="AU22" s="22">
        <f>((Data!$AJ$8*'Net zero Intermediate calcs'!AU4)+Data!$AK$8)*Drivers!AV4</f>
        <v>14031.430054208766</v>
      </c>
      <c r="AV22" s="22">
        <f>((Data!$AJ$8*'Net zero Intermediate calcs'!AV4)+Data!$AK$8)*Drivers!AW4</f>
        <v>14136.049291441192</v>
      </c>
      <c r="AW22" s="22">
        <f>((Data!$AJ$8*'Net zero Intermediate calcs'!AW4)+Data!$AK$8)*Drivers!AX4</f>
        <v>14238.165180698325</v>
      </c>
      <c r="AX22" s="22">
        <f>((Data!$AJ$8*'Net zero Intermediate calcs'!AX4)+Data!$AK$8)*Drivers!AY4</f>
        <v>13867.115908474783</v>
      </c>
      <c r="AY22" s="22">
        <f>((Data!$AJ$8*'Net zero Intermediate calcs'!AY4)+Data!$AK$8)*Drivers!AZ4</f>
        <v>13964.610265860701</v>
      </c>
      <c r="AZ22" s="22">
        <f>((Data!$AJ$8*'Net zero Intermediate calcs'!AZ4)+Data!$AK$8)*Drivers!BA4</f>
        <v>14059.684565663161</v>
      </c>
      <c r="BA22" s="22">
        <f>((Data!$AJ$8*'Net zero Intermediate calcs'!BA4)+Data!$AK$8)*Drivers!BB4</f>
        <v>14152.482334491635</v>
      </c>
      <c r="BB22" s="22">
        <f>((Data!$AJ$8*'Net zero Intermediate calcs'!BB4)+Data!$AK$8)*Drivers!BC4</f>
        <v>14243.169023812487</v>
      </c>
      <c r="BC22" s="22">
        <f>((Data!$AJ$8*'Net zero Intermediate calcs'!BC4)+Data!$AK$8)*Drivers!BD4</f>
        <v>14331.371911058546</v>
      </c>
      <c r="BD22" s="22">
        <f>((Data!$AJ$8*'Net zero Intermediate calcs'!BD4)+Data!$AK$8)*Drivers!BE4</f>
        <v>14416.845559637381</v>
      </c>
      <c r="BE22" s="22">
        <f>((Data!$AJ$8*'Net zero Intermediate calcs'!BE4)+Data!$AK$8)*Drivers!BF4</f>
        <v>14499.571901842848</v>
      </c>
      <c r="BF22" s="22">
        <f>((Data!$AJ$8*'Net zero Intermediate calcs'!BF4)+Data!$AK$8)*Drivers!BG4</f>
        <v>14579.258606249716</v>
      </c>
      <c r="BG22" s="22">
        <f>((Data!$AJ$8*'Net zero Intermediate calcs'!BG4)+Data!$AK$8)*Drivers!BH4</f>
        <v>14655.580251139481</v>
      </c>
      <c r="BH22" s="22">
        <f>((Data!$AJ$8*'Net zero Intermediate calcs'!BH4)+Data!$AK$8)*Drivers!BI4</f>
        <v>14728.508415401357</v>
      </c>
      <c r="BI22" s="22">
        <f>((Data!$AJ$8*'Net zero Intermediate calcs'!BI4)+Data!$AK$8)*Drivers!BJ4</f>
        <v>14798.104813447339</v>
      </c>
      <c r="BJ22" s="22">
        <f>((Data!$AJ$8*'Net zero Intermediate calcs'!BJ4)+Data!$AK$8)*Drivers!BK4</f>
        <v>14864.415528078483</v>
      </c>
      <c r="BK22" s="22">
        <f>((Data!$AJ$8*'Net zero Intermediate calcs'!BK4)+Data!$AK$8)*Drivers!BL4</f>
        <v>14927.123257893658</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2.0553857842484002E-4</v>
      </c>
      <c r="Z23" s="22">
        <f>Z22/Drivers!AA4</f>
        <v>2.0555664858706673E-4</v>
      </c>
      <c r="AA23" s="22">
        <f>AA22/Drivers!AB4</f>
        <v>2.0558407054987608E-4</v>
      </c>
      <c r="AB23" s="22">
        <f>AB22/Drivers!AC4</f>
        <v>2.0558993277297813E-4</v>
      </c>
      <c r="AC23" s="22">
        <f>AC22/Drivers!AD4</f>
        <v>2.0558154046339838E-4</v>
      </c>
      <c r="AD23" s="22">
        <f>AD22/Drivers!AE4</f>
        <v>2.0555920075453053E-4</v>
      </c>
      <c r="AE23" s="22">
        <f>AE22/Drivers!AF4</f>
        <v>2.0554681434588836E-4</v>
      </c>
      <c r="AF23" s="22">
        <f>AF22/Drivers!AG4</f>
        <v>2.0553568261268943E-4</v>
      </c>
      <c r="AG23" s="22">
        <f>AG22/Drivers!AH4</f>
        <v>2.0536977745480689E-4</v>
      </c>
      <c r="AH23" s="22">
        <f>AH22/Drivers!AI4</f>
        <v>2.0545853211693685E-4</v>
      </c>
      <c r="AI23" s="22">
        <f>AI22/Drivers!AJ4</f>
        <v>2.0964311386023613E-4</v>
      </c>
      <c r="AJ23" s="22">
        <f>AJ22/Drivers!AK4</f>
        <v>2.09743448210288E-4</v>
      </c>
      <c r="AK23" s="22">
        <f>AK22/Drivers!AL4</f>
        <v>2.0982425488856588E-4</v>
      </c>
      <c r="AL23" s="22">
        <f>AL22/Drivers!AM4</f>
        <v>2.0988928770359629E-4</v>
      </c>
      <c r="AM23" s="22">
        <f>AM22/Drivers!AN4</f>
        <v>2.0994577828499416E-4</v>
      </c>
      <c r="AN23" s="22">
        <f>AN22/Drivers!AO4</f>
        <v>2.0999308493944649E-4</v>
      </c>
      <c r="AO23" s="22">
        <f>AO22/Drivers!AP4</f>
        <v>2.1003094234590952E-4</v>
      </c>
      <c r="AP23" s="22">
        <f>AP22/Drivers!AQ4</f>
        <v>2.1005888922002159E-4</v>
      </c>
      <c r="AQ23" s="22">
        <f>AQ22/Drivers!AR4</f>
        <v>2.1007643147081455E-4</v>
      </c>
      <c r="AR23" s="22">
        <f>AR22/Drivers!AS4</f>
        <v>2.1008337744367786E-4</v>
      </c>
      <c r="AS23" s="22">
        <f>AS22/Drivers!AT4</f>
        <v>2.1007936438730571E-4</v>
      </c>
      <c r="AT23" s="22">
        <f>AT22/Drivers!AU4</f>
        <v>2.1006427506811568E-4</v>
      </c>
      <c r="AU23" s="22">
        <f>AU22/Drivers!AV4</f>
        <v>2.1003824588081108E-4</v>
      </c>
      <c r="AV23" s="22">
        <f>AV22/Drivers!AW4</f>
        <v>2.1000120868289564E-4</v>
      </c>
      <c r="AW23" s="22">
        <f>AW22/Drivers!AX4</f>
        <v>2.0995309731561645E-4</v>
      </c>
      <c r="AX23" s="22">
        <f>AX22/Drivers!AY4</f>
        <v>2.0300793418813278E-4</v>
      </c>
      <c r="AY23" s="22">
        <f>AY22/Drivers!AZ4</f>
        <v>2.0300793418813278E-4</v>
      </c>
      <c r="AZ23" s="22">
        <f>AZ22/Drivers!BA4</f>
        <v>2.0300793418813278E-4</v>
      </c>
      <c r="BA23" s="22">
        <f>BA22/Drivers!BB4</f>
        <v>2.0300793418813278E-4</v>
      </c>
      <c r="BB23" s="22">
        <f>BB22/Drivers!BC4</f>
        <v>2.0300793418813278E-4</v>
      </c>
      <c r="BC23" s="22">
        <f>BC22/Drivers!BD4</f>
        <v>2.0300793418813278E-4</v>
      </c>
      <c r="BD23" s="22">
        <f>BD22/Drivers!BE4</f>
        <v>2.0300793418813278E-4</v>
      </c>
      <c r="BE23" s="22">
        <f>BE22/Drivers!BF4</f>
        <v>2.0300793418813278E-4</v>
      </c>
      <c r="BF23" s="22">
        <f>BF22/Drivers!BG4</f>
        <v>2.0300793418813278E-4</v>
      </c>
      <c r="BG23" s="22">
        <f>BG22/Drivers!BH4</f>
        <v>2.0300793418813278E-4</v>
      </c>
      <c r="BH23" s="22">
        <f>BH22/Drivers!BI4</f>
        <v>2.0300793418813278E-4</v>
      </c>
      <c r="BI23" s="22">
        <f>BI22/Drivers!BJ4</f>
        <v>2.0300793418813278E-4</v>
      </c>
      <c r="BJ23" s="22">
        <f>BJ22/Drivers!BK4</f>
        <v>2.0300793418813278E-4</v>
      </c>
      <c r="BK23" s="22">
        <f>BK22/Drivers!BL4</f>
        <v>2.0300793418813278E-4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0.20553857842484002</v>
      </c>
      <c r="Z24" s="22">
        <f t="shared" si="7"/>
        <v>0.20555664858706674</v>
      </c>
      <c r="AA24" s="22">
        <f t="shared" si="7"/>
        <v>0.2055840705498761</v>
      </c>
      <c r="AB24" s="22">
        <f t="shared" si="7"/>
        <v>0.20558993277297813</v>
      </c>
      <c r="AC24" s="22">
        <f t="shared" si="7"/>
        <v>0.20558154046339838</v>
      </c>
      <c r="AD24" s="22">
        <f t="shared" si="7"/>
        <v>0.20555920075453052</v>
      </c>
      <c r="AE24" s="22">
        <f t="shared" si="7"/>
        <v>0.20554681434588837</v>
      </c>
      <c r="AF24" s="22">
        <f t="shared" si="7"/>
        <v>0.20553568261268942</v>
      </c>
      <c r="AG24" s="22">
        <f t="shared" si="7"/>
        <v>0.20536977745480689</v>
      </c>
      <c r="AH24" s="22">
        <f t="shared" si="7"/>
        <v>0.20545853211693685</v>
      </c>
      <c r="AI24" s="22">
        <f t="shared" si="7"/>
        <v>0.20964311386023612</v>
      </c>
      <c r="AJ24" s="22">
        <f t="shared" si="7"/>
        <v>0.20974344821028801</v>
      </c>
      <c r="AK24" s="22">
        <f t="shared" si="7"/>
        <v>0.20982425488856588</v>
      </c>
      <c r="AL24" s="22">
        <f t="shared" si="7"/>
        <v>0.2098892877035963</v>
      </c>
      <c r="AM24" s="22">
        <f t="shared" si="7"/>
        <v>0.20994577828499417</v>
      </c>
      <c r="AN24" s="22">
        <f t="shared" si="7"/>
        <v>0.20999308493944649</v>
      </c>
      <c r="AO24" s="22">
        <f t="shared" si="7"/>
        <v>0.21003094234590952</v>
      </c>
      <c r="AP24" s="22">
        <f t="shared" si="7"/>
        <v>0.21005888922002158</v>
      </c>
      <c r="AQ24" s="22">
        <f t="shared" si="7"/>
        <v>0.21007643147081453</v>
      </c>
      <c r="AR24" s="22">
        <f t="shared" si="7"/>
        <v>0.21008337744367786</v>
      </c>
      <c r="AS24" s="22">
        <f t="shared" si="7"/>
        <v>0.21007936438730571</v>
      </c>
      <c r="AT24" s="22">
        <f t="shared" si="7"/>
        <v>0.21006427506811567</v>
      </c>
      <c r="AU24" s="22">
        <f t="shared" si="7"/>
        <v>0.21003824588081108</v>
      </c>
      <c r="AV24" s="22">
        <f t="shared" si="7"/>
        <v>0.21000120868289565</v>
      </c>
      <c r="AW24" s="22">
        <f t="shared" si="7"/>
        <v>0.20995309731561645</v>
      </c>
      <c r="AX24" s="22">
        <f t="shared" si="7"/>
        <v>0.20300793418813279</v>
      </c>
      <c r="AY24" s="22">
        <f t="shared" si="7"/>
        <v>0.20300793418813279</v>
      </c>
      <c r="AZ24" s="22">
        <f t="shared" si="7"/>
        <v>0.20300793418813279</v>
      </c>
      <c r="BA24" s="22">
        <f t="shared" si="7"/>
        <v>0.20300793418813279</v>
      </c>
      <c r="BB24" s="22">
        <f t="shared" si="7"/>
        <v>0.20300793418813279</v>
      </c>
      <c r="BC24" s="22">
        <f t="shared" si="7"/>
        <v>0.20300793418813279</v>
      </c>
      <c r="BD24" s="22">
        <f t="shared" si="7"/>
        <v>0.20300793418813279</v>
      </c>
      <c r="BE24" s="22">
        <f t="shared" si="7"/>
        <v>0.20300793418813279</v>
      </c>
      <c r="BF24" s="22">
        <f t="shared" si="7"/>
        <v>0.20300793418813279</v>
      </c>
      <c r="BG24" s="22">
        <f t="shared" si="7"/>
        <v>0.20300793418813279</v>
      </c>
      <c r="BH24" s="22">
        <f t="shared" si="7"/>
        <v>0.20300793418813279</v>
      </c>
      <c r="BI24" s="22">
        <f t="shared" si="7"/>
        <v>0.20300793418813279</v>
      </c>
      <c r="BJ24" s="22">
        <f t="shared" si="7"/>
        <v>0.20300793418813279</v>
      </c>
      <c r="BK24" s="22">
        <f t="shared" si="7"/>
        <v>0.20300793418813279</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3.4256429737473324</v>
      </c>
      <c r="Z26" s="45">
        <f>(Z19+Z22)*ttokg/Drivers!AA4</f>
        <v>3.4259441431177775</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3.4257802390981382</v>
      </c>
      <c r="AF26" s="45">
        <f>(AF19+AF22)*ttokg/Drivers!AG4</f>
        <v>3.425594710211489</v>
      </c>
      <c r="AG26" s="45">
        <f>(AG19+AG22)*ttokg/Drivers!AH4</f>
        <v>3.4228296242467806</v>
      </c>
      <c r="AH26" s="45">
        <f>(AH19+AH22)*ttokg/Drivers!AI4</f>
        <v>3.424308868615614</v>
      </c>
      <c r="AI26" s="45">
        <f>(AI19+AI22)*ttokg/Drivers!AJ4</f>
        <v>3.4940518976706003</v>
      </c>
      <c r="AJ26" s="45">
        <f>(AJ19+AJ22)*ttokg/Drivers!AK4</f>
        <v>3.4957241368381315</v>
      </c>
      <c r="AK26" s="45">
        <f>(AK19+AK22)*ttokg/Drivers!AL4</f>
        <v>3.497070914809429</v>
      </c>
      <c r="AL26" s="45">
        <f>(AL19+AL22)*ttokg/Drivers!AM4</f>
        <v>3.498154795059937</v>
      </c>
      <c r="AM26" s="45">
        <f>(AM19+AM22)*ttokg/Drivers!AN4</f>
        <v>3.4990963047499006</v>
      </c>
      <c r="AN26" s="45">
        <f>(AN19+AN22)*ttokg/Drivers!AO4</f>
        <v>3.4998847489907732</v>
      </c>
      <c r="AO26" s="45">
        <f>(AO19+AO22)*ttokg/Drivers!AP4</f>
        <v>3.500515705765157</v>
      </c>
      <c r="AP26" s="45">
        <f>(AP19+AP22)*ttokg/Drivers!AQ4</f>
        <v>3.5009814870003577</v>
      </c>
      <c r="AQ26" s="45">
        <f>(AQ19+AQ22)*ttokg/Drivers!AR4</f>
        <v>3.5012738578469071</v>
      </c>
      <c r="AR26" s="45">
        <f>(AR19+AR22)*ttokg/Drivers!AS4</f>
        <v>3.5013896240612961</v>
      </c>
      <c r="AS26" s="45">
        <f>(AS19+AS22)*ttokg/Drivers!AT4</f>
        <v>3.501322739788427</v>
      </c>
      <c r="AT26" s="45">
        <f>(AT19+AT22)*ttokg/Drivers!AU4</f>
        <v>3.5010712511352597</v>
      </c>
      <c r="AU26" s="45">
        <f>(AU19+AU22)*ttokg/Drivers!AV4</f>
        <v>3.5006374313468491</v>
      </c>
      <c r="AV26" s="45">
        <f>(AV19+AV22)*ttokg/Drivers!AW4</f>
        <v>3.5000201447149255</v>
      </c>
      <c r="AW26" s="45">
        <f>(AW19+AW22)*ttokg/Drivers!AX4</f>
        <v>3.4992182885936054</v>
      </c>
      <c r="AX26" s="45">
        <f>(AX19+AX22)*ttokg/Drivers!AY4</f>
        <v>3.3834655698022127</v>
      </c>
      <c r="AY26" s="45">
        <f>(AY19+AY22)*ttokg/Drivers!AZ4</f>
        <v>3.3834655698022131</v>
      </c>
      <c r="AZ26" s="45">
        <f>(AZ19+AZ22)*ttokg/Drivers!BA4</f>
        <v>3.3834655698022127</v>
      </c>
      <c r="BA26" s="45">
        <f>(BA19+BA22)*ttokg/Drivers!BB4</f>
        <v>3.3834655698022127</v>
      </c>
      <c r="BB26" s="45">
        <f>(BB19+BB22)*ttokg/Drivers!BC4</f>
        <v>3.3834655698022127</v>
      </c>
      <c r="BC26" s="45">
        <f>(BC19+BC22)*ttokg/Drivers!BD4</f>
        <v>3.3834655698022127</v>
      </c>
      <c r="BD26" s="45">
        <f>(BD19+BD22)*ttokg/Drivers!BE4</f>
        <v>3.3834655698022122</v>
      </c>
      <c r="BE26" s="45">
        <f>(BE19+BE22)*ttokg/Drivers!BF4</f>
        <v>3.3834655698022122</v>
      </c>
      <c r="BF26" s="45">
        <f>(BF19+BF22)*ttokg/Drivers!BG4</f>
        <v>3.3834655698022131</v>
      </c>
      <c r="BG26" s="45">
        <f>(BG19+BG22)*ttokg/Drivers!BH4</f>
        <v>3.3834655698022122</v>
      </c>
      <c r="BH26" s="45">
        <f>(BH19+BH22)*ttokg/Drivers!BI4</f>
        <v>3.3834655698022127</v>
      </c>
      <c r="BI26" s="45">
        <f>(BI19+BI22)*ttokg/Drivers!BJ4</f>
        <v>3.3834655698022122</v>
      </c>
      <c r="BJ26" s="45">
        <f>(BJ19+BJ22)*ttokg/Drivers!BK4</f>
        <v>3.3834655698022127</v>
      </c>
      <c r="BK26" s="45">
        <f>(BK19+BK22)*ttokg/Drivers!BL4</f>
        <v>3.3834655698022131</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164544.7123891768</v>
      </c>
      <c r="AH27" s="94">
        <f>IF('Net zero activities &amp; levers'!$C$14="Off",((Data!$AJ$23*'Net zero Intermediate calcs'!AH19)+Data!$AK$23),IF('Net zero activities &amp; levers'!$C$14="On",((Data!$AJ$23*'Net zero Intermediate calcs'!AH19)+Data!$AK$23)*(1-'Net zero supporting data'!K214),"ERROR"))</f>
        <v>165675.99678341317</v>
      </c>
      <c r="AI27" s="94">
        <f>IF('Net zero activities &amp; levers'!$C$14="Off",((Data!$AJ$23*'Net zero Intermediate calcs'!AI19)+Data!$AK$23),IF('Net zero activities &amp; levers'!$C$14="On",((Data!$AJ$23*'Net zero Intermediate calcs'!AI19)+Data!$AK$23)*(1-'Net zero supporting data'!L214),"ERROR"))</f>
        <v>168838.9053220381</v>
      </c>
      <c r="AJ27" s="94">
        <f>IF('Net zero activities &amp; levers'!$C$14="Off",((Data!$AJ$23*'Net zero Intermediate calcs'!AJ19)+Data!$AK$23),IF('Net zero activities &amp; levers'!$C$14="On",((Data!$AJ$23*'Net zero Intermediate calcs'!AJ19)+Data!$AK$23)*(1-'Net zero supporting data'!M214),"ERROR"))</f>
        <v>169869.11365750444</v>
      </c>
      <c r="AK27" s="94">
        <f>IF('Net zero activities &amp; levers'!$C$14="Off",((Data!$AJ$23*'Net zero Intermediate calcs'!AK19)+Data!$AK$23),IF('Net zero activities &amp; levers'!$C$14="On",((Data!$AJ$23*'Net zero Intermediate calcs'!AK19)+Data!$AK$23)*(1-'Net zero supporting data'!N214),"ERROR"))</f>
        <v>171049.32261118671</v>
      </c>
      <c r="AL27" s="94">
        <f>IF('Net zero activities &amp; levers'!$C$14="Off",((Data!$AJ$23*'Net zero Intermediate calcs'!AL19)+Data!$AK$23),IF('Net zero activities &amp; levers'!$C$14="On",((Data!$AJ$23*'Net zero Intermediate calcs'!AL19)+Data!$AK$23)*(1-'Net zero supporting data'!O214),"ERROR"))</f>
        <v>172310.18137581521</v>
      </c>
      <c r="AM27" s="94">
        <f>IF('Net zero activities &amp; levers'!$C$14="Off",((Data!$AJ$23*'Net zero Intermediate calcs'!AM19)+Data!$AK$23),IF('Net zero activities &amp; levers'!$C$14="On",((Data!$AJ$23*'Net zero Intermediate calcs'!AM19)+Data!$AK$23)*(1-'Net zero supporting data'!P214),"ERROR"))</f>
        <v>173527.79635027621</v>
      </c>
      <c r="AN27" s="94">
        <f>IF('Net zero activities &amp; levers'!$C$14="Off",((Data!$AJ$23*'Net zero Intermediate calcs'!AN19)+Data!$AK$23),IF('Net zero activities &amp; levers'!$C$14="On",((Data!$AJ$23*'Net zero Intermediate calcs'!AN19)+Data!$AK$23)*(1-'Net zero supporting data'!Q214),"ERROR"))</f>
        <v>174706.92743784492</v>
      </c>
      <c r="AO27" s="94">
        <f>IF('Net zero activities &amp; levers'!$C$14="Off",((Data!$AJ$23*'Net zero Intermediate calcs'!AO19)+Data!$AK$23),IF('Net zero activities &amp; levers'!$C$14="On",((Data!$AJ$23*'Net zero Intermediate calcs'!AO19)+Data!$AK$23)*(1-'Net zero supporting data'!R214),"ERROR"))</f>
        <v>175846.8553260584</v>
      </c>
      <c r="AP27" s="94">
        <f>IF('Net zero activities &amp; levers'!$C$14="Off",((Data!$AJ$23*'Net zero Intermediate calcs'!AP19)+Data!$AK$23),IF('Net zero activities &amp; levers'!$C$14="On",((Data!$AJ$23*'Net zero Intermediate calcs'!AP19)+Data!$AK$23)*(1-'Net zero supporting data'!S214),"ERROR"))</f>
        <v>176950.78087099484</v>
      </c>
      <c r="AQ27" s="94">
        <f>IF('Net zero activities &amp; levers'!$C$14="Off",((Data!$AJ$23*'Net zero Intermediate calcs'!AQ19)+Data!$AK$23),IF('Net zero activities &amp; levers'!$C$14="On",((Data!$AJ$23*'Net zero Intermediate calcs'!AQ19)+Data!$AK$23)*(1-'Net zero supporting data'!T214),"ERROR"))</f>
        <v>178023.2717564803</v>
      </c>
      <c r="AR27" s="94">
        <f>IF('Net zero activities &amp; levers'!$C$14="Off",((Data!$AJ$23*'Net zero Intermediate calcs'!AR19)+Data!$AK$23),IF('Net zero activities &amp; levers'!$C$14="On",((Data!$AJ$23*'Net zero Intermediate calcs'!AR19)+Data!$AK$23)*(1-'Net zero supporting data'!U214),"ERROR"))</f>
        <v>179064.77708379278</v>
      </c>
      <c r="AS27" s="94">
        <f>IF('Net zero activities &amp; levers'!$C$14="Off",((Data!$AJ$23*'Net zero Intermediate calcs'!AS19)+Data!$AK$23),IF('Net zero activities &amp; levers'!$C$14="On",((Data!$AJ$23*'Net zero Intermediate calcs'!AS19)+Data!$AK$23)*(1-'Net zero supporting data'!V214),"ERROR"))</f>
        <v>180079.52298379922</v>
      </c>
      <c r="AT27" s="94">
        <f>IF('Net zero activities &amp; levers'!$C$14="Off",((Data!$AJ$23*'Net zero Intermediate calcs'!AT19)+Data!$AK$23),IF('Net zero activities &amp; levers'!$C$14="On",((Data!$AJ$23*'Net zero Intermediate calcs'!AT19)+Data!$AK$23)*(1-'Net zero supporting data'!W214),"ERROR"))</f>
        <v>181068.62884384691</v>
      </c>
      <c r="AU27" s="94">
        <f>IF('Net zero activities &amp; levers'!$C$14="Off",((Data!$AJ$23*'Net zero Intermediate calcs'!AU19)+Data!$AK$23),IF('Net zero activities &amp; levers'!$C$14="On",((Data!$AJ$23*'Net zero Intermediate calcs'!AU19)+Data!$AK$23)*(1-'Net zero supporting data'!X214),"ERROR"))</f>
        <v>182029.85487076238</v>
      </c>
      <c r="AV27" s="94">
        <f>IF('Net zero activities &amp; levers'!$C$14="Off",((Data!$AJ$23*'Net zero Intermediate calcs'!AV19)+Data!$AK$23),IF('Net zero activities &amp; levers'!$C$14="On",((Data!$AJ$23*'Net zero Intermediate calcs'!AV19)+Data!$AK$23)*(1-'Net zero supporting data'!Y214),"ERROR"))</f>
        <v>182965.40968193935</v>
      </c>
      <c r="AW27" s="94">
        <f>IF('Net zero activities &amp; levers'!$C$14="Off",((Data!$AJ$23*'Net zero Intermediate calcs'!AW19)+Data!$AK$23),IF('Net zero activities &amp; levers'!$C$14="On",((Data!$AJ$23*'Net zero Intermediate calcs'!AW19)+Data!$AK$23)*(1-'Net zero supporting data'!Z214),"ERROR"))</f>
        <v>183878.5783688786</v>
      </c>
      <c r="AX27" s="94">
        <f>IF('Net zero activities &amp; levers'!$C$14="Off",((Data!$AJ$23*'Net zero Intermediate calcs'!AX19)+Data!$AK$23),IF('Net zero activities &amp; levers'!$C$14="On",((Data!$AJ$23*'Net zero Intermediate calcs'!AX19)+Data!$AK$23)*(1-'Net zero supporting data'!AA214),"ERROR"))</f>
        <v>180560.47989105069</v>
      </c>
      <c r="AY27" s="94">
        <f>IF('Net zero activities &amp; levers'!$C$14="Off",((Data!$AJ$23*'Net zero Intermediate calcs'!AY19)+Data!$AK$23),IF('Net zero activities &amp; levers'!$C$14="On",((Data!$AJ$23*'Net zero Intermediate calcs'!AY19)+Data!$AK$23)*(1-'Net zero supporting data'!AB214),"ERROR"))</f>
        <v>181432.32064928868</v>
      </c>
      <c r="AZ27" s="94">
        <f>IF('Net zero activities &amp; levers'!$C$14="Off",((Data!$AJ$23*'Net zero Intermediate calcs'!AZ19)+Data!$AK$23),IF('Net zero activities &amp; levers'!$C$14="On",((Data!$AJ$23*'Net zero Intermediate calcs'!AZ19)+Data!$AK$23)*(1-'Net zero supporting data'!AC214),"ERROR"))</f>
        <v>182282.52010545431</v>
      </c>
      <c r="BA27" s="94">
        <f>IF('Net zero activities &amp; levers'!$C$14="Off",((Data!$AJ$23*'Net zero Intermediate calcs'!BA19)+Data!$AK$23),IF('Net zero activities &amp; levers'!$C$14="On",((Data!$AJ$23*'Net zero Intermediate calcs'!BA19)+Data!$AK$23)*(1-'Net zero supporting data'!AD214),"ERROR"))</f>
        <v>183112.36174252423</v>
      </c>
      <c r="BB27" s="94">
        <f>IF('Net zero activities &amp; levers'!$C$14="Off",((Data!$AJ$23*'Net zero Intermediate calcs'!BB19)+Data!$AK$23),IF('Net zero activities &amp; levers'!$C$14="On",((Data!$AJ$23*'Net zero Intermediate calcs'!BB19)+Data!$AK$23)*(1-'Net zero supporting data'!AE214),"ERROR"))</f>
        <v>183923.32510593839</v>
      </c>
      <c r="BC27" s="94">
        <f>IF('Net zero activities &amp; levers'!$C$14="Off",((Data!$AJ$23*'Net zero Intermediate calcs'!BC19)+Data!$AK$23),IF('Net zero activities &amp; levers'!$C$14="On",((Data!$AJ$23*'Net zero Intermediate calcs'!BC19)+Data!$AK$23)*(1-'Net zero supporting data'!AF214),"ERROR"))</f>
        <v>184712.07713382234</v>
      </c>
      <c r="BD27" s="94">
        <f>IF('Net zero activities &amp; levers'!$C$14="Off",((Data!$AJ$23*'Net zero Intermediate calcs'!BD19)+Data!$AK$23),IF('Net zero activities &amp; levers'!$C$14="On",((Data!$AJ$23*'Net zero Intermediate calcs'!BD19)+Data!$AK$23)*(1-'Net zero supporting data'!AG214),"ERROR"))</f>
        <v>185476.42301582417</v>
      </c>
      <c r="BE27" s="94">
        <f>IF('Net zero activities &amp; levers'!$C$14="Off",((Data!$AJ$23*'Net zero Intermediate calcs'!BE19)+Data!$AK$23),IF('Net zero activities &amp; levers'!$C$14="On",((Data!$AJ$23*'Net zero Intermediate calcs'!BE19)+Data!$AK$23)*(1-'Net zero supporting data'!AH214),"ERROR"))</f>
        <v>186216.20118195104</v>
      </c>
      <c r="BF27" s="94">
        <f>IF('Net zero activities &amp; levers'!$C$14="Off",((Data!$AJ$23*'Net zero Intermediate calcs'!BF19)+Data!$AK$23),IF('Net zero activities &amp; levers'!$C$14="On",((Data!$AJ$23*'Net zero Intermediate calcs'!BF19)+Data!$AK$23)*(1-'Net zero supporting data'!AI214),"ERROR"))</f>
        <v>186928.79746602691</v>
      </c>
      <c r="BG27" s="94">
        <f>IF('Net zero activities &amp; levers'!$C$14="Off",((Data!$AJ$23*'Net zero Intermediate calcs'!BG19)+Data!$AK$23),IF('Net zero activities &amp; levers'!$C$14="On",((Data!$AJ$23*'Net zero Intermediate calcs'!BG19)+Data!$AK$23)*(1-'Net zero supporting data'!AJ214),"ERROR"))</f>
        <v>187611.30179278782</v>
      </c>
      <c r="BH27" s="94">
        <f>IF('Net zero activities &amp; levers'!$C$14="Off",((Data!$AJ$23*'Net zero Intermediate calcs'!BH19)+Data!$AK$23),IF('Net zero activities &amp; levers'!$C$14="On",((Data!$AJ$23*'Net zero Intermediate calcs'!BH19)+Data!$AK$23)*(1-'Net zero supporting data'!AK214),"ERROR"))</f>
        <v>188263.4600071889</v>
      </c>
      <c r="BI27" s="94">
        <f>IF('Net zero activities &amp; levers'!$C$14="Off",((Data!$AJ$23*'Net zero Intermediate calcs'!BI19)+Data!$AK$23),IF('Net zero activities &amp; levers'!$C$14="On",((Data!$AJ$23*'Net zero Intermediate calcs'!BI19)+Data!$AK$23)*(1-'Net zero supporting data'!AL214),"ERROR"))</f>
        <v>188885.82398875616</v>
      </c>
      <c r="BJ27" s="94">
        <f>IF('Net zero activities &amp; levers'!$C$14="Off",((Data!$AJ$23*'Net zero Intermediate calcs'!BJ19)+Data!$AK$23),IF('Net zero activities &amp; levers'!$C$14="On",((Data!$AJ$23*'Net zero Intermediate calcs'!BJ19)+Data!$AK$23)*(1-'Net zero supporting data'!AM214),"ERROR"))</f>
        <v>189478.80583174099</v>
      </c>
      <c r="BK27" s="94">
        <f>IF('Net zero activities &amp; levers'!$C$14="Off",((Data!$AJ$23*'Net zero Intermediate calcs'!BK19)+Data!$AK$23),IF('Net zero activities &amp; levers'!$C$14="On",((Data!$AJ$23*'Net zero Intermediate calcs'!BK19)+Data!$AK$23)*(1-'Net zero supporting data'!AN214),"ERROR"))</f>
        <v>190039.56807660649</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232803.07737192552</v>
      </c>
      <c r="Z29" s="22">
        <f>((Data!$AJ$9*'Net zero Intermediate calcs'!Z4)+Data!$AK$9)*Drivers!AA4</f>
        <v>238588.45125065104</v>
      </c>
      <c r="AA29" s="22">
        <f>((Data!$AJ$9*'Net zero Intermediate calcs'!AA4)+Data!$AK$9)*Drivers!AB4</f>
        <v>245792.32692559363</v>
      </c>
      <c r="AB29" s="22">
        <f>((Data!$AJ$9*'Net zero Intermediate calcs'!AB4)+Data!$AK$9)*Drivers!AC4</f>
        <v>250389.30527292378</v>
      </c>
      <c r="AC29" s="22">
        <f>((Data!$AJ$9*'Net zero Intermediate calcs'!AC4)+Data!$AK$9)*Drivers!AD4</f>
        <v>253237.16816783999</v>
      </c>
      <c r="AD29" s="22">
        <f>((Data!$AJ$9*'Net zero Intermediate calcs'!AD4)+Data!$AK$9)*Drivers!AE4</f>
        <v>254291.65168168265</v>
      </c>
      <c r="AE29" s="22">
        <f>((Data!$AJ$9*'Net zero Intermediate calcs'!AE4)+Data!$AK$9)*Drivers!AF4</f>
        <v>256684.19880969997</v>
      </c>
      <c r="AF29" s="22">
        <f>((Data!$AJ$9*'Net zero Intermediate calcs'!AF4)+Data!$AK$9)*Drivers!AG4</f>
        <v>259264.64593191381</v>
      </c>
      <c r="AG29" s="22">
        <f>((Data!$AJ$9*'Net zero Intermediate calcs'!AG4)+Data!$AK$9)*Drivers!AH4</f>
        <v>237623.69736441551</v>
      </c>
      <c r="AH29" s="22">
        <f>((Data!$AJ$9*'Net zero Intermediate calcs'!AH4)+Data!$AK$9)*Drivers!AI4</f>
        <v>252751.94213847615</v>
      </c>
      <c r="AI29" s="22">
        <f>((Data!$AJ$9*'Net zero Intermediate calcs'!AI4)+Data!$AK$9)*Drivers!AJ4</f>
        <v>860749.45941986737</v>
      </c>
      <c r="AJ29" s="22">
        <f>((Data!$AJ$9*'Net zero Intermediate calcs'!AJ4)+Data!$AK$9)*Drivers!AK4</f>
        <v>882884.40488726774</v>
      </c>
      <c r="AK29" s="22">
        <f>((Data!$AJ$9*'Net zero Intermediate calcs'!AK4)+Data!$AK$9)*Drivers!AL4</f>
        <v>903655.92850739614</v>
      </c>
      <c r="AL29" s="22">
        <f>((Data!$AJ$9*'Net zero Intermediate calcs'!AL4)+Data!$AK$9)*Drivers!AM4</f>
        <v>923019.66104993643</v>
      </c>
      <c r="AM29" s="22">
        <f>((Data!$AJ$9*'Net zero Intermediate calcs'!AM4)+Data!$AK$9)*Drivers!AN4</f>
        <v>940985.97722001362</v>
      </c>
      <c r="AN29" s="22">
        <f>((Data!$AJ$9*'Net zero Intermediate calcs'!AN4)+Data!$AK$9)*Drivers!AO4</f>
        <v>957452.49756759801</v>
      </c>
      <c r="AO29" s="22">
        <f>((Data!$AJ$9*'Net zero Intermediate calcs'!AO4)+Data!$AK$9)*Drivers!AP4</f>
        <v>972328.18187099125</v>
      </c>
      <c r="AP29" s="22">
        <f>((Data!$AJ$9*'Net zero Intermediate calcs'!AP4)+Data!$AK$9)*Drivers!AQ4</f>
        <v>985525.4803457947</v>
      </c>
      <c r="AQ29" s="22">
        <f>((Data!$AJ$9*'Net zero Intermediate calcs'!AQ4)+Data!$AK$9)*Drivers!AR4</f>
        <v>996963.4213729999</v>
      </c>
      <c r="AR29" s="22">
        <f>((Data!$AJ$9*'Net zero Intermediate calcs'!AR4)+Data!$AK$9)*Drivers!AS4</f>
        <v>1006573.3369216352</v>
      </c>
      <c r="AS29" s="22">
        <f>((Data!$AJ$9*'Net zero Intermediate calcs'!AS4)+Data!$AK$9)*Drivers!AT4</f>
        <v>1014292.2257427881</v>
      </c>
      <c r="AT29" s="22">
        <f>((Data!$AJ$9*'Net zero Intermediate calcs'!AT4)+Data!$AK$9)*Drivers!AU4</f>
        <v>1020069.625514389</v>
      </c>
      <c r="AU29" s="22">
        <f>((Data!$AJ$9*'Net zero Intermediate calcs'!AU4)+Data!$AK$9)*Drivers!AV4</f>
        <v>1023868.31083134</v>
      </c>
      <c r="AV29" s="22">
        <f>((Data!$AJ$9*'Net zero Intermediate calcs'!AV4)+Data!$AK$9)*Drivers!AW4</f>
        <v>1025657.4980067261</v>
      </c>
      <c r="AW29" s="22">
        <f>((Data!$AJ$9*'Net zero Intermediate calcs'!AW4)+Data!$AK$9)*Drivers!AX4</f>
        <v>1025416.2324458954</v>
      </c>
      <c r="AX29" s="22">
        <f>((Data!$AJ$9*'Net zero Intermediate calcs'!AX4)+Data!$AK$9)*Drivers!AY4</f>
        <v>-113959.83132958665</v>
      </c>
      <c r="AY29" s="22">
        <f>((Data!$AJ$9*'Net zero Intermediate calcs'!AY4)+Data!$AK$9)*Drivers!AZ4</f>
        <v>-114761.03906424585</v>
      </c>
      <c r="AZ29" s="22">
        <f>((Data!$AJ$9*'Net zero Intermediate calcs'!AZ4)+Data!$AK$9)*Drivers!BA4</f>
        <v>-115542.35878788393</v>
      </c>
      <c r="BA29" s="22">
        <f>((Data!$AJ$9*'Net zero Intermediate calcs'!BA4)+Data!$AK$9)*Drivers!BB4</f>
        <v>-116304.97000086095</v>
      </c>
      <c r="BB29" s="22">
        <f>((Data!$AJ$9*'Net zero Intermediate calcs'!BB4)+Data!$AK$9)*Drivers!BC4</f>
        <v>-117050.23238180975</v>
      </c>
      <c r="BC29" s="22">
        <f>((Data!$AJ$9*'Net zero Intermediate calcs'!BC4)+Data!$AK$9)*Drivers!BD4</f>
        <v>-117775.08290009241</v>
      </c>
      <c r="BD29" s="22">
        <f>((Data!$AJ$9*'Net zero Intermediate calcs'!BD4)+Data!$AK$9)*Drivers!BE4</f>
        <v>-118477.50456004374</v>
      </c>
      <c r="BE29" s="22">
        <f>((Data!$AJ$9*'Net zero Intermediate calcs'!BE4)+Data!$AK$9)*Drivers!BF4</f>
        <v>-119157.3488814204</v>
      </c>
      <c r="BF29" s="22">
        <f>((Data!$AJ$9*'Net zero Intermediate calcs'!BF4)+Data!$AK$9)*Drivers!BG4</f>
        <v>-119812.21348725149</v>
      </c>
      <c r="BG29" s="22">
        <f>((Data!$AJ$9*'Net zero Intermediate calcs'!BG4)+Data!$AK$9)*Drivers!BH4</f>
        <v>-120439.42406483949</v>
      </c>
      <c r="BH29" s="22">
        <f>((Data!$AJ$9*'Net zero Intermediate calcs'!BH4)+Data!$AK$9)*Drivers!BI4</f>
        <v>-121038.74704975668</v>
      </c>
      <c r="BI29" s="22">
        <f>((Data!$AJ$9*'Net zero Intermediate calcs'!BI4)+Data!$AK$9)*Drivers!BJ4</f>
        <v>-121610.68961047471</v>
      </c>
      <c r="BJ29" s="22">
        <f>((Data!$AJ$9*'Net zero Intermediate calcs'!BJ4)+Data!$AK$9)*Drivers!BK4</f>
        <v>-122155.63045502997</v>
      </c>
      <c r="BK29" s="22">
        <f>((Data!$AJ$9*'Net zero Intermediate calcs'!BK4)+Data!$AK$9)*Drivers!BL4</f>
        <v>-122670.96200341856</v>
      </c>
      <c r="BL29">
        <v>633508.56940588297</v>
      </c>
    </row>
    <row r="30" spans="1:64" x14ac:dyDescent="0.25">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4.4491381064464779</v>
      </c>
      <c r="Z30" s="45">
        <f>Z29*ttokg/Drivers!AA4</f>
        <v>4.4928200316832108</v>
      </c>
      <c r="AA30" s="45">
        <f>AA29*ttokg/Drivers!AB4</f>
        <v>4.5591085416730008</v>
      </c>
      <c r="AB30" s="45">
        <f>AB29*ttokg/Drivers!AC4</f>
        <v>4.5732795927157346</v>
      </c>
      <c r="AC30" s="45">
        <f>AC29*ttokg/Drivers!AD4</f>
        <v>4.5529924345249402</v>
      </c>
      <c r="AD30" s="45">
        <f>AD29*ttokg/Drivers!AE4</f>
        <v>4.4989895163257341</v>
      </c>
      <c r="AE30" s="45">
        <f>AE29*ttokg/Drivers!AF4</f>
        <v>4.4690472186600507</v>
      </c>
      <c r="AF30" s="45">
        <f>AF29*ttokg/Drivers!AG4</f>
        <v>4.4421379119670714</v>
      </c>
      <c r="AG30" s="45">
        <f>AG29*ttokg/Drivers!AH4</f>
        <v>4.0410869079922414</v>
      </c>
      <c r="AH30" s="45">
        <f>AH29*ttokg/Drivers!AI4</f>
        <v>4.2556380817410648</v>
      </c>
      <c r="AI30" s="45">
        <f>AI29*ttokg/Drivers!AJ4</f>
        <v>14.371241061084406</v>
      </c>
      <c r="AJ30" s="45">
        <f>AJ29*ttokg/Drivers!AK4</f>
        <v>14.613784405336297</v>
      </c>
      <c r="AK30" s="45">
        <f>AK29*ttokg/Drivers!AL4</f>
        <v>14.809122512148818</v>
      </c>
      <c r="AL30" s="45">
        <f>AL29*ttokg/Drivers!AM4</f>
        <v>14.966329654423077</v>
      </c>
      <c r="AM30" s="45">
        <f>AM29*ttokg/Drivers!AN4</f>
        <v>15.102887219443256</v>
      </c>
      <c r="AN30" s="45">
        <f>AN29*ttokg/Drivers!AO4</f>
        <v>15.217244009219707</v>
      </c>
      <c r="AO30" s="45">
        <f>AO29*ttokg/Drivers!AP4</f>
        <v>15.308758649654393</v>
      </c>
      <c r="AP30" s="45">
        <f>AP29*ttokg/Drivers!AQ4</f>
        <v>15.376316054521443</v>
      </c>
      <c r="AQ30" s="45">
        <f>AQ29*ttokg/Drivers!AR4</f>
        <v>15.418721832511027</v>
      </c>
      <c r="AR30" s="45">
        <f>AR29*ttokg/Drivers!AS4</f>
        <v>15.435512687153421</v>
      </c>
      <c r="AS30" s="45">
        <f>AS29*ttokg/Drivers!AT4</f>
        <v>15.425811721206315</v>
      </c>
      <c r="AT30" s="45">
        <f>AT29*ttokg/Drivers!AU4</f>
        <v>15.389335539948886</v>
      </c>
      <c r="AU30" s="45">
        <f>AU29*ttokg/Drivers!AV4</f>
        <v>15.326413857257439</v>
      </c>
      <c r="AV30" s="45">
        <f>AV29*ttokg/Drivers!AW4</f>
        <v>15.236881948798571</v>
      </c>
      <c r="AW30" s="45">
        <f>AW29*ttokg/Drivers!AX4</f>
        <v>15.120579885642735</v>
      </c>
      <c r="AX30" s="45">
        <f>AX29*ttokg/Drivers!AY4</f>
        <v>-1.6683173409193768</v>
      </c>
      <c r="AY30" s="45">
        <f>AY29*ttokg/Drivers!AZ4</f>
        <v>-1.6683173409193768</v>
      </c>
      <c r="AZ30" s="45">
        <f>AZ29*ttokg/Drivers!BA4</f>
        <v>-1.6683173409193768</v>
      </c>
      <c r="BA30" s="45">
        <f>BA29*ttokg/Drivers!BB4</f>
        <v>-1.6683173409193766</v>
      </c>
      <c r="BB30" s="45">
        <f>BB29*ttokg/Drivers!BC4</f>
        <v>-1.6683173409193768</v>
      </c>
      <c r="BC30" s="45">
        <f>BC29*ttokg/Drivers!BD4</f>
        <v>-1.6683173409193768</v>
      </c>
      <c r="BD30" s="45">
        <f>BD29*ttokg/Drivers!BE4</f>
        <v>-1.6683173409193768</v>
      </c>
      <c r="BE30" s="45">
        <f>BE29*ttokg/Drivers!BF4</f>
        <v>-1.6683173409193768</v>
      </c>
      <c r="BF30" s="45">
        <f>BF29*ttokg/Drivers!BG4</f>
        <v>-1.6683173409193768</v>
      </c>
      <c r="BG30" s="45">
        <f>BG29*ttokg/Drivers!BH4</f>
        <v>-1.6683173409193768</v>
      </c>
      <c r="BH30" s="45">
        <f>BH29*ttokg/Drivers!BI4</f>
        <v>-1.6683173409193766</v>
      </c>
      <c r="BI30" s="45">
        <f>BI29*ttokg/Drivers!BJ4</f>
        <v>-1.668317340919377</v>
      </c>
      <c r="BJ30" s="45">
        <f>BJ29*ttokg/Drivers!BK4</f>
        <v>-1.6683173409193768</v>
      </c>
      <c r="BK30" s="45">
        <f>BK29*ttokg/Drivers!BL4</f>
        <v>-1.6683173409193768</v>
      </c>
      <c r="BL30">
        <v>8.3888419900670428</v>
      </c>
    </row>
    <row r="31" spans="1:64" x14ac:dyDescent="0.25">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2.66508288843823</v>
      </c>
      <c r="AP31" s="45"/>
      <c r="AQ31" s="45">
        <f>(AQ32-AE32)/AE32</f>
        <v>2.7234545101050385</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210251.25025039676</v>
      </c>
      <c r="Z32" s="94">
        <f>IF('Net zero activities &amp; levers'!$C$14="Off",((Data!$AJ$26*'Net zero Intermediate calcs'!Z29)+Data!$AK$26),IF('Net zero activities &amp; levers'!$C$14="On",((Data!$AJ$26*'Net zero Intermediate calcs'!Z29)+Data!$AK$26)*(1-'Net zero supporting data'!C215),"ERROR"))</f>
        <v>215157.29984140495</v>
      </c>
      <c r="AA32" s="94">
        <f>IF('Net zero activities &amp; levers'!$C$14="Off",((Data!$AJ$26*'Net zero Intermediate calcs'!AA29)+Data!$AK$26),IF('Net zero activities &amp; levers'!$C$14="On",((Data!$AJ$26*'Net zero Intermediate calcs'!AA29)+Data!$AK$26)*(1-'Net zero supporting data'!D215),"ERROR"))</f>
        <v>221266.25183821382</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228473.75642089816</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232690.90070904008</v>
      </c>
      <c r="AG32" s="94">
        <f>IF('Net zero activities &amp; levers'!$C$14="Off",((Data!$AJ$26*'Net zero Intermediate calcs'!AG29)+Data!$AK$26),IF('Net zero activities &amp; levers'!$C$14="On",((Data!$AJ$26*'Net zero Intermediate calcs'!AG29)+Data!$AK$26)*(1-'Net zero supporting data'!J215),"ERROR"))</f>
        <v>214339.17978413528</v>
      </c>
      <c r="AH32" s="94">
        <f>IF('Net zero activities &amp; levers'!$C$14="Off",((Data!$AJ$26*'Net zero Intermediate calcs'!AH29)+Data!$AK$26),IF('Net zero activities &amp; levers'!$C$14="On",((Data!$AJ$26*'Net zero Intermediate calcs'!AH29)+Data!$AK$26)*(1-'Net zero supporting data'!K215),"ERROR"))</f>
        <v>227168.06874486091</v>
      </c>
      <c r="AI32" s="94">
        <f>IF('Net zero activities &amp; levers'!$C$14="Off",((Data!$AJ$26*'Net zero Intermediate calcs'!AI29)+Data!$AK$26),IF('Net zero activities &amp; levers'!$C$14="On",((Data!$AJ$26*'Net zero Intermediate calcs'!AI29)+Data!$AK$26)*(1-'Net zero supporting data'!L215),"ERROR"))</f>
        <v>742755.48513660545</v>
      </c>
      <c r="AJ32" s="94">
        <f>IF('Net zero activities &amp; levers'!$C$14="Off",((Data!$AJ$26*'Net zero Intermediate calcs'!AJ29)+Data!$AK$26),IF('Net zero activities &amp; levers'!$C$14="On",((Data!$AJ$26*'Net zero Intermediate calcs'!AJ29)+Data!$AK$26)*(1-'Net zero supporting data'!M215),"ERROR"))</f>
        <v>761526.11991902883</v>
      </c>
      <c r="AK32" s="94">
        <f>IF('Net zero activities &amp; levers'!$C$14="Off",((Data!$AJ$26*'Net zero Intermediate calcs'!AK29)+Data!$AK$26),IF('Net zero activities &amp; levers'!$C$14="On",((Data!$AJ$26*'Net zero Intermediate calcs'!AK29)+Data!$AK$26)*(1-'Net zero supporting data'!N215),"ERROR"))</f>
        <v>779140.56059258431</v>
      </c>
      <c r="AL32" s="94">
        <f>IF('Net zero activities &amp; levers'!$C$14="Off",((Data!$AJ$26*'Net zero Intermediate calcs'!AL29)+Data!$AK$26),IF('Net zero activities &amp; levers'!$C$14="On",((Data!$AJ$26*'Net zero Intermediate calcs'!AL29)+Data!$AK$26)*(1-'Net zero supporting data'!O215),"ERROR"))</f>
        <v>795561.18164700957</v>
      </c>
      <c r="AM32" s="94">
        <f>IF('Net zero activities &amp; levers'!$C$14="Off",((Data!$AJ$26*'Net zero Intermediate calcs'!AM29)+Data!$AK$26),IF('Net zero activities &amp; levers'!$C$14="On",((Data!$AJ$26*'Net zero Intermediate calcs'!AM29)+Data!$AK$26)*(1-'Net zero supporting data'!P215),"ERROR"))</f>
        <v>810796.78092647193</v>
      </c>
      <c r="AN32" s="94">
        <f>IF('Net zero activities &amp; levers'!$C$14="Off",((Data!$AJ$26*'Net zero Intermediate calcs'!AN29)+Data!$AK$26),IF('Net zero activities &amp; levers'!$C$14="On",((Data!$AJ$26*'Net zero Intermediate calcs'!AN29)+Data!$AK$26)*(1-'Net zero supporting data'!Q215),"ERROR"))</f>
        <v>824760.53972755244</v>
      </c>
      <c r="AO32" s="94">
        <f>IF('Net zero activities &amp; levers'!$C$14="Off",((Data!$AJ$26*'Net zero Intermediate calcs'!AO29)+Data!$AK$26),IF('Net zero activities &amp; levers'!$C$14="On",((Data!$AJ$26*'Net zero Intermediate calcs'!AO29)+Data!$AK$26)*(1-'Net zero supporting data'!R215),"ERROR"))</f>
        <v>837375.25511543802</v>
      </c>
      <c r="AP32" s="94">
        <f>IF('Net zero activities &amp; levers'!$C$14="Off",((Data!$AJ$26*'Net zero Intermediate calcs'!AP29)+Data!$AK$26),IF('Net zero activities &amp; levers'!$C$14="On",((Data!$AJ$26*'Net zero Intermediate calcs'!AP29)+Data!$AK$26)*(1-'Net zero supporting data'!S215),"ERROR"))</f>
        <v>848566.68407784519</v>
      </c>
      <c r="AQ32" s="94">
        <f>IF('Net zero activities &amp; levers'!$C$14="Off",((Data!$AJ$26*'Net zero Intermediate calcs'!AQ29)+Data!$AK$26),IF('Net zero activities &amp; levers'!$C$14="On",((Data!$AJ$26*'Net zero Intermediate calcs'!AQ29)+Data!$AK$26)*(1-'Net zero supporting data'!T215),"ERROR"))</f>
        <v>858266.16194648342</v>
      </c>
      <c r="AR32" s="94">
        <f>IF('Net zero activities &amp; levers'!$C$14="Off",((Data!$AJ$26*'Net zero Intermediate calcs'!AR29)+Data!$AK$26),IF('Net zero activities &amp; levers'!$C$14="On",((Data!$AJ$26*'Net zero Intermediate calcs'!AR29)+Data!$AK$26)*(1-'Net zero supporting data'!U215),"ERROR"))</f>
        <v>866415.4576074566</v>
      </c>
      <c r="AS32" s="94">
        <f>IF('Net zero activities &amp; levers'!$C$14="Off",((Data!$AJ$26*'Net zero Intermediate calcs'!AS29)+Data!$AK$26),IF('Net zero activities &amp; levers'!$C$14="On",((Data!$AJ$26*'Net zero Intermediate calcs'!AS29)+Data!$AK$26)*(1-'Net zero supporting data'!V215),"ERROR"))</f>
        <v>872961.14542951959</v>
      </c>
      <c r="AT32" s="94">
        <f>IF('Net zero activities &amp; levers'!$C$14="Off",((Data!$AJ$26*'Net zero Intermediate calcs'!AT29)+Data!$AK$26),IF('Net zero activities &amp; levers'!$C$14="On",((Data!$AJ$26*'Net zero Intermediate calcs'!AT29)+Data!$AK$26)*(1-'Net zero supporting data'!W215),"ERROR"))</f>
        <v>877860.43290526664</v>
      </c>
      <c r="AU32" s="94">
        <f>IF('Net zero activities &amp; levers'!$C$14="Off",((Data!$AJ$26*'Net zero Intermediate calcs'!AU29)+Data!$AK$26),IF('Net zero activities &amp; levers'!$C$14="On",((Data!$AJ$26*'Net zero Intermediate calcs'!AU29)+Data!$AK$26)*(1-'Net zero supporting data'!X215),"ERROR"))</f>
        <v>881081.7525530993</v>
      </c>
      <c r="AV32" s="94">
        <f>IF('Net zero activities &amp; levers'!$C$14="Off",((Data!$AJ$26*'Net zero Intermediate calcs'!AV29)+Data!$AK$26),IF('Net zero activities &amp; levers'!$C$14="On",((Data!$AJ$26*'Net zero Intermediate calcs'!AV29)+Data!$AK$26)*(1-'Net zero supporting data'!Y215),"ERROR"))</f>
        <v>882598.99952694122</v>
      </c>
      <c r="AW32" s="94">
        <f>IF('Net zero activities &amp; levers'!$C$14="Off",((Data!$AJ$26*'Net zero Intermediate calcs'!AW29)+Data!$AK$26),IF('Net zero activities &amp; levers'!$C$14="On",((Data!$AJ$26*'Net zero Intermediate calcs'!AW29)+Data!$AK$26)*(1-'Net zero supporting data'!Z215),"ERROR"))</f>
        <v>882394.40414022119</v>
      </c>
      <c r="AX32" s="94">
        <f>IF('Net zero activities &amp; levers'!$C$14="Off",((Data!$AJ$26*'Net zero Intermediate calcs'!AX29)+Data!$AK$26),IF('Net zero activities &amp; levers'!$C$14="On",((Data!$AJ$26*'Net zero Intermediate calcs'!AX29)+Data!$AK$26)*(1-'Net zero supporting data'!AA215),"ERROR"))</f>
        <v>-83806.84557428355</v>
      </c>
      <c r="AY32" s="94">
        <f>IF('Net zero activities &amp; levers'!$C$14="Off",((Data!$AJ$26*'Net zero Intermediate calcs'!AY29)+Data!$AK$26),IF('Net zero activities &amp; levers'!$C$14="On",((Data!$AJ$26*'Net zero Intermediate calcs'!AY29)+Data!$AK$26)*(1-'Net zero supporting data'!AB215),"ERROR"))</f>
        <v>-84486.277009716257</v>
      </c>
      <c r="AZ32" s="94">
        <f>IF('Net zero activities &amp; levers'!$C$14="Off",((Data!$AJ$26*'Net zero Intermediate calcs'!AZ29)+Data!$AK$26),IF('Net zero activities &amp; levers'!$C$14="On",((Data!$AJ$26*'Net zero Intermediate calcs'!AZ29)+Data!$AK$26)*(1-'Net zero supporting data'!AC215),"ERROR"))</f>
        <v>-85148.843231183302</v>
      </c>
      <c r="BA32" s="94">
        <f>IF('Net zero activities &amp; levers'!$C$14="Off",((Data!$AJ$26*'Net zero Intermediate calcs'!BA29)+Data!$AK$26),IF('Net zero activities &amp; levers'!$C$14="On",((Data!$AJ$26*'Net zero Intermediate calcs'!BA29)+Data!$AK$26)*(1-'Net zero supporting data'!AD215),"ERROR"))</f>
        <v>-85795.544465702027</v>
      </c>
      <c r="BB32" s="94">
        <f>IF('Net zero activities &amp; levers'!$C$14="Off",((Data!$AJ$26*'Net zero Intermediate calcs'!BB29)+Data!$AK$26),IF('Net zero activities &amp; levers'!$C$14="On",((Data!$AJ$26*'Net zero Intermediate calcs'!BB29)+Data!$AK$26)*(1-'Net zero supporting data'!AE215),"ERROR"))</f>
        <v>-86427.533733101474</v>
      </c>
      <c r="BC32" s="94">
        <f>IF('Net zero activities &amp; levers'!$C$14="Off",((Data!$AJ$26*'Net zero Intermediate calcs'!BC29)+Data!$AK$26),IF('Net zero activities &amp; levers'!$C$14="On",((Data!$AJ$26*'Net zero Intermediate calcs'!BC29)+Data!$AK$26)*(1-'Net zero supporting data'!AF215),"ERROR"))</f>
        <v>-87042.213555582741</v>
      </c>
      <c r="BD32" s="94">
        <f>IF('Net zero activities &amp; levers'!$C$14="Off",((Data!$AJ$26*'Net zero Intermediate calcs'!BD29)+Data!$AK$26),IF('Net zero activities &amp; levers'!$C$14="On",((Data!$AJ$26*'Net zero Intermediate calcs'!BD29)+Data!$AK$26)*(1-'Net zero supporting data'!AG215),"ERROR"))</f>
        <v>-87637.873502503702</v>
      </c>
      <c r="BE32" s="94">
        <f>IF('Net zero activities &amp; levers'!$C$14="Off",((Data!$AJ$26*'Net zero Intermediate calcs'!BE29)+Data!$AK$26),IF('Net zero activities &amp; levers'!$C$14="On",((Data!$AJ$26*'Net zero Intermediate calcs'!BE29)+Data!$AK$26)*(1-'Net zero supporting data'!AH215),"ERROR"))</f>
        <v>-88214.387661269517</v>
      </c>
      <c r="BF32" s="94">
        <f>IF('Net zero activities &amp; levers'!$C$14="Off",((Data!$AJ$26*'Net zero Intermediate calcs'!BF29)+Data!$AK$26),IF('Net zero activities &amp; levers'!$C$14="On",((Data!$AJ$26*'Net zero Intermediate calcs'!BF29)+Data!$AK$26)*(1-'Net zero supporting data'!AI215),"ERROR"))</f>
        <v>-88769.718794390879</v>
      </c>
      <c r="BG32" s="94">
        <f>IF('Net zero activities &amp; levers'!$C$14="Off",((Data!$AJ$26*'Net zero Intermediate calcs'!BG29)+Data!$AK$26),IF('Net zero activities &amp; levers'!$C$14="On",((Data!$AJ$26*'Net zero Intermediate calcs'!BG29)+Data!$AK$26)*(1-'Net zero supporting data'!AJ215),"ERROR"))</f>
        <v>-89301.599060412598</v>
      </c>
      <c r="BH32" s="94">
        <f>IF('Net zero activities &amp; levers'!$C$14="Off",((Data!$AJ$26*'Net zero Intermediate calcs'!BH29)+Data!$AK$26),IF('Net zero activities &amp; levers'!$C$14="On",((Data!$AJ$26*'Net zero Intermediate calcs'!BH29)+Data!$AK$26)*(1-'Net zero supporting data'!AK215),"ERROR"))</f>
        <v>-89809.830394578777</v>
      </c>
      <c r="BI32" s="94">
        <f>IF('Net zero activities &amp; levers'!$C$14="Off",((Data!$AJ$26*'Net zero Intermediate calcs'!BI29)+Data!$AK$26),IF('Net zero activities &amp; levers'!$C$14="On",((Data!$AJ$26*'Net zero Intermediate calcs'!BI29)+Data!$AK$26)*(1-'Net zero supporting data'!AL215),"ERROR"))</f>
        <v>-90294.842880359385</v>
      </c>
      <c r="BJ32" s="94">
        <f>IF('Net zero activities &amp; levers'!$C$14="Off",((Data!$AJ$26*'Net zero Intermediate calcs'!BJ29)+Data!$AK$26),IF('Net zero activities &amp; levers'!$C$14="On",((Data!$AJ$26*'Net zero Intermediate calcs'!BJ29)+Data!$AK$26)*(1-'Net zero supporting data'!AM215),"ERROR"))</f>
        <v>-90756.957665608657</v>
      </c>
      <c r="BK32" s="94">
        <f>IF('Net zero activities &amp; levers'!$C$14="Off",((Data!$AJ$26*'Net zero Intermediate calcs'!BK29)+Data!$AK$26),IF('Net zero activities &amp; levers'!$C$14="On",((Data!$AJ$26*'Net zero Intermediate calcs'!BK29)+Data!$AK$26)*(1-'Net zero supporting data'!AN215),"ERROR"))</f>
        <v>-91193.963498801662</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419285.99149200961</v>
      </c>
      <c r="Z34" s="22">
        <f>((Data!$AJ$10*'Net zero Intermediate calcs'!Z4)+Data!$AK$10)*Drivers!AA4</f>
        <v>427660.19548096805</v>
      </c>
      <c r="AA34" s="22">
        <f>((Data!$AJ$10*'Net zero Intermediate calcs'!AA4)+Data!$AK$10)*Drivers!AB4</f>
        <v>437452.24598008749</v>
      </c>
      <c r="AB34" s="22">
        <f>((Data!$AJ$10*'Net zero Intermediate calcs'!AB4)+Data!$AK$10)*Drivers!AC4</f>
        <v>444966.14209508419</v>
      </c>
      <c r="AC34" s="22">
        <f>((Data!$AJ$10*'Net zero Intermediate calcs'!AC4)+Data!$AK$10)*Drivers!AD4</f>
        <v>450995.02687358489</v>
      </c>
      <c r="AD34" s="22">
        <f>((Data!$AJ$10*'Net zero Intermediate calcs'!AD4)+Data!$AK$10)*Drivers!AE4</f>
        <v>455503.05642644485</v>
      </c>
      <c r="AE34" s="22">
        <f>((Data!$AJ$10*'Net zero Intermediate calcs'!AE4)+Data!$AK$10)*Drivers!AF4</f>
        <v>461288.37157907075</v>
      </c>
      <c r="AF34" s="22">
        <f>((Data!$AJ$10*'Net zero Intermediate calcs'!AF4)+Data!$AK$10)*Drivers!AG4</f>
        <v>467304.40661090257</v>
      </c>
      <c r="AG34" s="22">
        <f>((Data!$AJ$10*'Net zero Intermediate calcs'!AG4)+Data!$AK$10)*Drivers!AH4</f>
        <v>449125.4593620426</v>
      </c>
      <c r="AH34" s="22">
        <f>((Data!$AJ$10*'Net zero Intermediate calcs'!AH4)+Data!$AK$10)*Drivers!AI4</f>
        <v>465348.21319446614</v>
      </c>
      <c r="AI34" s="22">
        <f>((Data!$AJ$10*'Net zero Intermediate calcs'!AI4)+Data!$AK$10)*Drivers!AJ4</f>
        <v>1026225.4488902837</v>
      </c>
      <c r="AJ34" s="22">
        <f>((Data!$AJ$10*'Net zero Intermediate calcs'!AJ4)+Data!$AK$10)*Drivers!AK4</f>
        <v>1048615.6875394708</v>
      </c>
      <c r="AK34" s="22">
        <f>((Data!$AJ$10*'Net zero Intermediate calcs'!AK4)+Data!$AK$10)*Drivers!AL4</f>
        <v>1070086.5038354257</v>
      </c>
      <c r="AL34" s="22">
        <f>((Data!$AJ$10*'Net zero Intermediate calcs'!AL4)+Data!$AK$10)*Drivers!AM4</f>
        <v>1090448.1029297151</v>
      </c>
      <c r="AM34" s="22">
        <f>((Data!$AJ$10*'Net zero Intermediate calcs'!AM4)+Data!$AK$10)*Drivers!AN4</f>
        <v>1109443.1086184997</v>
      </c>
      <c r="AN34" s="22">
        <f>((Data!$AJ$10*'Net zero Intermediate calcs'!AN4)+Data!$AK$10)*Drivers!AO4</f>
        <v>1126988.4744355283</v>
      </c>
      <c r="AO34" s="22">
        <f>((Data!$AJ$10*'Net zero Intermediate calcs'!AO4)+Data!$AK$10)*Drivers!AP4</f>
        <v>1142999.686669522</v>
      </c>
      <c r="AP34" s="22">
        <f>((Data!$AJ$10*'Net zero Intermediate calcs'!AP4)+Data!$AK$10)*Drivers!AQ4</f>
        <v>1157403.8553259911</v>
      </c>
      <c r="AQ34" s="22">
        <f>((Data!$AJ$10*'Net zero Intermediate calcs'!AQ4)+Data!$AK$10)*Drivers!AR4</f>
        <v>1170137.0288090501</v>
      </c>
      <c r="AR34" s="22">
        <f>((Data!$AJ$10*'Net zero Intermediate calcs'!AR4)+Data!$AK$10)*Drivers!AS4</f>
        <v>1181137.5975006176</v>
      </c>
      <c r="AS34" s="22">
        <f>((Data!$AJ$10*'Net zero Intermediate calcs'!AS4)+Data!$AK$10)*Drivers!AT4</f>
        <v>1190357.2505125757</v>
      </c>
      <c r="AT34" s="22">
        <f>((Data!$AJ$10*'Net zero Intermediate calcs'!AT4)+Data!$AK$10)*Drivers!AU4</f>
        <v>1197752.4126034239</v>
      </c>
      <c r="AU34" s="22">
        <f>((Data!$AJ$10*'Net zero Intermediate calcs'!AU4)+Data!$AK$10)*Drivers!AV4</f>
        <v>1203284.336577822</v>
      </c>
      <c r="AV34" s="22">
        <f>((Data!$AJ$10*'Net zero Intermediate calcs'!AV4)+Data!$AK$10)*Drivers!AW4</f>
        <v>1206929.7261245002</v>
      </c>
      <c r="AW34" s="22">
        <f>((Data!$AJ$10*'Net zero Intermediate calcs'!AW4)+Data!$AK$10)*Drivers!AX4</f>
        <v>1208676.5605481188</v>
      </c>
      <c r="AX34" s="22">
        <f>((Data!$AJ$10*'Net zero Intermediate calcs'!AX4)+Data!$AK$10)*Drivers!AY4</f>
        <v>163222.34115814968</v>
      </c>
      <c r="AY34" s="22">
        <f>((Data!$AJ$10*'Net zero Intermediate calcs'!AY4)+Data!$AK$10)*Drivers!AZ4</f>
        <v>164369.89464852712</v>
      </c>
      <c r="AZ34" s="22">
        <f>((Data!$AJ$10*'Net zero Intermediate calcs'!AZ4)+Data!$AK$10)*Drivers!BA4</f>
        <v>165488.96294651728</v>
      </c>
      <c r="BA34" s="22">
        <f>((Data!$AJ$10*'Net zero Intermediate calcs'!BA4)+Data!$AK$10)*Drivers!BB4</f>
        <v>166581.23542641915</v>
      </c>
      <c r="BB34" s="22">
        <f>((Data!$AJ$10*'Net zero Intermediate calcs'!BB4)+Data!$AK$10)*Drivers!BC4</f>
        <v>167648.65952819542</v>
      </c>
      <c r="BC34" s="22">
        <f>((Data!$AJ$10*'Net zero Intermediate calcs'!BC4)+Data!$AK$10)*Drivers!BD4</f>
        <v>168686.84813556197</v>
      </c>
      <c r="BD34" s="22">
        <f>((Data!$AJ$10*'Net zero Intermediate calcs'!BD4)+Data!$AK$10)*Drivers!BE4</f>
        <v>169692.91234678274</v>
      </c>
      <c r="BE34" s="22">
        <f>((Data!$AJ$10*'Net zero Intermediate calcs'!BE4)+Data!$AK$10)*Drivers!BF4</f>
        <v>170666.63949663474</v>
      </c>
      <c r="BF34" s="22">
        <f>((Data!$AJ$10*'Net zero Intermediate calcs'!BF4)+Data!$AK$10)*Drivers!BG4</f>
        <v>171604.58870960103</v>
      </c>
      <c r="BG34" s="22">
        <f>((Data!$AJ$10*'Net zero Intermediate calcs'!BG4)+Data!$AK$10)*Drivers!BH4</f>
        <v>172502.92962217215</v>
      </c>
      <c r="BH34" s="22">
        <f>((Data!$AJ$10*'Net zero Intermediate calcs'!BH4)+Data!$AK$10)*Drivers!BI4</f>
        <v>173361.32770478388</v>
      </c>
      <c r="BI34" s="22">
        <f>((Data!$AJ$10*'Net zero Intermediate calcs'!BI4)+Data!$AK$10)*Drivers!BJ4</f>
        <v>174180.50936448984</v>
      </c>
      <c r="BJ34" s="22">
        <f>((Data!$AJ$10*'Net zero Intermediate calcs'!BJ4)+Data!$AK$10)*Drivers!BK4</f>
        <v>174961.01701708336</v>
      </c>
      <c r="BK34" s="22">
        <f>((Data!$AJ$10*'Net zero Intermediate calcs'!BK4)+Data!$AK$10)*Drivers!BL4</f>
        <v>175699.11587893034</v>
      </c>
      <c r="BL34">
        <v>879387.44308735442</v>
      </c>
    </row>
    <row r="35" spans="1:64" x14ac:dyDescent="0.25">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8.0531990670072648</v>
      </c>
      <c r="AA35" s="45">
        <f>AA34*ttokg/Drivers!AB4</f>
        <v>8.114135604508105</v>
      </c>
      <c r="AB35" s="45">
        <f>AB34*ttokg/Drivers!AC4</f>
        <v>8.1271625194806241</v>
      </c>
      <c r="AC35" s="45">
        <f>AC34*ttokg/Drivers!AD4</f>
        <v>8.1085132969220037</v>
      </c>
      <c r="AD35" s="45">
        <f>AD34*ttokg/Drivers!AE4</f>
        <v>8.0588704425192184</v>
      </c>
      <c r="AE35" s="45">
        <f>AE34*ttokg/Drivers!AF4</f>
        <v>8.0313456128790985</v>
      </c>
      <c r="AF35" s="45">
        <f>AF34*ttokg/Drivers!AG4</f>
        <v>8.0066088979239591</v>
      </c>
      <c r="AG35" s="45">
        <f>AG34*ttokg/Drivers!AH4</f>
        <v>7.6379377730604405</v>
      </c>
      <c r="AH35" s="45">
        <f>AH34*ttokg/Drivers!AI4</f>
        <v>7.8351666087516989</v>
      </c>
      <c r="AI35" s="45">
        <f>AI34*ttokg/Drivers!AJ4</f>
        <v>17.134060495329091</v>
      </c>
      <c r="AJ35" s="45">
        <f>AJ34*ttokg/Drivers!AK4</f>
        <v>17.357021482004786</v>
      </c>
      <c r="AK35" s="45">
        <f>AK34*ttokg/Drivers!AL4</f>
        <v>17.536588466885849</v>
      </c>
      <c r="AL35" s="45">
        <f>AL34*ttokg/Drivers!AM4</f>
        <v>17.681103088229289</v>
      </c>
      <c r="AM35" s="45">
        <f>AM34*ttokg/Drivers!AN4</f>
        <v>17.806635328781347</v>
      </c>
      <c r="AN35" s="45">
        <f>AN34*ttokg/Drivers!AO4</f>
        <v>17.911759230491644</v>
      </c>
      <c r="AO35" s="45">
        <f>AO34*ttokg/Drivers!AP4</f>
        <v>17.995885202241247</v>
      </c>
      <c r="AP35" s="45">
        <f>AP34*ttokg/Drivers!AQ4</f>
        <v>18.057988187144279</v>
      </c>
      <c r="AQ35" s="45">
        <f>AQ34*ttokg/Drivers!AR4</f>
        <v>18.096970226129809</v>
      </c>
      <c r="AR35" s="45">
        <f>AR34*ttokg/Drivers!AS4</f>
        <v>18.11240542815418</v>
      </c>
      <c r="AS35" s="45">
        <f>AS34*ttokg/Drivers!AT4</f>
        <v>18.103487694517973</v>
      </c>
      <c r="AT35" s="45">
        <f>AT34*ttokg/Drivers!AU4</f>
        <v>18.069956511098354</v>
      </c>
      <c r="AU35" s="45">
        <f>AU34*ttokg/Drivers!AV4</f>
        <v>18.012114971478081</v>
      </c>
      <c r="AV35" s="45">
        <f>AV34*ttokg/Drivers!AW4</f>
        <v>17.929811650764339</v>
      </c>
      <c r="AW35" s="45">
        <f>AW34*ttokg/Drivers!AX4</f>
        <v>17.82289953229898</v>
      </c>
      <c r="AX35" s="45">
        <f>AX34*ttokg/Drivers!AY4</f>
        <v>2.3894968867763007</v>
      </c>
      <c r="AY35" s="45">
        <f>AY34*ttokg/Drivers!AZ4</f>
        <v>2.3894968867763007</v>
      </c>
      <c r="AZ35" s="45">
        <f>AZ34*ttokg/Drivers!BA4</f>
        <v>2.3894968867763007</v>
      </c>
      <c r="BA35" s="45">
        <f>BA34*ttokg/Drivers!BB4</f>
        <v>2.3894968867763002</v>
      </c>
      <c r="BB35" s="45">
        <f>BB34*ttokg/Drivers!BC4</f>
        <v>2.3894968867763002</v>
      </c>
      <c r="BC35" s="45">
        <f>BC34*ttokg/Drivers!BD4</f>
        <v>2.3894968867763002</v>
      </c>
      <c r="BD35" s="45">
        <f>BD34*ttokg/Drivers!BE4</f>
        <v>2.3894968867763007</v>
      </c>
      <c r="BE35" s="45">
        <f>BE34*ttokg/Drivers!BF4</f>
        <v>2.3894968867763007</v>
      </c>
      <c r="BF35" s="45">
        <f>BF34*ttokg/Drivers!BG4</f>
        <v>2.3894968867763002</v>
      </c>
      <c r="BG35" s="45">
        <f>BG34*ttokg/Drivers!BH4</f>
        <v>2.3894968867763007</v>
      </c>
      <c r="BH35" s="45">
        <f>BH34*ttokg/Drivers!BI4</f>
        <v>2.3894968867763007</v>
      </c>
      <c r="BI35" s="45">
        <f>BI34*ttokg/Drivers!BJ4</f>
        <v>2.3894968867763007</v>
      </c>
      <c r="BJ35" s="45">
        <f>BJ34*ttokg/Drivers!BK4</f>
        <v>2.3894968867763002</v>
      </c>
      <c r="BK35" s="45">
        <f>BK34*ttokg/Drivers!BL4</f>
        <v>2.3894968867763002</v>
      </c>
      <c r="BL35">
        <v>11.644739573179301</v>
      </c>
    </row>
    <row r="36" spans="1:64" x14ac:dyDescent="0.25">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1.5311830728385711</v>
      </c>
      <c r="AP36" s="45"/>
      <c r="AQ36" s="45">
        <f>(AQ37-AE37)/AE37</f>
        <v>1.5586547873396095</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448982.05019678239</v>
      </c>
      <c r="Z37" s="22">
        <f>((Data!$AJ$29*'Net zero Intermediate calcs'!Z34)+Data!$AK$29)</f>
        <v>458090.69820274448</v>
      </c>
      <c r="AA37" s="22">
        <f>((Data!$AJ$29*'Net zero Intermediate calcs'!AA34)+Data!$AK$29)</f>
        <v>468741.54231529374</v>
      </c>
      <c r="AB37" s="22">
        <f>((Data!$AJ$29*'Net zero Intermediate calcs'!AB34)+Data!$AK$29)</f>
        <v>476914.43074207578</v>
      </c>
      <c r="AC37" s="22">
        <f>((Data!$AJ$29*'Net zero Intermediate calcs'!AC34)+Data!$AK$29)</f>
        <v>483472.06766951061</v>
      </c>
      <c r="AD37" s="22">
        <f>((Data!$AJ$29*'Net zero Intermediate calcs'!AD34)+Data!$AK$29)</f>
        <v>488375.46558668779</v>
      </c>
      <c r="AE37" s="22">
        <f>((Data!$AJ$29*'Net zero Intermediate calcs'!AE34)+Data!$AK$29)</f>
        <v>494668.17106631421</v>
      </c>
      <c r="AF37" s="22">
        <f>((Data!$AJ$29*'Net zero Intermediate calcs'!AF34)+Data!$AK$29)</f>
        <v>501211.83128389966</v>
      </c>
      <c r="AG37" s="22">
        <f>((Data!$AJ$29*'Net zero Intermediate calcs'!AG34)+Data!$AK$29)</f>
        <v>481438.53320958168</v>
      </c>
      <c r="AH37" s="22">
        <f>((Data!$AJ$29*'Net zero Intermediate calcs'!AH34)+Data!$AK$29)</f>
        <v>499084.07355487929</v>
      </c>
      <c r="AI37" s="22">
        <f>((Data!$AJ$29*'Net zero Intermediate calcs'!AI34)+Data!$AK$29)</f>
        <v>1109152.0061304807</v>
      </c>
      <c r="AJ37" s="22">
        <f>((Data!$AJ$29*'Net zero Intermediate calcs'!AJ34)+Data!$AK$29)</f>
        <v>1133505.9391005682</v>
      </c>
      <c r="AK37" s="22">
        <f>((Data!$AJ$29*'Net zero Intermediate calcs'!AK34)+Data!$AK$29)</f>
        <v>1156859.8134865267</v>
      </c>
      <c r="AL37" s="22">
        <f>((Data!$AJ$29*'Net zero Intermediate calcs'!AL34)+Data!$AK$29)</f>
        <v>1179007.1888350302</v>
      </c>
      <c r="AM37" s="22">
        <f>((Data!$AJ$29*'Net zero Intermediate calcs'!AM34)+Data!$AK$29)</f>
        <v>1199668.1162400129</v>
      </c>
      <c r="AN37" s="22">
        <f>((Data!$AJ$29*'Net zero Intermediate calcs'!AN34)+Data!$AK$29)</f>
        <v>1218752.2657990481</v>
      </c>
      <c r="AO37" s="22">
        <f>((Data!$AJ$29*'Net zero Intermediate calcs'!AO34)+Data!$AK$29)</f>
        <v>1236167.7116826803</v>
      </c>
      <c r="AP37" s="22">
        <f>((Data!$AJ$29*'Net zero Intermediate calcs'!AP34)+Data!$AK$29)</f>
        <v>1251835.1712147482</v>
      </c>
      <c r="AQ37" s="22">
        <f>((Data!$AJ$29*'Net zero Intermediate calcs'!AQ34)+Data!$AK$29)</f>
        <v>1265685.0840433538</v>
      </c>
      <c r="AR37" s="22">
        <f>((Data!$AJ$29*'Net zero Intermediate calcs'!AR34)+Data!$AK$29)</f>
        <v>1277650.4371932186</v>
      </c>
      <c r="AS37" s="22">
        <f>((Data!$AJ$29*'Net zero Intermediate calcs'!AS34)+Data!$AK$29)</f>
        <v>1287678.6827594554</v>
      </c>
      <c r="AT37" s="22">
        <f>((Data!$AJ$29*'Net zero Intermediate calcs'!AT34)+Data!$AK$29)</f>
        <v>1295722.4238148902</v>
      </c>
      <c r="AU37" s="22">
        <f>((Data!$AJ$29*'Net zero Intermediate calcs'!AU34)+Data!$AK$29)</f>
        <v>1301739.5149133364</v>
      </c>
      <c r="AV37" s="22">
        <f>((Data!$AJ$29*'Net zero Intermediate calcs'!AV34)+Data!$AK$29)</f>
        <v>1305704.616583786</v>
      </c>
      <c r="AW37" s="22">
        <f>((Data!$AJ$29*'Net zero Intermediate calcs'!AW34)+Data!$AK$29)</f>
        <v>1307604.653878127</v>
      </c>
      <c r="AX37" s="22">
        <f>((Data!$AJ$29*'Net zero Intermediate calcs'!AX34)+Data!$AK$29)</f>
        <v>170460.81270505273</v>
      </c>
      <c r="AY37" s="22">
        <f>((Data!$AJ$29*'Net zero Intermediate calcs'!AY34)+Data!$AK$29)</f>
        <v>171709.01024426281</v>
      </c>
      <c r="AZ37" s="22">
        <f>((Data!$AJ$29*'Net zero Intermediate calcs'!AZ34)+Data!$AK$29)</f>
        <v>172926.22435016034</v>
      </c>
      <c r="BA37" s="22">
        <f>((Data!$AJ$29*'Net zero Intermediate calcs'!BA34)+Data!$AK$29)</f>
        <v>174114.29256048141</v>
      </c>
      <c r="BB37" s="22">
        <f>((Data!$AJ$29*'Net zero Intermediate calcs'!BB34)+Data!$AK$29)</f>
        <v>175275.33311179589</v>
      </c>
      <c r="BC37" s="22">
        <f>((Data!$AJ$29*'Net zero Intermediate calcs'!BC34)+Data!$AK$29)</f>
        <v>176404.57412392917</v>
      </c>
      <c r="BD37" s="22">
        <f>((Data!$AJ$29*'Net zero Intermediate calcs'!BD34)+Data!$AK$29)</f>
        <v>177498.87332938064</v>
      </c>
      <c r="BE37" s="22">
        <f>((Data!$AJ$29*'Net zero Intermediate calcs'!BE34)+Data!$AK$29)</f>
        <v>178557.99941151871</v>
      </c>
      <c r="BF37" s="22">
        <f>((Data!$AJ$29*'Net zero Intermediate calcs'!BF34)+Data!$AK$29)</f>
        <v>179578.20971922603</v>
      </c>
      <c r="BG37" s="22">
        <f>((Data!$AJ$29*'Net zero Intermediate calcs'!BG34)+Data!$AK$29)</f>
        <v>180555.33795407129</v>
      </c>
      <c r="BH37" s="22">
        <f>((Data!$AJ$29*'Net zero Intermediate calcs'!BH34)+Data!$AK$29)</f>
        <v>181489.02024719579</v>
      </c>
      <c r="BI37" s="22">
        <f>((Data!$AJ$29*'Net zero Intermediate calcs'!BI34)+Data!$AK$29)</f>
        <v>182380.04671383544</v>
      </c>
      <c r="BJ37" s="22">
        <f>((Data!$AJ$29*'Net zero Intermediate calcs'!BJ34)+Data!$AK$29)</f>
        <v>183229.00734135395</v>
      </c>
      <c r="BK37" s="22">
        <f>((Data!$AJ$29*'Net zero Intermediate calcs'!BK34)+Data!$AK$29)</f>
        <v>184031.83979385093</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1780536.5679391946</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1834642.5186756095</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1905076.8868757146</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1956860.8704089581</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1968044.8895064986</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1981185.0437649265</v>
      </c>
      <c r="AG39" s="94">
        <f>IF('Net zero activities &amp; levers'!$C$12="Off",((Data!$AJ$11*'Intermediate calculations'!AG4)+Data!$AK$11)*Drivers!AH4,IF('Net zero activities &amp; levers'!$C$12="PB",((Data!$AJ$11*'Intermediate calculations'!AG4)+Data!$AK$11)*Drivers!AH4,IF('Net zero activities &amp; levers'!$C$12="MS",'Net zero supporting data'!J207,"ERROR")))</f>
        <v>1715438.6006468041</v>
      </c>
      <c r="AH39" s="94">
        <f>IF('Net zero activities &amp; levers'!$C$12="Off",((Data!$AJ$11*'Intermediate calculations'!AH4)+Data!$AK$11)*Drivers!AI4,IF('Net zero activities &amp; levers'!$C$12="PB",((Data!$AJ$11*'Intermediate calculations'!AH4)+Data!$AK$11)*Drivers!AI4,IF('Net zero activities &amp; levers'!$C$12="MS",'Net zero supporting data'!K207,"ERROR")))</f>
        <v>1884271.6551485946</v>
      </c>
      <c r="AI39" s="94">
        <f>IF('Net zero activities &amp; levers'!$C$12="Off",((Data!$AJ$11*'Intermediate calculations'!AI4)+Data!$AK$11)*Drivers!AJ4,IF('Net zero activities &amp; levers'!$C$12="PB",((Data!$AJ$11*'Intermediate calculations'!AI4)+Data!$AK$11)*Drivers!AJ4,IF('Net zero activities &amp; levers'!$C$12="MS",'Net zero supporting data'!L207,"ERROR")))</f>
        <v>9108690.6869586874</v>
      </c>
      <c r="AJ39" s="94">
        <f>IF('Net zero activities &amp; levers'!$C$12="Off",((Data!$AJ$11*'Intermediate calculations'!AJ4)+Data!$AK$11)*Drivers!AK4,IF('Net zero activities &amp; levers'!$C$12="PB",((Data!$AJ$11*'Intermediate calculations'!AJ4)+Data!$AK$11)*Drivers!AK4,IF('Net zero activities &amp; levers'!$C$12="MS",'Net zero supporting data'!M207,"ERROR")))</f>
        <v>9362207.0614751391</v>
      </c>
      <c r="AK39" s="94">
        <f>IF('Net zero activities &amp; levers'!$C$12="Off",((Data!$AJ$11*'Intermediate calculations'!AK4)+Data!$AK$11)*Drivers!AL4,IF('Net zero activities &amp; levers'!$C$12="PB",((Data!$AJ$11*'Intermediate calculations'!AK4)+Data!$AK$11)*Drivers!AL4,IF('Net zero activities &amp; levers'!$C$12="MS",'Net zero supporting data'!N207,"ERROR")))</f>
        <v>9597892.2396159749</v>
      </c>
      <c r="AL39" s="94">
        <f>IF('Net zero activities &amp; levers'!$C$12="Off",((Data!$AJ$11*'Intermediate calculations'!AL4)+Data!$AK$11)*Drivers!AM4,IF('Net zero activities &amp; levers'!$C$12="PB",((Data!$AJ$11*'Intermediate calculations'!AL4)+Data!$AK$11)*Drivers!AM4,IF('Net zero activities &amp; levers'!$C$12="MS",'Net zero supporting data'!O207,"ERROR")))</f>
        <v>9815936.4587235823</v>
      </c>
      <c r="AM39" s="94">
        <f>IF('Net zero activities &amp; levers'!$C$12="Off",((Data!$AJ$11*'Intermediate calculations'!AM4)+Data!$AK$11)*Drivers!AN4,IF('Net zero activities &amp; levers'!$C$12="PB",((Data!$AJ$11*'Intermediate calculations'!AM4)+Data!$AK$11)*Drivers!AN4,IF('Net zero activities &amp; levers'!$C$12="MS",'Net zero supporting data'!P207,"ERROR")))</f>
        <v>10017749.536204563</v>
      </c>
      <c r="AN39" s="94">
        <f>IF('Net zero activities &amp; levers'!$C$12="Off",((Data!$AJ$11*'Intermediate calculations'!AN4)+Data!$AK$11)*Drivers!AO4,IF('Net zero activities &amp; levers'!$C$12="PB",((Data!$AJ$11*'Intermediate calculations'!AN4)+Data!$AK$11)*Drivers!AO4,IF('Net zero activities &amp; levers'!$C$12="MS",'Net zero supporting data'!Q207,"ERROR")))</f>
        <v>10202060.032323306</v>
      </c>
      <c r="AO39" s="94">
        <f>IF('Net zero activities &amp; levers'!$C$12="Off",((Data!$AJ$11*'Intermediate calculations'!AO4)+Data!$AK$11)*Drivers!AP4,IF('Net zero activities &amp; levers'!$C$12="PB",((Data!$AJ$11*'Intermediate calculations'!AO4)+Data!$AK$11)*Drivers!AP4,IF('Net zero activities &amp; levers'!$C$12="MS",'Net zero supporting data'!R207,"ERROR")))</f>
        <v>10367788.728691561</v>
      </c>
      <c r="AP39" s="94">
        <f>IF('Net zero activities &amp; levers'!$C$12="Off",((Data!$AJ$11*'Intermediate calculations'!AP4)+Data!$AK$11)*Drivers!AQ4,IF('Net zero activities &amp; levers'!$C$12="PB",((Data!$AJ$11*'Intermediate calculations'!AP4)+Data!$AK$11)*Drivers!AQ4,IF('Net zero activities &amp; levers'!$C$12="MS",'Net zero supporting data'!S207,"ERROR")))</f>
        <v>10513857.379599456</v>
      </c>
      <c r="AQ39" s="94">
        <f>IF('Net zero activities &amp; levers'!$C$12="Off",((Data!$AJ$11*'Intermediate calculations'!AQ4)+Data!$AK$11)*Drivers!AR4,IF('Net zero activities &amp; levers'!$C$12="PB",((Data!$AJ$11*'Intermediate calculations'!AQ4)+Data!$AK$11)*Drivers!AR4,IF('Net zero activities &amp; levers'!$C$12="MS",'Net zero supporting data'!T207,"ERROR")))</f>
        <v>10639252.071085528</v>
      </c>
      <c r="AR39" s="94">
        <f>IF('Net zero activities &amp; levers'!$C$12="Off",((Data!$AJ$11*'Intermediate calculations'!AR4)+Data!$AK$11)*Drivers!AS4,IF('Net zero activities &amp; levers'!$C$12="PB",((Data!$AJ$11*'Intermediate calculations'!AR4)+Data!$AK$11)*Drivers!AS4,IF('Net zero activities &amp; levers'!$C$12="MS",'Net zero supporting data'!U207,"ERROR")))</f>
        <v>10743148.498435624</v>
      </c>
      <c r="AS39" s="94">
        <f>IF('Net zero activities &amp; levers'!$C$12="Off",((Data!$AJ$11*'Intermediate calculations'!AS4)+Data!$AK$11)*Drivers!AT4,IF('Net zero activities &amp; levers'!$C$12="PB",((Data!$AJ$11*'Intermediate calculations'!AS4)+Data!$AK$11)*Drivers!AT4,IF('Net zero activities &amp; levers'!$C$12="MS",'Net zero supporting data'!V207,"ERROR")))</f>
        <v>10824750.792891109</v>
      </c>
      <c r="AT39" s="94">
        <f>IF('Net zero activities &amp; levers'!$C$12="Off",((Data!$AJ$11*'Intermediate calculations'!AT4)+Data!$AK$11)*Drivers!AU4,IF('Net zero activities &amp; levers'!$C$12="PB",((Data!$AJ$11*'Intermediate calculations'!AT4)+Data!$AK$11)*Drivers!AU4,IF('Net zero activities &amp; levers'!$C$12="MS",'Net zero supporting data'!W207,"ERROR")))</f>
        <v>10883445.001406316</v>
      </c>
      <c r="AU39" s="94">
        <f>IF('Net zero activities &amp; levers'!$C$12="Off",((Data!$AJ$11*'Intermediate calculations'!AU4)+Data!$AK$11)*Drivers!AV4,IF('Net zero activities &amp; levers'!$C$12="PB",((Data!$AJ$11*'Intermediate calculations'!AU4)+Data!$AK$11)*Drivers!AV4,IF('Net zero activities &amp; levers'!$C$12="MS",'Net zero supporting data'!X207,"ERROR")))</f>
        <v>10918810.038304729</v>
      </c>
      <c r="AV39" s="94">
        <f>IF('Net zero activities &amp; levers'!$C$12="Off",((Data!$AJ$11*'Intermediate calculations'!AV4)+Data!$AK$11)*Drivers!AW4,IF('Net zero activities &amp; levers'!$C$12="PB",((Data!$AJ$11*'Intermediate calculations'!AV4)+Data!$AK$11)*Drivers!AW4,IF('Net zero activities &amp; levers'!$C$12="MS",'Net zero supporting data'!Y207,"ERROR")))</f>
        <v>10930455.534995308</v>
      </c>
      <c r="AW39" s="94">
        <f>IF('Net zero activities &amp; levers'!$C$12="Off",((Data!$AJ$11*'Intermediate calculations'!AW4)+Data!$AK$11)*Drivers!AX4,IF('Net zero activities &amp; levers'!$C$12="PB",((Data!$AJ$11*'Intermediate calculations'!AW4)+Data!$AK$11)*Drivers!AX4,IF('Net zero activities &amp; levers'!$C$12="MS",'Net zero supporting data'!Z207,"ERROR")))</f>
        <v>10918097.272510035</v>
      </c>
      <c r="AX39" s="94">
        <f>IF('Net zero activities &amp; levers'!$C$12="Off",((Data!$AJ$11*'Intermediate calculations'!AX4)+Data!$AK$11)*Drivers!AY4,IF('Net zero activities &amp; levers'!$C$12="PB",((Data!$AJ$11*'Intermediate calculations'!AX4)+Data!$AK$11)*Drivers!AY4,IF('Net zero activities &amp; levers'!$C$12="MS",'Net zero supporting data'!AA207,"ERROR")))</f>
        <v>-2647412.0085166506</v>
      </c>
      <c r="AY39" s="94">
        <f>IF('Net zero activities &amp; levers'!$C$12="Off",((Data!$AJ$11*'Intermediate calculations'!AY4)+Data!$AK$11)*Drivers!AZ4,IF('Net zero activities &amp; levers'!$C$12="PB",((Data!$AJ$11*'Intermediate calculations'!AY4)+Data!$AK$11)*Drivers!AZ4,IF('Net zero activities &amp; levers'!$C$12="MS",'Net zero supporting data'!AB207,"ERROR")))</f>
        <v>-2666024.9439106896</v>
      </c>
      <c r="AZ39" s="94">
        <f>IF('Net zero activities &amp; levers'!$C$12="Off",((Data!$AJ$11*'Intermediate calculations'!AZ4)+Data!$AK$11)*Drivers!BA4,IF('Net zero activities &amp; levers'!$C$12="PB",((Data!$AJ$11*'Intermediate calculations'!AZ4)+Data!$AK$11)*Drivers!BA4,IF('Net zero activities &amp; levers'!$C$12="MS",'Net zero supporting data'!AC207,"ERROR")))</f>
        <v>-2684175.8589718752</v>
      </c>
      <c r="BA39" s="94">
        <f>IF('Net zero activities &amp; levers'!$C$12="Off",((Data!$AJ$11*'Intermediate calculations'!BA4)+Data!$AK$11)*Drivers!BB4,IF('Net zero activities &amp; levers'!$C$12="PB",((Data!$AJ$11*'Intermediate calculations'!BA4)+Data!$AK$11)*Drivers!BB4,IF('Net zero activities &amp; levers'!$C$12="MS",'Net zero supporting data'!AD207,"ERROR")))</f>
        <v>-2701892.1547886506</v>
      </c>
      <c r="BB39" s="94">
        <f>IF('Net zero activities &amp; levers'!$C$12="Off",((Data!$AJ$11*'Intermediate calculations'!BB4)+Data!$AK$11)*Drivers!BC4,IF('Net zero activities &amp; levers'!$C$12="PB",((Data!$AJ$11*'Intermediate calculations'!BB4)+Data!$AK$11)*Drivers!BC4,IF('Net zero activities &amp; levers'!$C$12="MS",'Net zero supporting data'!AE207,"ERROR")))</f>
        <v>-2719205.4181885705</v>
      </c>
      <c r="BC39" s="94">
        <f>IF('Net zero activities &amp; levers'!$C$12="Off",((Data!$AJ$11*'Intermediate calculations'!BC4)+Data!$AK$11)*Drivers!BD4,IF('Net zero activities &amp; levers'!$C$12="PB",((Data!$AJ$11*'Intermediate calculations'!BC4)+Data!$AK$11)*Drivers!BD4,IF('Net zero activities &amp; levers'!$C$12="MS",'Net zero supporting data'!AF207,"ERROR")))</f>
        <v>-2736044.4916067389</v>
      </c>
      <c r="BD39" s="94">
        <f>IF('Net zero activities &amp; levers'!$C$12="Off",((Data!$AJ$11*'Intermediate calculations'!BD4)+Data!$AK$11)*Drivers!BE4,IF('Net zero activities &amp; levers'!$C$12="PB",((Data!$AJ$11*'Intermediate calculations'!BD4)+Data!$AK$11)*Drivers!BE4,IF('Net zero activities &amp; levers'!$C$12="MS",'Net zero supporting data'!AG207,"ERROR")))</f>
        <v>-2752362.5180192138</v>
      </c>
      <c r="BE39" s="94">
        <f>IF('Net zero activities &amp; levers'!$C$12="Off",((Data!$AJ$11*'Intermediate calculations'!BE4)+Data!$AK$11)*Drivers!BF4,IF('Net zero activities &amp; levers'!$C$12="PB",((Data!$AJ$11*'Intermediate calculations'!BE4)+Data!$AK$11)*Drivers!BF4,IF('Net zero activities &amp; levers'!$C$12="MS",'Net zero supporting data'!AH207,"ERROR")))</f>
        <v>-2768156.0480669118</v>
      </c>
      <c r="BF39" s="94">
        <f>IF('Net zero activities &amp; levers'!$C$12="Off",((Data!$AJ$11*'Intermediate calculations'!BF4)+Data!$AK$11)*Drivers!BG4,IF('Net zero activities &amp; levers'!$C$12="PB",((Data!$AJ$11*'Intermediate calculations'!BF4)+Data!$AK$11)*Drivers!BG4,IF('Net zero activities &amp; levers'!$C$12="MS",'Net zero supporting data'!AI207,"ERROR")))</f>
        <v>-2783369.2718950137</v>
      </c>
      <c r="BG39" s="94">
        <f>IF('Net zero activities &amp; levers'!$C$12="Off",((Data!$AJ$11*'Intermediate calculations'!BG4)+Data!$AK$11)*Drivers!BH4,IF('Net zero activities &amp; levers'!$C$12="PB",((Data!$AJ$11*'Intermediate calculations'!BG4)+Data!$AK$11)*Drivers!BH4,IF('Net zero activities &amp; levers'!$C$12="MS",'Net zero supporting data'!AJ207,"ERROR")))</f>
        <v>-2797940.0622831886</v>
      </c>
      <c r="BH39" s="94">
        <f>IF('Net zero activities &amp; levers'!$C$12="Off",((Data!$AJ$11*'Intermediate calculations'!BH4)+Data!$AK$11)*Drivers!BI4,IF('Net zero activities &amp; levers'!$C$12="PB",((Data!$AJ$11*'Intermediate calculations'!BH4)+Data!$AK$11)*Drivers!BI4,IF('Net zero activities &amp; levers'!$C$12="MS",'Net zero supporting data'!AK207,"ERROR")))</f>
        <v>-2811862.9932733285</v>
      </c>
      <c r="BI39" s="94">
        <f>IF('Net zero activities &amp; levers'!$C$12="Off",((Data!$AJ$11*'Intermediate calculations'!BI4)+Data!$AK$11)*Drivers!BJ4,IF('Net zero activities &amp; levers'!$C$12="PB",((Data!$AJ$11*'Intermediate calculations'!BI4)+Data!$AK$11)*Drivers!BJ4,IF('Net zero activities &amp; levers'!$C$12="MS",'Net zero supporting data'!AL207,"ERROR")))</f>
        <v>-2825149.8469458958</v>
      </c>
      <c r="BJ39" s="94">
        <f>IF('Net zero activities &amp; levers'!$C$12="Off",((Data!$AJ$11*'Intermediate calculations'!BJ4)+Data!$AK$11)*Drivers!BK4,IF('Net zero activities &amp; levers'!$C$12="PB",((Data!$AJ$11*'Intermediate calculations'!BJ4)+Data!$AK$11)*Drivers!BK4,IF('Net zero activities &amp; levers'!$C$12="MS",'Net zero supporting data'!AM207,"ERROR")))</f>
        <v>-2837809.421104393</v>
      </c>
      <c r="BK39" s="94">
        <f>IF('Net zero activities &amp; levers'!$C$12="Off",((Data!$AJ$11*'Intermediate calculations'!BK4)+Data!$AK$11)*Drivers!BL4,IF('Net zero activities &amp; levers'!$C$12="PB",((Data!$AJ$11*'Intermediate calculations'!BK4)+Data!$AK$11)*Drivers!BL4,IF('Net zero activities &amp; levers'!$C$12="MS",'Net zero supporting data'!AN207,"ERROR")))</f>
        <v>-2849781.138802235</v>
      </c>
      <c r="BL39">
        <v>6068389.0812562732</v>
      </c>
    </row>
    <row r="40" spans="1:64" x14ac:dyDescent="0.25">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34.028128767747212</v>
      </c>
      <c r="Z40" s="45">
        <f>Z39*ttokg/Drivers!AA4</f>
        <v>34.54785265454472</v>
      </c>
      <c r="AA40" s="45">
        <f>AA39*ttokg/Drivers!AB4</f>
        <v>35.336547792755724</v>
      </c>
      <c r="AB40" s="45">
        <f>AB39*ttokg/Drivers!AC4</f>
        <v>35.505153770812335</v>
      </c>
      <c r="AC40" s="45">
        <f>AC39*ttokg/Drivers!AD4</f>
        <v>35.263778862315192</v>
      </c>
      <c r="AD40" s="45">
        <f>AD39*ttokg/Drivers!AE4</f>
        <v>34.621256665942376</v>
      </c>
      <c r="AE40" s="45">
        <f>AE39*ttokg/Drivers!AF4</f>
        <v>34.265005716880047</v>
      </c>
      <c r="AF40" s="45">
        <f>AF39*ttokg/Drivers!AG4</f>
        <v>33.944841040307118</v>
      </c>
      <c r="AG40" s="45">
        <f>AG39*ttokg/Drivers!AH4</f>
        <v>29.173169795044373</v>
      </c>
      <c r="AH40" s="45">
        <f>AH39*ttokg/Drivers!AI4</f>
        <v>31.725881685223008</v>
      </c>
      <c r="AI40" s="45">
        <f>AI39*ttokg/Drivers!AJ4</f>
        <v>152.0804784488214</v>
      </c>
      <c r="AJ40" s="45">
        <f>AJ39*ttokg/Drivers!AK4</f>
        <v>154.96623883846317</v>
      </c>
      <c r="AK40" s="45">
        <f>AK39*ttokg/Drivers!AL4</f>
        <v>157.29035526790332</v>
      </c>
      <c r="AL40" s="45">
        <f>AL39*ttokg/Drivers!AM4</f>
        <v>159.16079267587722</v>
      </c>
      <c r="AM40" s="45">
        <f>AM39*ttokg/Drivers!AN4</f>
        <v>160.78554314370243</v>
      </c>
      <c r="AN40" s="45">
        <f>AN39*ttokg/Drivers!AO4</f>
        <v>162.14615064765749</v>
      </c>
      <c r="AO40" s="45">
        <f>AO39*ttokg/Drivers!AP4</f>
        <v>163.23498417245813</v>
      </c>
      <c r="AP40" s="45">
        <f>AP39*ttokg/Drivers!AQ4</f>
        <v>164.03877651561083</v>
      </c>
      <c r="AQ40" s="45">
        <f>AQ39*ttokg/Drivers!AR4</f>
        <v>164.5433169093773</v>
      </c>
      <c r="AR40" s="45">
        <f>AR39*ttokg/Drivers!AS4</f>
        <v>164.74309309117567</v>
      </c>
      <c r="AS40" s="45">
        <f>AS39*ttokg/Drivers!AT4</f>
        <v>164.62767181108342</v>
      </c>
      <c r="AT40" s="45">
        <f>AT39*ttokg/Drivers!AU4</f>
        <v>164.19368126245485</v>
      </c>
      <c r="AU40" s="45">
        <f>AU39*ttokg/Drivers!AV4</f>
        <v>163.44504435336691</v>
      </c>
      <c r="AV40" s="45">
        <f>AV39*ttokg/Drivers!AW4</f>
        <v>162.37980120750137</v>
      </c>
      <c r="AW40" s="45">
        <f>AW39*ttokg/Drivers!AX4</f>
        <v>160.99604900385333</v>
      </c>
      <c r="AX40" s="45">
        <f>AX39*ttokg/Drivers!AY4</f>
        <v>-38.756843624950506</v>
      </c>
      <c r="AY40" s="45">
        <f>AY39*ttokg/Drivers!AZ4</f>
        <v>-38.756843624950498</v>
      </c>
      <c r="AZ40" s="45">
        <f>AZ39*ttokg/Drivers!BA4</f>
        <v>-38.756843624950498</v>
      </c>
      <c r="BA40" s="45">
        <f>BA39*ttokg/Drivers!BB4</f>
        <v>-38.756843624950498</v>
      </c>
      <c r="BB40" s="45">
        <f>BB39*ttokg/Drivers!BC4</f>
        <v>-38.756843624950498</v>
      </c>
      <c r="BC40" s="45">
        <f>BC39*ttokg/Drivers!BD4</f>
        <v>-38.756843624950498</v>
      </c>
      <c r="BD40" s="45">
        <f>BD39*ttokg/Drivers!BE4</f>
        <v>-38.756843624950498</v>
      </c>
      <c r="BE40" s="45">
        <f>BE39*ttokg/Drivers!BF4</f>
        <v>-38.756843624950498</v>
      </c>
      <c r="BF40" s="45">
        <f>BF39*ttokg/Drivers!BG4</f>
        <v>-38.756843624950498</v>
      </c>
      <c r="BG40" s="45">
        <f>BG39*ttokg/Drivers!BH4</f>
        <v>-38.756843624950498</v>
      </c>
      <c r="BH40" s="45">
        <f>BH39*ttokg/Drivers!BI4</f>
        <v>-38.756843624950498</v>
      </c>
      <c r="BI40" s="45">
        <f>BI39*ttokg/Drivers!BJ4</f>
        <v>-38.756843624950498</v>
      </c>
      <c r="BJ40" s="45">
        <f>BJ39*ttokg/Drivers!BK4</f>
        <v>-38.756843624950498</v>
      </c>
      <c r="BK40" s="45">
        <f>BK39*ttokg/Drivers!BL4</f>
        <v>-38.756843624950506</v>
      </c>
      <c r="BL40">
        <v>80.356856395247135</v>
      </c>
    </row>
    <row r="41" spans="1:64" x14ac:dyDescent="0.25">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3.8152783549944971</v>
      </c>
      <c r="AP41" s="45"/>
      <c r="AQ41" s="45">
        <f>(AQ42-AE42)/AE42</f>
        <v>3.9134897418650958</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1461929.6645871291</v>
      </c>
      <c r="Z42" s="94">
        <f>IF('Net zero activities &amp; levers'!$C$14="Off",((Data!$AJ$33*'Net zero Intermediate calcs'!Z39)+Data!$AK$33),IF('Net zero activities &amp; levers'!$C$14="On",((Data!$AJ$33*'Net zero Intermediate calcs'!Z39)+Data!$AK$33)*(1-'Net zero supporting data'!C216),"ERROR"))</f>
        <v>1500929.0445244417</v>
      </c>
      <c r="AA42" s="94">
        <f>IF('Net zero activities &amp; levers'!$C$14="Off",((Data!$AJ$33*'Net zero Intermediate calcs'!AA39)+Data!$AK$33),IF('Net zero activities &amp; levers'!$C$14="On",((Data!$AJ$33*'Net zero Intermediate calcs'!AA39)+Data!$AK$33)*(1-'Net zero supporting data'!D216),"ERROR"))</f>
        <v>1551697.8906253518</v>
      </c>
      <c r="AB42" s="94">
        <f>IF('Net zero activities &amp; levers'!$C$14="Off",((Data!$AJ$33*'Net zero Intermediate calcs'!AB39)+Data!$AK$33),IF('Net zero activities &amp; levers'!$C$14="On",((Data!$AJ$33*'Net zero Intermediate calcs'!AB39)+Data!$AK$33)*(1-'Net zero supporting data'!E216),"ERROR"))</f>
        <v>1579699.1994235052</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1589023.60472876</v>
      </c>
      <c r="AE42" s="94">
        <f>IF('Net zero activities &amp; levers'!$C$14="Off",((Data!$AJ$33*'Net zero Intermediate calcs'!AE39)+Data!$AK$33),IF('Net zero activities &amp; levers'!$C$14="On",((Data!$AJ$33*'Net zero Intermediate calcs'!AE39)+Data!$AK$33)*(1-'Net zero supporting data'!H216),"ERROR"))</f>
        <v>1597085.0065537831</v>
      </c>
      <c r="AF42" s="94">
        <f>IF('Net zero activities &amp; levers'!$C$14="Off",((Data!$AJ$33*'Net zero Intermediate calcs'!AF39)+Data!$AK$33),IF('Net zero activities &amp; levers'!$C$14="On",((Data!$AJ$33*'Net zero Intermediate calcs'!AF39)+Data!$AK$33)*(1-'Net zero supporting data'!I216),"ERROR"))</f>
        <v>1606556.3837569274</v>
      </c>
      <c r="AG42" s="94">
        <f>IF('Net zero activities &amp; levers'!$C$14="Off",((Data!$AJ$33*'Net zero Intermediate calcs'!AG39)+Data!$AK$33),IF('Net zero activities &amp; levers'!$C$14="On",((Data!$AJ$33*'Net zero Intermediate calcs'!AG39)+Data!$AK$33)*(1-'Net zero supporting data'!J216),"ERROR"))</f>
        <v>1415007.2775848059</v>
      </c>
      <c r="AH42" s="94">
        <f>IF('Net zero activities &amp; levers'!$C$14="Off",((Data!$AJ$33*'Net zero Intermediate calcs'!AH39)+Data!$AK$33),IF('Net zero activities &amp; levers'!$C$14="On",((Data!$AJ$33*'Net zero Intermediate calcs'!AH39)+Data!$AK$33)*(1-'Net zero supporting data'!K216),"ERROR"))</f>
        <v>1536701.5524080901</v>
      </c>
      <c r="AI42" s="94">
        <f>IF('Net zero activities &amp; levers'!$C$14="Off",((Data!$AJ$33*'Net zero Intermediate calcs'!AI39)+Data!$AK$33),IF('Net zero activities &amp; levers'!$C$14="On",((Data!$AJ$33*'Net zero Intermediate calcs'!AI39)+Data!$AK$33)*(1-'Net zero supporting data'!L216),"ERROR"))</f>
        <v>6744037.5073844781</v>
      </c>
      <c r="AJ42" s="94">
        <f>IF('Net zero activities &amp; levers'!$C$14="Off",((Data!$AJ$33*'Net zero Intermediate calcs'!AJ39)+Data!$AK$33),IF('Net zero activities &amp; levers'!$C$14="On",((Data!$AJ$33*'Net zero Intermediate calcs'!AJ39)+Data!$AK$33)*(1-'Net zero supporting data'!M216),"ERROR"))</f>
        <v>6926771.222909837</v>
      </c>
      <c r="AK42" s="94">
        <f>IF('Net zero activities &amp; levers'!$C$14="Off",((Data!$AJ$33*'Net zero Intermediate calcs'!AK39)+Data!$AK$33),IF('Net zero activities &amp; levers'!$C$14="On",((Data!$AJ$33*'Net zero Intermediate calcs'!AK39)+Data!$AK$33)*(1-'Net zero supporting data'!N216),"ERROR"))</f>
        <v>7096652.2744911285</v>
      </c>
      <c r="AL42" s="94">
        <f>IF('Net zero activities &amp; levers'!$C$14="Off",((Data!$AJ$33*'Net zero Intermediate calcs'!AL39)+Data!$AK$33),IF('Net zero activities &amp; levers'!$C$14="On",((Data!$AJ$33*'Net zero Intermediate calcs'!AL39)+Data!$AK$33)*(1-'Net zero supporting data'!O216),"ERROR"))</f>
        <v>7253817.7845389731</v>
      </c>
      <c r="AM42" s="94">
        <f>IF('Net zero activities &amp; levers'!$C$14="Off",((Data!$AJ$33*'Net zero Intermediate calcs'!AM39)+Data!$AK$33),IF('Net zero activities &amp; levers'!$C$14="On",((Data!$AJ$33*'Net zero Intermediate calcs'!AM39)+Data!$AK$33)*(1-'Net zero supporting data'!P216),"ERROR"))</f>
        <v>7399283.9445061423</v>
      </c>
      <c r="AN42" s="94">
        <f>IF('Net zero activities &amp; levers'!$C$14="Off",((Data!$AJ$33*'Net zero Intermediate calcs'!AN39)+Data!$AK$33),IF('Net zero activities &amp; levers'!$C$14="On",((Data!$AJ$33*'Net zero Intermediate calcs'!AN39)+Data!$AK$33)*(1-'Net zero supporting data'!Q216),"ERROR"))</f>
        <v>7532134.3050808385</v>
      </c>
      <c r="AO42" s="94">
        <f>IF('Net zero activities &amp; levers'!$C$14="Off",((Data!$AJ$33*'Net zero Intermediate calcs'!AO39)+Data!$AK$33),IF('Net zero activities &amp; levers'!$C$14="On",((Data!$AJ$33*'Net zero Intermediate calcs'!AO39)+Data!$AK$33)*(1-'Net zero supporting data'!R216),"ERROR"))</f>
        <v>7651590.9694257295</v>
      </c>
      <c r="AP42" s="94">
        <f>IF('Net zero activities &amp; levers'!$C$14="Off",((Data!$AJ$33*'Net zero Intermediate calcs'!AP39)+Data!$AK$33),IF('Net zero activities &amp; levers'!$C$14="On",((Data!$AJ$33*'Net zero Intermediate calcs'!AP39)+Data!$AK$33)*(1-'Net zero supporting data'!S216),"ERROR"))</f>
        <v>7756876.7418066533</v>
      </c>
      <c r="AQ42" s="94">
        <f>IF('Net zero activities &amp; levers'!$C$14="Off",((Data!$AJ$33*'Net zero Intermediate calcs'!AQ39)+Data!$AK$33),IF('Net zero activities &amp; levers'!$C$14="On",((Data!$AJ$33*'Net zero Intermediate calcs'!AQ39)+Data!$AK$33)*(1-'Net zero supporting data'!T216),"ERROR"))</f>
        <v>7847260.7965885624</v>
      </c>
      <c r="AR42" s="94">
        <f>IF('Net zero activities &amp; levers'!$C$14="Off",((Data!$AJ$33*'Net zero Intermediate calcs'!AR39)+Data!$AK$33),IF('Net zero activities &amp; levers'!$C$14="On",((Data!$AJ$33*'Net zero Intermediate calcs'!AR39)+Data!$AK$33)*(1-'Net zero supporting data'!U216),"ERROR"))</f>
        <v>7922148.9778182991</v>
      </c>
      <c r="AS42" s="94">
        <f>IF('Net zero activities &amp; levers'!$C$14="Off",((Data!$AJ$33*'Net zero Intermediate calcs'!AS39)+Data!$AK$33),IF('Net zero activities &amp; levers'!$C$14="On",((Data!$AJ$33*'Net zero Intermediate calcs'!AS39)+Data!$AK$33)*(1-'Net zero supporting data'!V216),"ERROR"))</f>
        <v>7980967.6260799225</v>
      </c>
      <c r="AT42" s="94">
        <f>IF('Net zero activities &amp; levers'!$C$14="Off",((Data!$AJ$33*'Net zero Intermediate calcs'!AT39)+Data!$AK$33),IF('Net zero activities &amp; levers'!$C$14="On",((Data!$AJ$33*'Net zero Intermediate calcs'!AT39)+Data!$AK$33)*(1-'Net zero supporting data'!W216),"ERROR"))</f>
        <v>8023274.2061667563</v>
      </c>
      <c r="AU42" s="94">
        <f>IF('Net zero activities &amp; levers'!$C$14="Off",((Data!$AJ$33*'Net zero Intermediate calcs'!AU39)+Data!$AK$33),IF('Net zero activities &amp; levers'!$C$14="On",((Data!$AJ$33*'Net zero Intermediate calcs'!AU39)+Data!$AK$33)*(1-'Net zero supporting data'!X216),"ERROR"))</f>
        <v>8048765.200996832</v>
      </c>
      <c r="AV42" s="94">
        <f>IF('Net zero activities &amp; levers'!$C$14="Off",((Data!$AJ$33*'Net zero Intermediate calcs'!AV39)+Data!$AK$33),IF('Net zero activities &amp; levers'!$C$14="On",((Data!$AJ$33*'Net zero Intermediate calcs'!AV39)+Data!$AK$33)*(1-'Net zero supporting data'!Y216),"ERROR"))</f>
        <v>8057159.2342558941</v>
      </c>
      <c r="AW42" s="94">
        <f>IF('Net zero activities &amp; levers'!$C$14="Off",((Data!$AJ$33*'Net zero Intermediate calcs'!AW39)+Data!$AK$33),IF('Net zero activities &amp; levers'!$C$14="On",((Data!$AJ$33*'Net zero Intermediate calcs'!AW39)+Data!$AK$33)*(1-'Net zero supporting data'!Z216),"ERROR"))</f>
        <v>8048251.4419064689</v>
      </c>
      <c r="AX42" s="94">
        <f>IF('Net zero activities &amp; levers'!$C$14="Off",((Data!$AJ$33*'Net zero Intermediate calcs'!AX39)+Data!$AK$33),IF('Net zero activities &amp; levers'!$C$14="On",((Data!$AJ$33*'Net zero Intermediate calcs'!AX39)+Data!$AK$33)*(1-'Net zero supporting data'!AA216),"ERROR"))</f>
        <v>-1729720.1729206841</v>
      </c>
      <c r="AY42" s="94">
        <f>IF('Net zero activities &amp; levers'!$C$14="Off",((Data!$AJ$33*'Net zero Intermediate calcs'!AY39)+Data!$AK$33),IF('Net zero activities &amp; levers'!$C$14="On",((Data!$AJ$33*'Net zero Intermediate calcs'!AY39)+Data!$AK$33)*(1-'Net zero supporting data'!AB216),"ERROR"))</f>
        <v>-1743136.311613396</v>
      </c>
      <c r="AZ42" s="94">
        <f>IF('Net zero activities &amp; levers'!$C$14="Off",((Data!$AJ$33*'Net zero Intermediate calcs'!AZ39)+Data!$AK$33),IF('Net zero activities &amp; levers'!$C$14="On",((Data!$AJ$33*'Net zero Intermediate calcs'!AZ39)+Data!$AK$33)*(1-'Net zero supporting data'!AC216),"ERROR"))</f>
        <v>-1756219.4276671105</v>
      </c>
      <c r="BA42" s="94">
        <f>IF('Net zero activities &amp; levers'!$C$14="Off",((Data!$AJ$33*'Net zero Intermediate calcs'!BA39)+Data!$AK$33),IF('Net zero activities &amp; levers'!$C$14="On",((Data!$AJ$33*'Net zero Intermediate calcs'!BA39)+Data!$AK$33)*(1-'Net zero supporting data'!AD216),"ERROR"))</f>
        <v>-1768989.271690482</v>
      </c>
      <c r="BB42" s="94">
        <f>IF('Net zero activities &amp; levers'!$C$14="Off",((Data!$AJ$33*'Net zero Intermediate calcs'!BB39)+Data!$AK$33),IF('Net zero activities &amp; levers'!$C$14="On",((Data!$AJ$33*'Net zero Intermediate calcs'!BB39)+Data!$AK$33)*(1-'Net zero supporting data'!AE216),"ERROR"))</f>
        <v>-1781468.6113582687</v>
      </c>
      <c r="BC42" s="94">
        <f>IF('Net zero activities &amp; levers'!$C$14="Off",((Data!$AJ$33*'Net zero Intermediate calcs'!BC39)+Data!$AK$33),IF('Net zero activities &amp; levers'!$C$14="On",((Data!$AJ$33*'Net zero Intermediate calcs'!BC39)+Data!$AK$33)*(1-'Net zero supporting data'!AF216),"ERROR"))</f>
        <v>-1793606.1565467217</v>
      </c>
      <c r="BD42" s="94">
        <f>IF('Net zero activities &amp; levers'!$C$14="Off",((Data!$AJ$33*'Net zero Intermediate calcs'!BD39)+Data!$AK$33),IF('Net zero activities &amp; levers'!$C$14="On",((Data!$AJ$33*'Net zero Intermediate calcs'!BD39)+Data!$AK$33)*(1-'Net zero supporting data'!AG216),"ERROR"))</f>
        <v>-1805368.1328769685</v>
      </c>
      <c r="BE42" s="94">
        <f>IF('Net zero activities &amp; levers'!$C$14="Off",((Data!$AJ$33*'Net zero Intermediate calcs'!BE39)+Data!$AK$33),IF('Net zero activities &amp; levers'!$C$14="On",((Data!$AJ$33*'Net zero Intermediate calcs'!BE39)+Data!$AK$33)*(1-'Net zero supporting data'!AH216),"ERROR"))</f>
        <v>-1816752.0540630533</v>
      </c>
      <c r="BF42" s="94">
        <f>IF('Net zero activities &amp; levers'!$C$14="Off",((Data!$AJ$33*'Net zero Intermediate calcs'!BF39)+Data!$AK$33),IF('Net zero activities &amp; levers'!$C$14="On",((Data!$AJ$33*'Net zero Intermediate calcs'!BF39)+Data!$AK$33)*(1-'Net zero supporting data'!AI216),"ERROR"))</f>
        <v>-1827717.6925569393</v>
      </c>
      <c r="BG42" s="94">
        <f>IF('Net zero activities &amp; levers'!$C$14="Off",((Data!$AJ$33*'Net zero Intermediate calcs'!BG39)+Data!$AK$33),IF('Net zero activities &amp; levers'!$C$14="On",((Data!$AJ$33*'Net zero Intermediate calcs'!BG39)+Data!$AK$33)*(1-'Net zero supporting data'!AJ216),"ERROR"))</f>
        <v>-1838220.267275637</v>
      </c>
      <c r="BH42" s="94">
        <f>IF('Net zero activities &amp; levers'!$C$14="Off",((Data!$AJ$33*'Net zero Intermediate calcs'!BH39)+Data!$AK$33),IF('Net zero activities &amp; levers'!$C$14="On",((Data!$AJ$33*'Net zero Intermediate calcs'!BH39)+Data!$AK$33)*(1-'Net zero supporting data'!AK216),"ERROR"))</f>
        <v>-1848255.8672075316</v>
      </c>
      <c r="BI42" s="94">
        <f>IF('Net zero activities &amp; levers'!$C$14="Off",((Data!$AJ$33*'Net zero Intermediate calcs'!BI39)+Data!$AK$33),IF('Net zero activities &amp; levers'!$C$14="On",((Data!$AJ$33*'Net zero Intermediate calcs'!BI39)+Data!$AK$33)*(1-'Net zero supporting data'!AL216),"ERROR"))</f>
        <v>-1857832.9848349865</v>
      </c>
      <c r="BJ42" s="94">
        <f>IF('Net zero activities &amp; levers'!$C$14="Off",((Data!$AJ$33*'Net zero Intermediate calcs'!BJ39)+Data!$AK$33),IF('Net zero activities &amp; levers'!$C$14="On",((Data!$AJ$33*'Net zero Intermediate calcs'!BJ39)+Data!$AK$33)*(1-'Net zero supporting data'!AM216),"ERROR"))</f>
        <v>-1866957.9615839771</v>
      </c>
      <c r="BK42" s="94">
        <f>IF('Net zero activities &amp; levers'!$C$14="Off",((Data!$AJ$33*'Net zero Intermediate calcs'!BK39)+Data!$AK$33),IF('Net zero activities &amp; levers'!$C$14="On",((Data!$AJ$33*'Net zero Intermediate calcs'!BK39)+Data!$AK$33)*(1-'Net zero supporting data'!AN216),"ERROR"))</f>
        <v>-1875587.1338034046</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170728.40022483494</v>
      </c>
      <c r="Z47" s="22">
        <f>((Data!$AJ$12*((Drivers!AA5*1000000)/Drivers!AA4))+Data!$AK$12)*Drivers!AA4</f>
        <v>170863.40739787833</v>
      </c>
      <c r="AA47" s="22">
        <f>((Data!$AJ$12*((Drivers!AB5*1000000)/Drivers!AB4))+Data!$AK$12)*Drivers!AB4</f>
        <v>169755.4693978721</v>
      </c>
      <c r="AB47" s="22">
        <f>((Data!$AJ$12*((Drivers!AC5*1000000)/Drivers!AC4))+Data!$AK$12)*Drivers!AC4</f>
        <v>171589.57169404562</v>
      </c>
      <c r="AC47" s="22">
        <f>((Data!$AJ$12*((Drivers!AD5*1000000)/Drivers!AD4))+Data!$AK$12)*Drivers!AD4</f>
        <v>175485.07841312457</v>
      </c>
      <c r="AD47" s="22">
        <f>((Data!$AJ$12*((Drivers!AE5*1000000)/Drivers!AE4))+Data!$AK$12)*Drivers!AE4</f>
        <v>181497.64372653185</v>
      </c>
      <c r="AE47" s="22">
        <f>((Data!$AJ$12*((Drivers!AF5*1000000)/Drivers!AF4))+Data!$AK$12)*Drivers!AF4</f>
        <v>186216.93108293595</v>
      </c>
      <c r="AF47" s="22">
        <f>((Data!$AJ$12*((Drivers!AG5*1000000)/Drivers!AG4))+Data!$AK$12)*Drivers!AG4</f>
        <v>190857.7404512353</v>
      </c>
      <c r="AG47" s="22">
        <f>((Data!$AJ$12*((Drivers!AH5*1000000)/Drivers!AH4))+Data!$AK$12)*Drivers!AH4</f>
        <v>216752.83094692047</v>
      </c>
      <c r="AH47" s="22">
        <f>((Data!$AJ$12*((Drivers!AI5*1000000)/Drivers!AI4))+Data!$AK$12)*Drivers!AI4</f>
        <v>205708.9648713411</v>
      </c>
      <c r="AI47" s="22">
        <f>((Data!$AJ$12*((Drivers!AJ5*1000000)/Drivers!AJ4))+Data!$AK$12)*Drivers!AJ4</f>
        <v>-421106.56588655035</v>
      </c>
      <c r="AJ47" s="22">
        <f>((Data!$AJ$12*((Drivers!AK5*1000000)/Drivers!AK4))+Data!$AK$12)*Drivers!AK4</f>
        <v>-439968.81992349261</v>
      </c>
      <c r="AK47" s="22">
        <f>((Data!$AJ$12*((Drivers!AL5*1000000)/Drivers!AL4))+Data!$AK$12)*Drivers!AL4</f>
        <v>-456745.99717164511</v>
      </c>
      <c r="AL47" s="22">
        <f>((Data!$AJ$12*((Drivers!AM5*1000000)/Drivers!AM4))+Data!$AK$12)*Drivers!AM4</f>
        <v>-471691.31101628137</v>
      </c>
      <c r="AM47" s="22">
        <f>((Data!$AJ$12*((Drivers!AN5*1000000)/Drivers!AN4))+Data!$AK$12)*Drivers!AN4</f>
        <v>-485351.55189031863</v>
      </c>
      <c r="AN47" s="22">
        <f>((Data!$AJ$12*((Drivers!AO5*1000000)/Drivers!AO4))+Data!$AK$12)*Drivers!AO4</f>
        <v>-497598.28064669756</v>
      </c>
      <c r="AO47" s="22">
        <f>((Data!$AJ$12*((Drivers!AP5*1000000)/Drivers!AP4))+Data!$AK$12)*Drivers!AP4</f>
        <v>-508338.70201383217</v>
      </c>
      <c r="AP47" s="22">
        <f>((Data!$AJ$12*((Drivers!AQ5*1000000)/Drivers!AQ4))+Data!$AK$12)*Drivers!AQ4</f>
        <v>-517466.74232024868</v>
      </c>
      <c r="AQ47" s="22">
        <f>((Data!$AJ$12*((Drivers!AR5*1000000)/Drivers!AR4))+Data!$AK$12)*Drivers!AR4</f>
        <v>-524877.34590436646</v>
      </c>
      <c r="AR47" s="22">
        <f>((Data!$AJ$12*((Drivers!AS5*1000000)/Drivers!AS4))+Data!$AK$12)*Drivers!AS4</f>
        <v>-530496.2319127064</v>
      </c>
      <c r="AS47" s="22">
        <f>((Data!$AJ$12*((Drivers!AT5*1000000)/Drivers!AT4))+Data!$AK$12)*Drivers!AT4</f>
        <v>-534238.75286534184</v>
      </c>
      <c r="AT47" s="22">
        <f>((Data!$AJ$12*((Drivers!AU5*1000000)/Drivers!AU4))+Data!$AK$12)*Drivers!AU4</f>
        <v>-536046.90763009863</v>
      </c>
      <c r="AU47" s="22">
        <f>((Data!$AJ$12*((Drivers!AV5*1000000)/Drivers!AV4))+Data!$AK$12)*Drivers!AV4</f>
        <v>-535891.16855458613</v>
      </c>
      <c r="AV47" s="22">
        <f>((Data!$AJ$12*((Drivers!AW5*1000000)/Drivers!AW4))+Data!$AK$12)*Drivers!AW4</f>
        <v>-533729.55387878057</v>
      </c>
      <c r="AW47" s="22">
        <f>((Data!$AJ$12*((Drivers!AX5*1000000)/Drivers!AX4))+Data!$AK$12)*Drivers!AX4</f>
        <v>-529525.78037461569</v>
      </c>
      <c r="AX47" s="22">
        <f>((Data!$AJ$12*((Drivers!AY5*1000000)/Drivers!AY4))+Data!$AK$12)*Drivers!AY4</f>
        <v>656399.84338366624</v>
      </c>
      <c r="AY47" s="22">
        <f>((Data!$AJ$12*((Drivers!AZ5*1000000)/Drivers!AZ4))+Data!$AK$12)*Drivers!AZ4</f>
        <v>661014.73817082215</v>
      </c>
      <c r="AZ47" s="22">
        <f>((Data!$AJ$12*((Drivers!BA5*1000000)/Drivers!BA4))+Data!$AK$12)*Drivers!BA4</f>
        <v>665515.07954764774</v>
      </c>
      <c r="BA47" s="22">
        <f>((Data!$AJ$12*((Drivers!BB5*1000000)/Drivers!BB4))+Data!$AK$12)*Drivers!BB4</f>
        <v>669907.66134529014</v>
      </c>
      <c r="BB47" s="22">
        <f>((Data!$AJ$12*((Drivers!BC5*1000000)/Drivers!BC4))+Data!$AK$12)*Drivers!BC4</f>
        <v>674200.31520785799</v>
      </c>
      <c r="BC47" s="22">
        <f>((Data!$AJ$12*((Drivers!BD5*1000000)/Drivers!BD4))+Data!$AK$12)*Drivers!BD4</f>
        <v>678375.39831500349</v>
      </c>
      <c r="BD47" s="22">
        <f>((Data!$AJ$12*((Drivers!BE5*1000000)/Drivers!BE4))+Data!$AK$12)*Drivers!BE4</f>
        <v>682421.29292718379</v>
      </c>
      <c r="BE47" s="22">
        <f>((Data!$AJ$12*((Drivers!BF5*1000000)/Drivers!BF4))+Data!$AK$12)*Drivers!BF4</f>
        <v>686337.14380964346</v>
      </c>
      <c r="BF47" s="22">
        <f>((Data!$AJ$12*((Drivers!BG5*1000000)/Drivers!BG4))+Data!$AK$12)*Drivers!BG4</f>
        <v>690109.11345622747</v>
      </c>
      <c r="BG47" s="22">
        <f>((Data!$AJ$12*((Drivers!BH5*1000000)/Drivers!BH4))+Data!$AK$12)*Drivers!BH4</f>
        <v>693721.79803195875</v>
      </c>
      <c r="BH47" s="22">
        <f>((Data!$AJ$12*((Drivers!BI5*1000000)/Drivers!BI4))+Data!$AK$12)*Drivers!BI4</f>
        <v>697173.85222373914</v>
      </c>
      <c r="BI47" s="22">
        <f>((Data!$AJ$12*((Drivers!BJ5*1000000)/Drivers!BJ4))+Data!$AK$12)*Drivers!BJ4</f>
        <v>700468.19728286786</v>
      </c>
      <c r="BJ47" s="22">
        <f>((Data!$AJ$12*((Drivers!BK5*1000000)/Drivers!BK4))+Data!$AK$12)*Drivers!BK4</f>
        <v>703607.01453844015</v>
      </c>
      <c r="BK47" s="22">
        <f>((Data!$AJ$12*((Drivers!BL5*1000000)/Drivers!BL4))+Data!$AK$12)*Drivers!BL4</f>
        <v>706575.28453065036</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178443.63035186304</v>
      </c>
      <c r="Z49" s="22">
        <f>((Data!$AJ$44*'Net zero Intermediate calcs'!Z47)+Data!$AK$44)</f>
        <v>178577.37849101148</v>
      </c>
      <c r="AA49" s="22">
        <f>((Data!$AJ$44*'Net zero Intermediate calcs'!AA47)+Data!$AK$44)</f>
        <v>177479.77276790631</v>
      </c>
      <c r="AB49" s="22">
        <f>((Data!$AJ$44*'Net zero Intermediate calcs'!AB47)+Data!$AK$44)</f>
        <v>179296.77081024175</v>
      </c>
      <c r="AC49" s="22">
        <f>((Data!$AJ$44*'Net zero Intermediate calcs'!AC47)+Data!$AK$44)</f>
        <v>183155.94927440822</v>
      </c>
      <c r="AD49" s="22">
        <f>((Data!$AJ$44*'Net zero Intermediate calcs'!AD47)+Data!$AK$44)</f>
        <v>189112.44331875216</v>
      </c>
      <c r="AE49" s="22">
        <f>((Data!$AJ$44*'Net zero Intermediate calcs'!AE47)+Data!$AK$44)</f>
        <v>193787.72010440068</v>
      </c>
      <c r="AF49" s="22">
        <f>((Data!$AJ$44*'Net zero Intermediate calcs'!AF47)+Data!$AK$44)</f>
        <v>198385.25076266567</v>
      </c>
      <c r="AG49" s="22">
        <f>((Data!$AJ$44*'Net zero Intermediate calcs'!AG47)+Data!$AK$44)</f>
        <v>224038.85189217876</v>
      </c>
      <c r="AH49" s="22">
        <f>((Data!$AJ$44*'Net zero Intermediate calcs'!AH47)+Data!$AK$44)</f>
        <v>213097.97739406175</v>
      </c>
      <c r="AI49" s="22">
        <f>((Data!$AJ$44*'Net zero Intermediate calcs'!AI47)+Data!$AK$44)</f>
        <v>-407872.07136967435</v>
      </c>
      <c r="AJ49" s="22">
        <f>((Data!$AJ$44*'Net zero Intermediate calcs'!AJ47)+Data!$AK$44)</f>
        <v>-426558.42203324486</v>
      </c>
      <c r="AK49" s="22">
        <f>((Data!$AJ$44*'Net zero Intermediate calcs'!AK47)+Data!$AK$44)</f>
        <v>-443179.14067004441</v>
      </c>
      <c r="AL49" s="22">
        <f>((Data!$AJ$44*'Net zero Intermediate calcs'!AL47)+Data!$AK$44)</f>
        <v>-457985.079277966</v>
      </c>
      <c r="AM49" s="22">
        <f>((Data!$AJ$44*'Net zero Intermediate calcs'!AM47)+Data!$AK$44)</f>
        <v>-471517.9290965065</v>
      </c>
      <c r="AN49" s="22">
        <f>((Data!$AJ$44*'Net zero Intermediate calcs'!AN47)+Data!$AK$44)</f>
        <v>-483650.44876118319</v>
      </c>
      <c r="AO49" s="22">
        <f>((Data!$AJ$44*'Net zero Intermediate calcs'!AO47)+Data!$AK$44)</f>
        <v>-494290.70837955683</v>
      </c>
      <c r="AP49" s="22">
        <f>((Data!$AJ$44*'Net zero Intermediate calcs'!AP47)+Data!$AK$44)</f>
        <v>-503333.6234894286</v>
      </c>
      <c r="AQ49" s="22">
        <f>((Data!$AJ$44*'Net zero Intermediate calcs'!AQ47)+Data!$AK$44)</f>
        <v>-510675.11814485659</v>
      </c>
      <c r="AR49" s="22">
        <f>((Data!$AJ$44*'Net zero Intermediate calcs'!AR47)+Data!$AK$44)</f>
        <v>-516241.60421194229</v>
      </c>
      <c r="AS49" s="22">
        <f>((Data!$AJ$44*'Net zero Intermediate calcs'!AS47)+Data!$AK$44)</f>
        <v>-519949.22360619588</v>
      </c>
      <c r="AT49" s="22">
        <f>((Data!$AJ$44*'Net zero Intermediate calcs'!AT47)+Data!$AK$44)</f>
        <v>-521740.51609552815</v>
      </c>
      <c r="AU49" s="22">
        <f>((Data!$AJ$44*'Net zero Intermediate calcs'!AU47)+Data!$AK$44)</f>
        <v>-521586.2293930297</v>
      </c>
      <c r="AV49" s="22">
        <f>((Data!$AJ$44*'Net zero Intermediate calcs'!AV47)+Data!$AK$44)</f>
        <v>-519444.77324719937</v>
      </c>
      <c r="AW49" s="22">
        <f>((Data!$AJ$44*'Net zero Intermediate calcs'!AW47)+Data!$AK$44)</f>
        <v>-515280.20279579936</v>
      </c>
      <c r="AX49" s="22">
        <f>((Data!$AJ$44*'Net zero Intermediate calcs'!AX47)+Data!$AK$44)</f>
        <v>659585.85632198211</v>
      </c>
      <c r="AY49" s="22">
        <f>((Data!$AJ$44*'Net zero Intermediate calcs'!AY47)+Data!$AK$44)</f>
        <v>664157.7140702334</v>
      </c>
      <c r="AZ49" s="22">
        <f>((Data!$AJ$44*'Net zero Intermediate calcs'!AZ47)+Data!$AK$44)</f>
        <v>668616.08669677295</v>
      </c>
      <c r="BA49" s="22">
        <f>((Data!$AJ$44*'Net zero Intermediate calcs'!BA47)+Data!$AK$44)</f>
        <v>672967.70467564254</v>
      </c>
      <c r="BB49" s="22">
        <f>((Data!$AJ$44*'Net zero Intermediate calcs'!BB47)+Data!$AK$44)</f>
        <v>677220.32661553228</v>
      </c>
      <c r="BC49" s="22">
        <f>((Data!$AJ$44*'Net zero Intermediate calcs'!BC47)+Data!$AK$44)</f>
        <v>681356.47422741738</v>
      </c>
      <c r="BD49" s="22">
        <f>((Data!$AJ$44*'Net zero Intermediate calcs'!BD47)+Data!$AK$44)</f>
        <v>685364.63811509393</v>
      </c>
      <c r="BE49" s="22">
        <f>((Data!$AJ$44*'Net zero Intermediate calcs'!BE47)+Data!$AK$44)</f>
        <v>689243.97101945314</v>
      </c>
      <c r="BF49" s="22">
        <f>((Data!$AJ$44*'Net zero Intermediate calcs'!BF47)+Data!$AK$44)</f>
        <v>692980.76447851525</v>
      </c>
      <c r="BG49" s="22">
        <f>((Data!$AJ$44*'Net zero Intermediate calcs'!BG47)+Data!$AK$44)</f>
        <v>696559.75830856175</v>
      </c>
      <c r="BH49" s="22">
        <f>((Data!$AJ$44*'Net zero Intermediate calcs'!BH47)+Data!$AK$44)</f>
        <v>699979.61974245613</v>
      </c>
      <c r="BI49" s="22">
        <f>((Data!$AJ$44*'Net zero Intermediate calcs'!BI47)+Data!$AK$44)</f>
        <v>703243.24278883822</v>
      </c>
      <c r="BJ49" s="22">
        <f>((Data!$AJ$44*'Net zero Intermediate calcs'!BJ47)+Data!$AK$44)</f>
        <v>706352.78843442316</v>
      </c>
      <c r="BK49" s="22">
        <f>((Data!$AJ$44*'Net zero Intermediate calcs'!BK47)+Data!$AK$44)</f>
        <v>709293.37728610344</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2648200.7794607049</v>
      </c>
      <c r="AB50" s="22">
        <f>AB15*Constants!$H$29*Constants!$H$35</f>
        <v>2681889.7581455051</v>
      </c>
      <c r="AC50" s="22">
        <f>AC15*Constants!$H$29*Constants!$H$35</f>
        <v>2710430.7313643708</v>
      </c>
      <c r="AD50" s="22">
        <f>AD15*Constants!$H$29*Constants!$H$35</f>
        <v>2733703.1155667915</v>
      </c>
      <c r="AE50" s="22">
        <f>AE15*Constants!$H$29*Constants!$H$35</f>
        <v>2761702.3021248789</v>
      </c>
      <c r="AF50" s="22">
        <f>AF15*Constants!$H$29*Constants!$H$35</f>
        <v>2790651.9542421014</v>
      </c>
      <c r="AG50" s="22">
        <f>AG15*Constants!$H$29*Constants!$H$35</f>
        <v>2728043.3080033576</v>
      </c>
      <c r="AH50" s="22">
        <f>AH15*Constants!$H$29*Constants!$H$35</f>
        <v>2791431.3268790971</v>
      </c>
      <c r="AI50" s="22">
        <f>AI15*Constants!$H$29*Constants!$H$35</f>
        <v>4830342.8074619481</v>
      </c>
      <c r="AJ50" s="22">
        <f>AJ15*Constants!$H$29*Constants!$H$35</f>
        <v>4915574.1699939705</v>
      </c>
      <c r="AK50" s="22">
        <f>AK15*Constants!$H$29*Constants!$H$35</f>
        <v>4998122.1133751823</v>
      </c>
      <c r="AL50" s="22">
        <f>AL15*Constants!$H$29*Constants!$H$35</f>
        <v>5077006.7881843727</v>
      </c>
      <c r="AM50" s="22">
        <f>AM15*Constants!$H$29*Constants!$H$35</f>
        <v>5150772.7137066694</v>
      </c>
      <c r="AN50" s="22">
        <f>AN15*Constants!$H$29*Constants!$H$35</f>
        <v>5219140.1957066124</v>
      </c>
      <c r="AO50" s="22">
        <f>AO15*Constants!$H$29*Constants!$H$35</f>
        <v>5281800.9778110469</v>
      </c>
      <c r="AP50" s="22">
        <f>AP15*Constants!$H$29*Constants!$H$35</f>
        <v>5338505.4242451368</v>
      </c>
      <c r="AQ50" s="22">
        <f>AQ15*Constants!$H$29*Constants!$H$35</f>
        <v>5389041.9814996962</v>
      </c>
      <c r="AR50" s="22">
        <f>AR15*Constants!$H$29*Constants!$H$35</f>
        <v>5433190.0670235986</v>
      </c>
      <c r="AS50" s="22">
        <f>AS15*Constants!$H$29*Constants!$H$35</f>
        <v>5470793.1600632202</v>
      </c>
      <c r="AT50" s="22">
        <f>AT15*Constants!$H$29*Constants!$H$35</f>
        <v>5501698.6510613766</v>
      </c>
      <c r="AU50" s="22">
        <f>AU15*Constants!$H$29*Constants!$H$35</f>
        <v>5525757.1035471195</v>
      </c>
      <c r="AV50" s="22">
        <f>AV15*Constants!$H$29*Constants!$H$35</f>
        <v>5542893.7654012581</v>
      </c>
      <c r="AW50" s="22">
        <f>AW15*Constants!$H$29*Constants!$H$35</f>
        <v>5553079.1743311444</v>
      </c>
      <c r="AX50" s="22">
        <f>AX15*Constants!$H$29*Constants!$H$35</f>
        <v>1763567.5731205288</v>
      </c>
      <c r="AY50" s="22">
        <f>AY15*Constants!$H$29*Constants!$H$35</f>
        <v>1771413.3441744447</v>
      </c>
      <c r="AZ50" s="22">
        <f>AZ15*Constants!$H$29*Constants!$H$35</f>
        <v>1779064.3632627474</v>
      </c>
      <c r="BA50" s="22">
        <f>BA15*Constants!$H$29*Constants!$H$35</f>
        <v>1786532.1805607316</v>
      </c>
      <c r="BB50" s="22">
        <f>BB15*Constants!$H$29*Constants!$H$35</f>
        <v>1793830.1106269055</v>
      </c>
      <c r="BC50" s="22">
        <f>BC15*Constants!$H$29*Constants!$H$35</f>
        <v>1800928.1589466424</v>
      </c>
      <c r="BD50" s="22">
        <f>BD15*Constants!$H$29*Constants!$H$35</f>
        <v>1807806.5742300821</v>
      </c>
      <c r="BE50" s="22">
        <f>BE15*Constants!$H$29*Constants!$H$35</f>
        <v>1814463.9024947612</v>
      </c>
      <c r="BF50" s="22">
        <f>BF15*Constants!$H$29*Constants!$H$35</f>
        <v>1820876.6186311685</v>
      </c>
      <c r="BG50" s="22">
        <f>BG15*Constants!$H$29*Constants!$H$35</f>
        <v>1827018.5346180915</v>
      </c>
      <c r="BH50" s="22">
        <f>BH15*Constants!$H$29*Constants!$H$35</f>
        <v>1832887.3632921057</v>
      </c>
      <c r="BI50" s="22">
        <f>BI15*Constants!$H$29*Constants!$H$35</f>
        <v>1838488.0710652189</v>
      </c>
      <c r="BJ50" s="22">
        <f>BJ15*Constants!$H$29*Constants!$H$35</f>
        <v>1843824.3664095551</v>
      </c>
      <c r="BK50" s="22">
        <f>BK15*Constants!$H$29*Constants!$H$35</f>
        <v>1848870.7147791658</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3635202.1454829946</v>
      </c>
      <c r="AA51" s="22">
        <f>AA8*Constants!$H$30*Constants!$H$36</f>
        <v>3749346.479849041</v>
      </c>
      <c r="AB51" s="22">
        <f>AB8*Constants!$H$30*Constants!$H$36</f>
        <v>3826616.7417984675</v>
      </c>
      <c r="AC51" s="22">
        <f>AC8*Constants!$H$30*Constants!$H$36</f>
        <v>3879298.5642415797</v>
      </c>
      <c r="AD51" s="22">
        <f>AD8*Constants!$H$30*Constants!$H$36</f>
        <v>3906775.782761578</v>
      </c>
      <c r="AE51" s="22">
        <f>AE8*Constants!$H$30*Constants!$H$36</f>
        <v>3953557.7830203283</v>
      </c>
      <c r="AF51" s="22">
        <f>AF8*Constants!$H$30*Constants!$H$36</f>
        <v>4003230.5614012098</v>
      </c>
      <c r="AG51" s="22">
        <f>AG8*Constants!$H$30*Constants!$H$36</f>
        <v>3699690.625919044</v>
      </c>
      <c r="AH51" s="22">
        <f>AH8*Constants!$H$30*Constants!$H$36</f>
        <v>3924192.1715829903</v>
      </c>
      <c r="AI51" s="22">
        <f>AI8*Constants!$H$30*Constants!$H$36</f>
        <v>12627705.701083718</v>
      </c>
      <c r="AJ51" s="22">
        <f>AJ8*Constants!$H$30*Constants!$H$36</f>
        <v>12951471.096519815</v>
      </c>
      <c r="AK51" s="22">
        <f>AK8*Constants!$H$30*Constants!$H$36</f>
        <v>13256904.050956437</v>
      </c>
      <c r="AL51" s="22">
        <f>AL8*Constants!$H$30*Constants!$H$36</f>
        <v>13542848.021504149</v>
      </c>
      <c r="AM51" s="22">
        <f>AM8*Constants!$H$30*Constants!$H$36</f>
        <v>13808516.544521784</v>
      </c>
      <c r="AN51" s="22">
        <f>AN8*Constants!$H$30*Constants!$H$36</f>
        <v>14052483.976378854</v>
      </c>
      <c r="AO51" s="22">
        <f>AO8*Constants!$H$30*Constants!$H$36</f>
        <v>14273445.218510533</v>
      </c>
      <c r="AP51" s="22">
        <f>AP8*Constants!$H$30*Constants!$H$36</f>
        <v>14470174.572301976</v>
      </c>
      <c r="AQ51" s="22">
        <f>AQ8*Constants!$H$30*Constants!$H$36</f>
        <v>14641550.55819119</v>
      </c>
      <c r="AR51" s="22">
        <f>AR8*Constants!$H$30*Constants!$H$36</f>
        <v>14786596.272405742</v>
      </c>
      <c r="AS51" s="22">
        <f>AS8*Constants!$H$30*Constants!$H$36</f>
        <v>14904444.200453904</v>
      </c>
      <c r="AT51" s="22">
        <f>AT8*Constants!$H$30*Constants!$H$36</f>
        <v>14994382.395925252</v>
      </c>
      <c r="AU51" s="22">
        <f>AU8*Constants!$H$30*Constants!$H$36</f>
        <v>15055862.540645616</v>
      </c>
      <c r="AV51" s="22">
        <f>AV8*Constants!$H$30*Constants!$H$36</f>
        <v>15088461.83301086</v>
      </c>
      <c r="AW51" s="22">
        <f>AW8*Constants!$H$30*Constants!$H$36</f>
        <v>15091905.909836555</v>
      </c>
      <c r="AX51" s="22">
        <f>AX8*Constants!$H$30*Constants!$H$36</f>
        <v>-1198635.351932253</v>
      </c>
      <c r="AY51" s="22">
        <f>AY8*Constants!$H$30*Constants!$H$36</f>
        <v>-1203496.6513988604</v>
      </c>
      <c r="AZ51" s="22">
        <f>AZ8*Constants!$H$30*Constants!$H$36</f>
        <v>-1208237.2810651318</v>
      </c>
      <c r="BA51" s="22">
        <f>BA8*Constants!$H$30*Constants!$H$36</f>
        <v>-1212864.3975075996</v>
      </c>
      <c r="BB51" s="22">
        <f>BB8*Constants!$H$30*Constants!$H$36</f>
        <v>-1217386.2505280648</v>
      </c>
      <c r="BC51" s="22">
        <f>BC8*Constants!$H$30*Constants!$H$36</f>
        <v>-1221784.2552969481</v>
      </c>
      <c r="BD51" s="22">
        <f>BD8*Constants!$H$30*Constants!$H$36</f>
        <v>-1226046.1737647064</v>
      </c>
      <c r="BE51" s="22">
        <f>BE8*Constants!$H$30*Constants!$H$36</f>
        <v>-1230171.1050327381</v>
      </c>
      <c r="BF51" s="22">
        <f>BF8*Constants!$H$30*Constants!$H$36</f>
        <v>-1234144.4727641174</v>
      </c>
      <c r="BG51" s="22">
        <f>BG8*Constants!$H$30*Constants!$H$36</f>
        <v>-1237950.0506615601</v>
      </c>
      <c r="BH51" s="22">
        <f>BH8*Constants!$H$30*Constants!$H$36</f>
        <v>-1241586.4215811978</v>
      </c>
      <c r="BI51" s="22">
        <f>BI8*Constants!$H$30*Constants!$H$36</f>
        <v>-1245056.6627497145</v>
      </c>
      <c r="BJ51" s="22">
        <f>BJ8*Constants!$H$30*Constants!$H$36</f>
        <v>-1248363.0719646676</v>
      </c>
      <c r="BK51" s="22">
        <f>BK8*Constants!$H$30*Constants!$H$36</f>
        <v>-1251489.8278270198</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679990.27654666023</v>
      </c>
      <c r="AH52" s="22">
        <f>AH18*Constants!$H$31*Constants!$H$37</f>
        <v>684832.77291208773</v>
      </c>
      <c r="AI52" s="22">
        <f>AI18*Constants!$H$31*Constants!$H$37</f>
        <v>698371.69661730621</v>
      </c>
      <c r="AJ52" s="22">
        <f>AJ18*Constants!$H$31*Constants!$H$37</f>
        <v>702781.53391864733</v>
      </c>
      <c r="AK52" s="22">
        <f>AK18*Constants!$H$31*Constants!$H$37</f>
        <v>707833.45331024216</v>
      </c>
      <c r="AL52" s="22">
        <f>AL18*Constants!$H$31*Constants!$H$37</f>
        <v>713230.59660695691</v>
      </c>
      <c r="AM52" s="22">
        <f>AM18*Constants!$H$31*Constants!$H$37</f>
        <v>718442.63357870129</v>
      </c>
      <c r="AN52" s="22">
        <f>AN18*Constants!$H$31*Constants!$H$37</f>
        <v>723489.93913246365</v>
      </c>
      <c r="AO52" s="22">
        <f>AO18*Constants!$H$31*Constants!$H$37</f>
        <v>728369.43422993575</v>
      </c>
      <c r="AP52" s="22">
        <f>AP18*Constants!$H$31*Constants!$H$37</f>
        <v>733094.82023039029</v>
      </c>
      <c r="AQ52" s="22">
        <f>AQ18*Constants!$H$31*Constants!$H$37</f>
        <v>737685.64923976862</v>
      </c>
      <c r="AR52" s="22">
        <f>AR18*Constants!$H$31*Constants!$H$37</f>
        <v>742143.84364939656</v>
      </c>
      <c r="AS52" s="22">
        <f>AS18*Constants!$H$31*Constants!$H$37</f>
        <v>746487.49353765522</v>
      </c>
      <c r="AT52" s="22">
        <f>AT18*Constants!$H$31*Constants!$H$37</f>
        <v>750721.39047524787</v>
      </c>
      <c r="AU52" s="22">
        <f>AU18*Constants!$H$31*Constants!$H$37</f>
        <v>754835.94696113886</v>
      </c>
      <c r="AV52" s="22">
        <f>AV18*Constants!$H$31*Constants!$H$37</f>
        <v>758840.617047515</v>
      </c>
      <c r="AW52" s="22">
        <f>AW18*Constants!$H$31*Constants!$H$37</f>
        <v>762749.46266587113</v>
      </c>
      <c r="AX52" s="22">
        <f>AX18*Constants!$H$31*Constants!$H$37</f>
        <v>748546.24382817303</v>
      </c>
      <c r="AY52" s="22">
        <f>AY18*Constants!$H$31*Constants!$H$37</f>
        <v>752278.1840233251</v>
      </c>
      <c r="AZ52" s="22">
        <f>AZ18*Constants!$H$31*Constants!$H$37</f>
        <v>755917.48798380222</v>
      </c>
      <c r="BA52" s="22">
        <f>BA18*Constants!$H$31*Constants!$H$37</f>
        <v>759469.64969651098</v>
      </c>
      <c r="BB52" s="22">
        <f>BB18*Constants!$H$31*Constants!$H$37</f>
        <v>762941.00239954086</v>
      </c>
      <c r="BC52" s="22">
        <f>BC18*Constants!$H$31*Constants!$H$37</f>
        <v>766317.2788227913</v>
      </c>
      <c r="BD52" s="22">
        <f>BD18*Constants!$H$31*Constants!$H$37</f>
        <v>769589.08401552693</v>
      </c>
      <c r="BE52" s="22">
        <f>BE18*Constants!$H$31*Constants!$H$37</f>
        <v>772755.72637260647</v>
      </c>
      <c r="BF52" s="22">
        <f>BF18*Constants!$H$31*Constants!$H$37</f>
        <v>775806.01587826503</v>
      </c>
      <c r="BG52" s="22">
        <f>BG18*Constants!$H$31*Constants!$H$37</f>
        <v>778727.49586912012</v>
      </c>
      <c r="BH52" s="22">
        <f>BH18*Constants!$H$31*Constants!$H$37</f>
        <v>781519.07842697238</v>
      </c>
      <c r="BI52" s="22">
        <f>BI18*Constants!$H$31*Constants!$H$37</f>
        <v>784183.12588848348</v>
      </c>
      <c r="BJ52" s="22">
        <f>BJ18*Constants!$H$31*Constants!$H$37</f>
        <v>786721.40223530494</v>
      </c>
      <c r="BK52" s="22">
        <f>BK18*Constants!$H$31*Constants!$H$37</f>
        <v>789121.76163782552</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105125.62512519838</v>
      </c>
      <c r="Z53" s="22">
        <f>Z32*Constants!$H$32*Constants!$H$38</f>
        <v>107578.64992070248</v>
      </c>
      <c r="AA53" s="22">
        <f>AA32*Constants!$H$32*Constants!$H$38</f>
        <v>110633.12591910691</v>
      </c>
      <c r="AB53" s="22">
        <f>AB32*Constants!$H$32*Constants!$H$38</f>
        <v>112582.26561288942</v>
      </c>
      <c r="AC53" s="22">
        <f>AC32*Constants!$H$32*Constants!$H$38</f>
        <v>113789.77241225369</v>
      </c>
      <c r="AD53" s="22">
        <f>AD32*Constants!$H$32*Constants!$H$38</f>
        <v>114236.87821044908</v>
      </c>
      <c r="AE53" s="22">
        <f>AE32*Constants!$H$32*Constants!$H$38</f>
        <v>115251.3290570954</v>
      </c>
      <c r="AF53" s="22">
        <f>AF32*Constants!$H$32*Constants!$H$38</f>
        <v>116345.45035452004</v>
      </c>
      <c r="AG53" s="22">
        <f>AG32*Constants!$H$32*Constants!$H$38</f>
        <v>107169.58989206764</v>
      </c>
      <c r="AH53" s="22">
        <f>AH32*Constants!$H$32*Constants!$H$38</f>
        <v>113584.03437243045</v>
      </c>
      <c r="AI53" s="22">
        <f>AI32*Constants!$H$32*Constants!$H$38</f>
        <v>371377.74256830272</v>
      </c>
      <c r="AJ53" s="22">
        <f>AJ32*Constants!$H$32*Constants!$H$38</f>
        <v>380763.05995951442</v>
      </c>
      <c r="AK53" s="22">
        <f>AK32*Constants!$H$32*Constants!$H$38</f>
        <v>389570.28029629216</v>
      </c>
      <c r="AL53" s="22">
        <f>AL32*Constants!$H$32*Constants!$H$38</f>
        <v>397780.59082350478</v>
      </c>
      <c r="AM53" s="22">
        <f>AM32*Constants!$H$32*Constants!$H$38</f>
        <v>405398.39046323596</v>
      </c>
      <c r="AN53" s="22">
        <f>AN32*Constants!$H$32*Constants!$H$38</f>
        <v>412380.26986377622</v>
      </c>
      <c r="AO53" s="22">
        <f>AO32*Constants!$H$32*Constants!$H$38</f>
        <v>418687.62755771901</v>
      </c>
      <c r="AP53" s="22">
        <f>AP32*Constants!$H$32*Constants!$H$38</f>
        <v>424283.34203892259</v>
      </c>
      <c r="AQ53" s="22">
        <f>AQ32*Constants!$H$32*Constants!$H$38</f>
        <v>429133.08097324171</v>
      </c>
      <c r="AR53" s="22">
        <f>AR32*Constants!$H$32*Constants!$H$38</f>
        <v>433207.7288037283</v>
      </c>
      <c r="AS53" s="22">
        <f>AS32*Constants!$H$32*Constants!$H$38</f>
        <v>436480.57271475979</v>
      </c>
      <c r="AT53" s="22">
        <f>AT32*Constants!$H$32*Constants!$H$38</f>
        <v>438930.21645263332</v>
      </c>
      <c r="AU53" s="22">
        <f>AU32*Constants!$H$32*Constants!$H$38</f>
        <v>440540.87627654965</v>
      </c>
      <c r="AV53" s="22">
        <f>AV32*Constants!$H$32*Constants!$H$38</f>
        <v>441299.49976347061</v>
      </c>
      <c r="AW53" s="22">
        <f>AW32*Constants!$H$32*Constants!$H$38</f>
        <v>441197.20207011059</v>
      </c>
      <c r="AX53" s="22">
        <f>AX32*Constants!$H$32*Constants!$H$38</f>
        <v>-41903.422787141775</v>
      </c>
      <c r="AY53" s="22">
        <f>AY32*Constants!$H$32*Constants!$H$38</f>
        <v>-42243.138504858129</v>
      </c>
      <c r="AZ53" s="22">
        <f>AZ32*Constants!$H$32*Constants!$H$38</f>
        <v>-42574.421615591651</v>
      </c>
      <c r="BA53" s="22">
        <f>BA32*Constants!$H$32*Constants!$H$38</f>
        <v>-42897.772232851014</v>
      </c>
      <c r="BB53" s="22">
        <f>BB32*Constants!$H$32*Constants!$H$38</f>
        <v>-43213.766866550737</v>
      </c>
      <c r="BC53" s="22">
        <f>BC32*Constants!$H$32*Constants!$H$38</f>
        <v>-43521.10677779137</v>
      </c>
      <c r="BD53" s="22">
        <f>BD32*Constants!$H$32*Constants!$H$38</f>
        <v>-43818.936751251851</v>
      </c>
      <c r="BE53" s="22">
        <f>BE32*Constants!$H$32*Constants!$H$38</f>
        <v>-44107.193830634758</v>
      </c>
      <c r="BF53" s="22">
        <f>BF32*Constants!$H$32*Constants!$H$38</f>
        <v>-44384.85939719544</v>
      </c>
      <c r="BG53" s="22">
        <f>BG32*Constants!$H$32*Constants!$H$38</f>
        <v>-44650.799530206299</v>
      </c>
      <c r="BH53" s="22">
        <f>BH32*Constants!$H$32*Constants!$H$38</f>
        <v>-44904.915197289389</v>
      </c>
      <c r="BI53" s="22">
        <f>BI32*Constants!$H$32*Constants!$H$38</f>
        <v>-45147.421440179693</v>
      </c>
      <c r="BJ53" s="22">
        <f>BJ32*Constants!$H$32*Constants!$H$38</f>
        <v>-45378.478832804329</v>
      </c>
      <c r="BK53" s="22">
        <f>BK32*Constants!$H$32*Constants!$H$38</f>
        <v>-45596.981749400831</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538778.4602361389</v>
      </c>
      <c r="Z54" s="22">
        <f>Z37*Constants!$H$33*Constants!$H$39</f>
        <v>549708.83784329332</v>
      </c>
      <c r="AA54" s="22">
        <f>AA37*Constants!$H$33*Constants!$H$39</f>
        <v>562489.85077835247</v>
      </c>
      <c r="AB54" s="22">
        <f>AB37*Constants!$H$33*Constants!$H$39</f>
        <v>572297.31689049094</v>
      </c>
      <c r="AC54" s="22">
        <f>AC37*Constants!$H$33*Constants!$H$39</f>
        <v>580166.48120341275</v>
      </c>
      <c r="AD54" s="22">
        <f>AD37*Constants!$H$33*Constants!$H$39</f>
        <v>586050.55870402534</v>
      </c>
      <c r="AE54" s="22">
        <f>AE37*Constants!$H$33*Constants!$H$39</f>
        <v>593601.80527957703</v>
      </c>
      <c r="AF54" s="22">
        <f>AF37*Constants!$H$33*Constants!$H$39</f>
        <v>601454.1975406796</v>
      </c>
      <c r="AG54" s="22">
        <f>AG37*Constants!$H$33*Constants!$H$39</f>
        <v>577726.23985149805</v>
      </c>
      <c r="AH54" s="22">
        <f>AH37*Constants!$H$33*Constants!$H$39</f>
        <v>598900.88826585514</v>
      </c>
      <c r="AI54" s="22">
        <f>AI37*Constants!$H$33*Constants!$H$39</f>
        <v>1330982.4073565768</v>
      </c>
      <c r="AJ54" s="22">
        <f>AJ37*Constants!$H$33*Constants!$H$39</f>
        <v>1360207.1269206817</v>
      </c>
      <c r="AK54" s="22">
        <f>AK37*Constants!$H$33*Constants!$H$39</f>
        <v>1388231.776183832</v>
      </c>
      <c r="AL54" s="22">
        <f>AL37*Constants!$H$33*Constants!$H$39</f>
        <v>1414808.6266020362</v>
      </c>
      <c r="AM54" s="22">
        <f>AM37*Constants!$H$33*Constants!$H$39</f>
        <v>1439601.7394880154</v>
      </c>
      <c r="AN54" s="22">
        <f>AN37*Constants!$H$33*Constants!$H$39</f>
        <v>1462502.7189588577</v>
      </c>
      <c r="AO54" s="22">
        <f>AO37*Constants!$H$33*Constants!$H$39</f>
        <v>1483401.2540192164</v>
      </c>
      <c r="AP54" s="22">
        <f>AP37*Constants!$H$33*Constants!$H$39</f>
        <v>1502202.2054576979</v>
      </c>
      <c r="AQ54" s="22">
        <f>AQ37*Constants!$H$33*Constants!$H$39</f>
        <v>1518822.1008520245</v>
      </c>
      <c r="AR54" s="22">
        <f>AR37*Constants!$H$33*Constants!$H$39</f>
        <v>1533180.5246318623</v>
      </c>
      <c r="AS54" s="22">
        <f>AS37*Constants!$H$33*Constants!$H$39</f>
        <v>1545214.4193113465</v>
      </c>
      <c r="AT54" s="22">
        <f>AT37*Constants!$H$33*Constants!$H$39</f>
        <v>1554866.9085778682</v>
      </c>
      <c r="AU54" s="22">
        <f>AU37*Constants!$H$33*Constants!$H$39</f>
        <v>1562087.4178960037</v>
      </c>
      <c r="AV54" s="22">
        <f>AV37*Constants!$H$33*Constants!$H$39</f>
        <v>1566845.5399005432</v>
      </c>
      <c r="AW54" s="22">
        <f>AW37*Constants!$H$33*Constants!$H$39</f>
        <v>1569125.5846537524</v>
      </c>
      <c r="AX54" s="22">
        <f>AX37*Constants!$H$33*Constants!$H$39</f>
        <v>204552.97524606326</v>
      </c>
      <c r="AY54" s="22">
        <f>AY37*Constants!$H$33*Constants!$H$39</f>
        <v>206050.81229311536</v>
      </c>
      <c r="AZ54" s="22">
        <f>AZ37*Constants!$H$33*Constants!$H$39</f>
        <v>207511.4692201924</v>
      </c>
      <c r="BA54" s="22">
        <f>BA37*Constants!$H$33*Constants!$H$39</f>
        <v>208937.15107257769</v>
      </c>
      <c r="BB54" s="22">
        <f>BB37*Constants!$H$33*Constants!$H$39</f>
        <v>210330.39973415507</v>
      </c>
      <c r="BC54" s="22">
        <f>BC37*Constants!$H$33*Constants!$H$39</f>
        <v>211685.48894871501</v>
      </c>
      <c r="BD54" s="22">
        <f>BD37*Constants!$H$33*Constants!$H$39</f>
        <v>212998.64799525676</v>
      </c>
      <c r="BE54" s="22">
        <f>BE37*Constants!$H$33*Constants!$H$39</f>
        <v>214269.59929382245</v>
      </c>
      <c r="BF54" s="22">
        <f>BF37*Constants!$H$33*Constants!$H$39</f>
        <v>215493.85166307123</v>
      </c>
      <c r="BG54" s="22">
        <f>BG37*Constants!$H$33*Constants!$H$39</f>
        <v>216666.40554488555</v>
      </c>
      <c r="BH54" s="22">
        <f>BH37*Constants!$H$33*Constants!$H$39</f>
        <v>217786.82429663494</v>
      </c>
      <c r="BI54" s="22">
        <f>BI37*Constants!$H$33*Constants!$H$39</f>
        <v>218856.05605660254</v>
      </c>
      <c r="BJ54" s="22">
        <f>BJ37*Constants!$H$33*Constants!$H$39</f>
        <v>219874.80880962472</v>
      </c>
      <c r="BK54" s="22">
        <f>BK37*Constants!$H$33*Constants!$H$39</f>
        <v>220838.20775262112</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1520406.8511706144</v>
      </c>
      <c r="Z55" s="22">
        <f>Z42*Constants!$H$34*Constants!$H$40</f>
        <v>1560966.2063054193</v>
      </c>
      <c r="AA55" s="22">
        <f>AA42*Constants!$H$34*Constants!$H$40</f>
        <v>1613765.8062503659</v>
      </c>
      <c r="AB55" s="22">
        <f>AB42*Constants!$H$34*Constants!$H$40</f>
        <v>1642887.1674004456</v>
      </c>
      <c r="AC55" s="22">
        <f>AC42*Constants!$H$34*Constants!$H$40</f>
        <v>1655964.1814042372</v>
      </c>
      <c r="AD55" s="22">
        <f>AD42*Constants!$H$34*Constants!$H$40</f>
        <v>1652584.5489179103</v>
      </c>
      <c r="AE55" s="22">
        <f>AE42*Constants!$H$34*Constants!$H$40</f>
        <v>1660968.4068159347</v>
      </c>
      <c r="AF55" s="22">
        <f>AF42*Constants!$H$34*Constants!$H$40</f>
        <v>1670818.6391072047</v>
      </c>
      <c r="AG55" s="22">
        <f>AG42*Constants!$H$34*Constants!$H$40</f>
        <v>1471607.5686881982</v>
      </c>
      <c r="AH55" s="22">
        <f>AH42*Constants!$H$34*Constants!$H$40</f>
        <v>1598169.6145044139</v>
      </c>
      <c r="AI55" s="22">
        <f>AI42*Constants!$H$34*Constants!$H$40</f>
        <v>7013799.0076798582</v>
      </c>
      <c r="AJ55" s="22">
        <f>AJ42*Constants!$H$34*Constants!$H$40</f>
        <v>7203842.0718262317</v>
      </c>
      <c r="AK55" s="22">
        <f>AK42*Constants!$H$34*Constants!$H$40</f>
        <v>7380518.3654707745</v>
      </c>
      <c r="AL55" s="22">
        <f>AL42*Constants!$H$34*Constants!$H$40</f>
        <v>7543970.4959205324</v>
      </c>
      <c r="AM55" s="22">
        <f>AM42*Constants!$H$34*Constants!$H$40</f>
        <v>7695255.3022863884</v>
      </c>
      <c r="AN55" s="22">
        <f>AN42*Constants!$H$34*Constants!$H$40</f>
        <v>7833419.6772840731</v>
      </c>
      <c r="AO55" s="22">
        <f>AO42*Constants!$H$34*Constants!$H$40</f>
        <v>7957654.6082027592</v>
      </c>
      <c r="AP55" s="22">
        <f>AP42*Constants!$H$34*Constants!$H$40</f>
        <v>8067151.8114789203</v>
      </c>
      <c r="AQ55" s="22">
        <f>AQ42*Constants!$H$34*Constants!$H$40</f>
        <v>8161151.2284521051</v>
      </c>
      <c r="AR55" s="22">
        <f>AR42*Constants!$H$34*Constants!$H$40</f>
        <v>8239034.9369310318</v>
      </c>
      <c r="AS55" s="22">
        <f>AS42*Constants!$H$34*Constants!$H$40</f>
        <v>8300206.3311231202</v>
      </c>
      <c r="AT55" s="22">
        <f>AT42*Constants!$H$34*Constants!$H$40</f>
        <v>8344205.1744134268</v>
      </c>
      <c r="AU55" s="22">
        <f>AU42*Constants!$H$34*Constants!$H$40</f>
        <v>8370715.8090367056</v>
      </c>
      <c r="AV55" s="22">
        <f>AV42*Constants!$H$34*Constants!$H$40</f>
        <v>8379445.6036261311</v>
      </c>
      <c r="AW55" s="22">
        <f>AW42*Constants!$H$34*Constants!$H$40</f>
        <v>8370181.4995827284</v>
      </c>
      <c r="AX55" s="22">
        <f>AX42*Constants!$H$34*Constants!$H$40</f>
        <v>-1798908.9798375117</v>
      </c>
      <c r="AY55" s="22">
        <f>AY42*Constants!$H$34*Constants!$H$40</f>
        <v>-1812861.7640779321</v>
      </c>
      <c r="AZ55" s="22">
        <f>AZ42*Constants!$H$34*Constants!$H$40</f>
        <v>-1826468.2047737951</v>
      </c>
      <c r="BA55" s="22">
        <f>BA42*Constants!$H$34*Constants!$H$40</f>
        <v>-1839748.8425581015</v>
      </c>
      <c r="BB55" s="22">
        <f>BB42*Constants!$H$34*Constants!$H$40</f>
        <v>-1852727.3558125996</v>
      </c>
      <c r="BC55" s="22">
        <f>BC42*Constants!$H$34*Constants!$H$40</f>
        <v>-1865350.4028085908</v>
      </c>
      <c r="BD55" s="22">
        <f>BD42*Constants!$H$34*Constants!$H$40</f>
        <v>-1877582.8581920473</v>
      </c>
      <c r="BE55" s="22">
        <f>BE42*Constants!$H$34*Constants!$H$40</f>
        <v>-1889422.1362255758</v>
      </c>
      <c r="BF55" s="22">
        <f>BF42*Constants!$H$34*Constants!$H$40</f>
        <v>-1900826.400259217</v>
      </c>
      <c r="BG55" s="22">
        <f>BG42*Constants!$H$34*Constants!$H$40</f>
        <v>-1911749.0779666626</v>
      </c>
      <c r="BH55" s="22">
        <f>BH42*Constants!$H$34*Constants!$H$40</f>
        <v>-1922186.1018958329</v>
      </c>
      <c r="BI55" s="22">
        <f>BI42*Constants!$H$34*Constants!$H$40</f>
        <v>-1932146.3042283861</v>
      </c>
      <c r="BJ55" s="22">
        <f>BJ42*Constants!$H$34*Constants!$H$40</f>
        <v>-1941636.2800473364</v>
      </c>
      <c r="BK55" s="22">
        <f>BK42*Constants!$H$34*Constants!$H$40</f>
        <v>-1950610.6191555411</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9095513.1405561939</v>
      </c>
      <c r="AA56" s="22">
        <f t="shared" si="8"/>
        <v>9326430.4780428484</v>
      </c>
      <c r="AB56" s="22">
        <f t="shared" si="8"/>
        <v>9484875.5644762423</v>
      </c>
      <c r="AC56" s="22">
        <f t="shared" si="8"/>
        <v>9595076.462577926</v>
      </c>
      <c r="AD56" s="22">
        <f t="shared" si="8"/>
        <v>9655827.5030585341</v>
      </c>
      <c r="AE56" s="22">
        <f t="shared" si="8"/>
        <v>9754723.2383019067</v>
      </c>
      <c r="AF56" s="22">
        <f t="shared" si="8"/>
        <v>9859425.640146507</v>
      </c>
      <c r="AG56" s="22">
        <f t="shared" si="8"/>
        <v>9264227.6089008264</v>
      </c>
      <c r="AH56" s="22">
        <f t="shared" si="8"/>
        <v>9711110.8085168749</v>
      </c>
      <c r="AI56" s="22">
        <f t="shared" si="8"/>
        <v>26872579.362767708</v>
      </c>
      <c r="AJ56" s="22">
        <f t="shared" si="8"/>
        <v>27514639.059138864</v>
      </c>
      <c r="AK56" s="22">
        <f t="shared" si="8"/>
        <v>28121180.039592762</v>
      </c>
      <c r="AL56" s="22">
        <f t="shared" si="8"/>
        <v>28689645.119641554</v>
      </c>
      <c r="AM56" s="22">
        <f t="shared" si="8"/>
        <v>29217987.324044801</v>
      </c>
      <c r="AN56" s="22">
        <f t="shared" si="8"/>
        <v>29703416.777324639</v>
      </c>
      <c r="AO56" s="22">
        <f t="shared" si="8"/>
        <v>30143359.120331209</v>
      </c>
      <c r="AP56" s="22">
        <f t="shared" si="8"/>
        <v>30535412.175753046</v>
      </c>
      <c r="AQ56" s="22">
        <f t="shared" si="8"/>
        <v>30877384.599208023</v>
      </c>
      <c r="AR56" s="22">
        <f t="shared" si="8"/>
        <v>31167353.373445358</v>
      </c>
      <c r="AS56" s="22">
        <f t="shared" si="8"/>
        <v>31403626.177204005</v>
      </c>
      <c r="AT56" s="22">
        <f t="shared" si="8"/>
        <v>31584804.736905802</v>
      </c>
      <c r="AU56" s="22">
        <f t="shared" si="8"/>
        <v>31709799.694363132</v>
      </c>
      <c r="AV56" s="22">
        <f t="shared" si="8"/>
        <v>31777786.858749777</v>
      </c>
      <c r="AW56" s="22">
        <f t="shared" si="8"/>
        <v>31788238.833140165</v>
      </c>
      <c r="AX56" s="22">
        <f t="shared" si="8"/>
        <v>-322780.96236214135</v>
      </c>
      <c r="AY56" s="22">
        <f t="shared" si="8"/>
        <v>-328859.21349076554</v>
      </c>
      <c r="AZ56" s="22">
        <f t="shared" si="8"/>
        <v>-334786.58698777668</v>
      </c>
      <c r="BA56" s="22">
        <f t="shared" si="8"/>
        <v>-340572.03096873197</v>
      </c>
      <c r="BB56" s="22">
        <f t="shared" si="8"/>
        <v>-346225.86044661375</v>
      </c>
      <c r="BC56" s="22">
        <f t="shared" si="8"/>
        <v>-351724.83816518169</v>
      </c>
      <c r="BD56" s="22">
        <f t="shared" si="8"/>
        <v>-357053.66246713977</v>
      </c>
      <c r="BE56" s="22">
        <f t="shared" si="8"/>
        <v>-362211.20692775864</v>
      </c>
      <c r="BF56" s="22">
        <f t="shared" si="8"/>
        <v>-367179.24624802521</v>
      </c>
      <c r="BG56" s="22">
        <f t="shared" si="8"/>
        <v>-371937.49212633166</v>
      </c>
      <c r="BH56" s="22">
        <f t="shared" si="8"/>
        <v>-376484.1726586069</v>
      </c>
      <c r="BI56" s="22">
        <f t="shared" si="8"/>
        <v>-380823.13540797518</v>
      </c>
      <c r="BJ56" s="22">
        <f t="shared" si="8"/>
        <v>-384957.2533903236</v>
      </c>
      <c r="BK56" s="22">
        <f t="shared" si="8"/>
        <v>-388866.74456234928</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7334924.1998130716</v>
      </c>
      <c r="AH58" s="22">
        <f>((Data!$AJ$37*'Net zero Intermediate calcs'!AH56)+Data!$AK$37)</f>
        <v>7609136.894113915</v>
      </c>
      <c r="AI58" s="22">
        <f>((Data!$AJ$37*'Net zero Intermediate calcs'!AI56)+Data!$AK$37)</f>
        <v>18139612.272162411</v>
      </c>
      <c r="AJ58" s="22">
        <f>((Data!$AJ$37*'Net zero Intermediate calcs'!AJ56)+Data!$AK$37)</f>
        <v>18533587.519822616</v>
      </c>
      <c r="AK58" s="22">
        <f>((Data!$AJ$37*'Net zero Intermediate calcs'!AK56)+Data!$AK$37)</f>
        <v>18905768.073034368</v>
      </c>
      <c r="AL58" s="22">
        <f>((Data!$AJ$37*'Net zero Intermediate calcs'!AL56)+Data!$AK$37)</f>
        <v>19254584.813851774</v>
      </c>
      <c r="AM58" s="22">
        <f>((Data!$AJ$37*'Net zero Intermediate calcs'!AM56)+Data!$AK$37)</f>
        <v>19578781.694617793</v>
      </c>
      <c r="AN58" s="22">
        <f>((Data!$AJ$37*'Net zero Intermediate calcs'!AN56)+Data!$AK$37)</f>
        <v>19876646.815506689</v>
      </c>
      <c r="AO58" s="22">
        <f>((Data!$AJ$37*'Net zero Intermediate calcs'!AO56)+Data!$AK$37)</f>
        <v>20146600.520001523</v>
      </c>
      <c r="AP58" s="22">
        <f>((Data!$AJ$37*'Net zero Intermediate calcs'!AP56)+Data!$AK$37)</f>
        <v>20387168.804350693</v>
      </c>
      <c r="AQ58" s="22">
        <f>((Data!$AJ$37*'Net zero Intermediate calcs'!AQ56)+Data!$AK$37)</f>
        <v>20597007.034323864</v>
      </c>
      <c r="AR58" s="22">
        <f>((Data!$AJ$37*'Net zero Intermediate calcs'!AR56)+Data!$AK$37)</f>
        <v>20774935.224318583</v>
      </c>
      <c r="AS58" s="22">
        <f>((Data!$AJ$37*'Net zero Intermediate calcs'!AS56)+Data!$AK$37)</f>
        <v>20919914.946457028</v>
      </c>
      <c r="AT58" s="22">
        <f>((Data!$AJ$37*'Net zero Intermediate calcs'!AT56)+Data!$AK$37)</f>
        <v>21031088.203916833</v>
      </c>
      <c r="AU58" s="22">
        <f>((Data!$AJ$37*'Net zero Intermediate calcs'!AU56)+Data!$AK$37)</f>
        <v>21107786.553928293</v>
      </c>
      <c r="AV58" s="22">
        <f>((Data!$AJ$37*'Net zero Intermediate calcs'!AV56)+Data!$AK$37)</f>
        <v>21149504.263478246</v>
      </c>
      <c r="AW58" s="22">
        <f>((Data!$AJ$37*'Net zero Intermediate calcs'!AW56)+Data!$AK$37)</f>
        <v>21155917.715719938</v>
      </c>
      <c r="AX58" s="22">
        <f>((Data!$AJ$37*'Net zero Intermediate calcs'!AX56)+Data!$AK$37)</f>
        <v>1452224.9780254234</v>
      </c>
      <c r="AY58" s="22">
        <f>((Data!$AJ$37*'Net zero Intermediate calcs'!AY56)+Data!$AK$37)</f>
        <v>1448495.2929084864</v>
      </c>
      <c r="AZ58" s="22">
        <f>((Data!$AJ$37*'Net zero Intermediate calcs'!AZ56)+Data!$AK$37)</f>
        <v>1444858.1880494554</v>
      </c>
      <c r="BA58" s="22">
        <f>((Data!$AJ$37*'Net zero Intermediate calcs'!BA56)+Data!$AK$37)</f>
        <v>1441308.1727812435</v>
      </c>
      <c r="BB58" s="22">
        <f>((Data!$AJ$37*'Net zero Intermediate calcs'!BB56)+Data!$AK$37)</f>
        <v>1437838.9176927113</v>
      </c>
      <c r="BC58" s="22">
        <f>((Data!$AJ$37*'Net zero Intermediate calcs'!BC56)+Data!$AK$37)</f>
        <v>1434464.6814327573</v>
      </c>
      <c r="BD58" s="22">
        <f>((Data!$AJ$37*'Net zero Intermediate calcs'!BD56)+Data!$AK$37)</f>
        <v>1431194.8532750837</v>
      </c>
      <c r="BE58" s="22">
        <f>((Data!$AJ$37*'Net zero Intermediate calcs'!BE56)+Data!$AK$37)</f>
        <v>1428030.1244069191</v>
      </c>
      <c r="BF58" s="22">
        <f>((Data!$AJ$37*'Net zero Intermediate calcs'!BF56)+Data!$AK$37)</f>
        <v>1424981.6780823017</v>
      </c>
      <c r="BG58" s="22">
        <f>((Data!$AJ$37*'Net zero Intermediate calcs'!BG56)+Data!$AK$37)</f>
        <v>1422061.9634374967</v>
      </c>
      <c r="BH58" s="22">
        <f>((Data!$AJ$37*'Net zero Intermediate calcs'!BH56)+Data!$AK$37)</f>
        <v>1419272.0677333137</v>
      </c>
      <c r="BI58" s="22">
        <f>((Data!$AJ$37*'Net zero Intermediate calcs'!BI56)+Data!$AK$37)</f>
        <v>1416609.6300605671</v>
      </c>
      <c r="BJ58" s="22">
        <f>((Data!$AJ$37*'Net zero Intermediate calcs'!BJ56)+Data!$AK$37)</f>
        <v>1414072.8875035157</v>
      </c>
      <c r="BK58" s="22">
        <f>((Data!$AJ$37*'Net zero Intermediate calcs'!BK56)+Data!$AK$37)</f>
        <v>1411673.9785524798</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16326912.19336874</v>
      </c>
      <c r="AA59" s="22">
        <f t="shared" si="9"/>
        <v>16699523.077015547</v>
      </c>
      <c r="AB59" s="22">
        <f t="shared" si="9"/>
        <v>16955191.899062544</v>
      </c>
      <c r="AC59" s="22">
        <f t="shared" si="9"/>
        <v>17133013.34143351</v>
      </c>
      <c r="AD59" s="22">
        <f t="shared" si="9"/>
        <v>17231041.922233555</v>
      </c>
      <c r="AE59" s="22">
        <f t="shared" si="9"/>
        <v>17390621.223203383</v>
      </c>
      <c r="AF59" s="22">
        <f t="shared" si="9"/>
        <v>17559570.228487641</v>
      </c>
      <c r="AG59" s="22">
        <f t="shared" si="9"/>
        <v>16599151.808713898</v>
      </c>
      <c r="AH59" s="22">
        <f t="shared" si="9"/>
        <v>17320247.702630788</v>
      </c>
      <c r="AI59" s="22">
        <f t="shared" si="9"/>
        <v>45012191.634930119</v>
      </c>
      <c r="AJ59" s="22">
        <f t="shared" si="9"/>
        <v>46048226.578961477</v>
      </c>
      <c r="AK59" s="22">
        <f t="shared" si="9"/>
        <v>47026948.112627134</v>
      </c>
      <c r="AL59" s="22">
        <f t="shared" si="9"/>
        <v>47944229.933493331</v>
      </c>
      <c r="AM59" s="22">
        <f t="shared" si="9"/>
        <v>48796769.018662594</v>
      </c>
      <c r="AN59" s="22">
        <f t="shared" si="9"/>
        <v>49580063.592831329</v>
      </c>
      <c r="AO59" s="22">
        <f t="shared" si="9"/>
        <v>50289959.640332729</v>
      </c>
      <c r="AP59" s="22">
        <f t="shared" si="9"/>
        <v>50922580.980103739</v>
      </c>
      <c r="AQ59" s="22">
        <f t="shared" si="9"/>
        <v>51474391.633531883</v>
      </c>
      <c r="AR59" s="22">
        <f t="shared" si="9"/>
        <v>51942288.597763941</v>
      </c>
      <c r="AS59" s="22">
        <f t="shared" si="9"/>
        <v>52323541.123661034</v>
      </c>
      <c r="AT59" s="22">
        <f t="shared" si="9"/>
        <v>52615892.940822631</v>
      </c>
      <c r="AU59" s="22">
        <f t="shared" si="9"/>
        <v>52817586.248291425</v>
      </c>
      <c r="AV59" s="22">
        <f t="shared" si="9"/>
        <v>52927291.122228026</v>
      </c>
      <c r="AW59" s="22">
        <f t="shared" si="9"/>
        <v>52944156.548860103</v>
      </c>
      <c r="AX59" s="22">
        <f t="shared" si="9"/>
        <v>1129444.015663282</v>
      </c>
      <c r="AY59" s="22">
        <f t="shared" si="9"/>
        <v>1119636.0794177209</v>
      </c>
      <c r="AZ59" s="22">
        <f t="shared" si="9"/>
        <v>1110071.6010616787</v>
      </c>
      <c r="BA59" s="22">
        <f t="shared" si="9"/>
        <v>1100736.1418125115</v>
      </c>
      <c r="BB59" s="22">
        <f t="shared" si="9"/>
        <v>1091613.0572460976</v>
      </c>
      <c r="BC59" s="22">
        <f t="shared" si="9"/>
        <v>1082739.8432675756</v>
      </c>
      <c r="BD59" s="22">
        <f t="shared" si="9"/>
        <v>1074141.1908079439</v>
      </c>
      <c r="BE59" s="22">
        <f t="shared" si="9"/>
        <v>1065818.9174791605</v>
      </c>
      <c r="BF59" s="22">
        <f t="shared" si="9"/>
        <v>1057802.4318342765</v>
      </c>
      <c r="BG59" s="22">
        <f t="shared" si="9"/>
        <v>1050124.471311165</v>
      </c>
      <c r="BH59" s="22">
        <f t="shared" si="9"/>
        <v>1042787.8950747068</v>
      </c>
      <c r="BI59" s="22">
        <f t="shared" si="9"/>
        <v>1035786.4946525919</v>
      </c>
      <c r="BJ59" s="22">
        <f t="shared" si="9"/>
        <v>1029115.6341131921</v>
      </c>
      <c r="BK59" s="22">
        <f t="shared" si="9"/>
        <v>1022807.2339901305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19917222.89800182</v>
      </c>
      <c r="AG60" s="22">
        <f>((Data!$AJ$41*'Net zero Intermediate calcs'!AG59)+Data!$AK$41)</f>
        <v>19009034.549901087</v>
      </c>
      <c r="AH60" s="22">
        <f>((Data!$AJ$41*'Net zero Intermediate calcs'!AH59)+Data!$AK$41)</f>
        <v>19690915.35855205</v>
      </c>
      <c r="AI60" s="22">
        <f>((Data!$AJ$41*'Net zero Intermediate calcs'!AI59)+Data!$AK$41)</f>
        <v>45876898.777630724</v>
      </c>
      <c r="AJ60" s="22">
        <f>((Data!$AJ$41*'Net zero Intermediate calcs'!AJ59)+Data!$AK$41)</f>
        <v>46856591.425150052</v>
      </c>
      <c r="AK60" s="22">
        <f>((Data!$AJ$41*'Net zero Intermediate calcs'!AK59)+Data!$AK$41)</f>
        <v>47782087.515822522</v>
      </c>
      <c r="AL60" s="22">
        <f>((Data!$AJ$41*'Net zero Intermediate calcs'!AL59)+Data!$AK$41)</f>
        <v>48649485.146358967</v>
      </c>
      <c r="AM60" s="22">
        <f>((Data!$AJ$41*'Net zero Intermediate calcs'!AM59)+Data!$AK$41)</f>
        <v>49455660.920906879</v>
      </c>
      <c r="AN60" s="22">
        <f>((Data!$AJ$41*'Net zero Intermediate calcs'!AN59)+Data!$AK$41)</f>
        <v>50196357.882506341</v>
      </c>
      <c r="AO60" s="22">
        <f>((Data!$AJ$41*'Net zero Intermediate calcs'!AO59)+Data!$AK$41)</f>
        <v>50867647.921753421</v>
      </c>
      <c r="AP60" s="22">
        <f>((Data!$AJ$41*'Net zero Intermediate calcs'!AP59)+Data!$AK$41)</f>
        <v>51465865.654473767</v>
      </c>
      <c r="AQ60" s="22">
        <f>((Data!$AJ$41*'Net zero Intermediate calcs'!AQ59)+Data!$AK$41)</f>
        <v>51987667.397842407</v>
      </c>
      <c r="AR60" s="22">
        <f>((Data!$AJ$41*'Net zero Intermediate calcs'!AR59)+Data!$AK$41)</f>
        <v>52430118.898436666</v>
      </c>
      <c r="AS60" s="22">
        <f>((Data!$AJ$41*'Net zero Intermediate calcs'!AS59)+Data!$AK$41)</f>
        <v>52790637.912415259</v>
      </c>
      <c r="AT60" s="22">
        <f>((Data!$AJ$41*'Net zero Intermediate calcs'!AT59)+Data!$AK$41)</f>
        <v>53067090.871277489</v>
      </c>
      <c r="AU60" s="22">
        <f>((Data!$AJ$41*'Net zero Intermediate calcs'!AU59)+Data!$AK$41)</f>
        <v>53257815.567890666</v>
      </c>
      <c r="AV60" s="22">
        <f>((Data!$AJ$41*'Net zero Intermediate calcs'!AV59)+Data!$AK$41)</f>
        <v>53361554.403160565</v>
      </c>
      <c r="AW60" s="22">
        <f>((Data!$AJ$41*'Net zero Intermediate calcs'!AW59)+Data!$AK$41)</f>
        <v>53377502.643674947</v>
      </c>
      <c r="AX60" s="22">
        <f>((Data!$AJ$41*'Net zero Intermediate calcs'!AX59)+Data!$AK$41)</f>
        <v>4380610.0248056427</v>
      </c>
      <c r="AY60" s="22">
        <f>((Data!$AJ$41*'Net zero Intermediate calcs'!AY59)+Data!$AK$41)</f>
        <v>4371335.4698473653</v>
      </c>
      <c r="AZ60" s="22">
        <f>((Data!$AJ$41*'Net zero Intermediate calcs'!AZ59)+Data!$AK$41)</f>
        <v>4362291.1329002818</v>
      </c>
      <c r="BA60" s="22">
        <f>((Data!$AJ$41*'Net zero Intermediate calcs'!BA59)+Data!$AK$41)</f>
        <v>4353463.3604006041</v>
      </c>
      <c r="BB60" s="22">
        <f>((Data!$AJ$41*'Net zero Intermediate calcs'!BB59)+Data!$AK$41)</f>
        <v>4344836.4130916316</v>
      </c>
      <c r="BC60" s="22">
        <f>((Data!$AJ$41*'Net zero Intermediate calcs'!BC59)+Data!$AK$41)</f>
        <v>4336445.7477528751</v>
      </c>
      <c r="BD60" s="22">
        <f>((Data!$AJ$41*'Net zero Intermediate calcs'!BD59)+Data!$AK$41)</f>
        <v>4328314.7125577731</v>
      </c>
      <c r="BE60" s="22">
        <f>((Data!$AJ$41*'Net zero Intermediate calcs'!BE59)+Data!$AK$41)</f>
        <v>4320445.0262717772</v>
      </c>
      <c r="BF60" s="22">
        <f>((Data!$AJ$41*'Net zero Intermediate calcs'!BF59)+Data!$AK$41)</f>
        <v>4312864.4981337236</v>
      </c>
      <c r="BG60" s="22">
        <f>((Data!$AJ$41*'Net zero Intermediate calcs'!BG59)+Data!$AK$41)</f>
        <v>4305604.0852337815</v>
      </c>
      <c r="BH60" s="22">
        <f>((Data!$AJ$41*'Net zero Intermediate calcs'!BH59)+Data!$AK$41)</f>
        <v>4298666.4912479501</v>
      </c>
      <c r="BI60" s="22">
        <f>((Data!$AJ$41*'Net zero Intermediate calcs'!BI59)+Data!$AK$41)</f>
        <v>4292045.8453369206</v>
      </c>
      <c r="BJ60" s="22">
        <f>((Data!$AJ$41*'Net zero Intermediate calcs'!BJ59)+Data!$AK$41)</f>
        <v>4285737.7636831813</v>
      </c>
      <c r="BK60" s="22">
        <f>((Data!$AJ$41*'Net zero Intermediate calcs'!BK59)+Data!$AK$41)</f>
        <v>4279772.4308980489</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3536340.4824694507</v>
      </c>
      <c r="AH61" s="22">
        <f>((Data!$AJ$42*LN('Net zero Intermediate calcs'!AH60))+Data!$AK$42)</f>
        <v>3563496.0859221276</v>
      </c>
      <c r="AI61" s="22">
        <f>((Data!$AJ$42*LN('Net zero Intermediate calcs'!AI60))+Data!$AK$42)</f>
        <v>4215209.0285238456</v>
      </c>
      <c r="AJ61" s="22">
        <f>((Data!$AJ$42*LN('Net zero Intermediate calcs'!AJ60))+Data!$AK$42)</f>
        <v>4231490.20733344</v>
      </c>
      <c r="AK61" s="22">
        <f>((Data!$AJ$42*LN('Net zero Intermediate calcs'!AK60))+Data!$AK$42)</f>
        <v>4246561.0039512403</v>
      </c>
      <c r="AL61" s="22">
        <f>((Data!$AJ$42*LN('Net zero Intermediate calcs'!AL60))+Data!$AK$42)</f>
        <v>4260423.0437018257</v>
      </c>
      <c r="AM61" s="22">
        <f>((Data!$AJ$42*LN('Net zero Intermediate calcs'!AM60))+Data!$AK$42)</f>
        <v>4273086.8475590721</v>
      </c>
      <c r="AN61" s="22">
        <f>((Data!$AJ$42*LN('Net zero Intermediate calcs'!AN60))+Data!$AK$42)</f>
        <v>4284541.4205668941</v>
      </c>
      <c r="AO61" s="22">
        <f>((Data!$AJ$42*LN('Net zero Intermediate calcs'!AO60))+Data!$AK$42)</f>
        <v>4294777.5678657647</v>
      </c>
      <c r="AP61" s="22">
        <f>((Data!$AJ$42*LN('Net zero Intermediate calcs'!AP60))+Data!$AK$42)</f>
        <v>4303786.2816398833</v>
      </c>
      <c r="AQ61" s="22">
        <f>((Data!$AJ$42*LN('Net zero Intermediate calcs'!AQ60))+Data!$AK$42)</f>
        <v>4311559.1323509235</v>
      </c>
      <c r="AR61" s="22">
        <f>((Data!$AJ$42*LN('Net zero Intermediate calcs'!AR60))+Data!$AK$42)</f>
        <v>4318089.0880459901</v>
      </c>
      <c r="AS61" s="22">
        <f>((Data!$AJ$42*LN('Net zero Intermediate calcs'!AS60))+Data!$AK$42)</f>
        <v>4323369.2214795537</v>
      </c>
      <c r="AT61" s="22">
        <f>((Data!$AJ$42*LN('Net zero Intermediate calcs'!AT60))+Data!$AK$42)</f>
        <v>4327393.7601321675</v>
      </c>
      <c r="AU61" s="22">
        <f>((Data!$AJ$42*LN('Net zero Intermediate calcs'!AU60))+Data!$AK$42)</f>
        <v>4330158.0834303666</v>
      </c>
      <c r="AV61" s="22">
        <f>((Data!$AJ$42*LN('Net zero Intermediate calcs'!AV60))+Data!$AK$42)</f>
        <v>4331657.4983833581</v>
      </c>
      <c r="AW61" s="22">
        <f>((Data!$AJ$42*LN('Net zero Intermediate calcs'!AW60))+Data!$AK$42)</f>
        <v>4331887.7516830992</v>
      </c>
      <c r="AX61" s="22">
        <f>((Data!$AJ$42*LN('Net zero Intermediate calcs'!AX60))+Data!$AK$42)</f>
        <v>2405421.3565535322</v>
      </c>
      <c r="AY61" s="22">
        <f>((Data!$AJ$42*LN('Net zero Intermediate calcs'!AY60))+Data!$AK$42)</f>
        <v>2403788.2854956239</v>
      </c>
      <c r="AZ61" s="22">
        <f>((Data!$AJ$42*LN('Net zero Intermediate calcs'!AZ60))+Data!$AK$42)</f>
        <v>2402192.4110759087</v>
      </c>
      <c r="BA61" s="22">
        <f>((Data!$AJ$42*LN('Net zero Intermediate calcs'!BA60))+Data!$AK$42)</f>
        <v>2400631.5554386713</v>
      </c>
      <c r="BB61" s="22">
        <f>((Data!$AJ$42*LN('Net zero Intermediate calcs'!BB60))+Data!$AK$42)</f>
        <v>2399103.147229027</v>
      </c>
      <c r="BC61" s="22">
        <f>((Data!$AJ$42*LN('Net zero Intermediate calcs'!BC60))+Data!$AK$42)</f>
        <v>2397613.6863267925</v>
      </c>
      <c r="BD61" s="22">
        <f>((Data!$AJ$42*LN('Net zero Intermediate calcs'!BD60))+Data!$AK$42)</f>
        <v>2396167.5612667147</v>
      </c>
      <c r="BE61" s="22">
        <f>((Data!$AJ$42*LN('Net zero Intermediate calcs'!BE60))+Data!$AK$42)</f>
        <v>2394765.3283680808</v>
      </c>
      <c r="BF61" s="22">
        <f>((Data!$AJ$42*LN('Net zero Intermediate calcs'!BF60))+Data!$AK$42)</f>
        <v>2393412.2009041701</v>
      </c>
      <c r="BG61" s="22">
        <f>((Data!$AJ$42*LN('Net zero Intermediate calcs'!BG60))+Data!$AK$42)</f>
        <v>2392113.9824916571</v>
      </c>
      <c r="BH61" s="22">
        <f>((Data!$AJ$42*LN('Net zero Intermediate calcs'!BH60))+Data!$AK$42)</f>
        <v>2390871.439684974</v>
      </c>
      <c r="BI61" s="22">
        <f>((Data!$AJ$42*LN('Net zero Intermediate calcs'!BI60))+Data!$AK$42)</f>
        <v>2389683.7917572055</v>
      </c>
      <c r="BJ61" s="22">
        <f>((Data!$AJ$42*LN('Net zero Intermediate calcs'!BJ60))+Data!$AK$42)</f>
        <v>2388550.507793935</v>
      </c>
      <c r="BK61" s="22">
        <f>((Data!$AJ$42*LN('Net zero Intermediate calcs'!BK60))+Data!$AK$42)</f>
        <v>2387477.2650644034</v>
      </c>
    </row>
    <row r="62" spans="1:63" s="44" customFormat="1" x14ac:dyDescent="0.25">
      <c r="A62" s="36"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5546875"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941</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75" x14ac:dyDescent="0.3">
      <c r="A4" s="88" t="s">
        <v>942</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75" x14ac:dyDescent="0.25">
      <c r="A5" s="107" t="s">
        <v>1003</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25">
      <c r="A6" t="s">
        <v>948</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950</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949</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955</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953</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954</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1010</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1009</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1011</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1005</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48119.756093590011</v>
      </c>
      <c r="L15">
        <f>'Net zero Activity data'!AN5*'Net zero supporting data'!L12</f>
        <v>165587.77720361223</v>
      </c>
      <c r="M15">
        <f>'Net zero Activity data'!AO5*'Net zero supporting data'!M12</f>
        <v>251375.7908539479</v>
      </c>
      <c r="N15">
        <f>'Net zero Activity data'!AP5*'Net zero supporting data'!N12</f>
        <v>338984.78166952566</v>
      </c>
      <c r="O15">
        <f>'Net zero Activity data'!AQ5*'Net zero supporting data'!O12</f>
        <v>428202.26080359623</v>
      </c>
      <c r="P15">
        <f>'Net zero Activity data'!AR5*'Net zero supporting data'!P12</f>
        <v>518704.91507320676</v>
      </c>
      <c r="Q15">
        <f>'Net zero Activity data'!AS5*'Net zero supporting data'!Q12</f>
        <v>610214.58427729609</v>
      </c>
      <c r="R15">
        <f>'Net zero Activity data'!AT5*'Net zero supporting data'!R12</f>
        <v>702434.56540462968</v>
      </c>
      <c r="S15">
        <f>'Net zero Activity data'!AU5*'Net zero supporting data'!S12</f>
        <v>795060.52818305639</v>
      </c>
      <c r="T15">
        <f>'Net zero Activity data'!AV5*'Net zero supporting data'!T12</f>
        <v>887781.9903278118</v>
      </c>
      <c r="U15">
        <f>'Net zero Activity data'!AW5*'Net zero supporting data'!U12</f>
        <v>913439.87355407001</v>
      </c>
      <c r="V15">
        <f>'Net zero Activity data'!AX5*'Net zero supporting data'!V12</f>
        <v>938197.33273717563</v>
      </c>
      <c r="W15">
        <f>'Net zero Activity data'!AY5*'Net zero supporting data'!W12</f>
        <v>961961.5855509676</v>
      </c>
      <c r="X15">
        <f>'Net zero Activity data'!AZ5*'Net zero supporting data'!X12</f>
        <v>984638.89263642218</v>
      </c>
      <c r="Y15">
        <f>'Net zero Activity data'!BA5*'Net zero supporting data'!Y12</f>
        <v>1006147.5932708484</v>
      </c>
      <c r="Z15">
        <f>'Net zero Activity data'!BB5*'Net zero supporting data'!Z12</f>
        <v>1026413.9126471541</v>
      </c>
      <c r="AA15">
        <f>'Net zero Activity data'!BC5*'Net zero supporting data'!AA12</f>
        <v>331799.16959717486</v>
      </c>
      <c r="AB15">
        <f>'Net zero Activity data'!BD5*'Net zero supporting data'!AB12</f>
        <v>339106.08758071205</v>
      </c>
      <c r="AC15">
        <f>'Net zero Activity data'!BE5*'Net zero supporting data'!AC12</f>
        <v>346405.13461646979</v>
      </c>
      <c r="AD15">
        <f>'Net zero Activity data'!BF5*'Net zero supporting data'!AD12</f>
        <v>353696.81534571305</v>
      </c>
      <c r="AE15">
        <f>'Net zero Activity data'!BG5*'Net zero supporting data'!AE12</f>
        <v>353904.06494897016</v>
      </c>
      <c r="AF15">
        <f>'Net zero Activity data'!BH5*'Net zero supporting data'!AF12</f>
        <v>354089.87141117838</v>
      </c>
      <c r="AG15">
        <f>'Net zero Activity data'!BI5*'Net zero supporting data'!AG12</f>
        <v>354249.86667107692</v>
      </c>
      <c r="AH15">
        <f>'Net zero Activity data'!BJ5*'Net zero supporting data'!AH12</f>
        <v>354383.35025856091</v>
      </c>
      <c r="AI15">
        <f>'Net zero Activity data'!BK5*'Net zero supporting data'!AI12</f>
        <v>354485.36599126982</v>
      </c>
      <c r="AJ15">
        <f>'Net zero Activity data'!BL5*'Net zero supporting data'!AJ12</f>
        <v>354550.53300491563</v>
      </c>
      <c r="AK15">
        <f>'Net zero Activity data'!BM5*'Net zero supporting data'!AK12</f>
        <v>354578.18668771023</v>
      </c>
      <c r="AL15">
        <f>'Net zero Activity data'!BN5*'Net zero supporting data'!AL12</f>
        <v>354569.09132560756</v>
      </c>
      <c r="AM15">
        <f>'Net zero Activity data'!BO5*'Net zero supporting data'!AM12</f>
        <v>354523.779919889</v>
      </c>
      <c r="AN15">
        <f>'Net zero Activity data'!BP5*'Net zero supporting data'!AN12</f>
        <v>354437.19147932017</v>
      </c>
    </row>
    <row r="16" spans="1:48" x14ac:dyDescent="0.25">
      <c r="A16" t="s">
        <v>1006</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39870.655048974579</v>
      </c>
      <c r="L16">
        <f>'Net zero Activity data'!AN6*'Net zero supporting data'!L12</f>
        <v>137201.30111156439</v>
      </c>
      <c r="M16">
        <f>'Net zero Activity data'!AO6*'Net zero supporting data'!M12</f>
        <v>208282.79813612826</v>
      </c>
      <c r="N16">
        <f>'Net zero Activity data'!AP6*'Net zero supporting data'!N12</f>
        <v>280873.10481189273</v>
      </c>
      <c r="O16">
        <f>'Net zero Activity data'!AQ6*'Net zero supporting data'!O12</f>
        <v>354796.15895155113</v>
      </c>
      <c r="P16">
        <f>'Net zero Activity data'!AR6*'Net zero supporting data'!P12</f>
        <v>429784.07248922845</v>
      </c>
      <c r="Q16">
        <f>'Net zero Activity data'!AS6*'Net zero supporting data'!Q12</f>
        <v>505606.36982975964</v>
      </c>
      <c r="R16">
        <f>'Net zero Activity data'!AT6*'Net zero supporting data'!R12</f>
        <v>582017.21133526461</v>
      </c>
      <c r="S16">
        <f>'Net zero Activity data'!AU6*'Net zero supporting data'!S12</f>
        <v>658764.43763738964</v>
      </c>
      <c r="T16">
        <f>'Net zero Activity data'!AV6*'Net zero supporting data'!T12</f>
        <v>735590.79198590119</v>
      </c>
      <c r="U16">
        <f>'Net zero Activity data'!AW6*'Net zero supporting data'!U12</f>
        <v>756850.18094480096</v>
      </c>
      <c r="V16">
        <f>'Net zero Activity data'!AX6*'Net zero supporting data'!V12</f>
        <v>777363.50426794542</v>
      </c>
      <c r="W16">
        <f>'Net zero Activity data'!AY6*'Net zero supporting data'!W12</f>
        <v>797053.88517080166</v>
      </c>
      <c r="X16">
        <f>'Net zero Activity data'!AZ6*'Net zero supporting data'!X12</f>
        <v>815843.65389874985</v>
      </c>
      <c r="Y16">
        <f>'Net zero Activity data'!BA6*'Net zero supporting data'!Y12</f>
        <v>833665.14871013153</v>
      </c>
      <c r="Z16">
        <f>'Net zero Activity data'!BB6*'Net zero supporting data'!Z12</f>
        <v>850457.24190764199</v>
      </c>
      <c r="AA16">
        <f>'Net zero Activity data'!BC6*'Net zero supporting data'!AA12</f>
        <v>274919.3119519449</v>
      </c>
      <c r="AB16">
        <f>'Net zero Activity data'!BD6*'Net zero supporting data'!AB12</f>
        <v>280973.61542401853</v>
      </c>
      <c r="AC16">
        <f>'Net zero Activity data'!BE6*'Net zero supporting data'!AC12</f>
        <v>287021.3972536464</v>
      </c>
      <c r="AD16">
        <f>'Net zero Activity data'!BF6*'Net zero supporting data'!AD12</f>
        <v>293063.07557216223</v>
      </c>
      <c r="AE16">
        <f>'Net zero Activity data'!BG6*'Net zero supporting data'!AE12</f>
        <v>293234.79667200387</v>
      </c>
      <c r="AF16">
        <f>'Net zero Activity data'!BH6*'Net zero supporting data'!AF12</f>
        <v>293388.75059783354</v>
      </c>
      <c r="AG16">
        <f>'Net zero Activity data'!BI6*'Net zero supporting data'!AG12</f>
        <v>293521.31809889228</v>
      </c>
      <c r="AH16">
        <f>'Net zero Activity data'!BJ6*'Net zero supporting data'!AH12</f>
        <v>293631.91878566478</v>
      </c>
      <c r="AI16">
        <f>'Net zero Activity data'!BK6*'Net zero supporting data'!AI12</f>
        <v>293716.44610705215</v>
      </c>
      <c r="AJ16">
        <f>'Net zero Activity data'!BL6*'Net zero supporting data'!AJ12</f>
        <v>293770.44163264439</v>
      </c>
      <c r="AK16">
        <f>'Net zero Activity data'!BM6*'Net zero supporting data'!AK12</f>
        <v>293793.35468410276</v>
      </c>
      <c r="AL16">
        <f>'Net zero Activity data'!BN6*'Net zero supporting data'!AL12</f>
        <v>293785.81852693198</v>
      </c>
      <c r="AM16">
        <f>'Net zero Activity data'!BO6*'Net zero supporting data'!AM12</f>
        <v>293748.27479076519</v>
      </c>
      <c r="AN16">
        <f>'Net zero Activity data'!BP6*'Net zero supporting data'!AN12</f>
        <v>293676.53008286527</v>
      </c>
    </row>
    <row r="17" spans="1:48" x14ac:dyDescent="0.25">
      <c r="A17" t="s">
        <v>1007</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49494.606267692587</v>
      </c>
      <c r="L17">
        <f>'Net zero Activity data'!AN7*'Net zero supporting data'!L12</f>
        <v>170318.85655228686</v>
      </c>
      <c r="M17">
        <f>'Net zero Activity data'!AO7*'Net zero supporting data'!M12</f>
        <v>258557.95630691791</v>
      </c>
      <c r="N17">
        <f>'Net zero Activity data'!AP7*'Net zero supporting data'!N12</f>
        <v>348670.0611457979</v>
      </c>
      <c r="O17">
        <f>'Net zero Activity data'!AQ7*'Net zero supporting data'!O12</f>
        <v>440436.61111227045</v>
      </c>
      <c r="P17">
        <f>'Net zero Activity data'!AR7*'Net zero supporting data'!P12</f>
        <v>533525.05550386989</v>
      </c>
      <c r="Q17">
        <f>'Net zero Activity data'!AS7*'Net zero supporting data'!Q12</f>
        <v>627649.28668521892</v>
      </c>
      <c r="R17">
        <f>'Net zero Activity data'!AT7*'Net zero supporting data'!R12</f>
        <v>722504.12441619067</v>
      </c>
      <c r="S17">
        <f>'Net zero Activity data'!AU7*'Net zero supporting data'!S12</f>
        <v>817776.54327400099</v>
      </c>
      <c r="T17">
        <f>'Net zero Activity data'!AV7*'Net zero supporting data'!T12</f>
        <v>913147.19005146367</v>
      </c>
      <c r="U17">
        <f>'Net zero Activity data'!AW7*'Net zero supporting data'!U12</f>
        <v>939538.15565561515</v>
      </c>
      <c r="V17">
        <f>'Net zero Activity data'!AX7*'Net zero supporting data'!V12</f>
        <v>965002.97081538069</v>
      </c>
      <c r="W17">
        <f>'Net zero Activity data'!AY7*'Net zero supporting data'!W12</f>
        <v>989446.20228099532</v>
      </c>
      <c r="X17">
        <f>'Net zero Activity data'!AZ7*'Net zero supporting data'!X12</f>
        <v>1012771.4324260346</v>
      </c>
      <c r="Y17">
        <f>'Net zero Activity data'!BA7*'Net zero supporting data'!Y12</f>
        <v>1034894.6673643014</v>
      </c>
      <c r="Z17">
        <f>'Net zero Activity data'!BB7*'Net zero supporting data'!Z12</f>
        <v>1055740.0244370729</v>
      </c>
      <c r="AA17">
        <f>'Net zero Activity data'!BC7*'Net zero supporting data'!AA12</f>
        <v>341279.14587137988</v>
      </c>
      <c r="AB17">
        <f>'Net zero Activity data'!BD7*'Net zero supporting data'!AB12</f>
        <v>348794.832940161</v>
      </c>
      <c r="AC17">
        <f>'Net zero Activity data'!BE7*'Net zero supporting data'!AC12</f>
        <v>356302.42417694035</v>
      </c>
      <c r="AD17">
        <f>'Net zero Activity data'!BF7*'Net zero supporting data'!AD12</f>
        <v>363802.43864130491</v>
      </c>
      <c r="AE17">
        <f>'Net zero Activity data'!BG7*'Net zero supporting data'!AE12</f>
        <v>364015.60966179799</v>
      </c>
      <c r="AF17">
        <f>'Net zero Activity data'!BH7*'Net zero supporting data'!AF12</f>
        <v>364206.72488006926</v>
      </c>
      <c r="AG17">
        <f>'Net zero Activity data'!BI7*'Net zero supporting data'!AG12</f>
        <v>364371.29143310775</v>
      </c>
      <c r="AH17">
        <f>'Net zero Activity data'!BJ7*'Net zero supporting data'!AH12</f>
        <v>364508.58883737703</v>
      </c>
      <c r="AI17">
        <f>'Net zero Activity data'!BK7*'Net zero supporting data'!AI12</f>
        <v>364613.51930530614</v>
      </c>
      <c r="AJ17">
        <f>'Net zero Activity data'!BL7*'Net zero supporting data'!AJ12</f>
        <v>364680.54823362757</v>
      </c>
      <c r="AK17">
        <f>'Net zero Activity data'!BM7*'Net zero supporting data'!AK12</f>
        <v>364708.9920216449</v>
      </c>
      <c r="AL17">
        <f>'Net zero Activity data'!BN7*'Net zero supporting data'!AL12</f>
        <v>364699.63679205358</v>
      </c>
      <c r="AM17">
        <f>'Net zero Activity data'!BO7*'Net zero supporting data'!AM12</f>
        <v>364653.03077474306</v>
      </c>
      <c r="AN17">
        <f>'Net zero Activity data'!BP7*'Net zero supporting data'!AN12</f>
        <v>364563.96837872942</v>
      </c>
    </row>
    <row r="18" spans="1:48" x14ac:dyDescent="0.25">
      <c r="A18" t="s">
        <v>1012</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246957.45972389469</v>
      </c>
      <c r="L18">
        <f>'Net zero Activity data'!AN8*'Net zero supporting data'!L13</f>
        <v>1556669.4993877111</v>
      </c>
      <c r="M18">
        <f>'Net zero Activity data'!AO8*'Net zero supporting data'!M13</f>
        <v>2346266.8600507062</v>
      </c>
      <c r="N18">
        <f>'Net zero Activity data'!AP8*'Net zero supporting data'!N13</f>
        <v>3137966.5376361669</v>
      </c>
      <c r="O18">
        <f>'Net zero Activity data'!AQ8*'Net zero supporting data'!O13</f>
        <v>3927711.5174513403</v>
      </c>
      <c r="P18">
        <f>'Net zero Activity data'!AR8*'Net zero supporting data'!P13</f>
        <v>4711579.306428113</v>
      </c>
      <c r="Q18">
        <f>'Net zero Activity data'!AS8*'Net zero supporting data'!Q13</f>
        <v>5485486.9992480399</v>
      </c>
      <c r="R18">
        <f>'Net zero Activity data'!AT8*'Net zero supporting data'!R13</f>
        <v>6245373.4095730549</v>
      </c>
      <c r="S18">
        <f>'Net zero Activity data'!AU8*'Net zero supporting data'!S13</f>
        <v>6987219.3314086134</v>
      </c>
      <c r="T18">
        <f>'Net zero Activity data'!AV8*'Net zero supporting data'!T13</f>
        <v>7707087.8218065239</v>
      </c>
      <c r="U18">
        <f>'Net zero Activity data'!AW8*'Net zero supporting data'!U13</f>
        <v>8027648.7305736905</v>
      </c>
      <c r="V18">
        <f>'Net zero Activity data'!AX8*'Net zero supporting data'!V13</f>
        <v>8318030.4169146987</v>
      </c>
      <c r="W18">
        <f>'Net zero Activity data'!AY8*'Net zero supporting data'!W13</f>
        <v>8576740.1633104961</v>
      </c>
      <c r="X18">
        <f>'Net zero Activity data'!AZ8*'Net zero supporting data'!X13</f>
        <v>8802535.8789701648</v>
      </c>
      <c r="Y18">
        <f>'Net zero Activity data'!BA8*'Net zero supporting data'!Y13</f>
        <v>8994412.8564205468</v>
      </c>
      <c r="Z18">
        <f>'Net zero Activity data'!BB8*'Net zero supporting data'!Z13</f>
        <v>9151622.4138930961</v>
      </c>
      <c r="AA18">
        <f>'Net zero Activity data'!BC8*'Net zero supporting data'!AA13</f>
        <v>-737800.66252324427</v>
      </c>
      <c r="AB18">
        <f>'Net zero Activity data'!BD8*'Net zero supporting data'!AB13</f>
        <v>-750460.63442912884</v>
      </c>
      <c r="AC18">
        <f>'Net zero Activity data'!BE8*'Net zero supporting data'!AC13</f>
        <v>-761819.85973672627</v>
      </c>
      <c r="AD18">
        <f>'Net zero Activity data'!BF8*'Net zero supporting data'!AD13</f>
        <v>-771899.72139043594</v>
      </c>
      <c r="AE18">
        <f>'Net zero Activity data'!BG8*'Net zero supporting data'!AE13</f>
        <v>-775251.14746880706</v>
      </c>
      <c r="AF18">
        <f>'Net zero Activity data'!BH8*'Net zero supporting data'!AF13</f>
        <v>-777979.67191964143</v>
      </c>
      <c r="AG18">
        <f>'Net zero Activity data'!BI8*'Net zero supporting data'!AG13</f>
        <v>-780084.04218833172</v>
      </c>
      <c r="AH18">
        <f>'Net zero Activity data'!BJ8*'Net zero supporting data'!AH13</f>
        <v>-781570.30525841657</v>
      </c>
      <c r="AI18">
        <f>'Net zero Activity data'!BK8*'Net zero supporting data'!AI13</f>
        <v>-782435.93264343089</v>
      </c>
      <c r="AJ18">
        <f>'Net zero Activity data'!BL8*'Net zero supporting data'!AJ13</f>
        <v>-782677.55240873073</v>
      </c>
      <c r="AK18">
        <f>'Net zero Activity data'!BM8*'Net zero supporting data'!AK13</f>
        <v>-782301.40044914884</v>
      </c>
      <c r="AL18">
        <f>'Net zero Activity data'!BN8*'Net zero supporting data'!AL13</f>
        <v>-781316.72510790708</v>
      </c>
      <c r="AM18">
        <f>'Net zero Activity data'!BO8*'Net zero supporting data'!AM13</f>
        <v>-779732.43317150243</v>
      </c>
      <c r="AN18">
        <f>'Net zero Activity data'!BP8*'Net zero supporting data'!AN13</f>
        <v>-777546.31788674416</v>
      </c>
    </row>
    <row r="19" spans="1:48" x14ac:dyDescent="0.25">
      <c r="A19" t="s">
        <v>1008</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50873.902581468486</v>
      </c>
      <c r="L19">
        <f>'Net zero Activity data'!AN10*'Net zero supporting data'!L14</f>
        <v>328298.02089231642</v>
      </c>
      <c r="M19">
        <f>'Net zero Activity data'!AO10*'Net zero supporting data'!M14</f>
        <v>506430.74625526764</v>
      </c>
      <c r="N19">
        <f>'Net zero Activity data'!AP10*'Net zero supporting data'!N14</f>
        <v>693018.11017677502</v>
      </c>
      <c r="O19">
        <f>'Net zero Activity data'!AQ10*'Net zero supporting data'!O14</f>
        <v>887323.84863693826</v>
      </c>
      <c r="P19">
        <f>'Net zero Activity data'!AR10*'Net zero supporting data'!P14</f>
        <v>1088571.593880038</v>
      </c>
      <c r="Q19">
        <f>'Net zero Activity data'!AS10*'Net zero supporting data'!Q14</f>
        <v>1295875.7602038486</v>
      </c>
      <c r="R19">
        <f>'Net zero Activity data'!AT10*'Net zero supporting data'!R14</f>
        <v>1508278.2789655644</v>
      </c>
      <c r="S19">
        <f>'Net zero Activity data'!AU10*'Net zero supporting data'!S14</f>
        <v>1724750.8488210198</v>
      </c>
      <c r="T19">
        <f>'Net zero Activity data'!AV10*'Net zero supporting data'!T14</f>
        <v>1944202.7157487692</v>
      </c>
      <c r="U19">
        <f>'Net zero Activity data'!AW10*'Net zero supporting data'!U14</f>
        <v>2023141.7895868393</v>
      </c>
      <c r="V19">
        <f>'Net zero Activity data'!AX10*'Net zero supporting data'!V14</f>
        <v>2099941.4510376346</v>
      </c>
      <c r="W19">
        <f>'Net zero Activity data'!AY10*'Net zero supporting data'!W14</f>
        <v>2174178.6591045796</v>
      </c>
      <c r="X19">
        <f>'Net zero Activity data'!AZ10*'Net zero supporting data'!X14</f>
        <v>2245437.2817512145</v>
      </c>
      <c r="Y19">
        <f>'Net zero Activity data'!BA10*'Net zero supporting data'!Y14</f>
        <v>2313305.4203711511</v>
      </c>
      <c r="Z19">
        <f>'Net zero Activity data'!BB10*'Net zero supporting data'!Z14</f>
        <v>2377381.4715780932</v>
      </c>
      <c r="AA19">
        <f>'Net zero Activity data'!BC10*'Net zero supporting data'!AA14</f>
        <v>-193906.35745474213</v>
      </c>
      <c r="AB19">
        <f>'Net zero Activity data'!BD10*'Net zero supporting data'!AB14</f>
        <v>-199844.49778254781</v>
      </c>
      <c r="AC19">
        <f>'Net zero Activity data'!BE10*'Net zero supporting data'!AC14</f>
        <v>-205845.92321285966</v>
      </c>
      <c r="AD19">
        <f>'Net zero Activity data'!BF10*'Net zero supporting data'!AD14</f>
        <v>-211910.8188296984</v>
      </c>
      <c r="AE19">
        <f>'Net zero Activity data'!BG10*'Net zero supporting data'!AE14</f>
        <v>-213498.50210210861</v>
      </c>
      <c r="AF19">
        <f>'Net zero Activity data'!BH10*'Net zero supporting data'!AF14</f>
        <v>-215070.30981703315</v>
      </c>
      <c r="AG19">
        <f>'Net zero Activity data'!BI10*'Net zero supporting data'!AG14</f>
        <v>-216623.83626085726</v>
      </c>
      <c r="AH19">
        <f>'Net zero Activity data'!BJ10*'Net zero supporting data'!AH14</f>
        <v>-218158.6541779798</v>
      </c>
      <c r="AI19">
        <f>'Net zero Activity data'!BK10*'Net zero supporting data'!AI14</f>
        <v>-219671.89978816328</v>
      </c>
      <c r="AJ19">
        <f>'Net zero Activity data'!BL10*'Net zero supporting data'!AJ14</f>
        <v>-221160.37634344128</v>
      </c>
      <c r="AK19">
        <f>'Net zero Activity data'!BM10*'Net zero supporting data'!AK14</f>
        <v>-222623.4999354897</v>
      </c>
      <c r="AL19">
        <f>'Net zero Activity data'!BN10*'Net zero supporting data'!AL14</f>
        <v>-224061.49175282463</v>
      </c>
      <c r="AM19">
        <f>'Net zero Activity data'!BO10*'Net zero supporting data'!AM14</f>
        <v>-225474.44027129476</v>
      </c>
      <c r="AN19">
        <f>'Net zero Activity data'!BP10*'Net zero supporting data'!AN14</f>
        <v>-226859.15549894181</v>
      </c>
    </row>
    <row r="20" spans="1:48" x14ac:dyDescent="0.25">
      <c r="A20" t="s">
        <v>1030</v>
      </c>
      <c r="B20" s="11">
        <f>'Net zero Activity data'!AD5-'Net zero supporting data'!B15</f>
        <v>590059.9281599375</v>
      </c>
      <c r="C20" s="11">
        <f>'Net zero Activity data'!AE5-'Net zero supporting data'!C15</f>
        <v>593358.66490468499</v>
      </c>
      <c r="D20" s="11">
        <f>'Net zero Activity data'!AF5-'Net zero supporting data'!D15</f>
        <v>598039.0074127327</v>
      </c>
      <c r="E20" s="11">
        <f>'Net zero Activity data'!AG5-'Net zero supporting data'!E15</f>
        <v>601046.62603335571</v>
      </c>
      <c r="F20" s="11">
        <f>'Net zero Activity data'!AH5-'Net zero supporting data'!F15</f>
        <v>603045.20236245112</v>
      </c>
      <c r="G20" s="11">
        <f>'Net zero Activity data'!AI5-'Net zero supporting data'!G15</f>
        <v>604015.06594627828</v>
      </c>
      <c r="H20" s="11">
        <f>'Net zero Activity data'!AJ5-'Net zero supporting data'!H15</f>
        <v>606157.85554919671</v>
      </c>
      <c r="I20" s="11">
        <f>'Net zero Activity data'!AK5-'Net zero supporting data'!I15</f>
        <v>608615.99513645715</v>
      </c>
      <c r="J20" s="11">
        <f>'Net zero Activity data'!AL5-'Net zero supporting data'!J15</f>
        <v>591322.41163745022</v>
      </c>
      <c r="K20" s="11">
        <f>'Net zero Activity data'!AM5-'Net zero supporting data'!K15</f>
        <v>553377.19507628505</v>
      </c>
      <c r="L20" s="11">
        <f>'Net zero Activity data'!AN5-'Net zero supporting data'!L15</f>
        <v>869335.83031896409</v>
      </c>
      <c r="M20" s="11">
        <f>'Net zero Activity data'!AO5-'Net zero supporting data'!M15</f>
        <v>796023.3377041684</v>
      </c>
      <c r="N20" s="11">
        <f>'Net zero Activity data'!AP5-'Net zero supporting data'!N15</f>
        <v>720342.661047742</v>
      </c>
      <c r="O20" s="11">
        <f>'Net zero Activity data'!AQ5-'Net zero supporting data'!O15</f>
        <v>642303.39120539429</v>
      </c>
      <c r="P20" s="11">
        <f>'Net zero Activity data'!AR5-'Net zero supporting data'!P15</f>
        <v>561930.32466264057</v>
      </c>
      <c r="Q20" s="11">
        <f>'Net zero Activity data'!AS5-'Net zero supporting data'!Q15</f>
        <v>479454.31621787546</v>
      </c>
      <c r="R20" s="11">
        <f>'Net zero Activity data'!AT5-'Net zero supporting data'!R15</f>
        <v>395119.44304010423</v>
      </c>
      <c r="S20" s="11">
        <f>'Net zero Activity data'!AU5-'Net zero supporting data'!S15</f>
        <v>309190.20540452201</v>
      </c>
      <c r="T20" s="11">
        <f>'Net zero Activity data'!AV5-'Net zero supporting data'!T15</f>
        <v>221945.49758195295</v>
      </c>
      <c r="U20" s="11">
        <f>'Net zero Activity data'!AW5-'Net zero supporting data'!U15</f>
        <v>200511.1917557714</v>
      </c>
      <c r="V20" s="11">
        <f>'Net zero Activity data'!AX5-'Net zero supporting data'!V15</f>
        <v>178704.25385470001</v>
      </c>
      <c r="W20" s="11">
        <f>'Net zero Activity data'!AY5-'Net zero supporting data'!W15</f>
        <v>156598.39764783182</v>
      </c>
      <c r="X20" s="11">
        <f>'Net zero Activity data'!AZ5-'Net zero supporting data'!X15</f>
        <v>134268.93990496651</v>
      </c>
      <c r="Y20" s="11">
        <f>'Net zero Activity data'!BA5-'Net zero supporting data'!Y15</f>
        <v>111794.17703009408</v>
      </c>
      <c r="Z20" s="11">
        <f>'Net zero Activity data'!BB5-'Net zero supporting data'!Z15</f>
        <v>89253.383708448033</v>
      </c>
      <c r="AA20" s="11">
        <f>'Net zero Activity data'!BC5-'Net zero supporting data'!AA15</f>
        <v>21178.670399819617</v>
      </c>
      <c r="AB20" s="11">
        <f>'Net zero Activity data'!BD5-'Net zero supporting data'!AB15</f>
        <v>14129.420315862924</v>
      </c>
      <c r="AC20" s="11">
        <f>'Net zero Activity data'!BE5-'Net zero supporting data'!AC15</f>
        <v>7069.4925431931624</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1111</v>
      </c>
      <c r="B21" s="11">
        <f>'Net zero Activity data'!AD6-'Net zero supporting data'!B16</f>
        <v>488906.79761823389</v>
      </c>
      <c r="C21" s="11">
        <f>'Net zero Activity data'!AE6-'Net zero supporting data'!C16</f>
        <v>491640.03663531045</v>
      </c>
      <c r="D21" s="11">
        <f>'Net zero Activity data'!AF6-'Net zero supporting data'!D16</f>
        <v>495518.03471340711</v>
      </c>
      <c r="E21" s="11">
        <f>'Net zero Activity data'!AG6-'Net zero supporting data'!E16</f>
        <v>498010.06157049473</v>
      </c>
      <c r="F21" s="11">
        <f>'Net zero Activity data'!AH6-'Net zero supporting data'!F16</f>
        <v>499666.02481460234</v>
      </c>
      <c r="G21" s="11">
        <f>'Net zero Activity data'!AI6-'Net zero supporting data'!G16</f>
        <v>500469.62606977345</v>
      </c>
      <c r="H21" s="11">
        <f>'Net zero Activity data'!AJ6-'Net zero supporting data'!H16</f>
        <v>502245.08031219151</v>
      </c>
      <c r="I21" s="11">
        <f>'Net zero Activity data'!AK6-'Net zero supporting data'!I16</f>
        <v>504281.82454163593</v>
      </c>
      <c r="J21" s="11">
        <f>'Net zero Activity data'!AL6-'Net zero supporting data'!J16</f>
        <v>489952.85535674449</v>
      </c>
      <c r="K21" s="11">
        <f>'Net zero Activity data'!AM6-'Net zero supporting data'!K16</f>
        <v>458512.53306320769</v>
      </c>
      <c r="L21" s="11">
        <f>'Net zero Activity data'!AN6-'Net zero supporting data'!L16</f>
        <v>720306.83083571307</v>
      </c>
      <c r="M21" s="11">
        <f>'Net zero Activity data'!AO6-'Net zero supporting data'!M16</f>
        <v>659562.19409773953</v>
      </c>
      <c r="N21" s="11">
        <f>'Net zero Activity data'!AP6-'Net zero supporting data'!N16</f>
        <v>596855.34772527195</v>
      </c>
      <c r="O21" s="11">
        <f>'Net zero Activity data'!AQ6-'Net zero supporting data'!O16</f>
        <v>532194.23842732655</v>
      </c>
      <c r="P21" s="11">
        <f>'Net zero Activity data'!AR6-'Net zero supporting data'!P16</f>
        <v>465599.41186333075</v>
      </c>
      <c r="Q21" s="11">
        <f>'Net zero Activity data'!AS6-'Net zero supporting data'!Q16</f>
        <v>397262.14772338251</v>
      </c>
      <c r="R21" s="11">
        <f>'Net zero Activity data'!AT6-'Net zero supporting data'!R16</f>
        <v>327384.68137608632</v>
      </c>
      <c r="S21" s="11">
        <f>'Net zero Activity data'!AU6-'Net zero supporting data'!S16</f>
        <v>256186.17019231815</v>
      </c>
      <c r="T21" s="11">
        <f>'Net zero Activity data'!AV6-'Net zero supporting data'!T16</f>
        <v>183897.69799647527</v>
      </c>
      <c r="U21" s="11">
        <f>'Net zero Activity data'!AW6-'Net zero supporting data'!U16</f>
        <v>166137.84459763917</v>
      </c>
      <c r="V21" s="11">
        <f>'Net zero Activity data'!AX6-'Net zero supporting data'!V16</f>
        <v>148069.23890818004</v>
      </c>
      <c r="W21" s="11">
        <f>'Net zero Activity data'!AY6-'Net zero supporting data'!W16</f>
        <v>129752.95805106068</v>
      </c>
      <c r="X21" s="11">
        <f>'Net zero Activity data'!AZ6-'Net zero supporting data'!X16</f>
        <v>111251.40734982945</v>
      </c>
      <c r="Y21" s="11">
        <f>'Net zero Activity data'!BA6-'Net zero supporting data'!Y16</f>
        <v>92629.460967792198</v>
      </c>
      <c r="Z21" s="11">
        <f>'Net zero Activity data'!BB6-'Net zero supporting data'!Z16</f>
        <v>73952.803644142579</v>
      </c>
      <c r="AA21" s="11">
        <f>'Net zero Activity data'!BC6-'Net zero supporting data'!AA16</f>
        <v>17548.04118842195</v>
      </c>
      <c r="AB21" s="11">
        <f>'Net zero Activity data'!BD6-'Net zero supporting data'!AB16</f>
        <v>11707.233976000687</v>
      </c>
      <c r="AC21" s="11">
        <f>'Net zero Activity data'!BE6-'Net zero supporting data'!AC16</f>
        <v>5857.5795357886236</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1112</v>
      </c>
      <c r="B22" s="11">
        <f>'Net zero Activity data'!AD7-'Net zero supporting data'!B17</f>
        <v>606918.78325022152</v>
      </c>
      <c r="C22" s="11">
        <f>'Net zero Activity data'!AE7-'Net zero supporting data'!C17</f>
        <v>610311.7696162475</v>
      </c>
      <c r="D22" s="11">
        <f>'Net zero Activity data'!AF7-'Net zero supporting data'!D17</f>
        <v>615125.83619595377</v>
      </c>
      <c r="E22" s="11">
        <f>'Net zero Activity data'!AG7-'Net zero supporting data'!E17</f>
        <v>618219.38677716604</v>
      </c>
      <c r="F22" s="11">
        <f>'Net zero Activity data'!AH7-'Net zero supporting data'!F17</f>
        <v>620275.0652870927</v>
      </c>
      <c r="G22" s="11">
        <f>'Net zero Activity data'!AI7-'Net zero supporting data'!G17</f>
        <v>621272.6392590293</v>
      </c>
      <c r="H22" s="11">
        <f>'Net zero Activity data'!AJ7-'Net zero supporting data'!H17</f>
        <v>623476.65142203099</v>
      </c>
      <c r="I22" s="11">
        <f>'Net zero Activity data'!AK7-'Net zero supporting data'!I17</f>
        <v>626005.02356892754</v>
      </c>
      <c r="J22" s="11">
        <f>'Net zero Activity data'!AL7-'Net zero supporting data'!J17</f>
        <v>608217.33768423472</v>
      </c>
      <c r="K22" s="11">
        <f>'Net zero Activity data'!AM7-'Net zero supporting data'!K17</f>
        <v>569187.97207846469</v>
      </c>
      <c r="L22" s="11">
        <f>'Net zero Activity data'!AN7-'Net zero supporting data'!L17</f>
        <v>894173.99689950596</v>
      </c>
      <c r="M22" s="11">
        <f>'Net zero Activity data'!AO7-'Net zero supporting data'!M17</f>
        <v>818766.86163857335</v>
      </c>
      <c r="N22" s="11">
        <f>'Net zero Activity data'!AP7-'Net zero supporting data'!N17</f>
        <v>740923.87993482058</v>
      </c>
      <c r="O22" s="11">
        <f>'Net zero Activity data'!AQ7-'Net zero supporting data'!O17</f>
        <v>660654.91666840552</v>
      </c>
      <c r="P22" s="11">
        <f>'Net zero Activity data'!AR7-'Net zero supporting data'!P17</f>
        <v>577985.47679585894</v>
      </c>
      <c r="Q22" s="11">
        <f>'Net zero Activity data'!AS7-'Net zero supporting data'!Q17</f>
        <v>493153.01096695766</v>
      </c>
      <c r="R22" s="11">
        <f>'Net zero Activity data'!AT7-'Net zero supporting data'!R17</f>
        <v>406408.56998410728</v>
      </c>
      <c r="S22" s="11">
        <f>'Net zero Activity data'!AU7-'Net zero supporting data'!S17</f>
        <v>318024.2112732227</v>
      </c>
      <c r="T22" s="11">
        <f>'Net zero Activity data'!AV7-'Net zero supporting data'!T17</f>
        <v>228286.79751286586</v>
      </c>
      <c r="U22" s="11">
        <f>'Net zero Activity data'!AW7-'Net zero supporting data'!U17</f>
        <v>206240.08294879354</v>
      </c>
      <c r="V22" s="11">
        <f>'Net zero Activity data'!AX7-'Net zero supporting data'!V17</f>
        <v>183810.08967911999</v>
      </c>
      <c r="W22" s="11">
        <f>'Net zero Activity data'!AY7-'Net zero supporting data'!W17</f>
        <v>161072.63758062699</v>
      </c>
      <c r="X22" s="11">
        <f>'Net zero Activity data'!AZ7-'Net zero supporting data'!X17</f>
        <v>138105.19533082272</v>
      </c>
      <c r="Y22" s="11">
        <f>'Net zero Activity data'!BA7-'Net zero supporting data'!Y17</f>
        <v>114988.29637381108</v>
      </c>
      <c r="Z22" s="11">
        <f>'Net zero Activity data'!BB7-'Net zero supporting data'!Z17</f>
        <v>91803.480385832256</v>
      </c>
      <c r="AA22" s="11">
        <f>'Net zero Activity data'!BC7-'Net zero supporting data'!AA17</f>
        <v>21783.775268385885</v>
      </c>
      <c r="AB22" s="11">
        <f>'Net zero Activity data'!BD7-'Net zero supporting data'!AB17</f>
        <v>14533.118039173307</v>
      </c>
      <c r="AC22" s="11">
        <f>'Net zero Activity data'!BE7-'Net zero supporting data'!AC17</f>
        <v>7271.478044427291</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1113</v>
      </c>
      <c r="B23" s="11">
        <f>'Net zero Activity data'!AD8-'Net zero supporting data'!B18</f>
        <v>5954880.1627134718</v>
      </c>
      <c r="C23" s="11">
        <f>'Net zero Activity data'!AE8-'Net zero supporting data'!C18</f>
        <v>5903235.3888004785</v>
      </c>
      <c r="D23" s="11">
        <f>'Net zero Activity data'!AF8-'Net zero supporting data'!D18</f>
        <v>5883575.786790872</v>
      </c>
      <c r="E23" s="11">
        <f>'Net zero Activity data'!AG8-'Net zero supporting data'!E18</f>
        <v>5805008.3335930649</v>
      </c>
      <c r="F23" s="11">
        <f>'Net zero Activity data'!AH8-'Net zero supporting data'!F18</f>
        <v>5690965.7565264786</v>
      </c>
      <c r="G23" s="11">
        <f>'Net zero Activity data'!AI8-'Net zero supporting data'!G18</f>
        <v>5543806.2775503118</v>
      </c>
      <c r="H23" s="11">
        <f>'Net zero Activity data'!AJ8-'Net zero supporting data'!H18</f>
        <v>5427737.2925172495</v>
      </c>
      <c r="I23" s="11">
        <f>'Net zero Activity data'!AK8-'Net zero supporting data'!I18</f>
        <v>5317922.8374796035</v>
      </c>
      <c r="J23" s="11">
        <f>'Net zero Activity data'!AL8-'Net zero supporting data'!J18</f>
        <v>4755918.1218965715</v>
      </c>
      <c r="K23" s="11">
        <f>'Net zero Activity data'!AM8-'Net zero supporting data'!K18</f>
        <v>4692191.7347539989</v>
      </c>
      <c r="L23" s="11">
        <f>'Net zero Activity data'!AN8-'Net zero supporting data'!L18</f>
        <v>14010025.494489398</v>
      </c>
      <c r="M23" s="11">
        <f>'Net zero Activity data'!AO8-'Net zero supporting data'!M18</f>
        <v>13295512.206954001</v>
      </c>
      <c r="N23" s="11">
        <f>'Net zero Activity data'!AP8-'Net zero supporting data'!N18</f>
        <v>12551866.150544668</v>
      </c>
      <c r="O23" s="11">
        <f>'Net zero Activity data'!AQ8-'Net zero supporting data'!O18</f>
        <v>11783134.552354021</v>
      </c>
      <c r="P23" s="11">
        <f>'Net zero Activity data'!AR8-'Net zero supporting data'!P18</f>
        <v>10993685.048332267</v>
      </c>
      <c r="Q23" s="11">
        <f>'Net zero Activity data'!AS8-'Net zero supporting data'!Q18</f>
        <v>10187332.998603504</v>
      </c>
      <c r="R23" s="11">
        <f>'Net zero Activity data'!AT8-'Net zero supporting data'!R18</f>
        <v>9368060.1143595837</v>
      </c>
      <c r="S23" s="11">
        <f>'Net zero Activity data'!AU8-'Net zero supporting data'!S18</f>
        <v>8539934.7383883074</v>
      </c>
      <c r="T23" s="11">
        <f>'Net zero Activity data'!AV8-'Net zero supporting data'!T18</f>
        <v>7707087.8218065239</v>
      </c>
      <c r="U23" s="11">
        <f>'Net zero Activity data'!AW8-'Net zero supporting data'!U18</f>
        <v>7118858.3082445925</v>
      </c>
      <c r="V23" s="11">
        <f>'Net zero Activity data'!AX8-'Net zero supporting data'!V18</f>
        <v>6535595.3275758335</v>
      </c>
      <c r="W23" s="11">
        <f>'Net zero Activity data'!AY8-'Net zero supporting data'!W18</f>
        <v>5960107.5711140726</v>
      </c>
      <c r="X23" s="11">
        <f>'Net zero Activity data'!AZ8-'Net zero supporting data'!X18</f>
        <v>5395102.635497842</v>
      </c>
      <c r="Y23" s="11">
        <f>'Net zero Activity data'!BA8-'Net zero supporting data'!Y18</f>
        <v>4843145.3842264451</v>
      </c>
      <c r="Z23" s="11">
        <f>'Net zero Activity data'!BB8-'Net zero supporting data'!Z18</f>
        <v>4306645.8418320417</v>
      </c>
      <c r="AA23" s="11">
        <f>'Net zero Activity data'!BC8-'Net zero supporting data'!AA18</f>
        <v>-301355.20018555014</v>
      </c>
      <c r="AB23" s="11">
        <f>'Net zero Activity data'!BD8-'Net zero supporting data'!AB18</f>
        <v>-263675.35804266657</v>
      </c>
      <c r="AC23" s="11">
        <f>'Net zero Activity data'!BE8-'Net zero supporting data'!AC18</f>
        <v>-227556.58147980098</v>
      </c>
      <c r="AD23" s="11">
        <f>'Net zero Activity data'!BF8-'Net zero supporting data'!AD18</f>
        <v>-192974.93034760887</v>
      </c>
      <c r="AE23" s="11">
        <f>'Net zero Activity data'!BG8-'Net zero supporting data'!AE18</f>
        <v>-170177.08115168929</v>
      </c>
      <c r="AF23" s="11">
        <f>'Net zero Activity data'!BH8-'Net zero supporting data'!AF18</f>
        <v>-148186.60417516972</v>
      </c>
      <c r="AG23" s="11">
        <f>'Net zero Activity data'!BI8-'Net zero supporting data'!AG18</f>
        <v>-126990.42547251901</v>
      </c>
      <c r="AH23" s="11">
        <f>'Net zero Activity data'!BJ8-'Net zero supporting data'!AH18</f>
        <v>-106577.76889887487</v>
      </c>
      <c r="AI23" s="11">
        <f>'Net zero Activity data'!BK8-'Net zero supporting data'!AI18</f>
        <v>-86937.325849269982</v>
      </c>
      <c r="AJ23" s="11">
        <f>'Net zero Activity data'!BL8-'Net zero supporting data'!AJ18</f>
        <v>-68058.917600759072</v>
      </c>
      <c r="AK23" s="11">
        <f>'Net zero Activity data'!BM8-'Net zero supporting data'!AK18</f>
        <v>-49934.131943562534</v>
      </c>
      <c r="AL23" s="11">
        <f>'Net zero Activity data'!BN8-'Net zero supporting data'!AL18</f>
        <v>-32554.863546162611</v>
      </c>
      <c r="AM23" s="11">
        <f>'Net zero Activity data'!BO8-'Net zero supporting data'!AM18</f>
        <v>-15912.90679941827</v>
      </c>
      <c r="AN23" s="11">
        <f>'Net zero Activity data'!BP8-'Net zero supporting data'!AN18</f>
        <v>0</v>
      </c>
    </row>
    <row r="24" spans="1:48" x14ac:dyDescent="0.25">
      <c r="A24" t="s">
        <v>1031</v>
      </c>
      <c r="B24" s="11">
        <f>'Net zero Activity data'!AD10-'Net zero supporting data'!B19</f>
        <v>541460.03376820497</v>
      </c>
      <c r="C24" s="11">
        <f>'Net zero Activity data'!AE10-'Net zero supporting data'!C19</f>
        <v>559717.1030773099</v>
      </c>
      <c r="D24" s="11">
        <f>'Net zero Activity data'!AF10-'Net zero supporting data'!D19</f>
        <v>581386.33409904351</v>
      </c>
      <c r="E24" s="11">
        <f>'Net zero Activity data'!AG10-'Net zero supporting data'!E19</f>
        <v>597546.77075746469</v>
      </c>
      <c r="F24" s="11">
        <f>'Net zero Activity data'!AH10-'Net zero supporting data'!F19</f>
        <v>610009.49754182238</v>
      </c>
      <c r="G24" s="11">
        <f>'Net zero Activity data'!AI10-'Net zero supporting data'!G19</f>
        <v>618596.39996388659</v>
      </c>
      <c r="H24" s="11">
        <f>'Net zero Activity data'!AJ10-'Net zero supporting data'!H19</f>
        <v>630321.10002649156</v>
      </c>
      <c r="I24" s="11">
        <f>'Net zero Activity data'!AK10-'Net zero supporting data'!I19</f>
        <v>642612.00897727197</v>
      </c>
      <c r="J24" s="11">
        <f>'Net zero Activity data'!AL10-'Net zero supporting data'!J19</f>
        <v>597926.80550167628</v>
      </c>
      <c r="K24" s="11">
        <f>'Net zero Activity data'!AM10-'Net zero supporting data'!K19</f>
        <v>585049.87968688761</v>
      </c>
      <c r="L24" s="11">
        <f>'Net zero Activity data'!AN10-'Net zero supporting data'!L19</f>
        <v>1723564.6096846613</v>
      </c>
      <c r="M24" s="11">
        <f>'Net zero Activity data'!AO10-'Net zero supporting data'!M19</f>
        <v>1603697.3631416808</v>
      </c>
      <c r="N24" s="11">
        <f>'Net zero Activity data'!AP10-'Net zero supporting data'!N19</f>
        <v>1472663.4841256468</v>
      </c>
      <c r="O24" s="11">
        <f>'Net zero Activity data'!AQ10-'Net zero supporting data'!O19</f>
        <v>1330985.7729554074</v>
      </c>
      <c r="P24" s="11">
        <f>'Net zero Activity data'!AR10-'Net zero supporting data'!P19</f>
        <v>1179285.8933700409</v>
      </c>
      <c r="Q24" s="11">
        <f>'Net zero Activity data'!AS10-'Net zero supporting data'!Q19</f>
        <v>1018188.0973030236</v>
      </c>
      <c r="R24" s="11">
        <f>'Net zero Activity data'!AT10-'Net zero supporting data'!R19</f>
        <v>848406.53191812988</v>
      </c>
      <c r="S24" s="11">
        <f>'Net zero Activity data'!AU10-'Net zero supporting data'!S19</f>
        <v>670736.44120817445</v>
      </c>
      <c r="T24" s="11">
        <f>'Net zero Activity data'!AV10-'Net zero supporting data'!T19</f>
        <v>486050.67893719207</v>
      </c>
      <c r="U24" s="11">
        <f>'Net zero Activity data'!AW10-'Net zero supporting data'!U19</f>
        <v>444104.29527515965</v>
      </c>
      <c r="V24" s="11">
        <f>'Net zero Activity data'!AX10-'Net zero supporting data'!V19</f>
        <v>399988.8478166922</v>
      </c>
      <c r="W24" s="11">
        <f>'Net zero Activity data'!AY10-'Net zero supporting data'!W19</f>
        <v>353936.0607844661</v>
      </c>
      <c r="X24" s="11">
        <f>'Net zero Activity data'!AZ10-'Net zero supporting data'!X19</f>
        <v>306195.9929660745</v>
      </c>
      <c r="Y24" s="11">
        <f>'Net zero Activity data'!BA10-'Net zero supporting data'!Y19</f>
        <v>257033.93559679436</v>
      </c>
      <c r="Z24" s="11">
        <f>'Net zero Activity data'!BB10-'Net zero supporting data'!Z19</f>
        <v>206728.8236154858</v>
      </c>
      <c r="AA24" s="11">
        <f>'Net zero Activity data'!BC10-'Net zero supporting data'!AA19</f>
        <v>-12377.001539664343</v>
      </c>
      <c r="AB24" s="11">
        <f>'Net zero Activity data'!BD10-'Net zero supporting data'!AB19</f>
        <v>-8326.8540742727928</v>
      </c>
      <c r="AC24" s="11">
        <f>'Net zero Activity data'!BE10-'Net zero supporting data'!AC19</f>
        <v>-4200.9372084256611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956</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957</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958</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952</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951</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75" x14ac:dyDescent="0.25">
      <c r="A31" s="107" t="s">
        <v>945</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25">
      <c r="A32" t="s">
        <v>1344</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1348</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1027</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1026</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1028</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1029</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1005</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42104.786581891254</v>
      </c>
      <c r="L38">
        <f>'Net zero Activity data'!AN5*'Net zero supporting data'!L36</f>
        <v>144889.30505316067</v>
      </c>
      <c r="M38">
        <f>'Net zero Activity data'!AO5*'Net zero supporting data'!M36</f>
        <v>219953.81699720438</v>
      </c>
      <c r="N38">
        <f>'Net zero Activity data'!AP5*'Net zero supporting data'!N36</f>
        <v>296611.68396083493</v>
      </c>
      <c r="O38">
        <f>'Net zero Activity data'!AQ5*'Net zero supporting data'!O36</f>
        <v>374676.97820314666</v>
      </c>
      <c r="P38">
        <f>'Net zero Activity data'!AR5*'Net zero supporting data'!P36</f>
        <v>453866.80068905588</v>
      </c>
      <c r="Q38">
        <f>'Net zero Activity data'!AS5*'Net zero supporting data'!Q36</f>
        <v>533937.76124263403</v>
      </c>
      <c r="R38">
        <f>'Net zero Activity data'!AT5*'Net zero supporting data'!R36</f>
        <v>614630.2447290509</v>
      </c>
      <c r="S38">
        <f>'Net zero Activity data'!AU5*'Net zero supporting data'!S36</f>
        <v>695677.96216017427</v>
      </c>
      <c r="T38">
        <f>'Net zero Activity data'!AV5*'Net zero supporting data'!T36</f>
        <v>776809.24153683532</v>
      </c>
      <c r="U38">
        <f>'Net zero Activity data'!AW5*'Net zero supporting data'!U36</f>
        <v>813184.2776761842</v>
      </c>
      <c r="V38">
        <f>'Net zero Activity data'!AX5*'Net zero supporting data'!V36</f>
        <v>848845.20580982545</v>
      </c>
      <c r="W38">
        <f>'Net zero Activity data'!AY5*'Net zero supporting data'!W36</f>
        <v>883662.38672705158</v>
      </c>
      <c r="X38">
        <f>'Net zero Activity data'!AZ5*'Net zero supporting data'!X36</f>
        <v>917504.42268393876</v>
      </c>
      <c r="Y38">
        <f>'Net zero Activity data'!BA5*'Net zero supporting data'!Y36</f>
        <v>950250.50475580117</v>
      </c>
      <c r="Z38">
        <f>'Net zero Activity data'!BB5*'Net zero supporting data'!Z36</f>
        <v>981787.22079292999</v>
      </c>
      <c r="AA38">
        <f>'Net zero Activity data'!BC5*'Net zero supporting data'!AA36</f>
        <v>321209.83439726505</v>
      </c>
      <c r="AB38">
        <f>'Net zero Activity data'!BD5*'Net zero supporting data'!AB36</f>
        <v>332041.37742278056</v>
      </c>
      <c r="AC38">
        <f>'Net zero Activity data'!BE5*'Net zero supporting data'!AC36</f>
        <v>342870.38834487315</v>
      </c>
      <c r="AD38">
        <f>'Net zero Activity data'!BF5*'Net zero supporting data'!AD36</f>
        <v>353696.81534571305</v>
      </c>
      <c r="AE38">
        <f>'Net zero Activity data'!BG5*'Net zero supporting data'!AE36</f>
        <v>353904.06494897016</v>
      </c>
      <c r="AF38">
        <f>'Net zero Activity data'!BH5*'Net zero supporting data'!AF36</f>
        <v>354089.87141117838</v>
      </c>
      <c r="AG38">
        <f>'Net zero Activity data'!BI5*'Net zero supporting data'!AG36</f>
        <v>354249.86667107692</v>
      </c>
      <c r="AH38">
        <f>'Net zero Activity data'!BJ5*'Net zero supporting data'!AH36</f>
        <v>354383.35025856091</v>
      </c>
      <c r="AI38">
        <f>'Net zero Activity data'!BK5*'Net zero supporting data'!AI36</f>
        <v>354485.36599126982</v>
      </c>
      <c r="AJ38">
        <f>'Net zero Activity data'!BL5*'Net zero supporting data'!AJ36</f>
        <v>354550.53300491563</v>
      </c>
      <c r="AK38">
        <f>'Net zero Activity data'!BM5*'Net zero supporting data'!AK36</f>
        <v>354578.18668771023</v>
      </c>
      <c r="AL38">
        <f>'Net zero Activity data'!BN5*'Net zero supporting data'!AL36</f>
        <v>354569.09132560756</v>
      </c>
      <c r="AM38">
        <f>'Net zero Activity data'!BO5*'Net zero supporting data'!AM36</f>
        <v>354523.779919889</v>
      </c>
      <c r="AN38">
        <f>'Net zero Activity data'!BP5*'Net zero supporting data'!AN36</f>
        <v>354437.19147932017</v>
      </c>
    </row>
    <row r="39" spans="1:48" x14ac:dyDescent="0.25">
      <c r="A39" t="s">
        <v>1008</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44514.664758784922</v>
      </c>
      <c r="L39">
        <f>'Net zero Activity data'!AN10*'Net zero supporting data'!L37</f>
        <v>287260.76828077686</v>
      </c>
      <c r="M39">
        <f>'Net zero Activity data'!AO10*'Net zero supporting data'!M37</f>
        <v>443126.9029733591</v>
      </c>
      <c r="N39">
        <f>'Net zero Activity data'!AP10*'Net zero supporting data'!N37</f>
        <v>606390.84640467807</v>
      </c>
      <c r="O39">
        <f>'Net zero Activity data'!AQ10*'Net zero supporting data'!O37</f>
        <v>776408.36755732098</v>
      </c>
      <c r="P39">
        <f>'Net zero Activity data'!AR10*'Net zero supporting data'!P37</f>
        <v>952500.14464503317</v>
      </c>
      <c r="Q39">
        <f>'Net zero Activity data'!AS10*'Net zero supporting data'!Q37</f>
        <v>1133891.2901783674</v>
      </c>
      <c r="R39">
        <f>'Net zero Activity data'!AT10*'Net zero supporting data'!R37</f>
        <v>1319743.4940948687</v>
      </c>
      <c r="S39">
        <f>'Net zero Activity data'!AU10*'Net zero supporting data'!S37</f>
        <v>1509156.9927183921</v>
      </c>
      <c r="T39">
        <f>'Net zero Activity data'!AV10*'Net zero supporting data'!T37</f>
        <v>1701177.3762801727</v>
      </c>
      <c r="U39">
        <f>'Net zero Activity data'!AW10*'Net zero supporting data'!U37</f>
        <v>1801089.6419492592</v>
      </c>
      <c r="V39">
        <f>'Net zero Activity data'!AX10*'Net zero supporting data'!V37</f>
        <v>1899947.0271292883</v>
      </c>
      <c r="W39">
        <f>'Net zero Activity data'!AY10*'Net zero supporting data'!W37</f>
        <v>1997210.6287123461</v>
      </c>
      <c r="X39">
        <f>'Net zero Activity data'!AZ10*'Net zero supporting data'!X37</f>
        <v>2092339.285268177</v>
      </c>
      <c r="Y39">
        <f>'Net zero Activity data'!BA10*'Net zero supporting data'!Y37</f>
        <v>2184788.4525727537</v>
      </c>
      <c r="Z39">
        <f>'Net zero Activity data'!BB10*'Net zero supporting data'!Z37</f>
        <v>2274017.0597703499</v>
      </c>
      <c r="AA39">
        <f>'Net zero Activity data'!BC10*'Net zero supporting data'!AA37</f>
        <v>-187717.85668490993</v>
      </c>
      <c r="AB39">
        <f>'Net zero Activity data'!BD10*'Net zero supporting data'!AB37</f>
        <v>-195681.07074541142</v>
      </c>
      <c r="AC39">
        <f>'Net zero Activity data'!BE10*'Net zero supporting data'!AC37</f>
        <v>-203745.4546086468</v>
      </c>
      <c r="AD39">
        <f>'Net zero Activity data'!BF10*'Net zero supporting data'!AD37</f>
        <v>-211910.8188296984</v>
      </c>
      <c r="AE39">
        <f>'Net zero Activity data'!BG10*'Net zero supporting data'!AE37</f>
        <v>-213498.50210210861</v>
      </c>
      <c r="AF39">
        <f>'Net zero Activity data'!BH10*'Net zero supporting data'!AF37</f>
        <v>-215070.30981703315</v>
      </c>
      <c r="AG39">
        <f>'Net zero Activity data'!BI10*'Net zero supporting data'!AG37</f>
        <v>-216623.83626085726</v>
      </c>
      <c r="AH39">
        <f>'Net zero Activity data'!BJ10*'Net zero supporting data'!AH37</f>
        <v>-218158.6541779798</v>
      </c>
      <c r="AI39">
        <f>'Net zero Activity data'!BK10*'Net zero supporting data'!AI37</f>
        <v>-219671.89978816328</v>
      </c>
      <c r="AJ39">
        <f>'Net zero Activity data'!BL10*'Net zero supporting data'!AJ37</f>
        <v>-221160.37634344128</v>
      </c>
      <c r="AK39">
        <f>'Net zero Activity data'!BM10*'Net zero supporting data'!AK37</f>
        <v>-222623.4999354897</v>
      </c>
      <c r="AL39">
        <f>'Net zero Activity data'!BN10*'Net zero supporting data'!AL37</f>
        <v>-224061.49175282463</v>
      </c>
      <c r="AM39">
        <f>'Net zero Activity data'!BO10*'Net zero supporting data'!AM37</f>
        <v>-225474.44027129476</v>
      </c>
      <c r="AN39">
        <f>'Net zero Activity data'!BP10*'Net zero supporting data'!AN37</f>
        <v>-226859.15549894181</v>
      </c>
    </row>
    <row r="40" spans="1:48" x14ac:dyDescent="0.25">
      <c r="A40" t="s">
        <v>1030</v>
      </c>
      <c r="B40" s="11">
        <f>'Net zero Activity data'!AD5-'Net zero supporting data'!B38</f>
        <v>590059.9281599375</v>
      </c>
      <c r="C40" s="11">
        <f>'Net zero Activity data'!AE5-'Net zero supporting data'!C38</f>
        <v>593358.66490468499</v>
      </c>
      <c r="D40" s="11">
        <f>'Net zero Activity data'!AF5-'Net zero supporting data'!D38</f>
        <v>598039.0074127327</v>
      </c>
      <c r="E40" s="11">
        <f>'Net zero Activity data'!AG5-'Net zero supporting data'!E38</f>
        <v>601046.62603335571</v>
      </c>
      <c r="F40" s="11">
        <f>'Net zero Activity data'!AH5-'Net zero supporting data'!F38</f>
        <v>603045.20236245112</v>
      </c>
      <c r="G40" s="11">
        <f>'Net zero Activity data'!AI5-'Net zero supporting data'!G38</f>
        <v>604015.06594627828</v>
      </c>
      <c r="H40" s="11">
        <f>'Net zero Activity data'!AJ5-'Net zero supporting data'!H38</f>
        <v>606157.85554919671</v>
      </c>
      <c r="I40" s="11">
        <f>'Net zero Activity data'!AK5-'Net zero supporting data'!I38</f>
        <v>608615.99513645715</v>
      </c>
      <c r="J40" s="11">
        <f>'Net zero Activity data'!AL5-'Net zero supporting data'!J38</f>
        <v>591322.41163745022</v>
      </c>
      <c r="K40" s="11">
        <f>'Net zero Activity data'!AM5-'Net zero supporting data'!K38</f>
        <v>559392.16458798386</v>
      </c>
      <c r="L40" s="11">
        <f>'Net zero Activity data'!AN5-'Net zero supporting data'!L38</f>
        <v>890034.30246941571</v>
      </c>
      <c r="M40" s="11">
        <f>'Net zero Activity data'!AO5-'Net zero supporting data'!M38</f>
        <v>827445.31156091182</v>
      </c>
      <c r="N40" s="11">
        <f>'Net zero Activity data'!AP5-'Net zero supporting data'!N38</f>
        <v>762715.75875643268</v>
      </c>
      <c r="O40" s="11">
        <f>'Net zero Activity data'!AQ5-'Net zero supporting data'!O38</f>
        <v>695828.67380584381</v>
      </c>
      <c r="P40" s="11">
        <f>'Net zero Activity data'!AR5-'Net zero supporting data'!P38</f>
        <v>626768.43904679152</v>
      </c>
      <c r="Q40" s="11">
        <f>'Net zero Activity data'!AS5-'Net zero supporting data'!Q38</f>
        <v>555731.13925253751</v>
      </c>
      <c r="R40" s="11">
        <f>'Net zero Activity data'!AT5-'Net zero supporting data'!R38</f>
        <v>482923.76371568302</v>
      </c>
      <c r="S40" s="11">
        <f>'Net zero Activity data'!AU5-'Net zero supporting data'!S38</f>
        <v>408572.77142740414</v>
      </c>
      <c r="T40" s="11">
        <f>'Net zero Activity data'!AV5-'Net zero supporting data'!T38</f>
        <v>332918.24637292942</v>
      </c>
      <c r="U40" s="11">
        <f>'Net zero Activity data'!AW5-'Net zero supporting data'!U38</f>
        <v>300766.78763365722</v>
      </c>
      <c r="V40" s="11">
        <f>'Net zero Activity data'!AX5-'Net zero supporting data'!V38</f>
        <v>268056.3807820502</v>
      </c>
      <c r="W40" s="11">
        <f>'Net zero Activity data'!AY5-'Net zero supporting data'!W38</f>
        <v>234897.59647174785</v>
      </c>
      <c r="X40" s="11">
        <f>'Net zero Activity data'!AZ5-'Net zero supporting data'!X38</f>
        <v>201403.40985744994</v>
      </c>
      <c r="Y40" s="11">
        <f>'Net zero Activity data'!BA5-'Net zero supporting data'!Y38</f>
        <v>167691.2655451413</v>
      </c>
      <c r="Z40" s="11">
        <f>'Net zero Activity data'!BB5-'Net zero supporting data'!Z38</f>
        <v>133880.07556267211</v>
      </c>
      <c r="AA40" s="11">
        <f>'Net zero Activity data'!BC5-'Net zero supporting data'!AA38</f>
        <v>31768.005599729426</v>
      </c>
      <c r="AB40" s="11">
        <f>'Net zero Activity data'!BD5-'Net zero supporting data'!AB38</f>
        <v>21194.130473794416</v>
      </c>
      <c r="AC40" s="11">
        <f>'Net zero Activity data'!BE5-'Net zero supporting data'!AC38</f>
        <v>10604.238814789802</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1031</v>
      </c>
      <c r="B41" s="11">
        <f>'Net zero Activity data'!AD10-'Net zero supporting data'!B39</f>
        <v>541460.03376820497</v>
      </c>
      <c r="C41" s="11">
        <f>'Net zero Activity data'!AE10-'Net zero supporting data'!C39</f>
        <v>559717.1030773099</v>
      </c>
      <c r="D41" s="11">
        <f>'Net zero Activity data'!AF10-'Net zero supporting data'!D39</f>
        <v>581386.33409904351</v>
      </c>
      <c r="E41" s="11">
        <f>'Net zero Activity data'!AG10-'Net zero supporting data'!E39</f>
        <v>597546.77075746469</v>
      </c>
      <c r="F41" s="11">
        <f>'Net zero Activity data'!AH10-'Net zero supporting data'!F39</f>
        <v>610009.49754182238</v>
      </c>
      <c r="G41" s="11">
        <f>'Net zero Activity data'!AI10-'Net zero supporting data'!G39</f>
        <v>618596.39996388659</v>
      </c>
      <c r="H41" s="11">
        <f>'Net zero Activity data'!AJ10-'Net zero supporting data'!H39</f>
        <v>630321.10002649156</v>
      </c>
      <c r="I41" s="11">
        <f>'Net zero Activity data'!AK10-'Net zero supporting data'!I39</f>
        <v>642612.00897727197</v>
      </c>
      <c r="J41" s="11">
        <f>'Net zero Activity data'!AL10-'Net zero supporting data'!J39</f>
        <v>597926.80550167628</v>
      </c>
      <c r="K41" s="11">
        <f>'Net zero Activity data'!AM10-'Net zero supporting data'!K39</f>
        <v>591409.11750957114</v>
      </c>
      <c r="L41" s="11">
        <f>'Net zero Activity data'!AN10-'Net zero supporting data'!L39</f>
        <v>1764601.8622962008</v>
      </c>
      <c r="M41" s="11">
        <f>'Net zero Activity data'!AO10-'Net zero supporting data'!M39</f>
        <v>1667001.2064235895</v>
      </c>
      <c r="N41" s="11">
        <f>'Net zero Activity data'!AP10-'Net zero supporting data'!N39</f>
        <v>1559290.7478977437</v>
      </c>
      <c r="O41" s="11">
        <f>'Net zero Activity data'!AQ10-'Net zero supporting data'!O39</f>
        <v>1441901.2540350247</v>
      </c>
      <c r="P41" s="11">
        <f>'Net zero Activity data'!AR10-'Net zero supporting data'!P39</f>
        <v>1315357.3426050458</v>
      </c>
      <c r="Q41" s="11">
        <f>'Net zero Activity data'!AS10-'Net zero supporting data'!Q39</f>
        <v>1180172.5673285048</v>
      </c>
      <c r="R41" s="11">
        <f>'Net zero Activity data'!AT10-'Net zero supporting data'!R39</f>
        <v>1036941.3167888257</v>
      </c>
      <c r="S41" s="11">
        <f>'Net zero Activity data'!AU10-'Net zero supporting data'!S39</f>
        <v>886330.29731080215</v>
      </c>
      <c r="T41" s="11">
        <f>'Net zero Activity data'!AV10-'Net zero supporting data'!T39</f>
        <v>729076.01840578858</v>
      </c>
      <c r="U41" s="11">
        <f>'Net zero Activity data'!AW10-'Net zero supporting data'!U39</f>
        <v>666156.4429127397</v>
      </c>
      <c r="V41" s="11">
        <f>'Net zero Activity data'!AX10-'Net zero supporting data'!V39</f>
        <v>599983.27172503853</v>
      </c>
      <c r="W41" s="11">
        <f>'Net zero Activity data'!AY10-'Net zero supporting data'!W39</f>
        <v>530904.09117669961</v>
      </c>
      <c r="X41" s="11">
        <f>'Net zero Activity data'!AZ10-'Net zero supporting data'!X39</f>
        <v>459293.98944911198</v>
      </c>
      <c r="Y41" s="11">
        <f>'Net zero Activity data'!BA10-'Net zero supporting data'!Y39</f>
        <v>385550.90339519177</v>
      </c>
      <c r="Z41" s="11">
        <f>'Net zero Activity data'!BB10-'Net zero supporting data'!Z39</f>
        <v>310093.23542322917</v>
      </c>
      <c r="AA41" s="11">
        <f>'Net zero Activity data'!BC10-'Net zero supporting data'!AA39</f>
        <v>-18565.502309496544</v>
      </c>
      <c r="AB41" s="11">
        <f>'Net zero Activity data'!BD10-'Net zero supporting data'!AB39</f>
        <v>-12490.281111409189</v>
      </c>
      <c r="AC41" s="11">
        <f>'Net zero Activity data'!BE10-'Net zero supporting data'!AC39</f>
        <v>-6301.4058126385207</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1032</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1033</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75" x14ac:dyDescent="0.25">
      <c r="A45" s="107" t="s">
        <v>1338</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25">
      <c r="A46" t="s">
        <v>1344</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1345</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1346</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1347</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1348</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1027</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1349</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1350</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1351</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1026</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1355</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1356</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1357</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1358</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1359</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1110</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1361</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1363</v>
      </c>
      <c r="B64">
        <f>'Intermediate calculations'!Y11-('Intermediate calculations'!Y11*B62)</f>
        <v>40.711692719818259</v>
      </c>
      <c r="C64">
        <f>'Intermediate calculations'!Z11-('Intermediate calculations'!Z11*C62)</f>
        <v>39.98751157220714</v>
      </c>
      <c r="D64">
        <f>'Intermediate calculations'!AA11-('Intermediate calculations'!AA11*D62)</f>
        <v>39.307247949386721</v>
      </c>
      <c r="E64">
        <f>'Intermediate calculations'!AB11-('Intermediate calculations'!AB11*E62)</f>
        <v>38.665878345611461</v>
      </c>
      <c r="F64">
        <f>'Intermediate calculations'!AC11-('Intermediate calculations'!AC11*F62)</f>
        <v>38.059194745530348</v>
      </c>
      <c r="G64">
        <f>'Intermediate calculations'!AD11-('Intermediate calculations'!AD11*G62)</f>
        <v>37.483637138389774</v>
      </c>
      <c r="H64">
        <f>'Intermediate calculations'!AE11-('Intermediate calculations'!AE11*H62)</f>
        <v>36.936166938305107</v>
      </c>
      <c r="I64">
        <f>'Intermediate calculations'!AF11-('Intermediate calculations'!AF11*I62)</f>
        <v>36.414169878013745</v>
      </c>
      <c r="J64">
        <f>'Intermediate calculations'!AG11-('Intermediate calculations'!AG11*J62)</f>
        <v>35.915380505953848</v>
      </c>
      <c r="K64">
        <f>'Intermediate calculations'!AH11-('Intermediate calculations'!AH11*K62)</f>
        <v>35.366947118654601</v>
      </c>
      <c r="L64">
        <f>'Intermediate calculations'!AI11-('Intermediate calculations'!AI11*L62)</f>
        <v>34.839843653754116</v>
      </c>
      <c r="M64">
        <f>'Intermediate calculations'!AJ11-('Intermediate calculations'!AJ11*M62)</f>
        <v>34.332432461379746</v>
      </c>
      <c r="N64">
        <f>'Intermediate calculations'!AK11-('Intermediate calculations'!AK11*N62)</f>
        <v>33.843260021286589</v>
      </c>
      <c r="O64">
        <f>'Intermediate calculations'!AL11-('Intermediate calculations'!AL11*O62)</f>
        <v>33.371030243307857</v>
      </c>
      <c r="P64">
        <f>'Intermediate calculations'!AM11-('Intermediate calculations'!AM11*P62)</f>
        <v>32.914582444683496</v>
      </c>
      <c r="Q64">
        <f>'Intermediate calculations'!AN11-('Intermediate calculations'!AN11*Q62)</f>
        <v>32.472873053740486</v>
      </c>
      <c r="R64">
        <f>'Intermediate calculations'!AO11-('Intermediate calculations'!AO11*R62)</f>
        <v>32.044960307496645</v>
      </c>
      <c r="S64">
        <f>'Intermediate calculations'!AP11-('Intermediate calculations'!AP11*S62)</f>
        <v>31.629991373464904</v>
      </c>
      <c r="T64">
        <f>'Intermediate calculations'!AQ11-('Intermediate calculations'!AQ11*T62)</f>
        <v>31.227191448589789</v>
      </c>
      <c r="U64">
        <f>'Intermediate calculations'!AR11-('Intermediate calculations'!AR11*U62)</f>
        <v>30.851619233395482</v>
      </c>
      <c r="V64">
        <f>'Intermediate calculations'!AS11-('Intermediate calculations'!AS11*V62)</f>
        <v>30.486539473828891</v>
      </c>
      <c r="W64">
        <f>'Intermediate calculations'!AT11-('Intermediate calculations'!AT11*W62)</f>
        <v>30.131374674232912</v>
      </c>
      <c r="X64">
        <f>'Intermediate calculations'!AU11-('Intermediate calculations'!AU11*X62)</f>
        <v>29.785594439854012</v>
      </c>
      <c r="Y64">
        <f>'Intermediate calculations'!AV11-('Intermediate calculations'!AV11*Y62)</f>
        <v>29.448710471285548</v>
      </c>
      <c r="Z64">
        <f>'Intermediate calculations'!AW11-('Intermediate calculations'!AW11*Z62)</f>
        <v>29.120272207649709</v>
      </c>
      <c r="AA64">
        <f>'Intermediate calculations'!AX11-('Intermediate calculations'!AX11*AA62)</f>
        <v>28.799863020094534</v>
      </c>
      <c r="AB64">
        <f>'Intermediate calculations'!AY11-('Intermediate calculations'!AY11*AB62)</f>
        <v>28.487096874181873</v>
      </c>
      <c r="AC64">
        <f>'Intermediate calculations'!AZ11-('Intermediate calculations'!AZ11*AC62)</f>
        <v>28.181615393465894</v>
      </c>
      <c r="AD64">
        <f>'Intermediate calculations'!BA11-('Intermediate calculations'!BA11*AD62)</f>
        <v>27.883085267703112</v>
      </c>
      <c r="AE64">
        <f>'Intermediate calculations'!BB11-('Intermediate calculations'!BB11*AE62)</f>
        <v>27.591195958228607</v>
      </c>
      <c r="AF64">
        <f>'Intermediate calculations'!BC11-('Intermediate calculations'!BC11*AF62)</f>
        <v>27.305657660492464</v>
      </c>
      <c r="AG64">
        <f>'Intermediate calculations'!BD11-('Intermediate calculations'!BD11*AG62)</f>
        <v>27.026199489899394</v>
      </c>
      <c r="AH64">
        <f>'Intermediate calculations'!BE11-('Intermediate calculations'!BE11*AH62)</f>
        <v>26.752567862185948</v>
      </c>
      <c r="AI64">
        <f>'Intermediate calculations'!BF11-('Intermediate calculations'!BF11*AI62)</f>
        <v>26.484525043804272</v>
      </c>
      <c r="AJ64">
        <f>'Intermediate calculations'!BG11-('Intermediate calculations'!BG11*AJ62)</f>
        <v>26.221847851318074</v>
      </c>
      <c r="AK64">
        <f>'Intermediate calculations'!BH11-('Intermediate calculations'!BH11*AK62)</f>
        <v>25.964326481781804</v>
      </c>
      <c r="AL64">
        <f>'Intermediate calculations'!BI11-('Intermediate calculations'!BI11*AL62)</f>
        <v>25.711763458570132</v>
      </c>
      <c r="AM64">
        <f>'Intermediate calculations'!BJ11-('Intermediate calculations'!BJ11*AM62)</f>
        <v>25.463972679233404</v>
      </c>
      <c r="AN64">
        <f>'Intermediate calculations'!BK11-('Intermediate calculations'!BK11*AN62)</f>
        <v>25.220778553742345</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1028</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1072</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1073</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1074</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1029</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1005</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24059.878046795006</v>
      </c>
      <c r="L71">
        <f>'Net zero Activity data'!AN5*'Net zero supporting data'!L66</f>
        <v>82793.888601806117</v>
      </c>
      <c r="M71">
        <f>'Net zero Activity data'!AO5*'Net zero supporting data'!M66</f>
        <v>125687.89542697395</v>
      </c>
      <c r="N71">
        <f>'Net zero Activity data'!AP5*'Net zero supporting data'!N66</f>
        <v>169492.39083476283</v>
      </c>
      <c r="O71">
        <f>'Net zero Activity data'!AQ5*'Net zero supporting data'!O66</f>
        <v>214101.13040179812</v>
      </c>
      <c r="P71">
        <f>'Net zero Activity data'!AR5*'Net zero supporting data'!P66</f>
        <v>259352.45753660338</v>
      </c>
      <c r="Q71">
        <f>'Net zero Activity data'!AS5*'Net zero supporting data'!Q66</f>
        <v>305107.29213864804</v>
      </c>
      <c r="R71">
        <f>'Net zero Activity data'!AT5*'Net zero supporting data'!R66</f>
        <v>351217.28270231484</v>
      </c>
      <c r="S71">
        <f>'Net zero Activity data'!AU5*'Net zero supporting data'!S66</f>
        <v>397530.2640915282</v>
      </c>
      <c r="T71">
        <f>'Net zero Activity data'!AV5*'Net zero supporting data'!T66</f>
        <v>443890.9951639059</v>
      </c>
      <c r="U71">
        <f>'Net zero Activity data'!AW5*'Net zero supporting data'!U66</f>
        <v>467859.44743013341</v>
      </c>
      <c r="V71">
        <f>'Net zero Activity data'!AX5*'Net zero supporting data'!V66</f>
        <v>491436.69810042536</v>
      </c>
      <c r="W71">
        <f>'Net zero Activity data'!AY5*'Net zero supporting data'!W66</f>
        <v>514537.59227144782</v>
      </c>
      <c r="X71">
        <f>'Net zero Activity data'!AZ5*'Net zero supporting data'!X66</f>
        <v>537075.75961986673</v>
      </c>
      <c r="Y71">
        <f>'Net zero Activity data'!BA5*'Net zero supporting data'!Y66</f>
        <v>558970.88515047135</v>
      </c>
      <c r="Z71">
        <f>'Net zero Activity data'!BB5*'Net zero supporting data'!Z66</f>
        <v>580146.9941049132</v>
      </c>
      <c r="AA71">
        <f>'Net zero Activity data'!BC5*'Net zero supporting data'!AA66</f>
        <v>190608.03359837708</v>
      </c>
      <c r="AB71">
        <f>'Net zero Activity data'!BD5*'Net zero supporting data'!AB66</f>
        <v>197811.88442208205</v>
      </c>
      <c r="AC71">
        <f>'Net zero Activity data'!BE5*'Net zero supporting data'!AC66</f>
        <v>205015.28375260456</v>
      </c>
      <c r="AD71">
        <f>'Net zero Activity data'!BF5*'Net zero supporting data'!AD66</f>
        <v>212218.08920742784</v>
      </c>
      <c r="AE71">
        <f>'Net zero Activity data'!BG5*'Net zero supporting data'!AE66</f>
        <v>219420.52026836149</v>
      </c>
      <c r="AF71">
        <f>'Net zero Activity data'!BH5*'Net zero supporting data'!AF66</f>
        <v>226617.51770315415</v>
      </c>
      <c r="AG71">
        <f>'Net zero Activity data'!BI5*'Net zero supporting data'!AG66</f>
        <v>233804.91200291077</v>
      </c>
      <c r="AH71">
        <f>'Net zero Activity data'!BJ5*'Net zero supporting data'!AH66</f>
        <v>240980.67817582143</v>
      </c>
      <c r="AI71">
        <f>'Net zero Activity data'!BK5*'Net zero supporting data'!AI66</f>
        <v>248139.7561938889</v>
      </c>
      <c r="AJ71">
        <f>'Net zero Activity data'!BL5*'Net zero supporting data'!AJ66</f>
        <v>255276.38376353928</v>
      </c>
      <c r="AK71">
        <f>'Net zero Activity data'!BM5*'Net zero supporting data'!AK66</f>
        <v>262387.85814890562</v>
      </c>
      <c r="AL71">
        <f>'Net zero Activity data'!BN5*'Net zero supporting data'!AL66</f>
        <v>269472.5094074618</v>
      </c>
      <c r="AM71">
        <f>'Net zero Activity data'!BO5*'Net zero supporting data'!AM66</f>
        <v>276528.54833751346</v>
      </c>
      <c r="AN71">
        <f>'Net zero Activity data'!BP5*'Net zero supporting data'!AN66</f>
        <v>283549.75318345614</v>
      </c>
    </row>
    <row r="72" spans="1:40" x14ac:dyDescent="0.25">
      <c r="A72" t="s">
        <v>1006</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19935.327524487289</v>
      </c>
      <c r="L72">
        <f>'Net zero Activity data'!AN6*'Net zero supporting data'!L67</f>
        <v>68600.650555782195</v>
      </c>
      <c r="M72">
        <f>'Net zero Activity data'!AO6*'Net zero supporting data'!M67</f>
        <v>104141.39906806413</v>
      </c>
      <c r="N72">
        <f>'Net zero Activity data'!AP6*'Net zero supporting data'!N67</f>
        <v>140436.55240594636</v>
      </c>
      <c r="O72">
        <f>'Net zero Activity data'!AQ6*'Net zero supporting data'!O67</f>
        <v>177398.07947577556</v>
      </c>
      <c r="P72">
        <f>'Net zero Activity data'!AR6*'Net zero supporting data'!P67</f>
        <v>214892.03624461422</v>
      </c>
      <c r="Q72">
        <f>'Net zero Activity data'!AS6*'Net zero supporting data'!Q67</f>
        <v>252803.18491487982</v>
      </c>
      <c r="R72">
        <f>'Net zero Activity data'!AT6*'Net zero supporting data'!R67</f>
        <v>291008.60566763231</v>
      </c>
      <c r="S72">
        <f>'Net zero Activity data'!AU6*'Net zero supporting data'!S67</f>
        <v>329382.21881869482</v>
      </c>
      <c r="T72">
        <f>'Net zero Activity data'!AV6*'Net zero supporting data'!T67</f>
        <v>367795.39599295059</v>
      </c>
      <c r="U72">
        <f>'Net zero Activity data'!AW6*'Net zero supporting data'!U67</f>
        <v>387654.9707278249</v>
      </c>
      <c r="V72">
        <f>'Net zero Activity data'!AX6*'Net zero supporting data'!V67</f>
        <v>407190.40699749527</v>
      </c>
      <c r="W72">
        <f>'Net zero Activity data'!AY6*'Net zero supporting data'!W67</f>
        <v>426331.14788205677</v>
      </c>
      <c r="X72">
        <f>'Net zero Activity data'!AZ6*'Net zero supporting data'!X67</f>
        <v>445005.62939931813</v>
      </c>
      <c r="Y72">
        <f>'Net zero Activity data'!BA6*'Net zero supporting data'!Y67</f>
        <v>463147.30483896198</v>
      </c>
      <c r="Z72">
        <f>'Net zero Activity data'!BB6*'Net zero supporting data'!Z67</f>
        <v>480693.2236869281</v>
      </c>
      <c r="AA72">
        <f>'Net zero Activity data'!BC6*'Net zero supporting data'!AA67</f>
        <v>157932.37069579813</v>
      </c>
      <c r="AB72">
        <f>'Net zero Activity data'!BD6*'Net zero supporting data'!AB67</f>
        <v>163901.27566401081</v>
      </c>
      <c r="AC72">
        <f>'Net zero Activity data'!BE6*'Net zero supporting data'!AC67</f>
        <v>169869.80653787235</v>
      </c>
      <c r="AD72">
        <f>'Net zero Activity data'!BF6*'Net zero supporting data'!AD67</f>
        <v>175837.84534329732</v>
      </c>
      <c r="AE72">
        <f>'Net zero Activity data'!BG6*'Net zero supporting data'!AE67</f>
        <v>181805.57393664241</v>
      </c>
      <c r="AF72">
        <f>'Net zero Activity data'!BH6*'Net zero supporting data'!AF67</f>
        <v>187768.80038261347</v>
      </c>
      <c r="AG72">
        <f>'Net zero Activity data'!BI6*'Net zero supporting data'!AG67</f>
        <v>193724.06994526892</v>
      </c>
      <c r="AH72">
        <f>'Net zero Activity data'!BJ6*'Net zero supporting data'!AH67</f>
        <v>199669.70477425205</v>
      </c>
      <c r="AI72">
        <f>'Net zero Activity data'!BK6*'Net zero supporting data'!AI67</f>
        <v>205601.51227493651</v>
      </c>
      <c r="AJ72">
        <f>'Net zero Activity data'!BL6*'Net zero supporting data'!AJ67</f>
        <v>211514.717975504</v>
      </c>
      <c r="AK72">
        <f>'Net zero Activity data'!BM6*'Net zero supporting data'!AK67</f>
        <v>217407.08246623608</v>
      </c>
      <c r="AL72">
        <f>'Net zero Activity data'!BN6*'Net zero supporting data'!AL67</f>
        <v>223277.22208046835</v>
      </c>
      <c r="AM72">
        <f>'Net zero Activity data'!BO6*'Net zero supporting data'!AM67</f>
        <v>229123.6543367969</v>
      </c>
      <c r="AN72">
        <f>'Net zero Activity data'!BP6*'Net zero supporting data'!AN67</f>
        <v>234941.22406629223</v>
      </c>
    </row>
    <row r="73" spans="1:40" x14ac:dyDescent="0.25">
      <c r="A73" t="s">
        <v>1007</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24747.303133846293</v>
      </c>
      <c r="L73">
        <f>'Net zero Activity data'!AN7*'Net zero supporting data'!L68</f>
        <v>85159.42827614343</v>
      </c>
      <c r="M73">
        <f>'Net zero Activity data'!AO7*'Net zero supporting data'!M68</f>
        <v>129278.97815345896</v>
      </c>
      <c r="N73">
        <f>'Net zero Activity data'!AP7*'Net zero supporting data'!N68</f>
        <v>174335.03057289895</v>
      </c>
      <c r="O73">
        <f>'Net zero Activity data'!AQ7*'Net zero supporting data'!O68</f>
        <v>220218.30555613522</v>
      </c>
      <c r="P73">
        <f>'Net zero Activity data'!AR7*'Net zero supporting data'!P68</f>
        <v>266762.52775193495</v>
      </c>
      <c r="Q73">
        <f>'Net zero Activity data'!AS7*'Net zero supporting data'!Q68</f>
        <v>313824.64334260946</v>
      </c>
      <c r="R73">
        <f>'Net zero Activity data'!AT7*'Net zero supporting data'!R68</f>
        <v>361252.06220809533</v>
      </c>
      <c r="S73">
        <f>'Net zero Activity data'!AU7*'Net zero supporting data'!S68</f>
        <v>408888.27163700049</v>
      </c>
      <c r="T73">
        <f>'Net zero Activity data'!AV7*'Net zero supporting data'!T68</f>
        <v>456573.59502573183</v>
      </c>
      <c r="U73">
        <f>'Net zero Activity data'!AW7*'Net zero supporting data'!U68</f>
        <v>481226.86021385167</v>
      </c>
      <c r="V73">
        <f>'Net zero Activity data'!AX7*'Net zero supporting data'!V68</f>
        <v>505477.74661758036</v>
      </c>
      <c r="W73">
        <f>'Net zero Activity data'!AY7*'Net zero supporting data'!W68</f>
        <v>529238.6663363463</v>
      </c>
      <c r="X73">
        <f>'Net zero Activity data'!AZ7*'Net zero supporting data'!X68</f>
        <v>552420.78132329159</v>
      </c>
      <c r="Y73">
        <f>'Net zero Activity data'!BA7*'Net zero supporting data'!Y68</f>
        <v>574941.48186905636</v>
      </c>
      <c r="Z73">
        <f>'Net zero Activity data'!BB7*'Net zero supporting data'!Z68</f>
        <v>596722.62250791083</v>
      </c>
      <c r="AA73">
        <f>'Net zero Activity data'!BC7*'Net zero supporting data'!AA68</f>
        <v>196053.97741547358</v>
      </c>
      <c r="AB73">
        <f>'Net zero Activity data'!BD7*'Net zero supporting data'!AB68</f>
        <v>203463.65254842726</v>
      </c>
      <c r="AC73">
        <f>'Net zero Activity data'!BE7*'Net zero supporting data'!AC68</f>
        <v>210872.8632883933</v>
      </c>
      <c r="AD73">
        <f>'Net zero Activity data'!BF7*'Net zero supporting data'!AD68</f>
        <v>218281.46318478294</v>
      </c>
      <c r="AE73">
        <f>'Net zero Activity data'!BG7*'Net zero supporting data'!AE68</f>
        <v>225689.67799031475</v>
      </c>
      <c r="AF73">
        <f>'Net zero Activity data'!BH7*'Net zero supporting data'!AF68</f>
        <v>233092.30392324433</v>
      </c>
      <c r="AG73">
        <f>'Net zero Activity data'!BI7*'Net zero supporting data'!AG68</f>
        <v>240485.05234585112</v>
      </c>
      <c r="AH73">
        <f>'Net zero Activity data'!BJ7*'Net zero supporting data'!AH68</f>
        <v>247865.84040941639</v>
      </c>
      <c r="AI73">
        <f>'Net zero Activity data'!BK7*'Net zero supporting data'!AI68</f>
        <v>255229.46351371432</v>
      </c>
      <c r="AJ73">
        <f>'Net zero Activity data'!BL7*'Net zero supporting data'!AJ68</f>
        <v>262569.9947282119</v>
      </c>
      <c r="AK73">
        <f>'Net zero Activity data'!BM7*'Net zero supporting data'!AK68</f>
        <v>269884.65409601724</v>
      </c>
      <c r="AL73">
        <f>'Net zero Activity data'!BN7*'Net zero supporting data'!AL68</f>
        <v>277171.72396196076</v>
      </c>
      <c r="AM73">
        <f>'Net zero Activity data'!BO7*'Net zero supporting data'!AM68</f>
        <v>284429.36400429963</v>
      </c>
      <c r="AN73">
        <f>'Net zero Activity data'!BP7*'Net zero supporting data'!AN68</f>
        <v>291651.17470298352</v>
      </c>
    </row>
    <row r="74" spans="1:40" x14ac:dyDescent="0.25">
      <c r="A74" t="s">
        <v>1353</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197565.96777911574</v>
      </c>
      <c r="L74">
        <f>'Net zero Activity data'!AN8*'Net zero supporting data'!L69</f>
        <v>1245335.5995101687</v>
      </c>
      <c r="M74">
        <f>'Net zero Activity data'!AO8*'Net zero supporting data'!M69</f>
        <v>1877013.4880405648</v>
      </c>
      <c r="N74">
        <f>'Net zero Activity data'!AP8*'Net zero supporting data'!N69</f>
        <v>2510373.2301089335</v>
      </c>
      <c r="O74">
        <f>'Net zero Activity data'!AQ8*'Net zero supporting data'!O69</f>
        <v>3142169.2139610723</v>
      </c>
      <c r="P74">
        <f>'Net zero Activity data'!AR8*'Net zero supporting data'!P69</f>
        <v>3769263.4451424913</v>
      </c>
      <c r="Q74">
        <f>'Net zero Activity data'!AS8*'Net zero supporting data'!Q69</f>
        <v>4388389.5993984323</v>
      </c>
      <c r="R74">
        <f>'Net zero Activity data'!AT8*'Net zero supporting data'!R69</f>
        <v>4996298.7276584441</v>
      </c>
      <c r="S74">
        <f>'Net zero Activity data'!AU8*'Net zero supporting data'!S69</f>
        <v>5589775.4651268907</v>
      </c>
      <c r="T74">
        <f>'Net zero Activity data'!AV8*'Net zero supporting data'!T69</f>
        <v>6165670.2574452199</v>
      </c>
      <c r="U74">
        <f>'Net zero Activity data'!AW8*'Net zero supporting data'!U69</f>
        <v>6361532.9563036794</v>
      </c>
      <c r="V74">
        <f>'Net zero Activity data'!AX8*'Net zero supporting data'!V69</f>
        <v>6535595.3275758354</v>
      </c>
      <c r="W74">
        <f>'Net zero Activity data'!AY8*'Net zero supporting data'!W69</f>
        <v>6686949.9578353027</v>
      </c>
      <c r="X74">
        <f>'Net zero Activity data'!AZ8*'Net zero supporting data'!X69</f>
        <v>6814866.4869446447</v>
      </c>
      <c r="Y74">
        <f>'Net zero Activity data'!BA8*'Net zero supporting data'!Y69</f>
        <v>6918779.1203234978</v>
      </c>
      <c r="Z74">
        <f>'Net zero Activity data'!BB8*'Net zero supporting data'!Z69</f>
        <v>6998299.4929770734</v>
      </c>
      <c r="AA74">
        <f>'Net zero Activity data'!BC8*'Net zero supporting data'!AA69</f>
        <v>-561144.1658627491</v>
      </c>
      <c r="AB74">
        <f>'Net zero Activity data'!BD8*'Net zero supporting data'!AB69</f>
        <v>-567916.15578420565</v>
      </c>
      <c r="AC74">
        <f>'Net zero Activity data'!BE8*'Net zero supporting data'!AC69</f>
        <v>-573838.33590558602</v>
      </c>
      <c r="AD74">
        <f>'Net zero Activity data'!BF8*'Net zero supporting data'!AD69</f>
        <v>-578924.79104282684</v>
      </c>
      <c r="AE74">
        <f>'Net zero Activity data'!BG8*'Net zero supporting data'!AE69</f>
        <v>-586165.5017447077</v>
      </c>
      <c r="AF74">
        <f>'Net zero Activity data'!BH8*'Net zero supporting data'!AF69</f>
        <v>-592746.41670067911</v>
      </c>
      <c r="AG74">
        <f>'Net zero Activity data'!BI8*'Net zero supporting data'!AG69</f>
        <v>-598669.1486561615</v>
      </c>
      <c r="AH74">
        <f>'Net zero Activity data'!BJ8*'Net zero supporting data'!AH69</f>
        <v>-603940.69042695826</v>
      </c>
      <c r="AI74">
        <f>'Net zero Activity data'!BK8*'Net zero supporting data'!AI69</f>
        <v>-608561.28094489069</v>
      </c>
      <c r="AJ74">
        <f>'Net zero Activity data'!BL8*'Net zero supporting data'!AJ69</f>
        <v>-612530.2584068327</v>
      </c>
      <c r="AK74">
        <f>'Net zero Activity data'!BM8*'Net zero supporting data'!AK69</f>
        <v>-615854.29397060652</v>
      </c>
      <c r="AL74">
        <f>'Net zero Activity data'!BN8*'Net zero supporting data'!AL69</f>
        <v>-618542.4073770931</v>
      </c>
      <c r="AM74">
        <f>'Net zero Activity data'!BO8*'Net zero supporting data'!AM69</f>
        <v>-620603.36517731822</v>
      </c>
      <c r="AN74">
        <f>'Net zero Activity data'!BP8*'Net zero supporting data'!AN69</f>
        <v>-622037.05430939537</v>
      </c>
    </row>
    <row r="75" spans="1:40" x14ac:dyDescent="0.25">
      <c r="A75" t="s">
        <v>1008</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25436.951290734243</v>
      </c>
      <c r="L75">
        <f>'Net zero Activity data'!AN10*'Net zero supporting data'!L70</f>
        <v>164149.01044615821</v>
      </c>
      <c r="M75">
        <f>'Net zero Activity data'!AO10*'Net zero supporting data'!M70</f>
        <v>253215.37312763382</v>
      </c>
      <c r="N75">
        <f>'Net zero Activity data'!AP10*'Net zero supporting data'!N70</f>
        <v>346509.05508838751</v>
      </c>
      <c r="O75">
        <f>'Net zero Activity data'!AQ10*'Net zero supporting data'!O70</f>
        <v>443661.92431846913</v>
      </c>
      <c r="P75">
        <f>'Net zero Activity data'!AR10*'Net zero supporting data'!P70</f>
        <v>544285.796940019</v>
      </c>
      <c r="Q75">
        <f>'Net zero Activity data'!AS10*'Net zero supporting data'!Q70</f>
        <v>647937.8801019243</v>
      </c>
      <c r="R75">
        <f>'Net zero Activity data'!AT10*'Net zero supporting data'!R70</f>
        <v>754139.13948278222</v>
      </c>
      <c r="S75">
        <f>'Net zero Activity data'!AU10*'Net zero supporting data'!S70</f>
        <v>862375.42441050988</v>
      </c>
      <c r="T75">
        <f>'Net zero Activity data'!AV10*'Net zero supporting data'!T70</f>
        <v>972101.35787438462</v>
      </c>
      <c r="U75">
        <f>'Net zero Activity data'!AW10*'Net zero supporting data'!U70</f>
        <v>1036243.3556420397</v>
      </c>
      <c r="V75">
        <f>'Net zero Activity data'!AX10*'Net zero supporting data'!V70</f>
        <v>1099969.3314959039</v>
      </c>
      <c r="W75">
        <f>'Net zero Activity data'!AY10*'Net zero supporting data'!W70</f>
        <v>1162932.7711489613</v>
      </c>
      <c r="X75">
        <f>'Net zero Activity data'!AZ10*'Net zero supporting data'!X70</f>
        <v>1224783.9718642989</v>
      </c>
      <c r="Y75">
        <f>'Net zero Activity data'!BA10*'Net zero supporting data'!Y70</f>
        <v>1285169.6779839729</v>
      </c>
      <c r="Z75">
        <f>'Net zero Activity data'!BB10*'Net zero supporting data'!Z70</f>
        <v>1343737.3535006614</v>
      </c>
      <c r="AA75">
        <f>'Net zero Activity data'!BC10*'Net zero supporting data'!AA70</f>
        <v>-111393.01385697952</v>
      </c>
      <c r="AB75">
        <f>'Net zero Activity data'!BD10*'Net zero supporting data'!AB70</f>
        <v>-116575.95703981958</v>
      </c>
      <c r="AC75">
        <f>'Net zero Activity data'!BE10*'Net zero supporting data'!AC70</f>
        <v>-121827.17904434552</v>
      </c>
      <c r="AD75">
        <f>'Net zero Activity data'!BF10*'Net zero supporting data'!AD70</f>
        <v>-127146.49129781904</v>
      </c>
      <c r="AE75">
        <f>'Net zero Activity data'!BG10*'Net zero supporting data'!AE70</f>
        <v>-132369.07130330734</v>
      </c>
      <c r="AF75">
        <f>'Net zero Activity data'!BH10*'Net zero supporting data'!AF70</f>
        <v>-137644.99828290122</v>
      </c>
      <c r="AG75">
        <f>'Net zero Activity data'!BI10*'Net zero supporting data'!AG70</f>
        <v>-142971.7319321658</v>
      </c>
      <c r="AH75">
        <f>'Net zero Activity data'!BJ10*'Net zero supporting data'!AH70</f>
        <v>-148347.88484102627</v>
      </c>
      <c r="AI75">
        <f>'Net zero Activity data'!BK10*'Net zero supporting data'!AI70</f>
        <v>-153770.32985171431</v>
      </c>
      <c r="AJ75">
        <f>'Net zero Activity data'!BL10*'Net zero supporting data'!AJ70</f>
        <v>-159235.47096727774</v>
      </c>
      <c r="AK75">
        <f>'Net zero Activity data'!BM10*'Net zero supporting data'!AK70</f>
        <v>-164741.3899522624</v>
      </c>
      <c r="AL75">
        <f>'Net zero Activity data'!BN10*'Net zero supporting data'!AL70</f>
        <v>-170286.73373214673</v>
      </c>
      <c r="AM75">
        <f>'Net zero Activity data'!BO10*'Net zero supporting data'!AM70</f>
        <v>-175870.06341160994</v>
      </c>
      <c r="AN75">
        <f>'Net zero Activity data'!BP10*'Net zero supporting data'!AN70</f>
        <v>-181487.32439915347</v>
      </c>
    </row>
    <row r="76" spans="1:40" x14ac:dyDescent="0.25">
      <c r="A76" t="s">
        <v>1030</v>
      </c>
      <c r="B76" s="11">
        <f>'Net zero Activity data'!AD5-'Net zero supporting data'!B71</f>
        <v>590059.9281599375</v>
      </c>
      <c r="C76" s="11">
        <f>'Net zero Activity data'!AE5-'Net zero supporting data'!C71</f>
        <v>593358.66490468499</v>
      </c>
      <c r="D76" s="11">
        <f>'Net zero Activity data'!AF5-'Net zero supporting data'!D71</f>
        <v>598039.0074127327</v>
      </c>
      <c r="E76" s="11">
        <f>'Net zero Activity data'!AG5-'Net zero supporting data'!E71</f>
        <v>601046.62603335571</v>
      </c>
      <c r="F76" s="11">
        <f>'Net zero Activity data'!AH5-'Net zero supporting data'!F71</f>
        <v>603045.20236245112</v>
      </c>
      <c r="G76" s="11">
        <f>'Net zero Activity data'!AI5-'Net zero supporting data'!G71</f>
        <v>604015.06594627828</v>
      </c>
      <c r="H76" s="11">
        <f>'Net zero Activity data'!AJ5-'Net zero supporting data'!H71</f>
        <v>606157.85554919671</v>
      </c>
      <c r="I76" s="11">
        <f>'Net zero Activity data'!AK5-'Net zero supporting data'!I71</f>
        <v>608615.99513645715</v>
      </c>
      <c r="J76" s="11">
        <f>'Net zero Activity data'!AL5-'Net zero supporting data'!J71</f>
        <v>591322.41163745022</v>
      </c>
      <c r="K76" s="11">
        <f>'Net zero Activity data'!AM5-'Net zero supporting data'!K71</f>
        <v>577437.07312308007</v>
      </c>
      <c r="L76" s="11">
        <f>'Net zero Activity data'!AN5-'Net zero supporting data'!L71</f>
        <v>952129.71892077022</v>
      </c>
      <c r="M76" s="11">
        <f>'Net zero Activity data'!AO5-'Net zero supporting data'!M71</f>
        <v>921711.23313114233</v>
      </c>
      <c r="N76" s="11">
        <f>'Net zero Activity data'!AP5-'Net zero supporting data'!N71</f>
        <v>889835.05188250483</v>
      </c>
      <c r="O76" s="11">
        <f>'Net zero Activity data'!AQ5-'Net zero supporting data'!O71</f>
        <v>856404.52160719247</v>
      </c>
      <c r="P76" s="11">
        <f>'Net zero Activity data'!AR5-'Net zero supporting data'!P71</f>
        <v>821282.78219924401</v>
      </c>
      <c r="Q76" s="11">
        <f>'Net zero Activity data'!AS5-'Net zero supporting data'!Q71</f>
        <v>784561.60835652356</v>
      </c>
      <c r="R76" s="11">
        <f>'Net zero Activity data'!AT5-'Net zero supporting data'!R71</f>
        <v>746336.72574241902</v>
      </c>
      <c r="S76" s="11">
        <f>'Net zero Activity data'!AU5-'Net zero supporting data'!S71</f>
        <v>706720.46949605015</v>
      </c>
      <c r="T76" s="11">
        <f>'Net zero Activity data'!AV5-'Net zero supporting data'!T71</f>
        <v>665836.49274585885</v>
      </c>
      <c r="U76" s="11">
        <f>'Net zero Activity data'!AW5-'Net zero supporting data'!U71</f>
        <v>646091.61787970806</v>
      </c>
      <c r="V76" s="11">
        <f>'Net zero Activity data'!AX5-'Net zero supporting data'!V71</f>
        <v>625464.88849145034</v>
      </c>
      <c r="W76" s="11">
        <f>'Net zero Activity data'!AY5-'Net zero supporting data'!W71</f>
        <v>604022.39092735155</v>
      </c>
      <c r="X76" s="11">
        <f>'Net zero Activity data'!AZ5-'Net zero supporting data'!X71</f>
        <v>581832.07292152196</v>
      </c>
      <c r="Y76" s="11">
        <f>'Net zero Activity data'!BA5-'Net zero supporting data'!Y71</f>
        <v>558970.88515047112</v>
      </c>
      <c r="Z76" s="11">
        <f>'Net zero Activity data'!BB5-'Net zero supporting data'!Z71</f>
        <v>535520.3022506889</v>
      </c>
      <c r="AA76" s="11">
        <f>'Net zero Activity data'!BC5-'Net zero supporting data'!AA71</f>
        <v>162369.80639861739</v>
      </c>
      <c r="AB76" s="11">
        <f>'Net zero Activity data'!BD5-'Net zero supporting data'!AB71</f>
        <v>155423.62347449292</v>
      </c>
      <c r="AC76" s="11">
        <f>'Net zero Activity data'!BE5-'Net zero supporting data'!AC71</f>
        <v>148459.34340705839</v>
      </c>
      <c r="AD76" s="11">
        <f>'Net zero Activity data'!BF5-'Net zero supporting data'!AD71</f>
        <v>141478.72613828522</v>
      </c>
      <c r="AE76" s="11">
        <f>'Net zero Activity data'!BG5-'Net zero supporting data'!AE71</f>
        <v>134483.54468060867</v>
      </c>
      <c r="AF76" s="11">
        <f>'Net zero Activity data'!BH5-'Net zero supporting data'!AF71</f>
        <v>127472.35370802422</v>
      </c>
      <c r="AG76" s="11">
        <f>'Net zero Activity data'!BI5-'Net zero supporting data'!AG71</f>
        <v>120444.95466816614</v>
      </c>
      <c r="AH76" s="11">
        <f>'Net zero Activity data'!BJ5-'Net zero supporting data'!AH71</f>
        <v>113402.67208273947</v>
      </c>
      <c r="AI76" s="11">
        <f>'Net zero Activity data'!BK5-'Net zero supporting data'!AI71</f>
        <v>106345.60979738092</v>
      </c>
      <c r="AJ76" s="11">
        <f>'Net zero Activity data'!BL5-'Net zero supporting data'!AJ71</f>
        <v>99274.149241376348</v>
      </c>
      <c r="AK76" s="11">
        <f>'Net zero Activity data'!BM5-'Net zero supporting data'!AK71</f>
        <v>92190.328538804606</v>
      </c>
      <c r="AL76" s="11">
        <f>'Net zero Activity data'!BN5-'Net zero supporting data'!AL71</f>
        <v>85096.581918145763</v>
      </c>
      <c r="AM76" s="11">
        <f>'Net zero Activity data'!BO5-'Net zero supporting data'!AM71</f>
        <v>77995.231582375534</v>
      </c>
      <c r="AN76" s="11">
        <f>'Net zero Activity data'!BP5-'Net zero supporting data'!AN71</f>
        <v>70887.438295864034</v>
      </c>
    </row>
    <row r="77" spans="1:40" x14ac:dyDescent="0.25">
      <c r="A77" t="s">
        <v>1111</v>
      </c>
      <c r="B77" s="11">
        <f>'Net zero Activity data'!AD6-'Net zero supporting data'!B72</f>
        <v>488906.79761823389</v>
      </c>
      <c r="C77" s="11">
        <f>'Net zero Activity data'!AE6-'Net zero supporting data'!C72</f>
        <v>491640.03663531045</v>
      </c>
      <c r="D77" s="11">
        <f>'Net zero Activity data'!AF6-'Net zero supporting data'!D72</f>
        <v>495518.03471340711</v>
      </c>
      <c r="E77" s="11">
        <f>'Net zero Activity data'!AG6-'Net zero supporting data'!E72</f>
        <v>498010.06157049473</v>
      </c>
      <c r="F77" s="11">
        <f>'Net zero Activity data'!AH6-'Net zero supporting data'!F72</f>
        <v>499666.02481460234</v>
      </c>
      <c r="G77" s="11">
        <f>'Net zero Activity data'!AI6-'Net zero supporting data'!G72</f>
        <v>500469.62606977345</v>
      </c>
      <c r="H77" s="11">
        <f>'Net zero Activity data'!AJ6-'Net zero supporting data'!H72</f>
        <v>502245.08031219151</v>
      </c>
      <c r="I77" s="11">
        <f>'Net zero Activity data'!AK6-'Net zero supporting data'!I72</f>
        <v>504281.82454163593</v>
      </c>
      <c r="J77" s="11">
        <f>'Net zero Activity data'!AL6-'Net zero supporting data'!J72</f>
        <v>489952.85535674449</v>
      </c>
      <c r="K77" s="11">
        <f>'Net zero Activity data'!AM6-'Net zero supporting data'!K72</f>
        <v>478447.86058769497</v>
      </c>
      <c r="L77" s="11">
        <f>'Net zero Activity data'!AN6-'Net zero supporting data'!L72</f>
        <v>788907.48139149533</v>
      </c>
      <c r="M77" s="11">
        <f>'Net zero Activity data'!AO6-'Net zero supporting data'!M72</f>
        <v>763703.59316580358</v>
      </c>
      <c r="N77" s="11">
        <f>'Net zero Activity data'!AP6-'Net zero supporting data'!N72</f>
        <v>737291.90013121837</v>
      </c>
      <c r="O77" s="11">
        <f>'Net zero Activity data'!AQ6-'Net zero supporting data'!O72</f>
        <v>709592.31790310214</v>
      </c>
      <c r="P77" s="11">
        <f>'Net zero Activity data'!AR6-'Net zero supporting data'!P72</f>
        <v>680491.44810794503</v>
      </c>
      <c r="Q77" s="11">
        <f>'Net zero Activity data'!AS6-'Net zero supporting data'!Q72</f>
        <v>650065.33263826231</v>
      </c>
      <c r="R77" s="11">
        <f>'Net zero Activity data'!AT6-'Net zero supporting data'!R72</f>
        <v>618393.28704371862</v>
      </c>
      <c r="S77" s="11">
        <f>'Net zero Activity data'!AU6-'Net zero supporting data'!S72</f>
        <v>585568.38901101297</v>
      </c>
      <c r="T77" s="11">
        <f>'Net zero Activity data'!AV6-'Net zero supporting data'!T72</f>
        <v>551693.0939894258</v>
      </c>
      <c r="U77" s="11">
        <f>'Net zero Activity data'!AW6-'Net zero supporting data'!U72</f>
        <v>535333.05481461529</v>
      </c>
      <c r="V77" s="11">
        <f>'Net zero Activity data'!AX6-'Net zero supporting data'!V72</f>
        <v>518242.33617863018</v>
      </c>
      <c r="W77" s="11">
        <f>'Net zero Activity data'!AY6-'Net zero supporting data'!W72</f>
        <v>500475.69533980556</v>
      </c>
      <c r="X77" s="11">
        <f>'Net zero Activity data'!AZ6-'Net zero supporting data'!X72</f>
        <v>482089.43184926116</v>
      </c>
      <c r="Y77" s="11">
        <f>'Net zero Activity data'!BA6-'Net zero supporting data'!Y72</f>
        <v>463147.30483896175</v>
      </c>
      <c r="Z77" s="11">
        <f>'Net zero Activity data'!BB6-'Net zero supporting data'!Z72</f>
        <v>443716.82186485647</v>
      </c>
      <c r="AA77" s="11">
        <f>'Net zero Activity data'!BC6-'Net zero supporting data'!AA72</f>
        <v>134534.98244456871</v>
      </c>
      <c r="AB77" s="11">
        <f>'Net zero Activity data'!BD6-'Net zero supporting data'!AB72</f>
        <v>128779.5737360084</v>
      </c>
      <c r="AC77" s="11">
        <f>'Net zero Activity data'!BE6-'Net zero supporting data'!AC72</f>
        <v>123009.17025156267</v>
      </c>
      <c r="AD77" s="11">
        <f>'Net zero Activity data'!BF6-'Net zero supporting data'!AD72</f>
        <v>117225.23022886491</v>
      </c>
      <c r="AE77" s="11">
        <f>'Net zero Activity data'!BG6-'Net zero supporting data'!AE72</f>
        <v>111429.22273536146</v>
      </c>
      <c r="AF77" s="11">
        <f>'Net zero Activity data'!BH6-'Net zero supporting data'!AF72</f>
        <v>105619.95021522007</v>
      </c>
      <c r="AG77" s="11">
        <f>'Net zero Activity data'!BI6-'Net zero supporting data'!AG72</f>
        <v>99797.248153623368</v>
      </c>
      <c r="AH77" s="11">
        <f>'Net zero Activity data'!BJ6-'Net zero supporting data'!AH72</f>
        <v>93962.214011412725</v>
      </c>
      <c r="AI77" s="11">
        <f>'Net zero Activity data'!BK6-'Net zero supporting data'!AI72</f>
        <v>88114.933832115639</v>
      </c>
      <c r="AJ77" s="11">
        <f>'Net zero Activity data'!BL6-'Net zero supporting data'!AJ72</f>
        <v>82255.723657140392</v>
      </c>
      <c r="AK77" s="11">
        <f>'Net zero Activity data'!BM6-'Net zero supporting data'!AK72</f>
        <v>76386.272217866674</v>
      </c>
      <c r="AL77" s="11">
        <f>'Net zero Activity data'!BN6-'Net zero supporting data'!AL72</f>
        <v>70508.596446463634</v>
      </c>
      <c r="AM77" s="11">
        <f>'Net zero Activity data'!BO6-'Net zero supporting data'!AM72</f>
        <v>64624.620453968295</v>
      </c>
      <c r="AN77" s="11">
        <f>'Net zero Activity data'!BP6-'Net zero supporting data'!AN72</f>
        <v>58735.306016573042</v>
      </c>
    </row>
    <row r="78" spans="1:40" x14ac:dyDescent="0.25">
      <c r="A78" t="s">
        <v>1112</v>
      </c>
      <c r="B78" s="11">
        <f>'Net zero Activity data'!AD7-'Net zero supporting data'!B73</f>
        <v>606918.78325022152</v>
      </c>
      <c r="C78" s="11">
        <f>'Net zero Activity data'!AE7-'Net zero supporting data'!C73</f>
        <v>610311.7696162475</v>
      </c>
      <c r="D78" s="11">
        <f>'Net zero Activity data'!AF7-'Net zero supporting data'!D73</f>
        <v>615125.83619595377</v>
      </c>
      <c r="E78" s="11">
        <f>'Net zero Activity data'!AG7-'Net zero supporting data'!E73</f>
        <v>618219.38677716604</v>
      </c>
      <c r="F78" s="11">
        <f>'Net zero Activity data'!AH7-'Net zero supporting data'!F73</f>
        <v>620275.0652870927</v>
      </c>
      <c r="G78" s="11">
        <f>'Net zero Activity data'!AI7-'Net zero supporting data'!G73</f>
        <v>621272.6392590293</v>
      </c>
      <c r="H78" s="11">
        <f>'Net zero Activity data'!AJ7-'Net zero supporting data'!H73</f>
        <v>623476.65142203099</v>
      </c>
      <c r="I78" s="11">
        <f>'Net zero Activity data'!AK7-'Net zero supporting data'!I73</f>
        <v>626005.02356892754</v>
      </c>
      <c r="J78" s="11">
        <f>'Net zero Activity data'!AL7-'Net zero supporting data'!J73</f>
        <v>608217.33768423472</v>
      </c>
      <c r="K78" s="11">
        <f>'Net zero Activity data'!AM7-'Net zero supporting data'!K73</f>
        <v>593935.27521231107</v>
      </c>
      <c r="L78" s="11">
        <f>'Net zero Activity data'!AN7-'Net zero supporting data'!L73</f>
        <v>979333.42517564946</v>
      </c>
      <c r="M78" s="11">
        <f>'Net zero Activity data'!AO7-'Net zero supporting data'!M73</f>
        <v>948045.83979203238</v>
      </c>
      <c r="N78" s="11">
        <f>'Net zero Activity data'!AP7-'Net zero supporting data'!N73</f>
        <v>915258.9105077195</v>
      </c>
      <c r="O78" s="11">
        <f>'Net zero Activity data'!AQ7-'Net zero supporting data'!O73</f>
        <v>880873.22222454078</v>
      </c>
      <c r="P78" s="11">
        <f>'Net zero Activity data'!AR7-'Net zero supporting data'!P73</f>
        <v>844748.00454779388</v>
      </c>
      <c r="Q78" s="11">
        <f>'Net zero Activity data'!AS7-'Net zero supporting data'!Q73</f>
        <v>806977.65430956706</v>
      </c>
      <c r="R78" s="11">
        <f>'Net zero Activity data'!AT7-'Net zero supporting data'!R73</f>
        <v>767660.63219220261</v>
      </c>
      <c r="S78" s="11">
        <f>'Net zero Activity data'!AU7-'Net zero supporting data'!S73</f>
        <v>726912.48291022319</v>
      </c>
      <c r="T78" s="11">
        <f>'Net zero Activity data'!AV7-'Net zero supporting data'!T73</f>
        <v>684860.39253859769</v>
      </c>
      <c r="U78" s="11">
        <f>'Net zero Activity data'!AW7-'Net zero supporting data'!U73</f>
        <v>664551.37839055702</v>
      </c>
      <c r="V78" s="11">
        <f>'Net zero Activity data'!AX7-'Net zero supporting data'!V73</f>
        <v>643335.31387692038</v>
      </c>
      <c r="W78" s="11">
        <f>'Net zero Activity data'!AY7-'Net zero supporting data'!W73</f>
        <v>621280.17352527601</v>
      </c>
      <c r="X78" s="11">
        <f>'Net zero Activity data'!AZ7-'Net zero supporting data'!X73</f>
        <v>598455.84643356572</v>
      </c>
      <c r="Y78" s="11">
        <f>'Net zero Activity data'!BA7-'Net zero supporting data'!Y73</f>
        <v>574941.48186905612</v>
      </c>
      <c r="Z78" s="11">
        <f>'Net zero Activity data'!BB7-'Net zero supporting data'!Z73</f>
        <v>550820.88231499435</v>
      </c>
      <c r="AA78" s="11">
        <f>'Net zero Activity data'!BC7-'Net zero supporting data'!AA73</f>
        <v>167008.94372429218</v>
      </c>
      <c r="AB78" s="11">
        <f>'Net zero Activity data'!BD7-'Net zero supporting data'!AB73</f>
        <v>159864.29843090705</v>
      </c>
      <c r="AC78" s="11">
        <f>'Net zero Activity data'!BE7-'Net zero supporting data'!AC73</f>
        <v>152701.03893297433</v>
      </c>
      <c r="AD78" s="11">
        <f>'Net zero Activity data'!BF7-'Net zero supporting data'!AD73</f>
        <v>145520.97545652196</v>
      </c>
      <c r="AE78" s="11">
        <f>'Net zero Activity data'!BG7-'Net zero supporting data'!AE73</f>
        <v>138325.93167148324</v>
      </c>
      <c r="AF78" s="11">
        <f>'Net zero Activity data'!BH7-'Net zero supporting data'!AF73</f>
        <v>131114.42095682494</v>
      </c>
      <c r="AG78" s="11">
        <f>'Net zero Activity data'!BI7-'Net zero supporting data'!AG73</f>
        <v>123886.23908725663</v>
      </c>
      <c r="AH78" s="11">
        <f>'Net zero Activity data'!BJ7-'Net zero supporting data'!AH73</f>
        <v>116642.74842796064</v>
      </c>
      <c r="AI78" s="11">
        <f>'Net zero Activity data'!BK7-'Net zero supporting data'!AI73</f>
        <v>109384.05579159182</v>
      </c>
      <c r="AJ78" s="11">
        <f>'Net zero Activity data'!BL7-'Net zero supporting data'!AJ73</f>
        <v>102110.55350541568</v>
      </c>
      <c r="AK78" s="11">
        <f>'Net zero Activity data'!BM7-'Net zero supporting data'!AK73</f>
        <v>94824.337925627653</v>
      </c>
      <c r="AL78" s="11">
        <f>'Net zero Activity data'!BN7-'Net zero supporting data'!AL73</f>
        <v>87527.912830092828</v>
      </c>
      <c r="AM78" s="11">
        <f>'Net zero Activity data'!BO7-'Net zero supporting data'!AM73</f>
        <v>80223.666770443437</v>
      </c>
      <c r="AN78" s="11">
        <f>'Net zero Activity data'!BP7-'Net zero supporting data'!AN73</f>
        <v>72912.793675745896</v>
      </c>
    </row>
    <row r="79" spans="1:40" x14ac:dyDescent="0.25">
      <c r="A79" t="s">
        <v>1354</v>
      </c>
      <c r="B79" s="11">
        <f>'Net zero Activity data'!AD8-'Net zero supporting data'!B74</f>
        <v>5954880.1627134718</v>
      </c>
      <c r="C79" s="11">
        <f>'Net zero Activity data'!AE8-'Net zero supporting data'!C74</f>
        <v>5903235.3888004785</v>
      </c>
      <c r="D79" s="11">
        <f>'Net zero Activity data'!AF8-'Net zero supporting data'!D74</f>
        <v>5883575.786790872</v>
      </c>
      <c r="E79" s="11">
        <f>'Net zero Activity data'!AG8-'Net zero supporting data'!E74</f>
        <v>5805008.3335930649</v>
      </c>
      <c r="F79" s="11">
        <f>'Net zero Activity data'!AH8-'Net zero supporting data'!F74</f>
        <v>5690965.7565264786</v>
      </c>
      <c r="G79" s="11">
        <f>'Net zero Activity data'!AI8-'Net zero supporting data'!G74</f>
        <v>5543806.2775503118</v>
      </c>
      <c r="H79" s="11">
        <f>'Net zero Activity data'!AJ8-'Net zero supporting data'!H74</f>
        <v>5427737.2925172495</v>
      </c>
      <c r="I79" s="11">
        <f>'Net zero Activity data'!AK8-'Net zero supporting data'!I74</f>
        <v>5317922.8374796035</v>
      </c>
      <c r="J79" s="11">
        <f>'Net zero Activity data'!AL8-'Net zero supporting data'!J74</f>
        <v>4755918.1218965715</v>
      </c>
      <c r="K79" s="11">
        <f>'Net zero Activity data'!AM8-'Net zero supporting data'!K74</f>
        <v>4741583.2266987776</v>
      </c>
      <c r="L79" s="11">
        <f>'Net zero Activity data'!AN8-'Net zero supporting data'!L74</f>
        <v>14321359.39436694</v>
      </c>
      <c r="M79" s="11">
        <f>'Net zero Activity data'!AO8-'Net zero supporting data'!M74</f>
        <v>13764765.578964142</v>
      </c>
      <c r="N79" s="11">
        <f>'Net zero Activity data'!AP8-'Net zero supporting data'!N74</f>
        <v>13179459.458071901</v>
      </c>
      <c r="O79" s="11">
        <f>'Net zero Activity data'!AQ8-'Net zero supporting data'!O74</f>
        <v>12568676.855844289</v>
      </c>
      <c r="P79" s="11">
        <f>'Net zero Activity data'!AR8-'Net zero supporting data'!P74</f>
        <v>11936000.909617888</v>
      </c>
      <c r="Q79" s="11">
        <f>'Net zero Activity data'!AS8-'Net zero supporting data'!Q74</f>
        <v>11284430.398453111</v>
      </c>
      <c r="R79" s="11">
        <f>'Net zero Activity data'!AT8-'Net zero supporting data'!R74</f>
        <v>10617134.796274193</v>
      </c>
      <c r="S79" s="11">
        <f>'Net zero Activity data'!AU8-'Net zero supporting data'!S74</f>
        <v>9937378.6046700291</v>
      </c>
      <c r="T79" s="11">
        <f>'Net zero Activity data'!AV8-'Net zero supporting data'!T74</f>
        <v>9248505.386167828</v>
      </c>
      <c r="U79" s="11">
        <f>'Net zero Activity data'!AW8-'Net zero supporting data'!U74</f>
        <v>8784974.0825146027</v>
      </c>
      <c r="V79" s="11">
        <f>'Net zero Activity data'!AX8-'Net zero supporting data'!V74</f>
        <v>8318030.4169146968</v>
      </c>
      <c r="W79" s="11">
        <f>'Net zero Activity data'!AY8-'Net zero supporting data'!W74</f>
        <v>7849897.776589266</v>
      </c>
      <c r="X79" s="11">
        <f>'Net zero Activity data'!AZ8-'Net zero supporting data'!X74</f>
        <v>7382772.0275233621</v>
      </c>
      <c r="Y79" s="11">
        <f>'Net zero Activity data'!BA8-'Net zero supporting data'!Y74</f>
        <v>6918779.1203234941</v>
      </c>
      <c r="Z79" s="11">
        <f>'Net zero Activity data'!BB8-'Net zero supporting data'!Z74</f>
        <v>6459968.7627480645</v>
      </c>
      <c r="AA79" s="11">
        <f>'Net zero Activity data'!BC8-'Net zero supporting data'!AA74</f>
        <v>-478011.69684604532</v>
      </c>
      <c r="AB79" s="11">
        <f>'Net zero Activity data'!BD8-'Net zero supporting data'!AB74</f>
        <v>-446219.83668758976</v>
      </c>
      <c r="AC79" s="11">
        <f>'Net zero Activity data'!BE8-'Net zero supporting data'!AC74</f>
        <v>-415538.10531094123</v>
      </c>
      <c r="AD79" s="11">
        <f>'Net zero Activity data'!BF8-'Net zero supporting data'!AD74</f>
        <v>-385949.86069521797</v>
      </c>
      <c r="AE79" s="11">
        <f>'Net zero Activity data'!BG8-'Net zero supporting data'!AE74</f>
        <v>-359262.72687578865</v>
      </c>
      <c r="AF79" s="11">
        <f>'Net zero Activity data'!BH8-'Net zero supporting data'!AF74</f>
        <v>-333419.85939413204</v>
      </c>
      <c r="AG79" s="11">
        <f>'Net zero Activity data'!BI8-'Net zero supporting data'!AG74</f>
        <v>-308405.31900468923</v>
      </c>
      <c r="AH79" s="11">
        <f>'Net zero Activity data'!BJ8-'Net zero supporting data'!AH74</f>
        <v>-284207.38373033318</v>
      </c>
      <c r="AI79" s="11">
        <f>'Net zero Activity data'!BK8-'Net zero supporting data'!AI74</f>
        <v>-260811.97754781018</v>
      </c>
      <c r="AJ79" s="11">
        <f>'Net zero Activity data'!BL8-'Net zero supporting data'!AJ74</f>
        <v>-238206.2116026571</v>
      </c>
      <c r="AK79" s="11">
        <f>'Net zero Activity data'!BM8-'Net zero supporting data'!AK74</f>
        <v>-216381.23842210486</v>
      </c>
      <c r="AL79" s="11">
        <f>'Net zero Activity data'!BN8-'Net zero supporting data'!AL74</f>
        <v>-195329.1812769766</v>
      </c>
      <c r="AM79" s="11">
        <f>'Net zero Activity data'!BO8-'Net zero supporting data'!AM74</f>
        <v>-175041.97479360248</v>
      </c>
      <c r="AN79" s="11">
        <f>'Net zero Activity data'!BP8-'Net zero supporting data'!AN74</f>
        <v>-155509.26357734879</v>
      </c>
    </row>
    <row r="80" spans="1:40" x14ac:dyDescent="0.25">
      <c r="A80" t="s">
        <v>1031</v>
      </c>
      <c r="B80" s="11">
        <f>'Net zero Activity data'!AD10-'Net zero supporting data'!B75</f>
        <v>541460.03376820497</v>
      </c>
      <c r="C80" s="11">
        <f>'Net zero Activity data'!AE10-'Net zero supporting data'!C75</f>
        <v>559717.1030773099</v>
      </c>
      <c r="D80" s="11">
        <f>'Net zero Activity data'!AF10-'Net zero supporting data'!D75</f>
        <v>581386.33409904351</v>
      </c>
      <c r="E80" s="11">
        <f>'Net zero Activity data'!AG10-'Net zero supporting data'!E75</f>
        <v>597546.77075746469</v>
      </c>
      <c r="F80" s="11">
        <f>'Net zero Activity data'!AH10-'Net zero supporting data'!F75</f>
        <v>610009.49754182238</v>
      </c>
      <c r="G80" s="11">
        <f>'Net zero Activity data'!AI10-'Net zero supporting data'!G75</f>
        <v>618596.39996388659</v>
      </c>
      <c r="H80" s="11">
        <f>'Net zero Activity data'!AJ10-'Net zero supporting data'!H75</f>
        <v>630321.10002649156</v>
      </c>
      <c r="I80" s="11">
        <f>'Net zero Activity data'!AK10-'Net zero supporting data'!I75</f>
        <v>642612.00897727197</v>
      </c>
      <c r="J80" s="11">
        <f>'Net zero Activity data'!AL10-'Net zero supporting data'!J75</f>
        <v>597926.80550167628</v>
      </c>
      <c r="K80" s="11">
        <f>'Net zero Activity data'!AM10-'Net zero supporting data'!K75</f>
        <v>610486.83097762184</v>
      </c>
      <c r="L80" s="11">
        <f>'Net zero Activity data'!AN10-'Net zero supporting data'!L75</f>
        <v>1887713.6201308195</v>
      </c>
      <c r="M80" s="11">
        <f>'Net zero Activity data'!AO10-'Net zero supporting data'!M75</f>
        <v>1856912.7362693148</v>
      </c>
      <c r="N80" s="11">
        <f>'Net zero Activity data'!AP10-'Net zero supporting data'!N75</f>
        <v>1819172.5392140343</v>
      </c>
      <c r="O80" s="11">
        <f>'Net zero Activity data'!AQ10-'Net zero supporting data'!O75</f>
        <v>1774647.6972738765</v>
      </c>
      <c r="P80" s="11">
        <f>'Net zero Activity data'!AR10-'Net zero supporting data'!P75</f>
        <v>1723571.69031006</v>
      </c>
      <c r="Q80" s="11">
        <f>'Net zero Activity data'!AS10-'Net zero supporting data'!Q75</f>
        <v>1666125.9774049479</v>
      </c>
      <c r="R80" s="11">
        <f>'Net zero Activity data'!AT10-'Net zero supporting data'!R75</f>
        <v>1602545.6714009121</v>
      </c>
      <c r="S80" s="11">
        <f>'Net zero Activity data'!AU10-'Net zero supporting data'!S75</f>
        <v>1533111.8656186843</v>
      </c>
      <c r="T80" s="11">
        <f>'Net zero Activity data'!AV10-'Net zero supporting data'!T75</f>
        <v>1458152.0368115767</v>
      </c>
      <c r="U80" s="11">
        <f>'Net zero Activity data'!AW10-'Net zero supporting data'!U75</f>
        <v>1431002.7292199591</v>
      </c>
      <c r="V80" s="11">
        <f>'Net zero Activity data'!AX10-'Net zero supporting data'!V75</f>
        <v>1399960.9673584229</v>
      </c>
      <c r="W80" s="11">
        <f>'Net zero Activity data'!AY10-'Net zero supporting data'!W75</f>
        <v>1365181.9487400844</v>
      </c>
      <c r="X80" s="11">
        <f>'Net zero Activity data'!AZ10-'Net zero supporting data'!X75</f>
        <v>1326849.3028529901</v>
      </c>
      <c r="Y80" s="11">
        <f>'Net zero Activity data'!BA10-'Net zero supporting data'!Y75</f>
        <v>1285169.6779839725</v>
      </c>
      <c r="Z80" s="11">
        <f>'Net zero Activity data'!BB10-'Net zero supporting data'!Z75</f>
        <v>1240372.9416929176</v>
      </c>
      <c r="AA80" s="11">
        <f>'Net zero Activity data'!BC10-'Net zero supporting data'!AA75</f>
        <v>-94890.34513742695</v>
      </c>
      <c r="AB80" s="11">
        <f>'Net zero Activity data'!BD10-'Net zero supporting data'!AB75</f>
        <v>-91595.394817001026</v>
      </c>
      <c r="AC80" s="11">
        <f>'Net zero Activity data'!BE10-'Net zero supporting data'!AC75</f>
        <v>-88219.6813769398</v>
      </c>
      <c r="AD80" s="11">
        <f>'Net zero Activity data'!BF10-'Net zero supporting data'!AD75</f>
        <v>-84764.32753187936</v>
      </c>
      <c r="AE80" s="11">
        <f>'Net zero Activity data'!BG10-'Net zero supporting data'!AE75</f>
        <v>-81129.430798801273</v>
      </c>
      <c r="AF80" s="11">
        <f>'Net zero Activity data'!BH10-'Net zero supporting data'!AF75</f>
        <v>-77425.311534131935</v>
      </c>
      <c r="AG80" s="11">
        <f>'Net zero Activity data'!BI10-'Net zero supporting data'!AG75</f>
        <v>-73652.104328691465</v>
      </c>
      <c r="AH80" s="11">
        <f>'Net zero Activity data'!BJ10-'Net zero supporting data'!AH75</f>
        <v>-69810.769336953526</v>
      </c>
      <c r="AI80" s="11">
        <f>'Net zero Activity data'!BK10-'Net zero supporting data'!AI75</f>
        <v>-65901.56993644897</v>
      </c>
      <c r="AJ80" s="11">
        <f>'Net zero Activity data'!BL10-'Net zero supporting data'!AJ75</f>
        <v>-61924.905376163544</v>
      </c>
      <c r="AK80" s="11">
        <f>'Net zero Activity data'!BM10-'Net zero supporting data'!AK75</f>
        <v>-57882.109983227303</v>
      </c>
      <c r="AL80" s="11">
        <f>'Net zero Activity data'!BN10-'Net zero supporting data'!AL75</f>
        <v>-53774.758020677895</v>
      </c>
      <c r="AM80" s="11">
        <f>'Net zero Activity data'!BO10-'Net zero supporting data'!AM75</f>
        <v>-49604.376859684824</v>
      </c>
      <c r="AN80" s="11">
        <f>'Net zero Activity data'!BP10-'Net zero supporting data'!AN75</f>
        <v>-45371.831099788338</v>
      </c>
    </row>
    <row r="82" spans="1:48" x14ac:dyDescent="0.25">
      <c r="A82" t="s">
        <v>1365</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1366</v>
      </c>
      <c r="B83">
        <f>'Intermediate calculations'!Y11-(('Intermediate calculations'!Y11-'Net zero supporting data'!B100)+('Intermediate calculations'!Y11-'Net zero supporting data'!B64))</f>
        <v>40.711692719818259</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39.307247949386721</v>
      </c>
      <c r="E83">
        <f>'Intermediate calculations'!AB11-(('Intermediate calculations'!AB11-'Net zero supporting data'!E100)+('Intermediate calculations'!AB11-'Net zero supporting data'!E64))</f>
        <v>38.665878345611461</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37.483637138389774</v>
      </c>
      <c r="H83">
        <f>'Intermediate calculations'!AE11-(('Intermediate calculations'!AE11-'Net zero supporting data'!H100)+('Intermediate calculations'!AE11-'Net zero supporting data'!H64))</f>
        <v>36.936166938305107</v>
      </c>
      <c r="I83">
        <f>'Intermediate calculations'!AF11-(('Intermediate calculations'!AF11-'Net zero supporting data'!I100)+('Intermediate calculations'!AF11-'Net zero supporting data'!I64))</f>
        <v>36.414169878013745</v>
      </c>
      <c r="J83">
        <f>'Intermediate calculations'!AG11-(('Intermediate calculations'!AG11-'Net zero supporting data'!J100)+('Intermediate calculations'!AG11-'Net zero supporting data'!J64))</f>
        <v>35.915380505953848</v>
      </c>
      <c r="K83">
        <f>'Intermediate calculations'!AH11-(('Intermediate calculations'!AH11-'Net zero supporting data'!K100)+('Intermediate calculations'!AH11-'Net zero supporting data'!K64))</f>
        <v>35.154320182069505</v>
      </c>
      <c r="L83">
        <f>'Intermediate calculations'!AI11-(('Intermediate calculations'!AI11-'Net zero supporting data'!L100)+('Intermediate calculations'!AI11-'Net zero supporting data'!L64))</f>
        <v>34.420086501299245</v>
      </c>
      <c r="M83">
        <f>'Intermediate calculations'!AJ11-(('Intermediate calculations'!AJ11-'Net zero supporting data'!M100)+('Intermediate calculations'!AJ11-'Net zero supporting data'!M64))</f>
        <v>33.710718392662606</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32.359786902601556</v>
      </c>
      <c r="P83">
        <f>'Intermediate calculations'!AM11-(('Intermediate calculations'!AM11-'Net zero supporting data'!P100)+('Intermediate calculations'!AM11-'Net zero supporting data'!P64))</f>
        <v>31.715265675444016</v>
      </c>
      <c r="Q83">
        <f>'Intermediate calculations'!AN11-(('Intermediate calculations'!AN11-'Net zero supporting data'!Q100)+('Intermediate calculations'!AN11-'Net zero supporting data'!Q64))</f>
        <v>31.089647223865132</v>
      </c>
      <c r="R83">
        <f>'Intermediate calculations'!AO11-(('Intermediate calculations'!AO11-'Net zero supporting data'!R100)+('Intermediate calculations'!AO11-'Net zero supporting data'!R64))</f>
        <v>30.481791512009003</v>
      </c>
      <c r="S83">
        <f>'Intermediate calculations'!AP11-(('Intermediate calculations'!AP11-'Net zero supporting data'!S100)+('Intermediate calculations'!AP11-'Net zero supporting data'!S64))</f>
        <v>29.890663945596163</v>
      </c>
      <c r="T83">
        <f>'Intermediate calculations'!AQ11-(('Intermediate calculations'!AQ11-'Net zero supporting data'!T100)+('Intermediate calculations'!AQ11-'Net zero supporting data'!T64))</f>
        <v>29.315322584390415</v>
      </c>
      <c r="U83">
        <f>'Intermediate calculations'!AR11-(('Intermediate calculations'!AR11-'Net zero supporting data'!U100)+('Intermediate calculations'!AR11-'Net zero supporting data'!U64))</f>
        <v>28.959849019799439</v>
      </c>
      <c r="V83">
        <f>'Intermediate calculations'!AS11-(('Intermediate calculations'!AS11-'Net zero supporting data'!V100)+('Intermediate calculations'!AS11-'Net zero supporting data'!V64))</f>
        <v>28.614285258445335</v>
      </c>
      <c r="W83">
        <f>'Intermediate calculations'!AT11-(('Intermediate calculations'!AT11-'Net zero supporting data'!W100)+('Intermediate calculations'!AT11-'Net zero supporting data'!W64))</f>
        <v>28.278086636863385</v>
      </c>
      <c r="X83">
        <f>'Intermediate calculations'!AU11-(('Intermediate calculations'!AU11-'Net zero supporting data'!X100)+('Intermediate calculations'!AU11-'Net zero supporting data'!X64))</f>
        <v>27.950752893251096</v>
      </c>
      <c r="Y83">
        <f>'Intermediate calculations'!AV11-(('Intermediate calculations'!AV11-'Net zero supporting data'!Y100)+('Intermediate calculations'!AV11-'Net zero supporting data'!Y64))</f>
        <v>27.631823449920887</v>
      </c>
      <c r="Z83">
        <f>'Intermediate calculations'!AW11-(('Intermediate calculations'!AW11-'Net zero supporting data'!Z100)+('Intermediate calculations'!AW11-'Net zero supporting data'!Z64))</f>
        <v>27.320873307074031</v>
      </c>
      <c r="AA83">
        <f>'Intermediate calculations'!AX11-(('Intermediate calculations'!AX11-'Net zero supporting data'!AA100)+('Intermediate calculations'!AX11-'Net zero supporting data'!AA64))</f>
        <v>27.017509455158308</v>
      </c>
      <c r="AB83">
        <f>'Intermediate calculations'!AY11-(('Intermediate calculations'!AY11-'Net zero supporting data'!AB100)+('Intermediate calculations'!AY11-'Net zero supporting data'!AB64))</f>
        <v>26.721367729087955</v>
      </c>
      <c r="AC83">
        <f>'Intermediate calculations'!AZ11-(('Intermediate calculations'!AZ11-'Net zero supporting data'!AC100)+('Intermediate calculations'!AZ11-'Net zero supporting data'!AC64))</f>
        <v>26.432110040534749</v>
      </c>
      <c r="AD83">
        <f>'Intermediate calculations'!BA11-(('Intermediate calculations'!BA11-'Net zero supporting data'!AD100)+('Intermediate calculations'!BA11-'Net zero supporting data'!AD64))</f>
        <v>26.149421934996184</v>
      </c>
      <c r="AE83">
        <f>'Intermediate calculations'!BB11-(('Intermediate calculations'!BB11-'Net zero supporting data'!AE100)+('Intermediate calculations'!BB11-'Net zero supporting data'!AE64))</f>
        <v>25.873010428914942</v>
      </c>
      <c r="AF83">
        <f>'Intermediate calculations'!BC11-(('Intermediate calculations'!BC11-'Net zero supporting data'!AF100)+('Intermediate calculations'!BC11-'Net zero supporting data'!AF64))</f>
        <v>25.602602089151979</v>
      </c>
      <c r="AG83">
        <f>'Intermediate calculations'!BD11-(('Intermediate calculations'!BD11-'Net zero supporting data'!AG100)+('Intermediate calculations'!BD11-'Net zero supporting data'!AG64))</f>
        <v>25.337941322909323</v>
      </c>
      <c r="AH83">
        <f>'Intermediate calculations'!BE11-(('Intermediate calculations'!BE11-'Net zero supporting data'!AH100)+('Intermediate calculations'!BE11-'Net zero supporting data'!AH64))</f>
        <v>25.078788850996006</v>
      </c>
      <c r="AI83">
        <f>'Intermediate calculations'!BF11-(('Intermediate calculations'!BF11-'Net zero supporting data'!AI100)+('Intermediate calculations'!BF11-'Net zero supporting data'!AI64))</f>
        <v>24.824920341320453</v>
      </c>
      <c r="AJ83">
        <f>'Intermediate calculations'!BG11-(('Intermediate calculations'!BG11-'Net zero supporting data'!AJ100)+('Intermediate calculations'!BG11-'Net zero supporting data'!AJ64))</f>
        <v>24.576125182825308</v>
      </c>
      <c r="AK83">
        <f>'Intermediate calculations'!BH11-(('Intermediate calculations'!BH11-'Net zero supporting data'!AK100)+('Intermediate calculations'!BH11-'Net zero supporting data'!AK64))</f>
        <v>24.332205382874619</v>
      </c>
      <c r="AL83">
        <f>'Intermediate calculations'!BI11-(('Intermediate calculations'!BI11-'Net zero supporting data'!AL100)+('Intermediate calculations'!BI11-'Net zero supporting data'!AL64))</f>
        <v>24.092974573455539</v>
      </c>
      <c r="AM83">
        <f>'Intermediate calculations'!BJ11-(('Intermediate calculations'!BJ11-'Net zero supporting data'!AM100)+('Intermediate calculations'!BJ11-'Net zero supporting data'!AM64))</f>
        <v>23.858257113543438</v>
      </c>
      <c r="AN83">
        <f>'Intermediate calculations'!BK11-(('Intermediate calculations'!BK11-'Net zero supporting data'!AN100)+('Intermediate calculations'!BK11-'Net zero supporting data'!AN64))</f>
        <v>23.627887276663881</v>
      </c>
    </row>
    <row r="84" spans="1:48" x14ac:dyDescent="0.25">
      <c r="A84" t="s">
        <v>1373</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75" x14ac:dyDescent="0.25">
      <c r="A86" s="107" t="s">
        <v>987</v>
      </c>
      <c r="B86" s="107" t="s">
        <v>1044</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25">
      <c r="A87" t="s">
        <v>1062</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1063</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1064</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1065</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1066</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1067</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1068</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1069</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1070</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1071</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1110</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1360</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1109</v>
      </c>
      <c r="B100">
        <f>'Intermediate calculations'!Y11</f>
        <v>40.711692719818259</v>
      </c>
      <c r="C100">
        <f>'Intermediate calculations'!Z11-('Intermediate calculations'!Z11*C98)</f>
        <v>39.98751157220714</v>
      </c>
      <c r="D100">
        <f>'Intermediate calculations'!AA11-('Intermediate calculations'!AA11*D98)</f>
        <v>39.307247949386721</v>
      </c>
      <c r="E100">
        <f>'Intermediate calculations'!AB11-('Intermediate calculations'!AB11*E98)</f>
        <v>38.665878345611461</v>
      </c>
      <c r="F100">
        <f>'Intermediate calculations'!AC11-('Intermediate calculations'!AC11*F98)</f>
        <v>38.059194745530348</v>
      </c>
      <c r="G100">
        <f>'Intermediate calculations'!AD11-('Intermediate calculations'!AD11*G98)</f>
        <v>37.483637138389774</v>
      </c>
      <c r="H100">
        <f>'Intermediate calculations'!AE11-('Intermediate calculations'!AE11*H98)</f>
        <v>36.936166938305107</v>
      </c>
      <c r="I100">
        <f>'Intermediate calculations'!AF11-('Intermediate calculations'!AF11*I98)</f>
        <v>36.414169878013745</v>
      </c>
      <c r="J100">
        <f>'Intermediate calculations'!AG11-('Intermediate calculations'!AG11*J98)</f>
        <v>35.915380505953848</v>
      </c>
      <c r="K100">
        <f>'Intermediate calculations'!AH11-('Intermediate calculations'!AH11*K98)</f>
        <v>35.225195827597872</v>
      </c>
      <c r="L100">
        <f>'Intermediate calculations'!AI11-('Intermediate calculations'!AI11*L98)</f>
        <v>34.560005552117538</v>
      </c>
      <c r="M100">
        <f>'Intermediate calculations'!AJ11-('Intermediate calculations'!AJ11*M98)</f>
        <v>33.91795641556832</v>
      </c>
      <c r="N100">
        <f>'Intermediate calculations'!AK11-('Intermediate calculations'!AK11*N98)</f>
        <v>33.297400988685197</v>
      </c>
      <c r="O100">
        <f>'Intermediate calculations'!AL11-('Intermediate calculations'!AL11*O98)</f>
        <v>32.69686801617032</v>
      </c>
      <c r="P100">
        <f>'Intermediate calculations'!AM11-('Intermediate calculations'!AM11*P98)</f>
        <v>32.115037931857174</v>
      </c>
      <c r="Q100">
        <f>'Intermediate calculations'!AN11-('Intermediate calculations'!AN11*Q98)</f>
        <v>31.550722500490249</v>
      </c>
      <c r="R100">
        <f>'Intermediate calculations'!AO11-('Intermediate calculations'!AO11*R98)</f>
        <v>31.002847777171553</v>
      </c>
      <c r="S100">
        <f>'Intermediate calculations'!AP11-('Intermediate calculations'!AP11*S98)</f>
        <v>30.470439754885742</v>
      </c>
      <c r="T100">
        <f>'Intermediate calculations'!AQ11-('Intermediate calculations'!AQ11*T98)</f>
        <v>29.952612205790206</v>
      </c>
      <c r="U100">
        <f>'Intermediate calculations'!AR11-('Intermediate calculations'!AR11*U98)</f>
        <v>29.63773334633802</v>
      </c>
      <c r="V100">
        <f>'Intermediate calculations'!AS11-('Intermediate calculations'!AS11*V98)</f>
        <v>29.331982707675699</v>
      </c>
      <c r="W100">
        <f>'Intermediate calculations'!AT11-('Intermediate calculations'!AT11*W98)</f>
        <v>29.034845918789276</v>
      </c>
      <c r="X100">
        <f>'Intermediate calculations'!AU11-('Intermediate calculations'!AU11*X98)</f>
        <v>28.745850896779025</v>
      </c>
      <c r="Y100">
        <f>'Intermediate calculations'!AV11-('Intermediate calculations'!AV11*Y98)</f>
        <v>28.464563334713024</v>
      </c>
      <c r="Z100">
        <f>'Intermediate calculations'!AW11-('Intermediate calculations'!AW11*Z98)</f>
        <v>28.190582775685609</v>
      </c>
      <c r="AA100">
        <f>'Intermediate calculations'!AX11-('Intermediate calculations'!AX11*AA98)</f>
        <v>27.923539184000891</v>
      </c>
      <c r="AB100">
        <f>'Intermediate calculations'!AY11-('Intermediate calculations'!AY11*AB98)</f>
        <v>27.66308993980471</v>
      </c>
      <c r="AC100">
        <f>'Intermediate calculations'!AZ11-('Intermediate calculations'!AZ11*AC98)</f>
        <v>27.408917195921305</v>
      </c>
      <c r="AD100">
        <f>'Intermediate calculations'!BA11-('Intermediate calculations'!BA11*AD98)</f>
        <v>27.160725545741894</v>
      </c>
      <c r="AE100">
        <f>'Intermediate calculations'!BB11-('Intermediate calculations'!BB11*AE98)</f>
        <v>26.918239959247423</v>
      </c>
      <c r="AF100">
        <f>'Intermediate calculations'!BC11-('Intermediate calculations'!BC11*AF98)</f>
        <v>26.681203951000953</v>
      </c>
      <c r="AG100">
        <f>'Intermediate calculations'!BD11-('Intermediate calculations'!BD11*AG98)</f>
        <v>26.449377949511121</v>
      </c>
      <c r="AH100">
        <f>'Intermediate calculations'!BE11-('Intermediate calculations'!BE11*AH98)</f>
        <v>26.2225378419758</v>
      </c>
      <c r="AI100">
        <f>'Intermediate calculations'!BF11-('Intermediate calculations'!BF11*AI98)</f>
        <v>26.000473672246493</v>
      </c>
      <c r="AJ100">
        <f>'Intermediate calculations'!BG11-('Intermediate calculations'!BG11*AJ98)</f>
        <v>25.782988473053337</v>
      </c>
      <c r="AK100">
        <f>'Intermediate calculations'!BH11-('Intermediate calculations'!BH11*AK98)</f>
        <v>25.569897216212567</v>
      </c>
      <c r="AL100">
        <f>'Intermediate calculations'!BI11-('Intermediate calculations'!BI11*AL98)</f>
        <v>25.361025866795305</v>
      </c>
      <c r="AM100">
        <f>'Intermediate calculations'!BJ11-('Intermediate calculations'!BJ11*AM98)</f>
        <v>25.156210529142829</v>
      </c>
      <c r="AN100">
        <f>'Intermediate calculations'!BK11-('Intermediate calculations'!BK11*AN98)</f>
        <v>24.955296674229267</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1052</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1053</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1054</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1055</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1057</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1056</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1058</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1059</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1060</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1061</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1028</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1072</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1073</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1074</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1075</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1029</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1076</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1077</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1078</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1079</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1080</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51127.240849439382</v>
      </c>
      <c r="L122">
        <f>'Net zero Activity data'!AN5*'Net zero supporting data'!L112</f>
        <v>175937.01327883796</v>
      </c>
      <c r="M122">
        <f>'Net zero Activity data'!AO5*'Net zero supporting data'!M112</f>
        <v>267086.77778231964</v>
      </c>
      <c r="N122">
        <f>'Net zero Activity data'!AP5*'Net zero supporting data'!N112</f>
        <v>360171.330523871</v>
      </c>
      <c r="O122">
        <f>'Net zero Activity data'!AQ5*'Net zero supporting data'!O112</f>
        <v>454964.90210382087</v>
      </c>
      <c r="P122">
        <f>'Net zero Activity data'!AR5*'Net zero supporting data'!P112</f>
        <v>551123.97226528206</v>
      </c>
      <c r="Q122">
        <f>'Net zero Activity data'!AS5*'Net zero supporting data'!Q112</f>
        <v>648352.99579462688</v>
      </c>
      <c r="R122">
        <f>'Net zero Activity data'!AT5*'Net zero supporting data'!R112</f>
        <v>746336.7257424189</v>
      </c>
      <c r="S122">
        <f>'Net zero Activity data'!AU5*'Net zero supporting data'!S112</f>
        <v>844751.81119449728</v>
      </c>
      <c r="T122">
        <f>'Net zero Activity data'!AV5*'Net zero supporting data'!T112</f>
        <v>943268.36472329998</v>
      </c>
      <c r="U122">
        <f>'Net zero Activity data'!AW5*'Net zero supporting data'!U112</f>
        <v>946858.40551336517</v>
      </c>
      <c r="V122">
        <f>'Net zero Activity data'!AX5*'Net zero supporting data'!V112</f>
        <v>949366.34860309423</v>
      </c>
      <c r="W122">
        <f>'Net zero Activity data'!AY5*'Net zero supporting data'!W112</f>
        <v>950775.9857189795</v>
      </c>
      <c r="X122">
        <f>'Net zero Activity data'!AZ5*'Net zero supporting data'!X112</f>
        <v>951071.65766018035</v>
      </c>
      <c r="Y122">
        <f>'Net zero Activity data'!BA5*'Net zero supporting data'!Y112</f>
        <v>950250.50475580106</v>
      </c>
      <c r="Z122">
        <f>'Net zero Activity data'!BB5*'Net zero supporting data'!Z112</f>
        <v>948317.2019022617</v>
      </c>
      <c r="AA122">
        <f>'Net zero Activity data'!BC5*'Net zero supporting data'!AA112</f>
        <v>300031.16399744531</v>
      </c>
      <c r="AB122">
        <f>'Net zero Activity data'!BD5*'Net zero supporting data'!AB112</f>
        <v>300250.1817120887</v>
      </c>
      <c r="AC122">
        <f>'Net zero Activity data'!BE5*'Net zero supporting data'!AC112</f>
        <v>300453.43308571348</v>
      </c>
      <c r="AD122">
        <f>'Net zero Activity data'!BF5*'Net zero supporting data'!AD112</f>
        <v>300642.2930438561</v>
      </c>
      <c r="AE122">
        <f>'Net zero Activity data'!BG5*'Net zero supporting data'!AE112</f>
        <v>300818.45520662464</v>
      </c>
      <c r="AF122">
        <f>'Net zero Activity data'!BH5*'Net zero supporting data'!AF112</f>
        <v>300976.39069950162</v>
      </c>
      <c r="AG122">
        <f>'Net zero Activity data'!BI5*'Net zero supporting data'!AG112</f>
        <v>301112.38667041535</v>
      </c>
      <c r="AH122">
        <f>'Net zero Activity data'!BJ5*'Net zero supporting data'!AH112</f>
        <v>301225.84771977679</v>
      </c>
      <c r="AI122">
        <f>'Net zero Activity data'!BK5*'Net zero supporting data'!AI112</f>
        <v>301312.56109257933</v>
      </c>
      <c r="AJ122">
        <f>'Net zero Activity data'!BL5*'Net zero supporting data'!AJ112</f>
        <v>301367.95305417827</v>
      </c>
      <c r="AK122">
        <f>'Net zero Activity data'!BM5*'Net zero supporting data'!AK112</f>
        <v>301391.45868455368</v>
      </c>
      <c r="AL122">
        <f>'Net zero Activity data'!BN5*'Net zero supporting data'!AL112</f>
        <v>301383.72762676643</v>
      </c>
      <c r="AM122">
        <f>'Net zero Activity data'!BO5*'Net zero supporting data'!AM112</f>
        <v>301345.21293190564</v>
      </c>
      <c r="AN122">
        <f>'Net zero Activity data'!BP5*'Net zero supporting data'!AN112</f>
        <v>301271.61275742215</v>
      </c>
    </row>
    <row r="123" spans="1:40" x14ac:dyDescent="0.25">
      <c r="A123" t="s">
        <v>1082</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42362.570989535488</v>
      </c>
      <c r="L123">
        <f>'Net zero Activity data'!AN6*'Net zero supporting data'!L113</f>
        <v>145776.38243103714</v>
      </c>
      <c r="M123">
        <f>'Net zero Activity data'!AO6*'Net zero supporting data'!M113</f>
        <v>221300.47301963629</v>
      </c>
      <c r="N123">
        <f>'Net zero Activity data'!AP6*'Net zero supporting data'!N113</f>
        <v>298427.67386263597</v>
      </c>
      <c r="O123">
        <f>'Net zero Activity data'!AQ6*'Net zero supporting data'!O113</f>
        <v>376970.91888602299</v>
      </c>
      <c r="P123">
        <f>'Net zero Activity data'!AR6*'Net zero supporting data'!P113</f>
        <v>456645.57701980509</v>
      </c>
      <c r="Q123">
        <f>'Net zero Activity data'!AS6*'Net zero supporting data'!Q113</f>
        <v>537206.76794411941</v>
      </c>
      <c r="R123">
        <f>'Net zero Activity data'!AT6*'Net zero supporting data'!R113</f>
        <v>618393.2870437185</v>
      </c>
      <c r="S123">
        <f>'Net zero Activity data'!AU6*'Net zero supporting data'!S113</f>
        <v>699937.21498972632</v>
      </c>
      <c r="T123">
        <f>'Net zero Activity data'!AV6*'Net zero supporting data'!T113</f>
        <v>781565.21648502001</v>
      </c>
      <c r="U123">
        <f>'Net zero Activity data'!AW6*'Net zero supporting data'!U113</f>
        <v>784539.8217110741</v>
      </c>
      <c r="V123">
        <f>'Net zero Activity data'!AX6*'Net zero supporting data'!V113</f>
        <v>786617.83169970661</v>
      </c>
      <c r="W123">
        <f>'Net zero Activity data'!AY6*'Net zero supporting data'!W113</f>
        <v>787785.81673858291</v>
      </c>
      <c r="X123">
        <f>'Net zero Activity data'!AZ6*'Net zero supporting data'!X113</f>
        <v>788030.80206129234</v>
      </c>
      <c r="Y123">
        <f>'Net zero Activity data'!BA6*'Net zero supporting data'!Y113</f>
        <v>787350.4182262352</v>
      </c>
      <c r="Z123">
        <f>'Net zero Activity data'!BB6*'Net zero supporting data'!Z113</f>
        <v>785748.53871901683</v>
      </c>
      <c r="AA123">
        <f>'Net zero Activity data'!BC6*'Net zero supporting data'!AA113</f>
        <v>248597.25016931182</v>
      </c>
      <c r="AB123">
        <f>'Net zero Activity data'!BD6*'Net zero supporting data'!AB113</f>
        <v>248778.72199001632</v>
      </c>
      <c r="AC123">
        <f>'Net zero Activity data'!BE6*'Net zero supporting data'!AC113</f>
        <v>248947.13027101976</v>
      </c>
      <c r="AD123">
        <f>'Net zero Activity data'!BF6*'Net zero supporting data'!AD113</f>
        <v>249103.61423633789</v>
      </c>
      <c r="AE123">
        <f>'Net zero Activity data'!BG6*'Net zero supporting data'!AE113</f>
        <v>249249.57717120327</v>
      </c>
      <c r="AF123">
        <f>'Net zero Activity data'!BH6*'Net zero supporting data'!AF113</f>
        <v>249380.4380081585</v>
      </c>
      <c r="AG123">
        <f>'Net zero Activity data'!BI6*'Net zero supporting data'!AG113</f>
        <v>249493.12038405842</v>
      </c>
      <c r="AH123">
        <f>'Net zero Activity data'!BJ6*'Net zero supporting data'!AH113</f>
        <v>249587.13096781506</v>
      </c>
      <c r="AI123">
        <f>'Net zero Activity data'!BK6*'Net zero supporting data'!AI113</f>
        <v>249658.97919099432</v>
      </c>
      <c r="AJ123">
        <f>'Net zero Activity data'!BL6*'Net zero supporting data'!AJ113</f>
        <v>249704.87538774771</v>
      </c>
      <c r="AK123">
        <f>'Net zero Activity data'!BM6*'Net zero supporting data'!AK113</f>
        <v>249724.35148148733</v>
      </c>
      <c r="AL123">
        <f>'Net zero Activity data'!BN6*'Net zero supporting data'!AL113</f>
        <v>249717.94574789217</v>
      </c>
      <c r="AM123">
        <f>'Net zero Activity data'!BO6*'Net zero supporting data'!AM113</f>
        <v>249686.03357215039</v>
      </c>
      <c r="AN123">
        <f>'Net zero Activity data'!BP6*'Net zero supporting data'!AN113</f>
        <v>249625.05057043547</v>
      </c>
    </row>
    <row r="124" spans="1:40" x14ac:dyDescent="0.25">
      <c r="A124" t="s">
        <v>1081</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37120.954700769442</v>
      </c>
      <c r="L124">
        <f>'Net zero Activity data'!AN7*'Net zero supporting data'!L114</f>
        <v>127739.14241421514</v>
      </c>
      <c r="M124">
        <f>'Net zero Activity data'!AO7*'Net zero supporting data'!M114</f>
        <v>193918.46723018843</v>
      </c>
      <c r="N124">
        <f>'Net zero Activity data'!AP7*'Net zero supporting data'!N114</f>
        <v>261502.54585934841</v>
      </c>
      <c r="O124">
        <f>'Net zero Activity data'!AQ7*'Net zero supporting data'!O114</f>
        <v>330327.45833420282</v>
      </c>
      <c r="P124">
        <f>'Net zero Activity data'!AR7*'Net zero supporting data'!P114</f>
        <v>400143.79162790236</v>
      </c>
      <c r="Q124">
        <f>'Net zero Activity data'!AS7*'Net zero supporting data'!Q114</f>
        <v>470736.96501391416</v>
      </c>
      <c r="R124">
        <f>'Net zero Activity data'!AT7*'Net zero supporting data'!R114</f>
        <v>541878.093312143</v>
      </c>
      <c r="S124">
        <f>'Net zero Activity data'!AU7*'Net zero supporting data'!S114</f>
        <v>613332.4074555008</v>
      </c>
      <c r="T124">
        <f>'Net zero Activity data'!AV7*'Net zero supporting data'!T114</f>
        <v>684860.39253859769</v>
      </c>
      <c r="U124">
        <f>'Net zero Activity data'!AW7*'Net zero supporting data'!U114</f>
        <v>687466.94316264521</v>
      </c>
      <c r="V124">
        <f>'Net zero Activity data'!AX7*'Net zero supporting data'!V114</f>
        <v>689287.83629670041</v>
      </c>
      <c r="W124">
        <f>'Net zero Activity data'!AY7*'Net zero supporting data'!W114</f>
        <v>690311.30391697341</v>
      </c>
      <c r="X124">
        <f>'Net zero Activity data'!AZ7*'Net zero supporting data'!X114</f>
        <v>690525.97665411432</v>
      </c>
      <c r="Y124">
        <f>'Net zero Activity data'!BA7*'Net zero supporting data'!Y114</f>
        <v>689929.77824286744</v>
      </c>
      <c r="Z124">
        <f>'Net zero Activity data'!BB7*'Net zero supporting data'!Z114</f>
        <v>688526.10289374308</v>
      </c>
      <c r="AA124">
        <f>'Net zero Activity data'!BC7*'Net zero supporting data'!AA114</f>
        <v>217837.75268385946</v>
      </c>
      <c r="AB124">
        <f>'Net zero Activity data'!BD7*'Net zero supporting data'!AB114</f>
        <v>217996.77058760056</v>
      </c>
      <c r="AC124">
        <f>'Net zero Activity data'!BE7*'Net zero supporting data'!AC114</f>
        <v>218144.34133282056</v>
      </c>
      <c r="AD124">
        <f>'Net zero Activity data'!BF7*'Net zero supporting data'!AD114</f>
        <v>218281.46318478294</v>
      </c>
      <c r="AE124">
        <f>'Net zero Activity data'!BG7*'Net zero supporting data'!AE114</f>
        <v>218409.36579707879</v>
      </c>
      <c r="AF124">
        <f>'Net zero Activity data'!BH7*'Net zero supporting data'!AF114</f>
        <v>218524.03492804154</v>
      </c>
      <c r="AG124">
        <f>'Net zero Activity data'!BI7*'Net zero supporting data'!AG114</f>
        <v>218622.77485986464</v>
      </c>
      <c r="AH124">
        <f>'Net zero Activity data'!BJ7*'Net zero supporting data'!AH114</f>
        <v>218705.15330242622</v>
      </c>
      <c r="AI124">
        <f>'Net zero Activity data'!BK7*'Net zero supporting data'!AI114</f>
        <v>218768.11158318367</v>
      </c>
      <c r="AJ124">
        <f>'Net zero Activity data'!BL7*'Net zero supporting data'!AJ114</f>
        <v>218808.32894017655</v>
      </c>
      <c r="AK124">
        <f>'Net zero Activity data'!BM7*'Net zero supporting data'!AK114</f>
        <v>218825.39521298694</v>
      </c>
      <c r="AL124">
        <f>'Net zero Activity data'!BN7*'Net zero supporting data'!AL114</f>
        <v>218819.78207523216</v>
      </c>
      <c r="AM124">
        <f>'Net zero Activity data'!BO7*'Net zero supporting data'!AM114</f>
        <v>218791.81846484583</v>
      </c>
      <c r="AN124">
        <f>'Net zero Activity data'!BP7*'Net zero supporting data'!AN114</f>
        <v>218738.38102723766</v>
      </c>
    </row>
    <row r="125" spans="1:40" x14ac:dyDescent="0.25">
      <c r="A125" t="s">
        <v>1018</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296348.9516686736</v>
      </c>
      <c r="L125">
        <f>'Net zero Activity data'!AN8*'Net zero supporting data'!L115</f>
        <v>1868003.399265253</v>
      </c>
      <c r="M125">
        <f>'Net zero Activity data'!AO8*'Net zero supporting data'!M115</f>
        <v>2815520.2320608469</v>
      </c>
      <c r="N125">
        <f>'Net zero Activity data'!AP8*'Net zero supporting data'!N115</f>
        <v>3765559.8451633998</v>
      </c>
      <c r="O125">
        <f>'Net zero Activity data'!AQ8*'Net zero supporting data'!O115</f>
        <v>4713253.8209416084</v>
      </c>
      <c r="P125">
        <f>'Net zero Activity data'!AR8*'Net zero supporting data'!P115</f>
        <v>5653895.1677137362</v>
      </c>
      <c r="Q125">
        <f>'Net zero Activity data'!AS8*'Net zero supporting data'!Q115</f>
        <v>6582584.3990976475</v>
      </c>
      <c r="R125">
        <f>'Net zero Activity data'!AT8*'Net zero supporting data'!R115</f>
        <v>7494448.0914876657</v>
      </c>
      <c r="S125">
        <f>'Net zero Activity data'!AU8*'Net zero supporting data'!S115</f>
        <v>8384663.197690337</v>
      </c>
      <c r="T125">
        <f>'Net zero Activity data'!AV8*'Net zero supporting data'!T115</f>
        <v>9248505.386167828</v>
      </c>
      <c r="U125">
        <f>'Net zero Activity data'!AW8*'Net zero supporting data'!U115</f>
        <v>9087904.2232909687</v>
      </c>
      <c r="V125">
        <f>'Net zero Activity data'!AX8*'Net zero supporting data'!V115</f>
        <v>8912175.4466943182</v>
      </c>
      <c r="W125">
        <f>'Net zero Activity data'!AY8*'Net zero supporting data'!W115</f>
        <v>8722108.6406547409</v>
      </c>
      <c r="X125">
        <f>'Net zero Activity data'!AZ8*'Net zero supporting data'!X115</f>
        <v>8518583.1086808033</v>
      </c>
      <c r="Y125">
        <f>'Net zero Activity data'!BA8*'Net zero supporting data'!Y115</f>
        <v>8302534.9443881949</v>
      </c>
      <c r="Z125">
        <f>'Net zero Activity data'!BB8*'Net zero supporting data'!Z115</f>
        <v>8074960.953435082</v>
      </c>
      <c r="AA125">
        <f>'Net zero Activity data'!BC8*'Net zero supporting data'!AA115</f>
        <v>-623493.51762527658</v>
      </c>
      <c r="AB125">
        <f>'Net zero Activity data'!BD8*'Net zero supporting data'!AB115</f>
        <v>-608481.59548307722</v>
      </c>
      <c r="AC125">
        <f>'Net zero Activity data'!BE8*'Net zero supporting data'!AC115</f>
        <v>-593625.86472991633</v>
      </c>
      <c r="AD125">
        <f>'Net zero Activity data'!BF8*'Net zero supporting data'!AD115</f>
        <v>-578924.79104282684</v>
      </c>
      <c r="AE125">
        <f>'Net zero Activity data'!BG8*'Net zero supporting data'!AE115</f>
        <v>-567256.93717229774</v>
      </c>
      <c r="AF125">
        <f>'Net zero Activity data'!BH8*'Net zero supporting data'!AF115</f>
        <v>-555699.76565688662</v>
      </c>
      <c r="AG125">
        <f>'Net zero Activity data'!BI8*'Net zero supporting data'!AG115</f>
        <v>-544244.68059651041</v>
      </c>
      <c r="AH125">
        <f>'Net zero Activity data'!BJ8*'Net zero supporting data'!AH115</f>
        <v>-532888.84449437482</v>
      </c>
      <c r="AI125">
        <f>'Net zero Activity data'!BK8*'Net zero supporting data'!AI115</f>
        <v>-521623.95509562048</v>
      </c>
      <c r="AJ125">
        <f>'Net zero Activity data'!BL8*'Net zero supporting data'!AJ115</f>
        <v>-510441.88200569386</v>
      </c>
      <c r="AK125">
        <f>'Net zero Activity data'!BM8*'Net zero supporting data'!AK115</f>
        <v>-499341.31943562679</v>
      </c>
      <c r="AL125">
        <f>'Net zero Activity data'!BN8*'Net zero supporting data'!AL115</f>
        <v>-488322.95319244178</v>
      </c>
      <c r="AM125">
        <f>'Net zero Activity data'!BO8*'Net zero supporting data'!AM115</f>
        <v>-477387.2039825524</v>
      </c>
      <c r="AN125">
        <f>'Net zero Activity data'!BP8*'Net zero supporting data'!AN115</f>
        <v>-466527.79073204647</v>
      </c>
    </row>
    <row r="126" spans="1:40" x14ac:dyDescent="0.25">
      <c r="A126" t="s">
        <v>1083</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262800.01374391804</v>
      </c>
      <c r="L126">
        <f>'Net zero Activity data'!AN9*'Net zero supporting data'!L116</f>
        <v>1656531.3163295637</v>
      </c>
      <c r="M126">
        <f>'Net zero Activity data'!AO9*'Net zero supporting data'!M116</f>
        <v>2496782.0925822607</v>
      </c>
      <c r="N126">
        <f>'Net zero Activity data'!AP9*'Net zero supporting data'!N116</f>
        <v>3339270.0513713164</v>
      </c>
      <c r="O126">
        <f>'Net zero Activity data'!AQ9*'Net zero supporting data'!O116</f>
        <v>4179677.9166840669</v>
      </c>
      <c r="P126">
        <f>'Net zero Activity data'!AR9*'Net zero supporting data'!P116</f>
        <v>5013831.5638216147</v>
      </c>
      <c r="Q126">
        <f>'Net zero Activity data'!AS9*'Net zero supporting data'!Q116</f>
        <v>5837386.1652375367</v>
      </c>
      <c r="R126">
        <f>'Net zero Activity data'!AT9*'Net zero supporting data'!R116</f>
        <v>6646020.0056588734</v>
      </c>
      <c r="S126">
        <f>'Net zero Activity data'!AU9*'Net zero supporting data'!S116</f>
        <v>7435456.043234827</v>
      </c>
      <c r="T126">
        <f>'Net zero Activity data'!AV9*'Net zero supporting data'!T116</f>
        <v>8201504.7764129788</v>
      </c>
      <c r="U126">
        <f>'Net zero Activity data'!AW9*'Net zero supporting data'!U116</f>
        <v>8059084.8772580298</v>
      </c>
      <c r="V126">
        <f>'Net zero Activity data'!AX9*'Net zero supporting data'!V116</f>
        <v>7903249.9244270381</v>
      </c>
      <c r="W126">
        <f>'Net zero Activity data'!AY9*'Net zero supporting data'!W116</f>
        <v>7734700.1152976006</v>
      </c>
      <c r="X126">
        <f>'Net zero Activity data'!AZ9*'Net zero supporting data'!X116</f>
        <v>7554215.2095848629</v>
      </c>
      <c r="Y126">
        <f>'Net zero Activity data'!BA9*'Net zero supporting data'!Y116</f>
        <v>7362625.3280423619</v>
      </c>
      <c r="Z126">
        <f>'Net zero Activity data'!BB9*'Net zero supporting data'!Z116</f>
        <v>7160814.4304046948</v>
      </c>
      <c r="AA126">
        <f>'Net zero Activity data'!BC9*'Net zero supporting data'!AA116</f>
        <v>-552909.34581864148</v>
      </c>
      <c r="AB126">
        <f>'Net zero Activity data'!BD9*'Net zero supporting data'!AB116</f>
        <v>-539596.88656046463</v>
      </c>
      <c r="AC126">
        <f>'Net zero Activity data'!BE9*'Net zero supporting data'!AC116</f>
        <v>-526422.93664728419</v>
      </c>
      <c r="AD126">
        <f>'Net zero Activity data'!BF9*'Net zero supporting data'!AD116</f>
        <v>-513386.13545307284</v>
      </c>
      <c r="AE126">
        <f>'Net zero Activity data'!BG9*'Net zero supporting data'!AE116</f>
        <v>-503039.17069996212</v>
      </c>
      <c r="AF126">
        <f>'Net zero Activity data'!BH9*'Net zero supporting data'!AF116</f>
        <v>-492790.35822403146</v>
      </c>
      <c r="AG126">
        <f>'Net zero Activity data'!BI9*'Net zero supporting data'!AG116</f>
        <v>-482632.07524596201</v>
      </c>
      <c r="AH126">
        <f>'Net zero Activity data'!BJ9*'Net zero supporting data'!AH116</f>
        <v>-472561.80549501162</v>
      </c>
      <c r="AI126">
        <f>'Net zero Activity data'!BK9*'Net zero supporting data'!AI116</f>
        <v>-462572.18659422948</v>
      </c>
      <c r="AJ126">
        <f>'Net zero Activity data'!BL9*'Net zero supporting data'!AJ116</f>
        <v>-452656.00857108703</v>
      </c>
      <c r="AK126">
        <f>'Net zero Activity data'!BM9*'Net zero supporting data'!AK116</f>
        <v>-442812.11346178217</v>
      </c>
      <c r="AL126">
        <f>'Net zero Activity data'!BN9*'Net zero supporting data'!AL116</f>
        <v>-433041.10943480686</v>
      </c>
      <c r="AM126">
        <f>'Net zero Activity data'!BO9*'Net zero supporting data'!AM116</f>
        <v>-423343.36956943327</v>
      </c>
      <c r="AN126">
        <f>'Net zero Activity data'!BP9*'Net zero supporting data'!AN116</f>
        <v>-413713.32385672035</v>
      </c>
    </row>
    <row r="127" spans="1:40" x14ac:dyDescent="0.25">
      <c r="A127" t="s">
        <v>1084</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54053.521492810258</v>
      </c>
      <c r="L127">
        <f>'Net zero Activity data'!AN10*'Net zero supporting data'!L117</f>
        <v>348816.6471980862</v>
      </c>
      <c r="M127">
        <f>'Net zero Activity data'!AO10*'Net zero supporting data'!M117</f>
        <v>538082.66789622186</v>
      </c>
      <c r="N127">
        <f>'Net zero Activity data'!AP10*'Net zero supporting data'!N117</f>
        <v>736331.74206282338</v>
      </c>
      <c r="O127">
        <f>'Net zero Activity data'!AQ10*'Net zero supporting data'!O117</f>
        <v>942781.58917674678</v>
      </c>
      <c r="P127">
        <f>'Net zero Activity data'!AR10*'Net zero supporting data'!P117</f>
        <v>1156607.31849754</v>
      </c>
      <c r="Q127">
        <f>'Net zero Activity data'!AS10*'Net zero supporting data'!Q117</f>
        <v>1376867.9952165887</v>
      </c>
      <c r="R127">
        <f>'Net zero Activity data'!AT10*'Net zero supporting data'!R117</f>
        <v>1602545.6714009116</v>
      </c>
      <c r="S127">
        <f>'Net zero Activity data'!AU10*'Net zero supporting data'!S117</f>
        <v>1832547.7768723331</v>
      </c>
      <c r="T127">
        <f>'Net zero Activity data'!AV10*'Net zero supporting data'!T117</f>
        <v>2065715.385483067</v>
      </c>
      <c r="U127">
        <f>'Net zero Activity data'!AW10*'Net zero supporting data'!U117</f>
        <v>2097159.1721326988</v>
      </c>
      <c r="V127">
        <f>'Net zero Activity data'!AX10*'Net zero supporting data'!V117</f>
        <v>2124940.7540261778</v>
      </c>
      <c r="W127">
        <f>'Net zero Activity data'!AY10*'Net zero supporting data'!W117</f>
        <v>2148897.5119056888</v>
      </c>
      <c r="X127">
        <f>'Net zero Activity data'!AZ10*'Net zero supporting data'!X117</f>
        <v>2168888.2835096954</v>
      </c>
      <c r="Y127">
        <f>'Net zero Activity data'!BA10*'Net zero supporting data'!Y117</f>
        <v>2184788.4525727537</v>
      </c>
      <c r="Z127">
        <f>'Net zero Activity data'!BB10*'Net zero supporting data'!Z117</f>
        <v>2196493.750914542</v>
      </c>
      <c r="AA127">
        <f>'Net zero Activity data'!BC10*'Net zero supporting data'!AA117</f>
        <v>-175340.8551452455</v>
      </c>
      <c r="AB127">
        <f>'Net zero Activity data'!BD10*'Net zero supporting data'!AB117</f>
        <v>-176945.64907829752</v>
      </c>
      <c r="AC127">
        <f>'Net zero Activity data'!BE10*'Net zero supporting data'!AC117</f>
        <v>-178539.83135809252</v>
      </c>
      <c r="AD127">
        <f>'Net zero Activity data'!BF10*'Net zero supporting data'!AD117</f>
        <v>-180124.19600524363</v>
      </c>
      <c r="AE127">
        <f>'Net zero Activity data'!BG10*'Net zero supporting data'!AE117</f>
        <v>-181473.72678679231</v>
      </c>
      <c r="AF127">
        <f>'Net zero Activity data'!BH10*'Net zero supporting data'!AF117</f>
        <v>-182809.76334447818</v>
      </c>
      <c r="AG127">
        <f>'Net zero Activity data'!BI10*'Net zero supporting data'!AG117</f>
        <v>-184130.26082172868</v>
      </c>
      <c r="AH127">
        <f>'Net zero Activity data'!BJ10*'Net zero supporting data'!AH117</f>
        <v>-185434.85605128281</v>
      </c>
      <c r="AI127">
        <f>'Net zero Activity data'!BK10*'Net zero supporting data'!AI117</f>
        <v>-186721.11481993878</v>
      </c>
      <c r="AJ127">
        <f>'Net zero Activity data'!BL10*'Net zero supporting data'!AJ117</f>
        <v>-187986.31989192509</v>
      </c>
      <c r="AK127">
        <f>'Net zero Activity data'!BM10*'Net zero supporting data'!AK117</f>
        <v>-189229.97494516624</v>
      </c>
      <c r="AL127">
        <f>'Net zero Activity data'!BN10*'Net zero supporting data'!AL117</f>
        <v>-190452.26798990092</v>
      </c>
      <c r="AM127">
        <f>'Net zero Activity data'!BO10*'Net zero supporting data'!AM117</f>
        <v>-191653.27423060054</v>
      </c>
      <c r="AN127">
        <f>'Net zero Activity data'!BP10*'Net zero supporting data'!AN117</f>
        <v>-192830.28217410052</v>
      </c>
    </row>
    <row r="128" spans="1:40" x14ac:dyDescent="0.25">
      <c r="A128" t="s">
        <v>1019</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1158463.2191164205</v>
      </c>
      <c r="L128">
        <f>'Net zero Activity data'!AN11*'Net zero supporting data'!L118</f>
        <v>2347104.6083953897</v>
      </c>
      <c r="M128">
        <f>'Net zero Activity data'!AO11*'Net zero supporting data'!M118</f>
        <v>3521761.1719546178</v>
      </c>
      <c r="N128">
        <f>'Net zero Activity data'!AP11*'Net zero supporting data'!N118</f>
        <v>4701979.4843516983</v>
      </c>
      <c r="O128">
        <f>'Net zero Activity data'!AQ11*'Net zero supporting data'!O118</f>
        <v>5888854.1038717749</v>
      </c>
      <c r="P128">
        <f>'Net zero Activity data'!AR11*'Net zero supporting data'!P118</f>
        <v>7079310.6002308233</v>
      </c>
      <c r="Q128">
        <f>'Net zero Activity data'!AS11*'Net zero supporting data'!Q118</f>
        <v>8273047.2054905305</v>
      </c>
      <c r="R128">
        <f>'Net zero Activity data'!AT11*'Net zero supporting data'!R118</f>
        <v>9469573.0268815234</v>
      </c>
      <c r="S128">
        <f>'Net zero Activity data'!AU11*'Net zero supporting data'!S118</f>
        <v>10668598.549000913</v>
      </c>
      <c r="T128">
        <f>'Net zero Activity data'!AV11*'Net zero supporting data'!T118</f>
        <v>11869993.537190631</v>
      </c>
      <c r="U128">
        <f>'Net zero Activity data'!AW11*'Net zero supporting data'!U118</f>
        <v>11884936.660714883</v>
      </c>
      <c r="V128">
        <f>'Net zero Activity data'!AX11*'Net zero supporting data'!V118</f>
        <v>11899066.766203053</v>
      </c>
      <c r="W128">
        <f>'Net zero Activity data'!AY11*'Net zero supporting data'!W118</f>
        <v>11912418.057808494</v>
      </c>
      <c r="X128">
        <f>'Net zero Activity data'!AZ11*'Net zero supporting data'!X118</f>
        <v>11924807.540688178</v>
      </c>
      <c r="Y128">
        <f>'Net zero Activity data'!BA11*'Net zero supporting data'!Y118</f>
        <v>11936348.550970752</v>
      </c>
      <c r="Z128">
        <f>'Net zero Activity data'!BB11*'Net zero supporting data'!Z118</f>
        <v>11947225.206555303</v>
      </c>
      <c r="AA128">
        <f>'Net zero Activity data'!BC11*'Net zero supporting data'!AA118</f>
        <v>11685029.465321684</v>
      </c>
      <c r="AB128">
        <f>'Net zero Activity data'!BD11*'Net zero supporting data'!AB118</f>
        <v>11695774.908522462</v>
      </c>
      <c r="AC128">
        <f>'Net zero Activity data'!BE11*'Net zero supporting data'!AC118</f>
        <v>11705797.641211608</v>
      </c>
      <c r="AD128">
        <f>'Net zero Activity data'!BF11*'Net zero supporting data'!AD118</f>
        <v>11715158.917180851</v>
      </c>
      <c r="AE128">
        <f>'Net zero Activity data'!BG11*'Net zero supporting data'!AE118</f>
        <v>11723933.197682183</v>
      </c>
      <c r="AF128">
        <f>'Net zero Activity data'!BH11*'Net zero supporting data'!AF118</f>
        <v>11731889.683471246</v>
      </c>
      <c r="AG128">
        <f>'Net zero Activity data'!BI11*'Net zero supporting data'!AG118</f>
        <v>11738874.244300159</v>
      </c>
      <c r="AH128">
        <f>'Net zero Activity data'!BJ11*'Net zero supporting data'!AH118</f>
        <v>11744864.304820804</v>
      </c>
      <c r="AI128">
        <f>'Net zero Activity data'!BK11*'Net zero supporting data'!AI118</f>
        <v>11749684.467349339</v>
      </c>
      <c r="AJ128">
        <f>'Net zero Activity data'!BL11*'Net zero supporting data'!AJ118</f>
        <v>11753144.079401281</v>
      </c>
      <c r="AK128">
        <f>'Net zero Activity data'!BM11*'Net zero supporting data'!AK118</f>
        <v>11755221.641046496</v>
      </c>
      <c r="AL128">
        <f>'Net zero Activity data'!BN11*'Net zero supporting data'!AL118</f>
        <v>11755946.786682129</v>
      </c>
      <c r="AM128">
        <f>'Net zero Activity data'!BO11*'Net zero supporting data'!AM118</f>
        <v>11755340.727026084</v>
      </c>
      <c r="AN128">
        <f>'Net zero Activity data'!BP11*'Net zero supporting data'!AN118</f>
        <v>11753224.014936166</v>
      </c>
    </row>
    <row r="129" spans="1:40" x14ac:dyDescent="0.25">
      <c r="A129" t="s">
        <v>1085</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115402.46627213387</v>
      </c>
      <c r="L129">
        <f>'Net zero Activity data'!AN12*'Net zero supporting data'!L119</f>
        <v>233811.1870432189</v>
      </c>
      <c r="M129">
        <f>'Net zero Activity data'!AO12*'Net zero supporting data'!M119</f>
        <v>350826.78341310372</v>
      </c>
      <c r="N129">
        <f>'Net zero Activity data'!AP12*'Net zero supporting data'!N119</f>
        <v>468396.42372852168</v>
      </c>
      <c r="O129">
        <f>'Net zero Activity data'!AQ12*'Net zero supporting data'!O119</f>
        <v>586629.14444699674</v>
      </c>
      <c r="P129">
        <f>'Net zero Activity data'!AR12*'Net zero supporting data'!P119</f>
        <v>705218.68048276415</v>
      </c>
      <c r="Q129">
        <f>'Net zero Activity data'!AS12*'Net zero supporting data'!Q119</f>
        <v>824134.97066189197</v>
      </c>
      <c r="R129">
        <f>'Net zero Activity data'!AT12*'Net zero supporting data'!R119</f>
        <v>943329.11378896423</v>
      </c>
      <c r="S129">
        <f>'Net zero Activity data'!AU12*'Net zero supporting data'!S119</f>
        <v>1062772.2692491331</v>
      </c>
      <c r="T129">
        <f>'Net zero Activity data'!AV12*'Net zero supporting data'!T119</f>
        <v>1182451.4634749291</v>
      </c>
      <c r="U129">
        <f>'Net zero Activity data'!AW12*'Net zero supporting data'!U119</f>
        <v>1183940.0504926706</v>
      </c>
      <c r="V129">
        <f>'Net zero Activity data'!AX12*'Net zero supporting data'!V119</f>
        <v>1185347.647207967</v>
      </c>
      <c r="W129">
        <f>'Net zero Activity data'!AY12*'Net zero supporting data'!W119</f>
        <v>1186677.6609311146</v>
      </c>
      <c r="X129">
        <f>'Net zero Activity data'!AZ12*'Net zero supporting data'!X119</f>
        <v>1187911.8622907763</v>
      </c>
      <c r="Y129">
        <f>'Net zero Activity data'!BA12*'Net zero supporting data'!Y119</f>
        <v>1189061.5414760138</v>
      </c>
      <c r="Z129">
        <f>'Net zero Activity data'!BB12*'Net zero supporting data'!Z119</f>
        <v>1190145.0397334786</v>
      </c>
      <c r="AA129">
        <f>'Net zero Activity data'!BC12*'Net zero supporting data'!AA119</f>
        <v>1164025.9237485204</v>
      </c>
      <c r="AB129">
        <f>'Net zero Activity data'!BD12*'Net zero supporting data'!AB119</f>
        <v>1165096.3510405521</v>
      </c>
      <c r="AC129">
        <f>'Net zero Activity data'!BE12*'Net zero supporting data'!AC119</f>
        <v>1166094.7841819993</v>
      </c>
      <c r="AD129">
        <f>'Net zero Activity data'!BF12*'Net zero supporting data'!AD119</f>
        <v>1167027.3250831501</v>
      </c>
      <c r="AE129">
        <f>'Net zero Activity data'!BG12*'Net zero supporting data'!AE119</f>
        <v>1167901.3913399877</v>
      </c>
      <c r="AF129">
        <f>'Net zero Activity data'!BH12*'Net zero supporting data'!AF119</f>
        <v>1168693.9914569058</v>
      </c>
      <c r="AG129">
        <f>'Net zero Activity data'!BI12*'Net zero supporting data'!AG119</f>
        <v>1169389.7714628512</v>
      </c>
      <c r="AH129">
        <f>'Net zero Activity data'!BJ12*'Net zero supporting data'!AH119</f>
        <v>1169986.4824725706</v>
      </c>
      <c r="AI129">
        <f>'Net zero Activity data'!BK12*'Net zero supporting data'!AI119</f>
        <v>1170466.6519198578</v>
      </c>
      <c r="AJ129">
        <f>'Net zero Activity data'!BL12*'Net zero supporting data'!AJ119</f>
        <v>1170811.2876031927</v>
      </c>
      <c r="AK129">
        <f>'Net zero Activity data'!BM12*'Net zero supporting data'!AK119</f>
        <v>1171018.247767084</v>
      </c>
      <c r="AL129">
        <f>'Net zero Activity data'!BN12*'Net zero supporting data'!AL119</f>
        <v>1171090.4844970703</v>
      </c>
      <c r="AM129">
        <f>'Net zero Activity data'!BO12*'Net zero supporting data'!AM119</f>
        <v>1171030.1107382309</v>
      </c>
      <c r="AN129">
        <f>'Net zero Activity data'!BP12*'Net zero supporting data'!AN119</f>
        <v>1170819.2505300394</v>
      </c>
    </row>
    <row r="130" spans="1:40" x14ac:dyDescent="0.25">
      <c r="A130" t="s">
        <v>1086</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89083.256293692219</v>
      </c>
      <c r="V130">
        <f>'Net zero Activity data'!AX13*'Net zero supporting data'!V120</f>
        <v>178478.43931982759</v>
      </c>
      <c r="W130">
        <f>'Net zero Activity data'!AY13*'Net zero supporting data'!W120</f>
        <v>268151.23539648007</v>
      </c>
      <c r="X130">
        <f>'Net zero Activity data'!AZ13*'Net zero supporting data'!X120</f>
        <v>358060.27247499372</v>
      </c>
      <c r="Y130">
        <f>'Net zero Activity data'!BA13*'Net zero supporting data'!Y120</f>
        <v>448173.21486720815</v>
      </c>
      <c r="Z130">
        <f>'Net zero Activity data'!BB13*'Net zero supporting data'!Z120</f>
        <v>538468.0001387248</v>
      </c>
      <c r="AA130">
        <f>'Net zero Activity data'!BC13*'Net zero supporting data'!AA120</f>
        <v>608269.80229125568</v>
      </c>
      <c r="AB130">
        <f>'Net zero Activity data'!BD13*'Net zero supporting data'!AB120</f>
        <v>696043.99350916164</v>
      </c>
      <c r="AC130">
        <f>'Net zero Activity data'!BE13*'Net zero supporting data'!AC120</f>
        <v>783949.34309767256</v>
      </c>
      <c r="AD130">
        <f>'Net zero Activity data'!BF13*'Net zero supporting data'!AD120</f>
        <v>871964.45361177297</v>
      </c>
      <c r="AE130">
        <f>'Net zero Activity data'!BG13*'Net zero supporting data'!AE120</f>
        <v>872793.24668156751</v>
      </c>
      <c r="AF130">
        <f>'Net zero Activity data'!BH13*'Net zero supporting data'!AF120</f>
        <v>873517.6770632267</v>
      </c>
      <c r="AG130">
        <f>'Net zero Activity data'!BI13*'Net zero supporting data'!AG120</f>
        <v>874122.5249588904</v>
      </c>
      <c r="AH130">
        <f>'Net zero Activity data'!BJ13*'Net zero supporting data'!AH120</f>
        <v>874606.67922832223</v>
      </c>
      <c r="AI130">
        <f>'Net zero Activity data'!BK13*'Net zero supporting data'!AI120</f>
        <v>874952.65930972924</v>
      </c>
      <c r="AJ130">
        <f>'Net zero Activity data'!BL13*'Net zero supporting data'!AJ120</f>
        <v>875141.41877903603</v>
      </c>
      <c r="AK130">
        <f>'Net zero Activity data'!BM13*'Net zero supporting data'!AK120</f>
        <v>875171.98362450767</v>
      </c>
      <c r="AL130">
        <f>'Net zero Activity data'!BN13*'Net zero supporting data'!AL120</f>
        <v>875048.7682853021</v>
      </c>
      <c r="AM130">
        <f>'Net zero Activity data'!BO13*'Net zero supporting data'!AM120</f>
        <v>874775.21856163</v>
      </c>
      <c r="AN130">
        <f>'Net zero Activity data'!BP13*'Net zero supporting data'!AN120</f>
        <v>874333.46412021655</v>
      </c>
    </row>
    <row r="131" spans="1:40" x14ac:dyDescent="0.25">
      <c r="A131" t="s">
        <v>1087</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86463.160520348305</v>
      </c>
      <c r="V131">
        <f>'Net zero Activity data'!AX14*'Net zero supporting data'!V121</f>
        <v>173229.07345747971</v>
      </c>
      <c r="W131">
        <f>'Net zero Activity data'!AY14*'Net zero supporting data'!W121</f>
        <v>260264.43435540702</v>
      </c>
      <c r="X131">
        <f>'Net zero Activity data'!AZ14*'Net zero supporting data'!X121</f>
        <v>347529.08799043501</v>
      </c>
      <c r="Y131">
        <f>'Net zero Activity data'!BA14*'Net zero supporting data'!Y121</f>
        <v>434991.64972405491</v>
      </c>
      <c r="Z131">
        <f>'Net zero Activity data'!BB14*'Net zero supporting data'!Z121</f>
        <v>522630.70601699746</v>
      </c>
      <c r="AA131">
        <f>'Net zero Activity data'!BC14*'Net zero supporting data'!AA121</f>
        <v>590379.51398857159</v>
      </c>
      <c r="AB131">
        <f>'Net zero Activity data'!BD14*'Net zero supporting data'!AB121</f>
        <v>675572.11134712747</v>
      </c>
      <c r="AC131">
        <f>'Net zero Activity data'!BE14*'Net zero supporting data'!AC121</f>
        <v>760892.00947715272</v>
      </c>
      <c r="AD131">
        <f>'Net zero Activity data'!BF14*'Net zero supporting data'!AD121</f>
        <v>846318.4402702502</v>
      </c>
      <c r="AE131">
        <f>'Net zero Activity data'!BG14*'Net zero supporting data'!AE121</f>
        <v>847122.85707328608</v>
      </c>
      <c r="AF131">
        <f>'Net zero Activity data'!BH14*'Net zero supporting data'!AF121</f>
        <v>847825.980679014</v>
      </c>
      <c r="AG131">
        <f>'Net zero Activity data'!BI14*'Net zero supporting data'!AG121</f>
        <v>848413.03893068759</v>
      </c>
      <c r="AH131">
        <f>'Net zero Activity data'!BJ14*'Net zero supporting data'!AH121</f>
        <v>848882.95336866553</v>
      </c>
      <c r="AI131">
        <f>'Net zero Activity data'!BK14*'Net zero supporting data'!AI121</f>
        <v>849218.75756532536</v>
      </c>
      <c r="AJ131">
        <f>'Net zero Activity data'!BL14*'Net zero supporting data'!AJ121</f>
        <v>849401.96528553485</v>
      </c>
      <c r="AK131">
        <f>'Net zero Activity data'!BM14*'Net zero supporting data'!AK121</f>
        <v>849431.63116496324</v>
      </c>
      <c r="AL131">
        <f>'Net zero Activity data'!BN14*'Net zero supporting data'!AL121</f>
        <v>849312.03980632266</v>
      </c>
      <c r="AM131">
        <f>'Net zero Activity data'!BO14*'Net zero supporting data'!AM121</f>
        <v>849046.5356627584</v>
      </c>
      <c r="AN131">
        <f>'Net zero Activity data'!BP14*'Net zero supporting data'!AN121</f>
        <v>848617.7739990335</v>
      </c>
    </row>
    <row r="132" spans="1:40" x14ac:dyDescent="0.25">
      <c r="A132" t="s">
        <v>1098</v>
      </c>
      <c r="B132" s="11">
        <f>'Activity data'!AD5-'Net zero supporting data'!B122</f>
        <v>590059.9281599375</v>
      </c>
      <c r="C132" s="11">
        <f>'Activity data'!AE5-'Net zero supporting data'!C122</f>
        <v>593358.66490468499</v>
      </c>
      <c r="D132" s="11">
        <f>'Activity data'!AF5-'Net zero supporting data'!D122</f>
        <v>598039.0074127327</v>
      </c>
      <c r="E132" s="11">
        <f>'Activity data'!AG5-'Net zero supporting data'!E122</f>
        <v>601046.62603335571</v>
      </c>
      <c r="F132" s="11">
        <f>'Activity data'!AH5-'Net zero supporting data'!F122</f>
        <v>603045.20236245112</v>
      </c>
      <c r="G132" s="11">
        <f>'Activity data'!AI5-'Net zero supporting data'!G122</f>
        <v>604015.06594627828</v>
      </c>
      <c r="H132" s="11">
        <f>'Activity data'!AJ5-'Net zero supporting data'!H122</f>
        <v>606157.85554919671</v>
      </c>
      <c r="I132" s="11">
        <f>'Activity data'!AK5-'Net zero supporting data'!I122</f>
        <v>608615.99513645715</v>
      </c>
      <c r="J132" s="11">
        <f>'Activity data'!AL5-'Net zero supporting data'!J122</f>
        <v>591322.41163745022</v>
      </c>
      <c r="K132" s="11">
        <f>'Activity data'!AM5-'Net zero supporting data'!K122</f>
        <v>550369.7103204357</v>
      </c>
      <c r="L132" s="11">
        <f>'Activity data'!AN5-'Net zero supporting data'!L122</f>
        <v>858986.59424373833</v>
      </c>
      <c r="M132" s="11">
        <f>'Activity data'!AO5-'Net zero supporting data'!M122</f>
        <v>780312.35077579669</v>
      </c>
      <c r="N132" s="11">
        <f>'Activity data'!AP5-'Net zero supporting data'!N122</f>
        <v>699156.11219339666</v>
      </c>
      <c r="O132" s="11">
        <f>'Activity data'!AQ5-'Net zero supporting data'!O122</f>
        <v>615540.74990516971</v>
      </c>
      <c r="P132" s="11">
        <f>'Activity data'!AR5-'Net zero supporting data'!P122</f>
        <v>529511.26747056528</v>
      </c>
      <c r="Q132" s="11">
        <f>'Activity data'!AS5-'Net zero supporting data'!Q122</f>
        <v>441315.90470054466</v>
      </c>
      <c r="R132" s="11">
        <f>'Activity data'!AT5-'Net zero supporting data'!R122</f>
        <v>351217.28270231502</v>
      </c>
      <c r="S132" s="11">
        <f>'Activity data'!AU5-'Net zero supporting data'!S122</f>
        <v>259498.92239308113</v>
      </c>
      <c r="T132" s="11">
        <f>'Activity data'!AV5-'Net zero supporting data'!T122</f>
        <v>166459.12318646477</v>
      </c>
      <c r="U132" s="11">
        <f>'Activity data'!AW5-'Net zero supporting data'!U122</f>
        <v>167092.65979647625</v>
      </c>
      <c r="V132" s="11">
        <f>'Activity data'!AX5-'Net zero supporting data'!V122</f>
        <v>167535.23798878142</v>
      </c>
      <c r="W132" s="11">
        <f>'Activity data'!AY5-'Net zero supporting data'!W122</f>
        <v>167783.99747981993</v>
      </c>
      <c r="X132" s="11">
        <f>'Activity data'!AZ5-'Net zero supporting data'!X122</f>
        <v>167836.17488120834</v>
      </c>
      <c r="Y132" s="11">
        <f>'Activity data'!BA5-'Net zero supporting data'!Y122</f>
        <v>167691.26554514142</v>
      </c>
      <c r="Z132" s="11">
        <f>'Activity data'!BB5-'Net zero supporting data'!Z122</f>
        <v>167350.0944533404</v>
      </c>
      <c r="AA132" s="11">
        <f>'Activity data'!BC5-'Net zero supporting data'!AA122</f>
        <v>52946.675999549159</v>
      </c>
      <c r="AB132" s="11">
        <f>'Activity data'!BD5-'Net zero supporting data'!AB122</f>
        <v>52985.326184486272</v>
      </c>
      <c r="AC132" s="11">
        <f>'Activity data'!BE5-'Net zero supporting data'!AC122</f>
        <v>53021.194073949475</v>
      </c>
      <c r="AD132" s="11">
        <f>'Activity data'!BF5-'Net zero supporting data'!AD122</f>
        <v>53054.522301856952</v>
      </c>
      <c r="AE132" s="11">
        <f>'Activity data'!BG5-'Net zero supporting data'!AE122</f>
        <v>53085.609742345521</v>
      </c>
      <c r="AF132" s="11">
        <f>'Activity data'!BH5-'Net zero supporting data'!AF122</f>
        <v>53113.480711676762</v>
      </c>
      <c r="AG132" s="11">
        <f>'Activity data'!BI5-'Net zero supporting data'!AG122</f>
        <v>53137.48000066157</v>
      </c>
      <c r="AH132" s="11">
        <f>'Activity data'!BJ5-'Net zero supporting data'!AH122</f>
        <v>53157.502538784116</v>
      </c>
      <c r="AI132" s="11">
        <f>'Activity data'!BK5-'Net zero supporting data'!AI122</f>
        <v>53172.804898690491</v>
      </c>
      <c r="AJ132" s="11">
        <f>'Activity data'!BL5-'Net zero supporting data'!AJ122</f>
        <v>53182.579950737359</v>
      </c>
      <c r="AK132" s="11">
        <f>'Activity data'!BM5-'Net zero supporting data'!AK122</f>
        <v>53186.728003156546</v>
      </c>
      <c r="AL132" s="11">
        <f>'Activity data'!BN5-'Net zero supporting data'!AL122</f>
        <v>53185.363698841131</v>
      </c>
      <c r="AM132" s="11">
        <f>'Activity data'!BO5-'Net zero supporting data'!AM122</f>
        <v>53178.566987983359</v>
      </c>
      <c r="AN132" s="11">
        <f>'Activity data'!BP5-'Net zero supporting data'!AN122</f>
        <v>53165.578721898026</v>
      </c>
    </row>
    <row r="133" spans="1:40" x14ac:dyDescent="0.25">
      <c r="A133" t="s">
        <v>1099</v>
      </c>
      <c r="B133" s="11">
        <f>'Activity data'!AD6-'Net zero supporting data'!B123</f>
        <v>488906.79761823389</v>
      </c>
      <c r="C133" s="11">
        <f>'Activity data'!AE6-'Net zero supporting data'!C123</f>
        <v>491640.03663531045</v>
      </c>
      <c r="D133" s="11">
        <f>'Activity data'!AF6-'Net zero supporting data'!D123</f>
        <v>495518.03471340711</v>
      </c>
      <c r="E133" s="11">
        <f>'Activity data'!AG6-'Net zero supporting data'!E123</f>
        <v>498010.06157049473</v>
      </c>
      <c r="F133" s="11">
        <f>'Activity data'!AH6-'Net zero supporting data'!F123</f>
        <v>499666.02481460234</v>
      </c>
      <c r="G133" s="11">
        <f>'Activity data'!AI6-'Net zero supporting data'!G123</f>
        <v>500469.62606977345</v>
      </c>
      <c r="H133" s="11">
        <f>'Activity data'!AJ6-'Net zero supporting data'!H123</f>
        <v>502245.08031219151</v>
      </c>
      <c r="I133" s="11">
        <f>'Activity data'!AK6-'Net zero supporting data'!I123</f>
        <v>504281.82454163593</v>
      </c>
      <c r="J133" s="11">
        <f>'Activity data'!AL6-'Net zero supporting data'!J123</f>
        <v>489952.85535674449</v>
      </c>
      <c r="K133" s="11">
        <f>'Activity data'!AM6-'Net zero supporting data'!K123</f>
        <v>456020.61712264677</v>
      </c>
      <c r="L133" s="11">
        <f>'Activity data'!AN6-'Net zero supporting data'!L123</f>
        <v>711731.74951624032</v>
      </c>
      <c r="M133" s="11">
        <f>'Activity data'!AO6-'Net zero supporting data'!M123</f>
        <v>646544.51921423152</v>
      </c>
      <c r="N133" s="11">
        <f>'Activity data'!AP6-'Net zero supporting data'!N123</f>
        <v>579300.7786745287</v>
      </c>
      <c r="O133" s="11">
        <f>'Activity data'!AQ6-'Net zero supporting data'!O123</f>
        <v>510019.47849285475</v>
      </c>
      <c r="P133" s="11">
        <f>'Activity data'!AR6-'Net zero supporting data'!P123</f>
        <v>438737.90733275411</v>
      </c>
      <c r="Q133" s="11">
        <f>'Activity data'!AS6-'Net zero supporting data'!Q123</f>
        <v>365661.74960902275</v>
      </c>
      <c r="R133" s="11">
        <f>'Activity data'!AT6-'Net zero supporting data'!R123</f>
        <v>291008.60566763242</v>
      </c>
      <c r="S133" s="11">
        <f>'Activity data'!AU6-'Net zero supporting data'!S123</f>
        <v>215013.39283998148</v>
      </c>
      <c r="T133" s="11">
        <f>'Activity data'!AV6-'Net zero supporting data'!T123</f>
        <v>137923.27349735645</v>
      </c>
      <c r="U133" s="11">
        <f>'Activity data'!AW6-'Net zero supporting data'!U123</f>
        <v>138448.20383136603</v>
      </c>
      <c r="V133" s="11">
        <f>'Activity data'!AX6-'Net zero supporting data'!V123</f>
        <v>138814.91147641884</v>
      </c>
      <c r="W133" s="11">
        <f>'Activity data'!AY6-'Net zero supporting data'!W123</f>
        <v>139021.02648327942</v>
      </c>
      <c r="X133" s="11">
        <f>'Activity data'!AZ6-'Net zero supporting data'!X123</f>
        <v>139064.25918728695</v>
      </c>
      <c r="Y133" s="11">
        <f>'Activity data'!BA6-'Net zero supporting data'!Y123</f>
        <v>138944.19145168853</v>
      </c>
      <c r="Z133" s="11">
        <f>'Activity data'!BB6-'Net zero supporting data'!Z123</f>
        <v>138661.50683276774</v>
      </c>
      <c r="AA133" s="11">
        <f>'Activity data'!BC6-'Net zero supporting data'!AA123</f>
        <v>43870.102971055021</v>
      </c>
      <c r="AB133" s="11">
        <f>'Activity data'!BD6-'Net zero supporting data'!AB123</f>
        <v>43902.127410002897</v>
      </c>
      <c r="AC133" s="11">
        <f>'Activity data'!BE6-'Net zero supporting data'!AC123</f>
        <v>43931.846518415259</v>
      </c>
      <c r="AD133" s="11">
        <f>'Activity data'!BF6-'Net zero supporting data'!AD123</f>
        <v>43959.461335824337</v>
      </c>
      <c r="AE133" s="11">
        <f>'Activity data'!BG6-'Net zero supporting data'!AE123</f>
        <v>43985.219500800595</v>
      </c>
      <c r="AF133" s="11">
        <f>'Activity data'!BH6-'Net zero supporting data'!AF123</f>
        <v>44008.312589675043</v>
      </c>
      <c r="AG133" s="11">
        <f>'Activity data'!BI6-'Net zero supporting data'!AG123</f>
        <v>44028.197714833863</v>
      </c>
      <c r="AH133" s="11">
        <f>'Activity data'!BJ6-'Net zero supporting data'!AH123</f>
        <v>44044.787817849719</v>
      </c>
      <c r="AI133" s="11">
        <f>'Activity data'!BK6-'Net zero supporting data'!AI123</f>
        <v>44057.466916057834</v>
      </c>
      <c r="AJ133" s="11">
        <f>'Activity data'!BL6-'Net zero supporting data'!AJ123</f>
        <v>44065.566244896676</v>
      </c>
      <c r="AK133" s="11">
        <f>'Activity data'!BM6-'Net zero supporting data'!AK123</f>
        <v>44069.003202615422</v>
      </c>
      <c r="AL133" s="11">
        <f>'Activity data'!BN6-'Net zero supporting data'!AL123</f>
        <v>44067.872779039812</v>
      </c>
      <c r="AM133" s="11">
        <f>'Activity data'!BO6-'Net zero supporting data'!AM123</f>
        <v>44062.241218614799</v>
      </c>
      <c r="AN133" s="11">
        <f>'Activity data'!BP6-'Net zero supporting data'!AN123</f>
        <v>44051.479512429796</v>
      </c>
    </row>
    <row r="134" spans="1:40" x14ac:dyDescent="0.25">
      <c r="A134" t="s">
        <v>1100</v>
      </c>
      <c r="B134" s="11">
        <f>'Activity data'!AD7-'Net zero supporting data'!B124</f>
        <v>606918.78325022152</v>
      </c>
      <c r="C134" s="11">
        <f>'Activity data'!AE7-'Net zero supporting data'!C124</f>
        <v>610311.7696162475</v>
      </c>
      <c r="D134" s="11">
        <f>'Activity data'!AF7-'Net zero supporting data'!D124</f>
        <v>615125.83619595377</v>
      </c>
      <c r="E134" s="11">
        <f>'Activity data'!AG7-'Net zero supporting data'!E124</f>
        <v>618219.38677716604</v>
      </c>
      <c r="F134" s="11">
        <f>'Activity data'!AH7-'Net zero supporting data'!F124</f>
        <v>620275.0652870927</v>
      </c>
      <c r="G134" s="11">
        <f>'Activity data'!AI7-'Net zero supporting data'!G124</f>
        <v>621272.6392590293</v>
      </c>
      <c r="H134" s="11">
        <f>'Activity data'!AJ7-'Net zero supporting data'!H124</f>
        <v>623476.65142203099</v>
      </c>
      <c r="I134" s="11">
        <f>'Activity data'!AK7-'Net zero supporting data'!I124</f>
        <v>626005.02356892754</v>
      </c>
      <c r="J134" s="11">
        <f>'Activity data'!AL7-'Net zero supporting data'!J124</f>
        <v>608217.33768423472</v>
      </c>
      <c r="K134" s="11">
        <f>'Activity data'!AM7-'Net zero supporting data'!K124</f>
        <v>581561.62364538794</v>
      </c>
      <c r="L134" s="11">
        <f>'Activity data'!AN7-'Net zero supporting data'!L124</f>
        <v>936753.71103757771</v>
      </c>
      <c r="M134" s="11">
        <f>'Activity data'!AO7-'Net zero supporting data'!M124</f>
        <v>883406.35071530286</v>
      </c>
      <c r="N134" s="11">
        <f>'Activity data'!AP7-'Net zero supporting data'!N124</f>
        <v>828091.39522127004</v>
      </c>
      <c r="O134" s="11">
        <f>'Activity data'!AQ7-'Net zero supporting data'!O124</f>
        <v>770764.06944647315</v>
      </c>
      <c r="P134" s="11">
        <f>'Activity data'!AR7-'Net zero supporting data'!P124</f>
        <v>711366.74067182653</v>
      </c>
      <c r="Q134" s="11">
        <f>'Activity data'!AS7-'Net zero supporting data'!Q124</f>
        <v>650065.33263826242</v>
      </c>
      <c r="R134" s="11">
        <f>'Activity data'!AT7-'Net zero supporting data'!R124</f>
        <v>587034.60108815494</v>
      </c>
      <c r="S134" s="11">
        <f>'Activity data'!AU7-'Net zero supporting data'!S124</f>
        <v>522468.34709172288</v>
      </c>
      <c r="T134" s="11">
        <f>'Activity data'!AV7-'Net zero supporting data'!T124</f>
        <v>456573.59502573183</v>
      </c>
      <c r="U134" s="11">
        <f>'Activity data'!AW7-'Net zero supporting data'!U124</f>
        <v>458311.29544176348</v>
      </c>
      <c r="V134" s="11">
        <f>'Activity data'!AX7-'Net zero supporting data'!V124</f>
        <v>459525.22419780027</v>
      </c>
      <c r="W134" s="11">
        <f>'Activity data'!AY7-'Net zero supporting data'!W124</f>
        <v>460207.5359446489</v>
      </c>
      <c r="X134" s="11">
        <f>'Activity data'!AZ7-'Net zero supporting data'!X124</f>
        <v>460350.651102743</v>
      </c>
      <c r="Y134" s="11">
        <f>'Activity data'!BA7-'Net zero supporting data'!Y124</f>
        <v>459953.18549524504</v>
      </c>
      <c r="Z134" s="11">
        <f>'Activity data'!BB7-'Net zero supporting data'!Z124</f>
        <v>459017.40192916209</v>
      </c>
      <c r="AA134" s="11">
        <f>'Activity data'!BC7-'Net zero supporting data'!AA124</f>
        <v>145225.1684559063</v>
      </c>
      <c r="AB134" s="11">
        <f>'Activity data'!BD7-'Net zero supporting data'!AB124</f>
        <v>145331.18039173374</v>
      </c>
      <c r="AC134" s="11">
        <f>'Activity data'!BE7-'Net zero supporting data'!AC124</f>
        <v>145429.56088854707</v>
      </c>
      <c r="AD134" s="11">
        <f>'Activity data'!BF7-'Net zero supporting data'!AD124</f>
        <v>145520.97545652196</v>
      </c>
      <c r="AE134" s="11">
        <f>'Activity data'!BG7-'Net zero supporting data'!AE124</f>
        <v>145606.2438647192</v>
      </c>
      <c r="AF134" s="11">
        <f>'Activity data'!BH7-'Net zero supporting data'!AF124</f>
        <v>145682.68995202772</v>
      </c>
      <c r="AG134" s="11">
        <f>'Activity data'!BI7-'Net zero supporting data'!AG124</f>
        <v>145748.51657324311</v>
      </c>
      <c r="AH134" s="11">
        <f>'Activity data'!BJ7-'Net zero supporting data'!AH124</f>
        <v>145803.43553495081</v>
      </c>
      <c r="AI134" s="11">
        <f>'Activity data'!BK7-'Net zero supporting data'!AI124</f>
        <v>145845.40772212247</v>
      </c>
      <c r="AJ134" s="11">
        <f>'Activity data'!BL7-'Net zero supporting data'!AJ124</f>
        <v>145872.21929345102</v>
      </c>
      <c r="AK134" s="11">
        <f>'Activity data'!BM7-'Net zero supporting data'!AK124</f>
        <v>145883.59680865795</v>
      </c>
      <c r="AL134" s="11">
        <f>'Activity data'!BN7-'Net zero supporting data'!AL124</f>
        <v>145879.85471682143</v>
      </c>
      <c r="AM134" s="11">
        <f>'Activity data'!BO7-'Net zero supporting data'!AM124</f>
        <v>145861.21230989724</v>
      </c>
      <c r="AN134" s="11">
        <f>'Activity data'!BP7-'Net zero supporting data'!AN124</f>
        <v>145825.58735149176</v>
      </c>
    </row>
    <row r="135" spans="1:40" x14ac:dyDescent="0.25">
      <c r="A135" t="s">
        <v>1101</v>
      </c>
      <c r="B135" s="11">
        <f>'Activity data'!AD8-'Net zero supporting data'!B125</f>
        <v>5954880.1627134718</v>
      </c>
      <c r="C135" s="11">
        <f>'Activity data'!AE8-'Net zero supporting data'!C125</f>
        <v>5903235.3888004785</v>
      </c>
      <c r="D135" s="11">
        <f>'Activity data'!AF8-'Net zero supporting data'!D125</f>
        <v>5883575.786790872</v>
      </c>
      <c r="E135" s="11">
        <f>'Activity data'!AG8-'Net zero supporting data'!E125</f>
        <v>5805008.3335930649</v>
      </c>
      <c r="F135" s="11">
        <f>'Activity data'!AH8-'Net zero supporting data'!F125</f>
        <v>5690965.7565264786</v>
      </c>
      <c r="G135" s="11">
        <f>'Activity data'!AI8-'Net zero supporting data'!G125</f>
        <v>5543806.2775503118</v>
      </c>
      <c r="H135" s="11">
        <f>'Activity data'!AJ8-'Net zero supporting data'!H125</f>
        <v>5427737.2925172495</v>
      </c>
      <c r="I135" s="11">
        <f>'Activity data'!AK8-'Net zero supporting data'!I125</f>
        <v>5317922.8374796035</v>
      </c>
      <c r="J135" s="11">
        <f>'Activity data'!AL8-'Net zero supporting data'!J125</f>
        <v>4755918.1218965715</v>
      </c>
      <c r="K135" s="11">
        <f>'Activity data'!AM8-'Net zero supporting data'!K125</f>
        <v>4642800.2428092202</v>
      </c>
      <c r="L135" s="11">
        <f>'Activity data'!AN8-'Net zero supporting data'!L125</f>
        <v>13698691.594611857</v>
      </c>
      <c r="M135" s="11">
        <f>'Activity data'!AO8-'Net zero supporting data'!M125</f>
        <v>12826258.834943861</v>
      </c>
      <c r="N135" s="11">
        <f>'Activity data'!AP8-'Net zero supporting data'!N125</f>
        <v>11924272.843017435</v>
      </c>
      <c r="O135" s="11">
        <f>'Activity data'!AQ8-'Net zero supporting data'!O125</f>
        <v>10997592.248863753</v>
      </c>
      <c r="P135" s="11">
        <f>'Activity data'!AR8-'Net zero supporting data'!P125</f>
        <v>10051369.187046643</v>
      </c>
      <c r="Q135" s="11">
        <f>'Activity data'!AS8-'Net zero supporting data'!Q125</f>
        <v>9090235.5987538956</v>
      </c>
      <c r="R135" s="11">
        <f>'Activity data'!AT8-'Net zero supporting data'!R125</f>
        <v>8118985.432444972</v>
      </c>
      <c r="S135" s="11">
        <f>'Activity data'!AU8-'Net zero supporting data'!S125</f>
        <v>7142490.8721065829</v>
      </c>
      <c r="T135" s="11">
        <f>'Activity data'!AV8-'Net zero supporting data'!T125</f>
        <v>6165670.2574452199</v>
      </c>
      <c r="U135" s="11">
        <f>'Activity data'!AW8-'Net zero supporting data'!U125</f>
        <v>6058602.8155273143</v>
      </c>
      <c r="V135" s="11">
        <f>'Activity data'!AX8-'Net zero supporting data'!V125</f>
        <v>5941450.297796214</v>
      </c>
      <c r="W135" s="11">
        <f>'Activity data'!AY8-'Net zero supporting data'!W125</f>
        <v>5814739.0937698279</v>
      </c>
      <c r="X135" s="11">
        <f>'Activity data'!AZ8-'Net zero supporting data'!X125</f>
        <v>5679055.4057872035</v>
      </c>
      <c r="Y135" s="11">
        <f>'Activity data'!BA8-'Net zero supporting data'!Y125</f>
        <v>5535023.2962587969</v>
      </c>
      <c r="Z135" s="11">
        <f>'Activity data'!BB8-'Net zero supporting data'!Z125</f>
        <v>5383307.3022900559</v>
      </c>
      <c r="AA135" s="11">
        <f>'Activity data'!BC8-'Net zero supporting data'!AA125</f>
        <v>-415662.34508351784</v>
      </c>
      <c r="AB135" s="11">
        <f>'Activity data'!BD8-'Net zero supporting data'!AB125</f>
        <v>-405654.39698871819</v>
      </c>
      <c r="AC135" s="11">
        <f>'Activity data'!BE8-'Net zero supporting data'!AC125</f>
        <v>-395750.57648661092</v>
      </c>
      <c r="AD135" s="11">
        <f>'Activity data'!BF8-'Net zero supporting data'!AD125</f>
        <v>-385949.86069521797</v>
      </c>
      <c r="AE135" s="11">
        <f>'Activity data'!BG8-'Net zero supporting data'!AE125</f>
        <v>-378171.29144819861</v>
      </c>
      <c r="AF135" s="11">
        <f>'Activity data'!BH8-'Net zero supporting data'!AF125</f>
        <v>-370466.51043792453</v>
      </c>
      <c r="AG135" s="11">
        <f>'Activity data'!BI8-'Net zero supporting data'!AG125</f>
        <v>-362829.78706434031</v>
      </c>
      <c r="AH135" s="11">
        <f>'Activity data'!BJ8-'Net zero supporting data'!AH125</f>
        <v>-355259.22966291662</v>
      </c>
      <c r="AI135" s="11">
        <f>'Activity data'!BK8-'Net zero supporting data'!AI125</f>
        <v>-347749.3033970804</v>
      </c>
      <c r="AJ135" s="11">
        <f>'Activity data'!BL8-'Net zero supporting data'!AJ125</f>
        <v>-340294.58800379594</v>
      </c>
      <c r="AK135" s="11">
        <f>'Activity data'!BM8-'Net zero supporting data'!AK125</f>
        <v>-332894.21295708459</v>
      </c>
      <c r="AL135" s="11">
        <f>'Activity data'!BN8-'Net zero supporting data'!AL125</f>
        <v>-325548.63546162791</v>
      </c>
      <c r="AM135" s="11">
        <f>'Activity data'!BO8-'Net zero supporting data'!AM125</f>
        <v>-318258.1359883683</v>
      </c>
      <c r="AN135" s="11">
        <f>'Activity data'!BP8-'Net zero supporting data'!AN125</f>
        <v>-311018.52715469769</v>
      </c>
    </row>
    <row r="136" spans="1:40" x14ac:dyDescent="0.25">
      <c r="A136" t="s">
        <v>1102</v>
      </c>
      <c r="B136" s="11">
        <f>'Activity data'!AD9-'Net zero supporting data'!B126</f>
        <v>5280742.7858025115</v>
      </c>
      <c r="C136" s="11">
        <f>'Activity data'!AE9-'Net zero supporting data'!C126</f>
        <v>5234944.5900683487</v>
      </c>
      <c r="D136" s="11">
        <f>'Activity data'!AF9-'Net zero supporting data'!D126</f>
        <v>5217510.6033805832</v>
      </c>
      <c r="E136" s="11">
        <f>'Activity data'!AG9-'Net zero supporting data'!E126</f>
        <v>5147837.57884668</v>
      </c>
      <c r="F136" s="11">
        <f>'Activity data'!AH9-'Net zero supporting data'!F126</f>
        <v>5046705.4822027264</v>
      </c>
      <c r="G136" s="11">
        <f>'Activity data'!AI9-'Net zero supporting data'!G126</f>
        <v>4916205.5668842383</v>
      </c>
      <c r="H136" s="11">
        <f>'Activity data'!AJ9-'Net zero supporting data'!H126</f>
        <v>4813276.4669492589</v>
      </c>
      <c r="I136" s="11">
        <f>'Activity data'!AK9-'Net zero supporting data'!I126</f>
        <v>4715893.8370102132</v>
      </c>
      <c r="J136" s="11">
        <f>'Activity data'!AL9-'Net zero supporting data'!J126</f>
        <v>4217512.2967762044</v>
      </c>
      <c r="K136" s="11">
        <f>'Activity data'!AM9-'Net zero supporting data'!K126</f>
        <v>4117200.215321383</v>
      </c>
      <c r="L136" s="11">
        <f>'Activity data'!AN9-'Net zero supporting data'!L126</f>
        <v>12147896.319750136</v>
      </c>
      <c r="M136" s="11">
        <f>'Activity data'!AO9-'Net zero supporting data'!M126</f>
        <v>11374229.532874743</v>
      </c>
      <c r="N136" s="11">
        <f>'Activity data'!AP9-'Net zero supporting data'!N126</f>
        <v>10574355.162675835</v>
      </c>
      <c r="O136" s="11">
        <f>'Activity data'!AQ9-'Net zero supporting data'!O126</f>
        <v>9752581.805596156</v>
      </c>
      <c r="P136" s="11">
        <f>'Activity data'!AR9-'Net zero supporting data'!P126</f>
        <v>8913478.3356828727</v>
      </c>
      <c r="Q136" s="11">
        <f>'Activity data'!AS9-'Net zero supporting data'!Q126</f>
        <v>8061152.3234232645</v>
      </c>
      <c r="R136" s="11">
        <f>'Activity data'!AT9-'Net zero supporting data'!R126</f>
        <v>7199855.0061304467</v>
      </c>
      <c r="S136" s="11">
        <f>'Activity data'!AU9-'Net zero supporting data'!S126</f>
        <v>6333906.9997926299</v>
      </c>
      <c r="T136" s="11">
        <f>'Activity data'!AV9-'Net zero supporting data'!T126</f>
        <v>5467669.8509419858</v>
      </c>
      <c r="U136" s="11">
        <f>'Activity data'!AW9-'Net zero supporting data'!U126</f>
        <v>5372723.2515053535</v>
      </c>
      <c r="V136" s="11">
        <f>'Activity data'!AX9-'Net zero supporting data'!V126</f>
        <v>5268833.2829513587</v>
      </c>
      <c r="W136" s="11">
        <f>'Activity data'!AY9-'Net zero supporting data'!W126</f>
        <v>5156466.7435317338</v>
      </c>
      <c r="X136" s="11">
        <f>'Activity data'!AZ9-'Net zero supporting data'!X126</f>
        <v>5036143.4730565762</v>
      </c>
      <c r="Y136" s="11">
        <f>'Activity data'!BA9-'Net zero supporting data'!Y126</f>
        <v>4908416.8853615746</v>
      </c>
      <c r="Z136" s="11">
        <f>'Activity data'!BB9-'Net zero supporting data'!Z126</f>
        <v>4773876.2869364638</v>
      </c>
      <c r="AA136" s="11">
        <f>'Activity data'!BC9-'Net zero supporting data'!AA126</f>
        <v>-368606.23054576095</v>
      </c>
      <c r="AB136" s="11">
        <f>'Activity data'!BD9-'Net zero supporting data'!AB126</f>
        <v>-359731.2577069765</v>
      </c>
      <c r="AC136" s="11">
        <f>'Activity data'!BE9-'Net zero supporting data'!AC126</f>
        <v>-350948.62443152291</v>
      </c>
      <c r="AD136" s="11">
        <f>'Activity data'!BF9-'Net zero supporting data'!AD126</f>
        <v>-342257.42363538197</v>
      </c>
      <c r="AE136" s="11">
        <f>'Activity data'!BG9-'Net zero supporting data'!AE126</f>
        <v>-335359.4471333081</v>
      </c>
      <c r="AF136" s="11">
        <f>'Activity data'!BH9-'Net zero supporting data'!AF126</f>
        <v>-328526.9054826877</v>
      </c>
      <c r="AG136" s="11">
        <f>'Activity data'!BI9-'Net zero supporting data'!AG126</f>
        <v>-321754.71683064138</v>
      </c>
      <c r="AH136" s="11">
        <f>'Activity data'!BJ9-'Net zero supporting data'!AH126</f>
        <v>-315041.20366334112</v>
      </c>
      <c r="AI136" s="11">
        <f>'Activity data'!BK9-'Net zero supporting data'!AI126</f>
        <v>-308381.45772948634</v>
      </c>
      <c r="AJ136" s="11">
        <f>'Activity data'!BL9-'Net zero supporting data'!AJ126</f>
        <v>-301770.67238072469</v>
      </c>
      <c r="AK136" s="11">
        <f>'Activity data'!BM9-'Net zero supporting data'!AK126</f>
        <v>-295208.07564118813</v>
      </c>
      <c r="AL136" s="11">
        <f>'Activity data'!BN9-'Net zero supporting data'!AL126</f>
        <v>-288694.07295653794</v>
      </c>
      <c r="AM136" s="11">
        <f>'Activity data'!BO9-'Net zero supporting data'!AM126</f>
        <v>-282228.91304628889</v>
      </c>
      <c r="AN136" s="11">
        <f>'Activity data'!BP9-'Net zero supporting data'!AN126</f>
        <v>-275808.88257114694</v>
      </c>
    </row>
    <row r="137" spans="1:40" x14ac:dyDescent="0.25">
      <c r="A137" t="s">
        <v>1103</v>
      </c>
      <c r="B137" s="11">
        <f>'Activity data'!AD10-'Net zero supporting data'!B127</f>
        <v>541460.03376820497</v>
      </c>
      <c r="C137" s="11">
        <f>'Activity data'!AE10-'Net zero supporting data'!C127</f>
        <v>559717.1030773099</v>
      </c>
      <c r="D137" s="11">
        <f>'Activity data'!AF10-'Net zero supporting data'!D127</f>
        <v>581386.33409904351</v>
      </c>
      <c r="E137" s="11">
        <f>'Activity data'!AG10-'Net zero supporting data'!E127</f>
        <v>597546.77075746469</v>
      </c>
      <c r="F137" s="11">
        <f>'Activity data'!AH10-'Net zero supporting data'!F127</f>
        <v>610009.49754182238</v>
      </c>
      <c r="G137" s="11">
        <f>'Activity data'!AI10-'Net zero supporting data'!G127</f>
        <v>618596.39996388659</v>
      </c>
      <c r="H137" s="11">
        <f>'Activity data'!AJ10-'Net zero supporting data'!H127</f>
        <v>630321.10002649156</v>
      </c>
      <c r="I137" s="11">
        <f>'Activity data'!AK10-'Net zero supporting data'!I127</f>
        <v>642612.00897727197</v>
      </c>
      <c r="J137" s="11">
        <f>'Activity data'!AL10-'Net zero supporting data'!J127</f>
        <v>597926.80550167628</v>
      </c>
      <c r="K137" s="11">
        <f>'Activity data'!AM10-'Net zero supporting data'!K127</f>
        <v>581870.26077554584</v>
      </c>
      <c r="L137" s="11">
        <f>'Activity data'!AN10-'Net zero supporting data'!L127</f>
        <v>1703045.9833788916</v>
      </c>
      <c r="M137" s="11">
        <f>'Activity data'!AO10-'Net zero supporting data'!M127</f>
        <v>1572045.4415007266</v>
      </c>
      <c r="N137" s="11">
        <f>'Activity data'!AP10-'Net zero supporting data'!N127</f>
        <v>1429349.8522395985</v>
      </c>
      <c r="O137" s="11">
        <f>'Activity data'!AQ10-'Net zero supporting data'!O127</f>
        <v>1275528.0324155989</v>
      </c>
      <c r="P137" s="11">
        <f>'Activity data'!AR10-'Net zero supporting data'!P127</f>
        <v>1111250.168752539</v>
      </c>
      <c r="Q137" s="11">
        <f>'Activity data'!AS10-'Net zero supporting data'!Q127</f>
        <v>937195.86229028343</v>
      </c>
      <c r="R137" s="11">
        <f>'Activity data'!AT10-'Net zero supporting data'!R127</f>
        <v>754139.13948278269</v>
      </c>
      <c r="S137" s="11">
        <f>'Activity data'!AU10-'Net zero supporting data'!S127</f>
        <v>562939.51315686107</v>
      </c>
      <c r="T137" s="11">
        <f>'Activity data'!AV10-'Net zero supporting data'!T127</f>
        <v>364538.00920289429</v>
      </c>
      <c r="U137" s="11">
        <f>'Activity data'!AW10-'Net zero supporting data'!U127</f>
        <v>370086.91272930009</v>
      </c>
      <c r="V137" s="11">
        <f>'Activity data'!AX10-'Net zero supporting data'!V127</f>
        <v>374989.54482814902</v>
      </c>
      <c r="W137" s="11">
        <f>'Activity data'!AY10-'Net zero supporting data'!W127</f>
        <v>379217.2079833569</v>
      </c>
      <c r="X137" s="11">
        <f>'Activity data'!AZ10-'Net zero supporting data'!X127</f>
        <v>382744.99120759359</v>
      </c>
      <c r="Y137" s="11">
        <f>'Activity data'!BA10-'Net zero supporting data'!Y127</f>
        <v>385550.90339519177</v>
      </c>
      <c r="Z137" s="11">
        <f>'Activity data'!BB10-'Net zero supporting data'!Z127</f>
        <v>387616.54427903704</v>
      </c>
      <c r="AA137" s="11">
        <f>'Activity data'!BC10-'Net zero supporting data'!AA127</f>
        <v>-30942.503849160974</v>
      </c>
      <c r="AB137" s="11">
        <f>'Activity data'!BD10-'Net zero supporting data'!AB127</f>
        <v>-31225.702778523089</v>
      </c>
      <c r="AC137" s="11">
        <f>'Activity data'!BE10-'Net zero supporting data'!AC127</f>
        <v>-31507.029063192807</v>
      </c>
      <c r="AD137" s="11">
        <f>'Activity data'!BF10-'Net zero supporting data'!AD127</f>
        <v>-31786.622824454767</v>
      </c>
      <c r="AE137" s="11">
        <f>'Activity data'!BG10-'Net zero supporting data'!AE127</f>
        <v>-32024.775315316307</v>
      </c>
      <c r="AF137" s="11">
        <f>'Activity data'!BH10-'Net zero supporting data'!AF127</f>
        <v>-32260.546472554968</v>
      </c>
      <c r="AG137" s="11">
        <f>'Activity data'!BI10-'Net zero supporting data'!AG127</f>
        <v>-32493.575439128588</v>
      </c>
      <c r="AH137" s="11">
        <f>'Activity data'!BJ10-'Net zero supporting data'!AH127</f>
        <v>-32723.798126696987</v>
      </c>
      <c r="AI137" s="11">
        <f>'Activity data'!BK10-'Net zero supporting data'!AI127</f>
        <v>-32950.7849682245</v>
      </c>
      <c r="AJ137" s="11">
        <f>'Activity data'!BL10-'Net zero supporting data'!AJ127</f>
        <v>-33174.056451516197</v>
      </c>
      <c r="AK137" s="11">
        <f>'Activity data'!BM10-'Net zero supporting data'!AK127</f>
        <v>-33393.524990323465</v>
      </c>
      <c r="AL137" s="11">
        <f>'Activity data'!BN10-'Net zero supporting data'!AL127</f>
        <v>-33609.223762923706</v>
      </c>
      <c r="AM137" s="11">
        <f>'Activity data'!BO10-'Net zero supporting data'!AM127</f>
        <v>-33821.166040694225</v>
      </c>
      <c r="AN137" s="11">
        <f>'Activity data'!BP10-'Net zero supporting data'!AN127</f>
        <v>-34028.87332484129</v>
      </c>
    </row>
    <row r="138" spans="1:40" x14ac:dyDescent="0.25">
      <c r="A138" t="s">
        <v>1104</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19294878.757226616</v>
      </c>
      <c r="K138" s="11">
        <f>'Activity data'!AM11-'Net zero supporting data'!K128</f>
        <v>18149257.09949059</v>
      </c>
      <c r="L138" s="11">
        <f>'Activity data'!AN11-'Net zero supporting data'!L128</f>
        <v>17212100.461566191</v>
      </c>
      <c r="M138" s="11">
        <f>'Activity data'!AO11-'Net zero supporting data'!M128</f>
        <v>16043578.672237705</v>
      </c>
      <c r="N138" s="11">
        <f>'Activity data'!AP11-'Net zero supporting data'!N128</f>
        <v>14889601.700447045</v>
      </c>
      <c r="O138" s="11">
        <f>'Activity data'!AQ11-'Net zero supporting data'!O128</f>
        <v>13740659.575700808</v>
      </c>
      <c r="P138" s="11">
        <f>'Activity data'!AR11-'Net zero supporting data'!P128</f>
        <v>12585441.067077018</v>
      </c>
      <c r="Q138" s="11">
        <f>'Activity data'!AS11-'Net zero supporting data'!Q128</f>
        <v>11424684.236153591</v>
      </c>
      <c r="R138" s="11">
        <f>'Activity data'!AT11-'Net zero supporting data'!R128</f>
        <v>10258704.112454984</v>
      </c>
      <c r="S138" s="11">
        <f>'Activity data'!AU11-'Net zero supporting data'!S128</f>
        <v>9088065.4306304064</v>
      </c>
      <c r="T138" s="11">
        <f>'Activity data'!AV11-'Net zero supporting data'!T128</f>
        <v>7913329.0247937553</v>
      </c>
      <c r="U138" s="11">
        <f>'Activity data'!AW11-'Net zero supporting data'!U128</f>
        <v>7923291.1071432568</v>
      </c>
      <c r="V138" s="11">
        <f>'Activity data'!AX11-'Net zero supporting data'!V128</f>
        <v>7932711.1774687022</v>
      </c>
      <c r="W138" s="11">
        <f>'Activity data'!AY11-'Net zero supporting data'!W128</f>
        <v>7941612.038538998</v>
      </c>
      <c r="X138" s="11">
        <f>'Activity data'!AZ11-'Net zero supporting data'!X128</f>
        <v>7949871.6937921178</v>
      </c>
      <c r="Y138" s="11">
        <f>'Activity data'!BA11-'Net zero supporting data'!Y128</f>
        <v>7957565.7006471679</v>
      </c>
      <c r="Z138" s="11">
        <f>'Activity data'!BB11-'Net zero supporting data'!Z128</f>
        <v>7964816.8043702021</v>
      </c>
      <c r="AA138" s="11">
        <f>'Activity data'!BC11-'Net zero supporting data'!AA128</f>
        <v>7790019.6435477901</v>
      </c>
      <c r="AB138" s="11">
        <f>'Activity data'!BD11-'Net zero supporting data'!AB128</f>
        <v>7797183.2723483089</v>
      </c>
      <c r="AC138" s="11">
        <f>'Activity data'!BE11-'Net zero supporting data'!AC128</f>
        <v>7803865.0941410717</v>
      </c>
      <c r="AD138" s="11">
        <f>'Activity data'!BF11-'Net zero supporting data'!AD128</f>
        <v>7810105.9447872341</v>
      </c>
      <c r="AE138" s="11">
        <f>'Activity data'!BG11-'Net zero supporting data'!AE128</f>
        <v>7815955.4651214555</v>
      </c>
      <c r="AF138" s="11">
        <f>'Activity data'!BH11-'Net zero supporting data'!AF128</f>
        <v>7821259.7889808323</v>
      </c>
      <c r="AG138" s="11">
        <f>'Activity data'!BI11-'Net zero supporting data'!AG128</f>
        <v>7825916.1628667731</v>
      </c>
      <c r="AH138" s="11">
        <f>'Activity data'!BJ11-'Net zero supporting data'!AH128</f>
        <v>7829909.5365472045</v>
      </c>
      <c r="AI138" s="11">
        <f>'Activity data'!BK11-'Net zero supporting data'!AI128</f>
        <v>7833122.9782328941</v>
      </c>
      <c r="AJ138" s="11">
        <f>'Activity data'!BL11-'Net zero supporting data'!AJ128</f>
        <v>7835429.3862675205</v>
      </c>
      <c r="AK138" s="11">
        <f>'Activity data'!BM11-'Net zero supporting data'!AK128</f>
        <v>7836814.4273643326</v>
      </c>
      <c r="AL138" s="11">
        <f>'Activity data'!BN11-'Net zero supporting data'!AL128</f>
        <v>7837297.8577880859</v>
      </c>
      <c r="AM138" s="11">
        <f>'Activity data'!BO11-'Net zero supporting data'!AM128</f>
        <v>7836893.8180173915</v>
      </c>
      <c r="AN138" s="11">
        <f>'Activity data'!BP11-'Net zero supporting data'!AN128</f>
        <v>7835482.67662411</v>
      </c>
    </row>
    <row r="139" spans="1:40" x14ac:dyDescent="0.25">
      <c r="A139" t="s">
        <v>1105</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2883142.8028039774</v>
      </c>
      <c r="K139" s="11">
        <f>'Activity data'!AM12-'Net zero supporting data'!K129</f>
        <v>2769659.1905312128</v>
      </c>
      <c r="L139" s="11">
        <f>'Activity data'!AN12-'Net zero supporting data'!L129</f>
        <v>2688828.6509970175</v>
      </c>
      <c r="M139" s="11">
        <f>'Activity data'!AO12-'Net zero supporting data'!M129</f>
        <v>2572729.7450294276</v>
      </c>
      <c r="N139" s="11">
        <f>'Activity data'!AP12-'Net zero supporting data'!N129</f>
        <v>2459081.2245747391</v>
      </c>
      <c r="O139" s="11">
        <f>'Activity data'!AQ12-'Net zero supporting data'!O129</f>
        <v>2346516.577787987</v>
      </c>
      <c r="P139" s="11">
        <f>'Activity data'!AR12-'Net zero supporting data'!P129</f>
        <v>2233192.4881954193</v>
      </c>
      <c r="Q139" s="11">
        <f>'Activity data'!AS12-'Net zero supporting data'!Q129</f>
        <v>2119204.2102734363</v>
      </c>
      <c r="R139" s="11">
        <f>'Activity data'!AT12-'Net zero supporting data'!R129</f>
        <v>2004574.3668015487</v>
      </c>
      <c r="S139" s="11">
        <f>'Activity data'!AU12-'Net zero supporting data'!S129</f>
        <v>1889372.9231095698</v>
      </c>
      <c r="T139" s="11">
        <f>'Activity data'!AV12-'Net zero supporting data'!T129</f>
        <v>1773677.1952123933</v>
      </c>
      <c r="U139" s="11">
        <f>'Activity data'!AW12-'Net zero supporting data'!U129</f>
        <v>1775910.0757390058</v>
      </c>
      <c r="V139" s="11">
        <f>'Activity data'!AX12-'Net zero supporting data'!V129</f>
        <v>1778021.4708119505</v>
      </c>
      <c r="W139" s="11">
        <f>'Activity data'!AY12-'Net zero supporting data'!W129</f>
        <v>1780016.4913966716</v>
      </c>
      <c r="X139" s="11">
        <f>'Activity data'!AZ12-'Net zero supporting data'!X129</f>
        <v>1781867.7934361645</v>
      </c>
      <c r="Y139" s="11">
        <f>'Activity data'!BA12-'Net zero supporting data'!Y129</f>
        <v>1783592.3122140204</v>
      </c>
      <c r="Z139" s="11">
        <f>'Activity data'!BB12-'Net zero supporting data'!Z129</f>
        <v>1785217.5596002175</v>
      </c>
      <c r="AA139" s="11">
        <f>'Activity data'!BC12-'Net zero supporting data'!AA129</f>
        <v>1746038.8856227805</v>
      </c>
      <c r="AB139" s="11">
        <f>'Activity data'!BD12-'Net zero supporting data'!AB129</f>
        <v>1747644.5265608279</v>
      </c>
      <c r="AC139" s="11">
        <f>'Activity data'!BE12-'Net zero supporting data'!AC129</f>
        <v>1749142.1762729988</v>
      </c>
      <c r="AD139" s="11">
        <f>'Activity data'!BF12-'Net zero supporting data'!AD129</f>
        <v>1750540.9876247249</v>
      </c>
      <c r="AE139" s="11">
        <f>'Activity data'!BG12-'Net zero supporting data'!AE129</f>
        <v>1751852.0870099815</v>
      </c>
      <c r="AF139" s="11">
        <f>'Activity data'!BH12-'Net zero supporting data'!AF129</f>
        <v>1753040.9871853585</v>
      </c>
      <c r="AG139" s="11">
        <f>'Activity data'!BI12-'Net zero supporting data'!AG129</f>
        <v>1754084.6571942768</v>
      </c>
      <c r="AH139" s="11">
        <f>'Activity data'!BJ12-'Net zero supporting data'!AH129</f>
        <v>1754979.7237088559</v>
      </c>
      <c r="AI139" s="11">
        <f>'Activity data'!BK12-'Net zero supporting data'!AI129</f>
        <v>1755699.9778797866</v>
      </c>
      <c r="AJ139" s="11">
        <f>'Activity data'!BL12-'Net zero supporting data'!AJ129</f>
        <v>1756216.9314047887</v>
      </c>
      <c r="AK139" s="11">
        <f>'Activity data'!BM12-'Net zero supporting data'!AK129</f>
        <v>1756527.3716506257</v>
      </c>
      <c r="AL139" s="11">
        <f>'Activity data'!BN12-'Net zero supporting data'!AL129</f>
        <v>1756635.7267456055</v>
      </c>
      <c r="AM139" s="11">
        <f>'Activity data'!BO12-'Net zero supporting data'!AM129</f>
        <v>1756545.1661073463</v>
      </c>
      <c r="AN139" s="11">
        <f>'Activity data'!BP12-'Net zero supporting data'!AN129</f>
        <v>1756228.8757950589</v>
      </c>
    </row>
    <row r="140" spans="1:40" x14ac:dyDescent="0.25">
      <c r="A140" t="s">
        <v>1106</v>
      </c>
      <c r="B140" s="11">
        <f>'Activity data'!AD13-'Net zero supporting data'!B130</f>
        <v>2068089.0408217218</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2125847.6846541641</v>
      </c>
      <c r="I140" s="11">
        <f>'Activity data'!AK13-'Net zero supporting data'!I130</f>
        <v>2139834.1013227375</v>
      </c>
      <c r="J140" s="11">
        <f>'Activity data'!AL13-'Net zero supporting data'!J130</f>
        <v>2134616.11169963</v>
      </c>
      <c r="K140" s="11">
        <f>'Activity data'!AM13-'Net zero supporting data'!K130</f>
        <v>2138109.4674663781</v>
      </c>
      <c r="L140" s="11">
        <f>'Activity data'!AN13-'Net zero supporting data'!L130</f>
        <v>2181460.1937599764</v>
      </c>
      <c r="M140" s="11">
        <f>'Activity data'!AO13-'Net zero supporting data'!M130</f>
        <v>2183418.7272190307</v>
      </c>
      <c r="N140" s="11">
        <f>'Activity data'!AP13-'Net zero supporting data'!N130</f>
        <v>2188603.9714687425</v>
      </c>
      <c r="O140" s="11">
        <f>'Activity data'!AQ13-'Net zero supporting data'!O130</f>
        <v>2195602.1293189167</v>
      </c>
      <c r="P140" s="11">
        <f>'Activity data'!AR13-'Net zero supporting data'!P130</f>
        <v>2202020.4162375215</v>
      </c>
      <c r="Q140" s="11">
        <f>'Activity data'!AS13-'Net zero supporting data'!Q130</f>
        <v>2207943.6707722908</v>
      </c>
      <c r="R140" s="11">
        <f>'Activity data'!AT13-'Net zero supporting data'!R130</f>
        <v>2213353.7246603156</v>
      </c>
      <c r="S140" s="11">
        <f>'Activity data'!AU13-'Net zero supporting data'!S130</f>
        <v>2218306.1326348721</v>
      </c>
      <c r="T140" s="11">
        <f>'Activity data'!AV13-'Net zero supporting data'!T130</f>
        <v>2222880.7982622627</v>
      </c>
      <c r="U140" s="11">
        <f>'Activity data'!AW13-'Net zero supporting data'!U130</f>
        <v>2137998.1510486132</v>
      </c>
      <c r="V140" s="11">
        <f>'Activity data'!AX13-'Net zero supporting data'!V130</f>
        <v>2052502.0521780173</v>
      </c>
      <c r="W140" s="11">
        <f>'Activity data'!AY13-'Net zero supporting data'!W130</f>
        <v>1966442.3929075203</v>
      </c>
      <c r="X140" s="11">
        <f>'Activity data'!AZ13-'Net zero supporting data'!X130</f>
        <v>1879816.4304937168</v>
      </c>
      <c r="Y140" s="11">
        <f>'Activity data'!BA13-'Net zero supporting data'!Y130</f>
        <v>1792692.8594688326</v>
      </c>
      <c r="Z140" s="11">
        <f>'Activity data'!BB13-'Net zero supporting data'!Z130</f>
        <v>1705148.6671059616</v>
      </c>
      <c r="AA140" s="11">
        <f>'Activity data'!BC13-'Net zero supporting data'!AA130</f>
        <v>1564122.3487489431</v>
      </c>
      <c r="AB140" s="11">
        <f>'Activity data'!BD13-'Net zero supporting data'!AB130</f>
        <v>1479093.4862069683</v>
      </c>
      <c r="AC140" s="11">
        <f>'Activity data'!BE13-'Net zero supporting data'!AC130</f>
        <v>1393687.7210625291</v>
      </c>
      <c r="AD140" s="11">
        <f>'Activity data'!BF13-'Net zero supporting data'!AD130</f>
        <v>1307946.6804176592</v>
      </c>
      <c r="AE140" s="11">
        <f>'Activity data'!BG13-'Net zero supporting data'!AE130</f>
        <v>1309189.8700223512</v>
      </c>
      <c r="AF140" s="11">
        <f>'Activity data'!BH13-'Net zero supporting data'!AF130</f>
        <v>1310276.51559484</v>
      </c>
      <c r="AG140" s="11">
        <f>'Activity data'!BI13-'Net zero supporting data'!AG130</f>
        <v>1311183.7874383354</v>
      </c>
      <c r="AH140" s="11">
        <f>'Activity data'!BJ13-'Net zero supporting data'!AH130</f>
        <v>1311910.0188424834</v>
      </c>
      <c r="AI140" s="11">
        <f>'Activity data'!BK13-'Net zero supporting data'!AI130</f>
        <v>1312428.9889645937</v>
      </c>
      <c r="AJ140" s="11">
        <f>'Activity data'!BL13-'Net zero supporting data'!AJ130</f>
        <v>1312712.128168554</v>
      </c>
      <c r="AK140" s="11">
        <f>'Activity data'!BM13-'Net zero supporting data'!AK130</f>
        <v>1312757.9754367615</v>
      </c>
      <c r="AL140" s="11">
        <f>'Activity data'!BN13-'Net zero supporting data'!AL130</f>
        <v>1312573.1524279532</v>
      </c>
      <c r="AM140" s="11">
        <f>'Activity data'!BO13-'Net zero supporting data'!AM130</f>
        <v>1312162.8278424449</v>
      </c>
      <c r="AN140" s="11">
        <f>'Activity data'!BP13-'Net zero supporting data'!AN130</f>
        <v>1311500.1961803245</v>
      </c>
    </row>
    <row r="141" spans="1:40" x14ac:dyDescent="0.25">
      <c r="A141" t="s">
        <v>1107</v>
      </c>
      <c r="B141" s="11">
        <f>'Activity data'!AD14-'Net zero supporting data'!B131</f>
        <v>4014525.785124518</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4077550.4703819798</v>
      </c>
      <c r="G141" s="11">
        <f>'Activity data'!AI14-'Net zero supporting data'!G131</f>
        <v>4101196.8798749652</v>
      </c>
      <c r="H141" s="11">
        <f>'Activity data'!AJ14-'Net zero supporting data'!H131</f>
        <v>4126645.5055051413</v>
      </c>
      <c r="I141" s="11">
        <f>'Activity data'!AK14-'Net zero supporting data'!I131</f>
        <v>4153795.6084500193</v>
      </c>
      <c r="J141" s="11">
        <f>'Activity data'!AL14-'Net zero supporting data'!J131</f>
        <v>4143666.5697698691</v>
      </c>
      <c r="K141" s="11">
        <f>'Activity data'!AM14-'Net zero supporting data'!K131</f>
        <v>4150447.7897876743</v>
      </c>
      <c r="L141" s="11">
        <f>'Activity data'!AN14-'Net zero supporting data'!L131</f>
        <v>4234599.1996517181</v>
      </c>
      <c r="M141" s="11">
        <f>'Activity data'!AO14-'Net zero supporting data'!M131</f>
        <v>4238401.0587192941</v>
      </c>
      <c r="N141" s="11">
        <f>'Activity data'!AP14-'Net zero supporting data'!N131</f>
        <v>4248466.5328510879</v>
      </c>
      <c r="O141" s="11">
        <f>'Activity data'!AQ14-'Net zero supporting data'!O131</f>
        <v>4262051.1922073076</v>
      </c>
      <c r="P141" s="11">
        <f>'Activity data'!AR14-'Net zero supporting data'!P131</f>
        <v>4274510.2197551876</v>
      </c>
      <c r="Q141" s="11">
        <f>'Activity data'!AS14-'Net zero supporting data'!Q131</f>
        <v>4286008.3020873871</v>
      </c>
      <c r="R141" s="11">
        <f>'Activity data'!AT14-'Net zero supporting data'!R131</f>
        <v>4296510.171399435</v>
      </c>
      <c r="S141" s="11">
        <f>'Activity data'!AU14-'Net zero supporting data'!S131</f>
        <v>4306123.6692323983</v>
      </c>
      <c r="T141" s="11">
        <f>'Activity data'!AV14-'Net zero supporting data'!T131</f>
        <v>4315003.9025090979</v>
      </c>
      <c r="U141" s="11">
        <f>'Activity data'!AW14-'Net zero supporting data'!U131</f>
        <v>4236694.8654970666</v>
      </c>
      <c r="V141" s="11">
        <f>'Activity data'!AX14-'Net zero supporting data'!V131</f>
        <v>4157497.762979513</v>
      </c>
      <c r="W141" s="11">
        <f>'Activity data'!AY14-'Net zero supporting data'!W131</f>
        <v>4077476.1382347103</v>
      </c>
      <c r="X141" s="11">
        <f>'Activity data'!AZ14-'Net zero supporting data'!X131</f>
        <v>3996584.5118900025</v>
      </c>
      <c r="Y141" s="11">
        <f>'Activity data'!BA14-'Net zero supporting data'!Y131</f>
        <v>3914924.8475164939</v>
      </c>
      <c r="Z141" s="11">
        <f>'Activity data'!BB14-'Net zero supporting data'!Z131</f>
        <v>3832625.1774579813</v>
      </c>
      <c r="AA141" s="11">
        <f>'Activity data'!BC14-'Net zero supporting data'!AA131</f>
        <v>3626617.0145012247</v>
      </c>
      <c r="AB141" s="11">
        <f>'Activity data'!BD14-'Net zero supporting data'!AB131</f>
        <v>3546753.5845724186</v>
      </c>
      <c r="AC141" s="11">
        <f>'Activity data'!BE14-'Net zero supporting data'!AC131</f>
        <v>3466285.8209514739</v>
      </c>
      <c r="AD141" s="11">
        <f>'Activity data'!BF14-'Net zero supporting data'!AD131</f>
        <v>3385273.7610810003</v>
      </c>
      <c r="AE141" s="11">
        <f>'Activity data'!BG14-'Net zero supporting data'!AE131</f>
        <v>3388491.4282931439</v>
      </c>
      <c r="AF141" s="11">
        <f>'Activity data'!BH14-'Net zero supporting data'!AF131</f>
        <v>3391303.922716056</v>
      </c>
      <c r="AG141" s="11">
        <f>'Activity data'!BI14-'Net zero supporting data'!AG131</f>
        <v>3393652.1557227499</v>
      </c>
      <c r="AH141" s="11">
        <f>'Activity data'!BJ14-'Net zero supporting data'!AH131</f>
        <v>3395531.8134746617</v>
      </c>
      <c r="AI141" s="11">
        <f>'Activity data'!BK14-'Net zero supporting data'!AI131</f>
        <v>3396875.0302613014</v>
      </c>
      <c r="AJ141" s="11">
        <f>'Activity data'!BL14-'Net zero supporting data'!AJ131</f>
        <v>3397607.861142139</v>
      </c>
      <c r="AK141" s="11">
        <f>'Activity data'!BM14-'Net zero supporting data'!AK131</f>
        <v>3397726.5246598525</v>
      </c>
      <c r="AL141" s="11">
        <f>'Activity data'!BN14-'Net zero supporting data'!AL131</f>
        <v>3397248.1592252902</v>
      </c>
      <c r="AM141" s="11">
        <f>'Activity data'!BO14-'Net zero supporting data'!AM131</f>
        <v>3396186.1426510336</v>
      </c>
      <c r="AN141" s="11">
        <f>'Activity data'!BP14-'Net zero supporting data'!AN131</f>
        <v>3394471.095996134</v>
      </c>
    </row>
    <row r="142" spans="1:40" x14ac:dyDescent="0.25">
      <c r="A142" t="s">
        <v>1088</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1089</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1090</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1091</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1092</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1093</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1094</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1095</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1096</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1097</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75" x14ac:dyDescent="0.25">
      <c r="A153" s="107" t="s">
        <v>1116</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25">
      <c r="A154" t="s">
        <v>1117</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1118</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1125</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1128</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21011.343637079437</v>
      </c>
      <c r="L157">
        <f>'Net zero Activity data'!AN47*'Net zero supporting data'!L154</f>
        <v>42005.342264826315</v>
      </c>
      <c r="M157">
        <f>'Net zero Activity data'!AO47*'Net zero supporting data'!M154</f>
        <v>62383.613698779023</v>
      </c>
      <c r="N157">
        <f>'Net zero Activity data'!AP47*'Net zero supporting data'!N154</f>
        <v>83157.353150722745</v>
      </c>
      <c r="O157">
        <f>'Net zero Activity data'!AQ47*'Net zero supporting data'!O154</f>
        <v>103922.6261374389</v>
      </c>
      <c r="P157">
        <f>'Net zero Activity data'!AR47*'Net zero supporting data'!P154</f>
        <v>124680.58919967103</v>
      </c>
      <c r="Q157">
        <f>'Net zero Activity data'!AS47*'Net zero supporting data'!Q154</f>
        <v>145432.37691527535</v>
      </c>
      <c r="R157">
        <f>'Net zero Activity data'!AT47*'Net zero supporting data'!R154</f>
        <v>166179.16539325076</v>
      </c>
      <c r="S157">
        <f>'Net zero Activity data'!AU47*'Net zero supporting data'!S154</f>
        <v>186922.13961417665</v>
      </c>
      <c r="T157">
        <f>'Net zero Activity data'!AV47*'Net zero supporting data'!T154</f>
        <v>207662.49570728809</v>
      </c>
      <c r="U157">
        <f>'Net zero Activity data'!AW47*'Net zero supporting data'!U154</f>
        <v>228401.43927739825</v>
      </c>
      <c r="V157">
        <f>'Net zero Activity data'!AX47*'Net zero supporting data'!V154</f>
        <v>249140.18134161201</v>
      </c>
      <c r="W157">
        <f>'Net zero Activity data'!AY47*'Net zero supporting data'!W154</f>
        <v>269879.94146531064</v>
      </c>
      <c r="X157">
        <f>'Net zero Activity data'!AZ47*'Net zero supporting data'!X154</f>
        <v>290621.94290022808</v>
      </c>
      <c r="Y157">
        <f>'Net zero Activity data'!BA47*'Net zero supporting data'!Y154</f>
        <v>311367.41075388301</v>
      </c>
      <c r="Z157">
        <f>'Net zero Activity data'!BB47*'Net zero supporting data'!Z154</f>
        <v>332117.57640640059</v>
      </c>
      <c r="AA157">
        <f>'Net zero Activity data'!BC47*'Net zero supporting data'!AA154</f>
        <v>352873.67484586756</v>
      </c>
      <c r="AB157">
        <f>'Net zero Activity data'!BD47*'Net zero supporting data'!AB154</f>
        <v>384705.31977100269</v>
      </c>
      <c r="AC157">
        <f>'Net zero Activity data'!BE47*'Net zero supporting data'!AC154</f>
        <v>406087.74685409293</v>
      </c>
      <c r="AD157">
        <f>'Net zero Activity data'!BF47*'Net zero supporting data'!AD154</f>
        <v>427470.97943842737</v>
      </c>
      <c r="AE157">
        <f>'Net zero Activity data'!BG47*'Net zero supporting data'!AE154</f>
        <v>427480.94904033357</v>
      </c>
      <c r="AF157">
        <f>'Net zero Activity data'!BH47*'Net zero supporting data'!AF154</f>
        <v>427490.71139185212</v>
      </c>
      <c r="AG157">
        <f>'Net zero Activity data'!BI47*'Net zero supporting data'!AG154</f>
        <v>427500.22497651418</v>
      </c>
      <c r="AH157">
        <f>'Net zero Activity data'!BJ47*'Net zero supporting data'!AH154</f>
        <v>427509.46176357614</v>
      </c>
      <c r="AI157">
        <f>'Net zero Activity data'!BK47*'Net zero supporting data'!AI154</f>
        <v>427518.41819967801</v>
      </c>
      <c r="AJ157">
        <f>'Net zero Activity data'!BL47*'Net zero supporting data'!AJ154</f>
        <v>427527.06098625081</v>
      </c>
      <c r="AK157">
        <f>'Net zero Activity data'!BM47*'Net zero supporting data'!AK154</f>
        <v>427535.35305404448</v>
      </c>
      <c r="AL157">
        <f>'Net zero Activity data'!BN47*'Net zero supporting data'!AL154</f>
        <v>427543.28950687108</v>
      </c>
      <c r="AM157">
        <f>'Net zero Activity data'!BO47*'Net zero supporting data'!AM154</f>
        <v>427550.87533144199</v>
      </c>
      <c r="AN157">
        <f>'Net zero Activity data'!BP47*'Net zero supporting data'!AN154</f>
        <v>427558.11391884944</v>
      </c>
    </row>
    <row r="158" spans="1:48" x14ac:dyDescent="0.25">
      <c r="A158" t="s">
        <v>1129</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138.67486800472429</v>
      </c>
      <c r="L158">
        <f>'Net zero Activity data'!AN48*'Net zero supporting data'!L155</f>
        <v>277.23525894785371</v>
      </c>
      <c r="M158">
        <f>'Net zero Activity data'!AO48*'Net zero supporting data'!M155</f>
        <v>411.73185041194165</v>
      </c>
      <c r="N158">
        <f>'Net zero Activity data'!AP48*'Net zero supporting data'!N155</f>
        <v>548.83853079477012</v>
      </c>
      <c r="O158">
        <f>'Net zero Activity data'!AQ48*'Net zero supporting data'!O155</f>
        <v>685.88933250709692</v>
      </c>
      <c r="P158">
        <f>'Net zero Activity data'!AR48*'Net zero supporting data'!P155</f>
        <v>822.89188871782892</v>
      </c>
      <c r="Q158">
        <f>'Net zero Activity data'!AS48*'Net zero supporting data'!Q155</f>
        <v>959.85368764081738</v>
      </c>
      <c r="R158">
        <f>'Net zero Activity data'!AT48*'Net zero supporting data'!R155</f>
        <v>1096.7824915954552</v>
      </c>
      <c r="S158">
        <f>'Net zero Activity data'!AU48*'Net zero supporting data'!S155</f>
        <v>1233.6861214535659</v>
      </c>
      <c r="T158">
        <f>'Net zero Activity data'!AV48*'Net zero supporting data'!T155</f>
        <v>1370.5724716681016</v>
      </c>
      <c r="U158">
        <f>'Net zero Activity data'!AW48*'Net zero supporting data'!U155</f>
        <v>1507.4494992308287</v>
      </c>
      <c r="V158">
        <f>'Net zero Activity data'!AX48*'Net zero supporting data'!V155</f>
        <v>1644.3251968546397</v>
      </c>
      <c r="W158">
        <f>'Net zero Activity data'!AY48*'Net zero supporting data'!W155</f>
        <v>1781.2076136710507</v>
      </c>
      <c r="X158">
        <f>'Net zero Activity data'!AZ48*'Net zero supporting data'!X155</f>
        <v>1918.1048231415054</v>
      </c>
      <c r="Y158">
        <f>'Net zero Activity data'!BA48*'Net zero supporting data'!Y155</f>
        <v>2055.0249109756282</v>
      </c>
      <c r="Z158">
        <f>'Net zero Activity data'!BB48*'Net zero supporting data'!Z155</f>
        <v>2191.9760042822445</v>
      </c>
      <c r="AA158">
        <f>'Net zero Activity data'!BC48*'Net zero supporting data'!AA155</f>
        <v>2328.9662539827264</v>
      </c>
      <c r="AB158">
        <f>'Net zero Activity data'!BD48*'Net zero supporting data'!AB155</f>
        <v>2539.0551104886181</v>
      </c>
      <c r="AC158">
        <f>'Net zero Activity data'!BE48*'Net zero supporting data'!AC155</f>
        <v>2680.1791292370135</v>
      </c>
      <c r="AD158">
        <f>'Net zero Activity data'!BF48*'Net zero supporting data'!AD155</f>
        <v>2821.308464293621</v>
      </c>
      <c r="AE158">
        <f>'Net zero Activity data'!BG48*'Net zero supporting data'!AE155</f>
        <v>2821.3742636662018</v>
      </c>
      <c r="AF158">
        <f>'Net zero Activity data'!BH48*'Net zero supporting data'!AF155</f>
        <v>2821.4386951862248</v>
      </c>
      <c r="AG158">
        <f>'Net zero Activity data'!BI48*'Net zero supporting data'!AG155</f>
        <v>2821.5014848449941</v>
      </c>
      <c r="AH158">
        <f>'Net zero Activity data'!BJ48*'Net zero supporting data'!AH155</f>
        <v>2821.5624476396029</v>
      </c>
      <c r="AI158">
        <f>'Net zero Activity data'!BK48*'Net zero supporting data'!AI155</f>
        <v>2821.6215601178756</v>
      </c>
      <c r="AJ158">
        <f>'Net zero Activity data'!BL48*'Net zero supporting data'!AJ155</f>
        <v>2821.6786025092561</v>
      </c>
      <c r="AK158">
        <f>'Net zero Activity data'!BM48*'Net zero supporting data'!AK155</f>
        <v>2821.7333301566941</v>
      </c>
      <c r="AL158">
        <f>'Net zero Activity data'!BN48*'Net zero supporting data'!AL155</f>
        <v>2821.7857107453492</v>
      </c>
      <c r="AM158">
        <f>'Net zero Activity data'!BO48*'Net zero supporting data'!AM155</f>
        <v>2821.8357771875176</v>
      </c>
      <c r="AN158">
        <f>'Net zero Activity data'!BP48*'Net zero supporting data'!AN155</f>
        <v>2821.8835518644069</v>
      </c>
    </row>
    <row r="159" spans="1:48" x14ac:dyDescent="0.25">
      <c r="A159" t="s">
        <v>1132</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1033963.4407661444</v>
      </c>
      <c r="L159">
        <f>'Net zero Activity data'!AN50*'Net zero supporting data'!L156</f>
        <v>3558033.5763395857</v>
      </c>
      <c r="M159">
        <f>'Net zero Activity data'!AO50*'Net zero supporting data'!M156</f>
        <v>5401386.015572127</v>
      </c>
      <c r="N159">
        <f>'Net zero Activity data'!AP50*'Net zero supporting data'!N156</f>
        <v>7283866.3300929032</v>
      </c>
      <c r="O159">
        <f>'Net zero Activity data'!AQ50*'Net zero supporting data'!O156</f>
        <v>9200908.7091633473</v>
      </c>
      <c r="P159">
        <f>'Net zero Activity data'!AR50*'Net zero supporting data'!P156</f>
        <v>11145566.026733177</v>
      </c>
      <c r="Q159">
        <f>'Net zero Activity data'!AS50*'Net zero supporting data'!Q156</f>
        <v>13111861.372237554</v>
      </c>
      <c r="R159">
        <f>'Net zero Activity data'!AT50*'Net zero supporting data'!R156</f>
        <v>15093419.400261484</v>
      </c>
      <c r="S159">
        <f>'Net zero Activity data'!AU50*'Net zero supporting data'!S156</f>
        <v>17083700.876177292</v>
      </c>
      <c r="T159">
        <f>'Net zero Activity data'!AV50*'Net zero supporting data'!T156</f>
        <v>19076034.375241514</v>
      </c>
      <c r="U159">
        <f>'Net zero Activity data'!AW50*'Net zero supporting data'!U156</f>
        <v>21063500.679463081</v>
      </c>
      <c r="V159">
        <f>'Net zero Activity data'!AX50*'Net zero supporting data'!V156</f>
        <v>23039227.152662046</v>
      </c>
      <c r="W159">
        <f>'Net zero Activity data'!AY50*'Net zero supporting data'!W156</f>
        <v>24996222.585779887</v>
      </c>
      <c r="X159">
        <f>'Net zero Activity data'!AZ50*'Net zero supporting data'!X156</f>
        <v>26927380.201319221</v>
      </c>
      <c r="Y159">
        <f>'Net zero Activity data'!BA50*'Net zero supporting data'!Y156</f>
        <v>28825854.823080502</v>
      </c>
      <c r="Z159">
        <f>'Net zero Activity data'!BB50*'Net zero supporting data'!Z156</f>
        <v>30685021.940583352</v>
      </c>
      <c r="AA159">
        <f>'Net zero Activity data'!BC50*'Net zero supporting data'!AA156</f>
        <v>10314973.46945844</v>
      </c>
      <c r="AB159">
        <f>'Net zero Activity data'!BD50*'Net zero supporting data'!AB156</f>
        <v>10929709.299162623</v>
      </c>
      <c r="AC159">
        <f>'Net zero Activity data'!BE50*'Net zero supporting data'!AC156</f>
        <v>11544725.171429854</v>
      </c>
      <c r="AD159">
        <f>'Net zero Activity data'!BF50*'Net zero supporting data'!AD156</f>
        <v>12159981.043016033</v>
      </c>
      <c r="AE159">
        <f>'Net zero Activity data'!BG50*'Net zero supporting data'!AE156</f>
        <v>12167106.216716893</v>
      </c>
      <c r="AF159">
        <f>'Net zero Activity data'!BH50*'Net zero supporting data'!AF156</f>
        <v>12173494.182228861</v>
      </c>
      <c r="AG159">
        <f>'Net zero Activity data'!BI50*'Net zero supporting data'!AG156</f>
        <v>12178994.767031802</v>
      </c>
      <c r="AH159">
        <f>'Net zero Activity data'!BJ50*'Net zero supporting data'!AH156</f>
        <v>12183583.889192184</v>
      </c>
      <c r="AI159">
        <f>'Net zero Activity data'!BK50*'Net zero supporting data'!AI156</f>
        <v>12187091.156778457</v>
      </c>
      <c r="AJ159">
        <f>'Net zero Activity data'!BL50*'Net zero supporting data'!AJ156</f>
        <v>12189331.577433044</v>
      </c>
      <c r="AK159">
        <f>'Net zero Activity data'!BM50*'Net zero supporting data'!AK156</f>
        <v>12190282.302019646</v>
      </c>
      <c r="AL159">
        <f>'Net zero Activity data'!BN50*'Net zero supporting data'!AL156</f>
        <v>12189969.606439846</v>
      </c>
      <c r="AM159">
        <f>'Net zero Activity data'!BO50*'Net zero supporting data'!AM156</f>
        <v>12188411.815103695</v>
      </c>
      <c r="AN159">
        <f>'Net zero Activity data'!BP50*'Net zero supporting data'!AN156</f>
        <v>12185434.932784775</v>
      </c>
    </row>
    <row r="160" spans="1:48" x14ac:dyDescent="0.25">
      <c r="A160" t="s">
        <v>1134</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3023278.8719588625</v>
      </c>
      <c r="L160">
        <f>'Net zero Activity data'!AN51*'Net zero supporting data'!L156</f>
        <v>10403586.154938949</v>
      </c>
      <c r="M160">
        <f>'Net zero Activity data'!AO51*'Net zero supporting data'!M156</f>
        <v>15793494.795205886</v>
      </c>
      <c r="N160">
        <f>'Net zero Activity data'!AP51*'Net zero supporting data'!N156</f>
        <v>21297812.198877364</v>
      </c>
      <c r="O160">
        <f>'Net zero Activity data'!AQ51*'Net zero supporting data'!O156</f>
        <v>26903188.06883936</v>
      </c>
      <c r="P160">
        <f>'Net zero Activity data'!AR51*'Net zero supporting data'!P156</f>
        <v>32589309.211626258</v>
      </c>
      <c r="Q160">
        <f>'Net zero Activity data'!AS51*'Net zero supporting data'!Q156</f>
        <v>38338699.315486766</v>
      </c>
      <c r="R160">
        <f>'Net zero Activity data'!AT51*'Net zero supporting data'!R156</f>
        <v>44132717.056816347</v>
      </c>
      <c r="S160">
        <f>'Net zero Activity data'!AU51*'Net zero supporting data'!S156</f>
        <v>49952241.904744007</v>
      </c>
      <c r="T160">
        <f>'Net zero Activity data'!AV51*'Net zero supporting data'!T156</f>
        <v>55777766.808364913</v>
      </c>
      <c r="U160">
        <f>'Net zero Activity data'!AW51*'Net zero supporting data'!U156</f>
        <v>61589060.176562674</v>
      </c>
      <c r="V160">
        <f>'Net zero Activity data'!AX51*'Net zero supporting data'!V156</f>
        <v>67366026.622074738</v>
      </c>
      <c r="W160">
        <f>'Net zero Activity data'!AY51*'Net zero supporting data'!W156</f>
        <v>73088224.054008231</v>
      </c>
      <c r="X160">
        <f>'Net zero Activity data'!AZ51*'Net zero supporting data'!X156</f>
        <v>78734872.462733775</v>
      </c>
      <c r="Y160">
        <f>'Net zero Activity data'!BA51*'Net zero supporting data'!Y156</f>
        <v>84285956.753168687</v>
      </c>
      <c r="Z160">
        <f>'Net zero Activity data'!BB51*'Net zero supporting data'!Z156</f>
        <v>89722107.0503418</v>
      </c>
      <c r="AA160">
        <f>'Net zero Activity data'!BC51*'Net zero supporting data'!AA156</f>
        <v>30160680.85726751</v>
      </c>
      <c r="AB160">
        <f>'Net zero Activity data'!BD51*'Net zero supporting data'!AB156</f>
        <v>31958150.450973477</v>
      </c>
      <c r="AC160">
        <f>'Net zero Activity data'!BE51*'Net zero supporting data'!AC156</f>
        <v>33756438.880946532</v>
      </c>
      <c r="AD160">
        <f>'Net zero Activity data'!BF51*'Net zero supporting data'!AD156</f>
        <v>35555429.061911575</v>
      </c>
      <c r="AE160">
        <f>'Net zero Activity data'!BG51*'Net zero supporting data'!AE156</f>
        <v>35576262.861502096</v>
      </c>
      <c r="AF160">
        <f>'Net zero Activity data'!BH51*'Net zero supporting data'!AF156</f>
        <v>35594941.085901245</v>
      </c>
      <c r="AG160">
        <f>'Net zero Activity data'!BI51*'Net zero supporting data'!AG156</f>
        <v>35611024.635050535</v>
      </c>
      <c r="AH160">
        <f>'Net zero Activity data'!BJ51*'Net zero supporting data'!AH156</f>
        <v>35624443.094080426</v>
      </c>
      <c r="AI160">
        <f>'Net zero Activity data'!BK51*'Net zero supporting data'!AI156</f>
        <v>35634698.241964594</v>
      </c>
      <c r="AJ160">
        <f>'Net zero Activity data'!BL51*'Net zero supporting data'!AJ156</f>
        <v>35641249.166457929</v>
      </c>
      <c r="AK160">
        <f>'Net zero Activity data'!BM51*'Net zero supporting data'!AK156</f>
        <v>35644029.057353869</v>
      </c>
      <c r="AL160">
        <f>'Net zero Activity data'!BN51*'Net zero supporting data'!AL156</f>
        <v>35643114.744620472</v>
      </c>
      <c r="AM160">
        <f>'Net zero Activity data'!BO51*'Net zero supporting data'!AM156</f>
        <v>35638559.808296978</v>
      </c>
      <c r="AN160">
        <f>'Net zero Activity data'!BP51*'Net zero supporting data'!AN156</f>
        <v>35629855.491428249</v>
      </c>
    </row>
    <row r="161" spans="1:40" x14ac:dyDescent="0.25">
      <c r="A161" t="s">
        <v>1133</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161728.3732382271</v>
      </c>
      <c r="L161">
        <f>'Net zero Activity data'!AN52*'Net zero supporting data'!L156</f>
        <v>556533.19986053638</v>
      </c>
      <c r="M161">
        <f>'Net zero Activity data'!AO52*'Net zero supporting data'!M156</f>
        <v>844862.9217324187</v>
      </c>
      <c r="N161">
        <f>'Net zero Activity data'!AP52*'Net zero supporting data'!N156</f>
        <v>1139312.8673657381</v>
      </c>
      <c r="O161">
        <f>'Net zero Activity data'!AQ52*'Net zero supporting data'!O156</f>
        <v>1439168.8711390146</v>
      </c>
      <c r="P161">
        <f>'Net zero Activity data'!AR52*'Net zero supporting data'!P156</f>
        <v>1743344.2917354538</v>
      </c>
      <c r="Q161">
        <f>'Net zero Activity data'!AS52*'Net zero supporting data'!Q156</f>
        <v>2050904.2450145415</v>
      </c>
      <c r="R161">
        <f>'Net zero Activity data'!AT52*'Net zero supporting data'!R156</f>
        <v>2360851.5252704043</v>
      </c>
      <c r="S161">
        <f>'Net zero Activity data'!AU52*'Net zero supporting data'!S156</f>
        <v>2672163.2919103648</v>
      </c>
      <c r="T161">
        <f>'Net zero Activity data'!AV52*'Net zero supporting data'!T156</f>
        <v>2983796.027699288</v>
      </c>
      <c r="U161">
        <f>'Net zero Activity data'!AW52*'Net zero supporting data'!U156</f>
        <v>3294667.4565859544</v>
      </c>
      <c r="V161">
        <f>'Net zero Activity data'!AX52*'Net zero supporting data'!V156</f>
        <v>3603702.5886573573</v>
      </c>
      <c r="W161">
        <f>'Net zero Activity data'!AY52*'Net zero supporting data'!W156</f>
        <v>3909807.8873111154</v>
      </c>
      <c r="X161">
        <f>'Net zero Activity data'!AZ52*'Net zero supporting data'!X156</f>
        <v>4211871.7391977618</v>
      </c>
      <c r="Y161">
        <f>'Net zero Activity data'!BA52*'Net zero supporting data'!Y156</f>
        <v>4508823.4495831914</v>
      </c>
      <c r="Z161">
        <f>'Net zero Activity data'!BB52*'Net zero supporting data'!Z156</f>
        <v>4799626.8393712686</v>
      </c>
      <c r="AA161">
        <f>'Net zero Activity data'!BC52*'Net zero supporting data'!AA156</f>
        <v>1613426.3683200127</v>
      </c>
      <c r="AB161">
        <f>'Net zero Activity data'!BD52*'Net zero supporting data'!AB156</f>
        <v>1709580.8567568965</v>
      </c>
      <c r="AC161">
        <f>'Net zero Activity data'!BE52*'Net zero supporting data'!AC156</f>
        <v>1805779.1483171545</v>
      </c>
      <c r="AD161">
        <f>'Net zero Activity data'!BF52*'Net zero supporting data'!AD156</f>
        <v>1902014.979598742</v>
      </c>
      <c r="AE161">
        <f>'Net zero Activity data'!BG52*'Net zero supporting data'!AE156</f>
        <v>1903129.4704078427</v>
      </c>
      <c r="AF161">
        <f>'Net zero Activity data'!BH52*'Net zero supporting data'!AF156</f>
        <v>1904128.6500981681</v>
      </c>
      <c r="AG161">
        <f>'Net zero Activity data'!BI52*'Net zero supporting data'!AG156</f>
        <v>1904989.0292924065</v>
      </c>
      <c r="AH161">
        <f>'Net zero Activity data'!BJ52*'Net zero supporting data'!AH156</f>
        <v>1905706.8411920613</v>
      </c>
      <c r="AI161">
        <f>'Net zero Activity data'!BK52*'Net zero supporting data'!AI156</f>
        <v>1906255.4337813878</v>
      </c>
      <c r="AJ161">
        <f>'Net zero Activity data'!BL52*'Net zero supporting data'!AJ156</f>
        <v>1906605.8713051435</v>
      </c>
      <c r="AK161">
        <f>'Net zero Activity data'!BM52*'Net zero supporting data'!AK156</f>
        <v>1906754.5797939803</v>
      </c>
      <c r="AL161">
        <f>'Net zero Activity data'!BN52*'Net zero supporting data'!AL156</f>
        <v>1906705.6692179912</v>
      </c>
      <c r="AM161">
        <f>'Net zero Activity data'!BO52*'Net zero supporting data'!AM156</f>
        <v>1906462.0058071706</v>
      </c>
      <c r="AN161">
        <f>'Net zero Activity data'!BP52*'Net zero supporting data'!AN156</f>
        <v>1905996.3739329877</v>
      </c>
    </row>
    <row r="162" spans="1:40" x14ac:dyDescent="0.25">
      <c r="A162" t="s">
        <v>1135</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1055636.1188816743</v>
      </c>
      <c r="L162">
        <f>'Net zero Activity data'!AN53*'Net zero supporting data'!L156</f>
        <v>6654087.5118830232</v>
      </c>
      <c r="M162">
        <f>'Net zero Activity data'!AO53*'Net zero supporting data'!M156</f>
        <v>10029274.048954653</v>
      </c>
      <c r="N162">
        <f>'Net zero Activity data'!AP53*'Net zero supporting data'!N156</f>
        <v>13413447.079810152</v>
      </c>
      <c r="O162">
        <f>'Net zero Activity data'!AQ53*'Net zero supporting data'!O156</f>
        <v>16789264.624785133</v>
      </c>
      <c r="P162">
        <f>'Net zero Activity data'!AR53*'Net zero supporting data'!P156</f>
        <v>20139959.725864258</v>
      </c>
      <c r="Q162">
        <f>'Net zero Activity data'!AS53*'Net zero supporting data'!Q156</f>
        <v>23448079.732178256</v>
      </c>
      <c r="R162">
        <f>'Net zero Activity data'!AT53*'Net zero supporting data'!R156</f>
        <v>26696264.832086831</v>
      </c>
      <c r="S162">
        <f>'Net zero Activity data'!AU53*'Net zero supporting data'!S156</f>
        <v>29867334.661725648</v>
      </c>
      <c r="T162">
        <f>'Net zero Activity data'!AV53*'Net zero supporting data'!T156</f>
        <v>32944460.49610405</v>
      </c>
      <c r="U162">
        <f>'Net zero Activity data'!AW53*'Net zero supporting data'!U156</f>
        <v>35609614.536939502</v>
      </c>
      <c r="V162">
        <f>'Net zero Activity data'!AX53*'Net zero supporting data'!V156</f>
        <v>38095687.855954491</v>
      </c>
      <c r="W162">
        <f>'Net zero Activity data'!AY53*'Net zero supporting data'!W156</f>
        <v>40390170.846404567</v>
      </c>
      <c r="X162">
        <f>'Net zero Activity data'!AZ53*'Net zero supporting data'!X156</f>
        <v>42482126.374389067</v>
      </c>
      <c r="Y162">
        <f>'Net zero Activity data'!BA53*'Net zero supporting data'!Y156</f>
        <v>44362173.627860546</v>
      </c>
      <c r="Z162">
        <f>'Net zero Activity data'!BB53*'Net zero supporting data'!Z156</f>
        <v>46022611.616513997</v>
      </c>
      <c r="AA162">
        <f>'Net zero Activity data'!BC53*'Net zero supporting data'!AA156</f>
        <v>-3775649.8369884007</v>
      </c>
      <c r="AB162">
        <f>'Net zero Activity data'!BD53*'Net zero supporting data'!AB156</f>
        <v>-3901492.6938317642</v>
      </c>
      <c r="AC162">
        <f>'Net zero Activity data'!BE53*'Net zero supporting data'!AC156</f>
        <v>-4017697.7537027919</v>
      </c>
      <c r="AD162">
        <f>'Net zero Activity data'!BF53*'Net zero supporting data'!AD156</f>
        <v>-4124420.9982837993</v>
      </c>
      <c r="AE162">
        <f>'Net zero Activity data'!BG53*'Net zero supporting data'!AE156</f>
        <v>-4041295.9667545184</v>
      </c>
      <c r="AF162">
        <f>'Net zero Activity data'!BH53*'Net zero supporting data'!AF156</f>
        <v>-3958959.4670633124</v>
      </c>
      <c r="AG162">
        <f>'Net zero Activity data'!BI53*'Net zero supporting data'!AG156</f>
        <v>-3877350.2596306191</v>
      </c>
      <c r="AH162">
        <f>'Net zero Activity data'!BJ53*'Net zero supporting data'!AH156</f>
        <v>-3796448.1293412079</v>
      </c>
      <c r="AI162">
        <f>'Net zero Activity data'!BK53*'Net zero supporting data'!AI156</f>
        <v>-3716193.9286256437</v>
      </c>
      <c r="AJ162">
        <f>'Net zero Activity data'!BL53*'Net zero supporting data'!AJ156</f>
        <v>-3636529.7342950441</v>
      </c>
      <c r="AK162">
        <f>'Net zero Activity data'!BM53*'Net zero supporting data'!AK156</f>
        <v>-3557446.2435461381</v>
      </c>
      <c r="AL162">
        <f>'Net zero Activity data'!BN53*'Net zero supporting data'!AL156</f>
        <v>-3478948.3422586247</v>
      </c>
      <c r="AM162">
        <f>'Net zero Activity data'!BO53*'Net zero supporting data'!AM156</f>
        <v>-3401039.0276618414</v>
      </c>
      <c r="AN162">
        <f>'Net zero Activity data'!BP53*'Net zero supporting data'!AN156</f>
        <v>-3323673.5516407685</v>
      </c>
    </row>
    <row r="163" spans="1:40" x14ac:dyDescent="0.25">
      <c r="A163" t="s">
        <v>1136</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1283934.561507049</v>
      </c>
      <c r="L163">
        <f>'Net zero Activity data'!AN55*'Net zero supporting data'!L156</f>
        <v>8285449.9873094112</v>
      </c>
      <c r="M163">
        <f>'Net zero Activity data'!AO55*'Net zero supporting data'!M156</f>
        <v>12781090.208003772</v>
      </c>
      <c r="N163">
        <f>'Net zero Activity data'!AP55*'Net zero supporting data'!N156</f>
        <v>17490105.108043738</v>
      </c>
      <c r="O163">
        <f>'Net zero Activity data'!AQ55*'Net zero supporting data'!O156</f>
        <v>22393913.159896001</v>
      </c>
      <c r="P163">
        <f>'Net zero Activity data'!AR55*'Net zero supporting data'!P156</f>
        <v>27472920.71449047</v>
      </c>
      <c r="Q163">
        <f>'Net zero Activity data'!AS55*'Net zero supporting data'!Q156</f>
        <v>32704777.72528917</v>
      </c>
      <c r="R163">
        <f>'Net zero Activity data'!AT55*'Net zero supporting data'!R156</f>
        <v>38065304.851208054</v>
      </c>
      <c r="S163">
        <f>'Net zero Activity data'!AU55*'Net zero supporting data'!S156</f>
        <v>43528550.247225888</v>
      </c>
      <c r="T163">
        <f>'Net zero Activity data'!AV55*'Net zero supporting data'!T156</f>
        <v>49066985.913421839</v>
      </c>
      <c r="U163">
        <f>'Net zero Activity data'!AW55*'Net zero supporting data'!U156</f>
        <v>54795258.005251601</v>
      </c>
      <c r="V163">
        <f>'Net zero Activity data'!AX55*'Net zero supporting data'!V156</f>
        <v>60568520.974796094</v>
      </c>
      <c r="W163">
        <f>'Net zero Activity data'!AY55*'Net zero supporting data'!W156</f>
        <v>66355656.782712378</v>
      </c>
      <c r="X163">
        <f>'Net zero Activity data'!AZ55*'Net zero supporting data'!X156</f>
        <v>72124715.845991164</v>
      </c>
      <c r="Y163">
        <f>'Net zero Activity data'!BA55*'Net zero supporting data'!Y156</f>
        <v>77842996.89557071</v>
      </c>
      <c r="Z163">
        <f>'Net zero Activity data'!BB55*'Net zero supporting data'!Z156</f>
        <v>83477387.982828811</v>
      </c>
      <c r="AA163">
        <f>'Net zero Activity data'!BC55*'Net zero supporting data'!AA156</f>
        <v>-7080288.2434165645</v>
      </c>
      <c r="AB163">
        <f>'Net zero Activity data'!BD55*'Net zero supporting data'!AB156</f>
        <v>-7565389.4613000676</v>
      </c>
      <c r="AC163">
        <f>'Net zero Activity data'!BE55*'Net zero supporting data'!AC156</f>
        <v>-8057635.5089444621</v>
      </c>
      <c r="AD163">
        <f>'Net zero Activity data'!BF55*'Net zero supporting data'!AD156</f>
        <v>-8556988.4894756936</v>
      </c>
      <c r="AE163">
        <f>'Net zero Activity data'!BG55*'Net zero supporting data'!AE156</f>
        <v>-8621099.3619737383</v>
      </c>
      <c r="AF163">
        <f>'Net zero Activity data'!BH55*'Net zero supporting data'!AF156</f>
        <v>-8684569.1772411093</v>
      </c>
      <c r="AG163">
        <f>'Net zero Activity data'!BI55*'Net zero supporting data'!AG156</f>
        <v>-8747300.7922257241</v>
      </c>
      <c r="AH163">
        <f>'Net zero Activity data'!BJ55*'Net zero supporting data'!AH156</f>
        <v>-8809276.9542866778</v>
      </c>
      <c r="AI163">
        <f>'Net zero Activity data'!BK55*'Net zero supporting data'!AI156</f>
        <v>-8870382.0235776231</v>
      </c>
      <c r="AJ163">
        <f>'Net zero Activity data'!BL55*'Net zero supporting data'!AJ156</f>
        <v>-8930486.91496877</v>
      </c>
      <c r="AK163">
        <f>'Net zero Activity data'!BM55*'Net zero supporting data'!AK156</f>
        <v>-8989568.0501603652</v>
      </c>
      <c r="AL163">
        <f>'Net zero Activity data'!BN55*'Net zero supporting data'!AL156</f>
        <v>-9047634.3607756048</v>
      </c>
      <c r="AM163">
        <f>'Net zero Activity data'!BO55*'Net zero supporting data'!AM156</f>
        <v>-9104689.4194816314</v>
      </c>
      <c r="AN163">
        <f>'Net zero Activity data'!BP55*'Net zero supporting data'!AN156</f>
        <v>-9160604.4139572084</v>
      </c>
    </row>
    <row r="164" spans="1:40" x14ac:dyDescent="0.25">
      <c r="A164" t="s">
        <v>1137</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188511.83379094768</v>
      </c>
      <c r="L164">
        <f>'Net zero Activity data'!AN56*'Net zero supporting data'!L156</f>
        <v>381934.43393504416</v>
      </c>
      <c r="M164">
        <f>'Net zero Activity data'!AO56*'Net zero supporting data'!M156</f>
        <v>573081.34237121919</v>
      </c>
      <c r="N164">
        <f>'Net zero Activity data'!AP56*'Net zero supporting data'!N156</f>
        <v>765133.29073892336</v>
      </c>
      <c r="O164">
        <f>'Net zero Activity data'!AQ56*'Net zero supporting data'!O156</f>
        <v>958268.39189156331</v>
      </c>
      <c r="P164">
        <f>'Net zero Activity data'!AR56*'Net zero supporting data'!P156</f>
        <v>1151986.3567555286</v>
      </c>
      <c r="Q164">
        <f>'Net zero Activity data'!AS56*'Net zero supporting data'!Q156</f>
        <v>1346238.0799069335</v>
      </c>
      <c r="R164">
        <f>'Net zero Activity data'!AT56*'Net zero supporting data'!R156</f>
        <v>1540943.6804357735</v>
      </c>
      <c r="S164">
        <f>'Net zero Activity data'!AU56*'Net zero supporting data'!S156</f>
        <v>1736056.0467215774</v>
      </c>
      <c r="T164">
        <f>'Net zero Activity data'!AV56*'Net zero supporting data'!T156</f>
        <v>1931553.9862277068</v>
      </c>
      <c r="U164">
        <f>'Net zero Activity data'!AW56*'Net zero supporting data'!U156</f>
        <v>2127384.1794652748</v>
      </c>
      <c r="V164">
        <f>'Net zero Activity data'!AX56*'Net zero supporting data'!V156</f>
        <v>2323541.9402011447</v>
      </c>
      <c r="W164">
        <f>'Net zero Activity data'!AY56*'Net zero supporting data'!W156</f>
        <v>2519994.8144033947</v>
      </c>
      <c r="X164">
        <f>'Net zero Activity data'!AZ56*'Net zero supporting data'!X156</f>
        <v>2716663.0929718572</v>
      </c>
      <c r="Y164">
        <f>'Net zero Activity data'!BA56*'Net zero supporting data'!Y156</f>
        <v>2913527.4866486141</v>
      </c>
      <c r="Z164">
        <f>'Net zero Activity data'!BB56*'Net zero supporting data'!Z156</f>
        <v>3110594.5120901954</v>
      </c>
      <c r="AA164">
        <f>'Net zero Activity data'!BC56*'Net zero supporting data'!AA156</f>
        <v>3232474.4569374677</v>
      </c>
      <c r="AB164">
        <f>'Net zero Activity data'!BD56*'Net zero supporting data'!AB156</f>
        <v>3425767.4224029663</v>
      </c>
      <c r="AC164">
        <f>'Net zero Activity data'!BE56*'Net zero supporting data'!AC156</f>
        <v>3619186.6530953706</v>
      </c>
      <c r="AD164">
        <f>'Net zero Activity data'!BF56*'Net zero supporting data'!AD156</f>
        <v>3812716.8030670052</v>
      </c>
      <c r="AE164">
        <f>'Net zero Activity data'!BG56*'Net zero supporting data'!AE156</f>
        <v>3815572.4063873482</v>
      </c>
      <c r="AF164">
        <f>'Net zero Activity data'!BH56*'Net zero supporting data'!AF156</f>
        <v>3818161.8571387879</v>
      </c>
      <c r="AG164">
        <f>'Net zero Activity data'!BI56*'Net zero supporting data'!AG156</f>
        <v>3820434.9933909457</v>
      </c>
      <c r="AH164">
        <f>'Net zero Activity data'!BJ56*'Net zero supporting data'!AH156</f>
        <v>3822384.4679614496</v>
      </c>
      <c r="AI164">
        <f>'Net zero Activity data'!BK56*'Net zero supporting data'!AI156</f>
        <v>3823953.1973996055</v>
      </c>
      <c r="AJ164">
        <f>'Net zero Activity data'!BL56*'Net zero supporting data'!AJ156</f>
        <v>3825079.1335559799</v>
      </c>
      <c r="AK164">
        <f>'Net zero Activity data'!BM56*'Net zero supporting data'!AK156</f>
        <v>3825755.2792446665</v>
      </c>
      <c r="AL164">
        <f>'Net zero Activity data'!BN56*'Net zero supporting data'!AL156</f>
        <v>3825991.2790265894</v>
      </c>
      <c r="AM164">
        <f>'Net zero Activity data'!BO56*'Net zero supporting data'!AM156</f>
        <v>3825794.0359630855</v>
      </c>
      <c r="AN164">
        <f>'Net zero Activity data'!BP56*'Net zero supporting data'!AN156</f>
        <v>3825105.1487009027</v>
      </c>
    </row>
    <row r="165" spans="1:40" x14ac:dyDescent="0.25">
      <c r="A165" t="s">
        <v>1138</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23731.095304450711</v>
      </c>
      <c r="L165">
        <f>'Net zero Activity data'!AN58*'Net zero supporting data'!L156</f>
        <v>48424.498884360859</v>
      </c>
      <c r="M165">
        <f>'Net zero Activity data'!AO58*'Net zero supporting data'!M156</f>
        <v>72701.962215092368</v>
      </c>
      <c r="N165">
        <f>'Net zero Activity data'!AP58*'Net zero supporting data'!N156</f>
        <v>97166.155841720523</v>
      </c>
      <c r="O165">
        <f>'Net zero Activity data'!AQ58*'Net zero supporting data'!O156</f>
        <v>121846.0611449995</v>
      </c>
      <c r="P165">
        <f>'Net zero Activity data'!AR58*'Net zero supporting data'!P156</f>
        <v>146642.69670533296</v>
      </c>
      <c r="Q165">
        <f>'Net zero Activity data'!AS58*'Net zero supporting data'!Q156</f>
        <v>171543.34580460831</v>
      </c>
      <c r="R165">
        <f>'Net zero Activity data'!AT58*'Net zero supporting data'!R156</f>
        <v>196529.9119866541</v>
      </c>
      <c r="S165">
        <f>'Net zero Activity data'!AU58*'Net zero supporting data'!S156</f>
        <v>221590.85652124163</v>
      </c>
      <c r="T165">
        <f>'Net zero Activity data'!AV58*'Net zero supporting data'!T156</f>
        <v>246719.8096106122</v>
      </c>
      <c r="U165">
        <f>'Net zero Activity data'!AW58*'Net zero supporting data'!U156</f>
        <v>271904.64345187088</v>
      </c>
      <c r="V165">
        <f>'Net zero Activity data'!AX58*'Net zero supporting data'!V156</f>
        <v>297142.56340023351</v>
      </c>
      <c r="W165">
        <f>'Net zero Activity data'!AY58*'Net zero supporting data'!W156</f>
        <v>322425.77715018124</v>
      </c>
      <c r="X165">
        <f>'Net zero Activity data'!AZ58*'Net zero supporting data'!X156</f>
        <v>347737.9085410824</v>
      </c>
      <c r="Y165">
        <f>'Net zero Activity data'!BA58*'Net zero supporting data'!Y156</f>
        <v>373074.0206505481</v>
      </c>
      <c r="Z165">
        <f>'Net zero Activity data'!BB58*'Net zero supporting data'!Z156</f>
        <v>398434.08781220415</v>
      </c>
      <c r="AA165">
        <f>'Net zero Activity data'!BC58*'Net zero supporting data'!AA156</f>
        <v>409897.2392714349</v>
      </c>
      <c r="AB165">
        <f>'Net zero Activity data'!BD58*'Net zero supporting data'!AB156</f>
        <v>434557.31388097536</v>
      </c>
      <c r="AC165">
        <f>'Net zero Activity data'!BE58*'Net zero supporting data'!AC156</f>
        <v>459226.50659099157</v>
      </c>
      <c r="AD165">
        <f>'Net zero Activity data'!BF58*'Net zero supporting data'!AD156</f>
        <v>483901.12540109368</v>
      </c>
      <c r="AE165">
        <f>'Net zero Activity data'!BG58*'Net zero supporting data'!AE156</f>
        <v>484361.06834663131</v>
      </c>
      <c r="AF165">
        <f>'Net zero Activity data'!BH58*'Net zero supporting data'!AF156</f>
        <v>484763.09468555782</v>
      </c>
      <c r="AG165">
        <f>'Net zero Activity data'!BI58*'Net zero supporting data'!AG156</f>
        <v>485098.75811334531</v>
      </c>
      <c r="AH165">
        <f>'Net zero Activity data'!BJ58*'Net zero supporting data'!AH156</f>
        <v>485367.44199704647</v>
      </c>
      <c r="AI165">
        <f>'Net zero Activity data'!BK58*'Net zero supporting data'!AI156</f>
        <v>485559.44540964632</v>
      </c>
      <c r="AJ165">
        <f>'Net zero Activity data'!BL58*'Net zero supporting data'!AJ156</f>
        <v>485664.19844086148</v>
      </c>
      <c r="AK165">
        <f>'Net zero Activity data'!BM58*'Net zero supporting data'!AK156</f>
        <v>485681.16055790673</v>
      </c>
      <c r="AL165">
        <f>'Net zero Activity data'!BN58*'Net zero supporting data'!AL156</f>
        <v>485612.78157633083</v>
      </c>
      <c r="AM165">
        <f>'Net zero Activity data'!BO58*'Net zero supporting data'!AM156</f>
        <v>485460.97376055369</v>
      </c>
      <c r="AN165">
        <f>'Net zero Activity data'!BP58*'Net zero supporting data'!AN156</f>
        <v>485215.81987788633</v>
      </c>
    </row>
    <row r="166" spans="1:40" x14ac:dyDescent="0.25">
      <c r="A166" t="s">
        <v>1139</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340730.7510311068</v>
      </c>
      <c r="L166">
        <f>'Net zero Activity data'!AN62*'Net zero supporting data'!L156</f>
        <v>2178304.1923758816</v>
      </c>
      <c r="M166">
        <f>'Net zero Activity data'!AO62*'Net zero supporting data'!M156</f>
        <v>3276413.1957122404</v>
      </c>
      <c r="N166">
        <f>'Net zero Activity data'!AP62*'Net zero supporting data'!N156</f>
        <v>4372961.658994169</v>
      </c>
      <c r="O166">
        <f>'Net zero Activity data'!AQ62*'Net zero supporting data'!O156</f>
        <v>5462549.4912832174</v>
      </c>
      <c r="P166">
        <f>'Net zero Activity data'!AR62*'Net zero supporting data'!P156</f>
        <v>6540338.3432738632</v>
      </c>
      <c r="Q166">
        <f>'Net zero Activity data'!AS62*'Net zero supporting data'!Q156</f>
        <v>7601001.4821799127</v>
      </c>
      <c r="R166">
        <f>'Net zero Activity data'!AT62*'Net zero supporting data'!R156</f>
        <v>8639254.0488624815</v>
      </c>
      <c r="S166">
        <f>'Net zero Activity data'!AU62*'Net zero supporting data'!S156</f>
        <v>9649846.3776048776</v>
      </c>
      <c r="T166">
        <f>'Net zero Activity data'!AV62*'Net zero supporting data'!T156</f>
        <v>10627624.234868312</v>
      </c>
      <c r="U166">
        <f>'Net zero Activity data'!AW62*'Net zero supporting data'!U156</f>
        <v>11567631.581954975</v>
      </c>
      <c r="V166">
        <f>'Net zero Activity data'!AX62*'Net zero supporting data'!V156</f>
        <v>12465086.788558437</v>
      </c>
      <c r="W166">
        <f>'Net zero Activity data'!AY62*'Net zero supporting data'!W156</f>
        <v>13315496.228572741</v>
      </c>
      <c r="X166">
        <f>'Net zero Activity data'!AZ62*'Net zero supporting data'!X156</f>
        <v>14114711.146355709</v>
      </c>
      <c r="Y166">
        <f>'Net zero Activity data'!BA62*'Net zero supporting data'!Y156</f>
        <v>14858874.87681598</v>
      </c>
      <c r="Z166">
        <f>'Net zero Activity data'!BB62*'Net zero supporting data'!Z156</f>
        <v>15544489.759522246</v>
      </c>
      <c r="AA166">
        <f>'Net zero Activity data'!BC62*'Net zero supporting data'!AA156</f>
        <v>-1539000.5086295262</v>
      </c>
      <c r="AB166">
        <f>'Net zero Activity data'!BD62*'Net zero supporting data'!AB156</f>
        <v>-1611888.8009867761</v>
      </c>
      <c r="AC166">
        <f>'Net zero Activity data'!BE62*'Net zero supporting data'!AC156</f>
        <v>-1682750.9919253851</v>
      </c>
      <c r="AD166">
        <f>'Net zero Activity data'!BF62*'Net zero supporting data'!AD156</f>
        <v>-1751597.0719566722</v>
      </c>
      <c r="AE166">
        <f>'Net zero Activity data'!BG62*'Net zero supporting data'!AE156</f>
        <v>-1731850.8258347916</v>
      </c>
      <c r="AF166">
        <f>'Net zero Activity data'!BH62*'Net zero supporting data'!AF156</f>
        <v>-1712025.7517569587</v>
      </c>
      <c r="AG166">
        <f>'Net zero Activity data'!BI62*'Net zero supporting data'!AG156</f>
        <v>-1692090.9472314739</v>
      </c>
      <c r="AH166">
        <f>'Net zero Activity data'!BJ62*'Net zero supporting data'!AH156</f>
        <v>-1672048.3379669054</v>
      </c>
      <c r="AI166">
        <f>'Net zero Activity data'!BK62*'Net zero supporting data'!AI156</f>
        <v>-1651864.7099637298</v>
      </c>
      <c r="AJ166">
        <f>'Net zero Activity data'!BL62*'Net zero supporting data'!AJ156</f>
        <v>-1631505.6078826098</v>
      </c>
      <c r="AK166">
        <f>'Net zero Activity data'!BM62*'Net zero supporting data'!AK156</f>
        <v>-1610976.8099984734</v>
      </c>
      <c r="AL166">
        <f>'Net zero Activity data'!BN62*'Net zero supporting data'!AL156</f>
        <v>-1590295.3989921769</v>
      </c>
      <c r="AM166">
        <f>'Net zero Activity data'!BO62*'Net zero supporting data'!AM156</f>
        <v>-1569475.9871582442</v>
      </c>
      <c r="AN166">
        <f>'Net zero Activity data'!BP62*'Net zero supporting data'!AN156</f>
        <v>-1548489.7510696545</v>
      </c>
    </row>
    <row r="167" spans="1:40" x14ac:dyDescent="0.25">
      <c r="A167" t="s">
        <v>1140</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555493.16832987231</v>
      </c>
      <c r="L167">
        <f>'Net zero Activity data'!AN64*'Net zero supporting data'!L156</f>
        <v>2469096.6675047381</v>
      </c>
      <c r="M167">
        <f>'Net zero Activity data'!AO64*'Net zero supporting data'!M156</f>
        <v>3785067.5033269366</v>
      </c>
      <c r="N167">
        <f>'Net zero Activity data'!AP64*'Net zero supporting data'!N156</f>
        <v>5150867.8823060915</v>
      </c>
      <c r="O167">
        <f>'Net zero Activity data'!AQ64*'Net zero supporting data'!O156</f>
        <v>6562009.3842534889</v>
      </c>
      <c r="P167">
        <f>'Net zero Activity data'!AR64*'Net zero supporting data'!P156</f>
        <v>8012593.0532510281</v>
      </c>
      <c r="Q167">
        <f>'Net zero Activity data'!AS64*'Net zero supporting data'!Q156</f>
        <v>9496950.4967830591</v>
      </c>
      <c r="R167">
        <f>'Net zero Activity data'!AT64*'Net zero supporting data'!R156</f>
        <v>11008996.468710911</v>
      </c>
      <c r="S167">
        <f>'Net zero Activity data'!AU64*'Net zero supporting data'!S156</f>
        <v>12542362.632183215</v>
      </c>
      <c r="T167">
        <f>'Net zero Activity data'!AV64*'Net zero supporting data'!T156</f>
        <v>14090435.41647077</v>
      </c>
      <c r="U167">
        <f>'Net zero Activity data'!AW64*'Net zero supporting data'!U156</f>
        <v>15646322.271246687</v>
      </c>
      <c r="V167">
        <f>'Net zero Activity data'!AX64*'Net zero supporting data'!V156</f>
        <v>17203025.061103515</v>
      </c>
      <c r="W167">
        <f>'Net zero Activity data'!AY64*'Net zero supporting data'!W156</f>
        <v>18753385.79573207</v>
      </c>
      <c r="X167">
        <f>'Net zero Activity data'!AZ64*'Net zero supporting data'!X156</f>
        <v>20290116.878026564</v>
      </c>
      <c r="Y167">
        <f>'Net zero Activity data'!BA64*'Net zero supporting data'!Y156</f>
        <v>21806023.314266287</v>
      </c>
      <c r="Z167">
        <f>'Net zero Activity data'!BB64*'Net zero supporting data'!Z156</f>
        <v>23294015.397397291</v>
      </c>
      <c r="AA167">
        <f>'Net zero Activity data'!BC64*'Net zero supporting data'!AA156</f>
        <v>3226479.0157627412</v>
      </c>
      <c r="AB167">
        <f>'Net zero Activity data'!BD64*'Net zero supporting data'!AB156</f>
        <v>3441345.0960628842</v>
      </c>
      <c r="AC167">
        <f>'Net zero Activity data'!BE64*'Net zero supporting data'!AC156</f>
        <v>3658341.0253473371</v>
      </c>
      <c r="AD167">
        <f>'Net zero Activity data'!BF64*'Net zero supporting data'!AD156</f>
        <v>3877404.1425925829</v>
      </c>
      <c r="AE167">
        <f>'Net zero Activity data'!BG64*'Net zero supporting data'!AE156</f>
        <v>3903320.5114719034</v>
      </c>
      <c r="AF167">
        <f>'Net zero Activity data'!BH64*'Net zero supporting data'!AF156</f>
        <v>3928528.1349214963</v>
      </c>
      <c r="AG167">
        <f>'Net zero Activity data'!BI64*'Net zero supporting data'!AG156</f>
        <v>3952957.0357069927</v>
      </c>
      <c r="AH167">
        <f>'Net zero Activity data'!BJ64*'Net zero supporting data'!AH156</f>
        <v>3976602.0602718103</v>
      </c>
      <c r="AI167">
        <f>'Net zero Activity data'!BK64*'Net zero supporting data'!AI156</f>
        <v>3999379.8532006997</v>
      </c>
      <c r="AJ167">
        <f>'Net zero Activity data'!BL64*'Net zero supporting data'!AJ156</f>
        <v>4021197.6185924937</v>
      </c>
      <c r="AK167">
        <f>'Net zero Activity data'!BM64*'Net zero supporting data'!AK156</f>
        <v>4042047.2411376513</v>
      </c>
      <c r="AL167">
        <f>'Net zero Activity data'!BN64*'Net zero supporting data'!AL156</f>
        <v>4061946.306254033</v>
      </c>
      <c r="AM167">
        <f>'Net zero Activity data'!BO64*'Net zero supporting data'!AM156</f>
        <v>4080907.94282737</v>
      </c>
      <c r="AN167">
        <f>'Net zero Activity data'!BP64*'Net zero supporting data'!AN156</f>
        <v>4098841.6615758603</v>
      </c>
    </row>
    <row r="168" spans="1:40" x14ac:dyDescent="0.25">
      <c r="A168" t="s">
        <v>1141</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2377541.7362914863</v>
      </c>
      <c r="L168">
        <f>'Net zero Activity data'!AN65*'Net zero supporting data'!L156</f>
        <v>20676294.052638631</v>
      </c>
      <c r="M168">
        <f>'Net zero Activity data'!AO65*'Net zero supporting data'!M156</f>
        <v>31570478.526217252</v>
      </c>
      <c r="N168">
        <f>'Net zero Activity data'!AP65*'Net zero supporting data'!N156</f>
        <v>42752610.713868827</v>
      </c>
      <c r="O168">
        <f>'Net zero Activity data'!AQ65*'Net zero supporting data'!O156</f>
        <v>54164148.087113261</v>
      </c>
      <c r="P168">
        <f>'Net zero Activity data'!AR65*'Net zero supporting data'!P156</f>
        <v>65756939.053987041</v>
      </c>
      <c r="Q168">
        <f>'Net zero Activity data'!AS65*'Net zero supporting data'!Q156</f>
        <v>77470282.991536662</v>
      </c>
      <c r="R168">
        <f>'Net zero Activity data'!AT65*'Net zero supporting data'!R156</f>
        <v>89241444.384030744</v>
      </c>
      <c r="S168">
        <f>'Net zero Activity data'!AU65*'Net zero supporting data'!S156</f>
        <v>101004882.33733897</v>
      </c>
      <c r="T168">
        <f>'Net zero Activity data'!AV65*'Net zero supporting data'!T156</f>
        <v>112692963.44875014</v>
      </c>
      <c r="U168">
        <f>'Net zero Activity data'!AW65*'Net zero supporting data'!U156</f>
        <v>124237734.067026</v>
      </c>
      <c r="V168">
        <f>'Net zero Activity data'!AX65*'Net zero supporting data'!V156</f>
        <v>135569877.78888786</v>
      </c>
      <c r="W168">
        <f>'Net zero Activity data'!AY65*'Net zero supporting data'!W156</f>
        <v>146620884.74684072</v>
      </c>
      <c r="X168">
        <f>'Net zero Activity data'!AZ65*'Net zero supporting data'!X156</f>
        <v>157324052.67739043</v>
      </c>
      <c r="Y168">
        <f>'Net zero Activity data'!BA65*'Net zero supporting data'!Y156</f>
        <v>167612922.41546521</v>
      </c>
      <c r="Z168">
        <f>'Net zero Activity data'!BB65*'Net zero supporting data'!Z156</f>
        <v>177422588.84336218</v>
      </c>
      <c r="AA168">
        <f>'Net zero Activity data'!BC65*'Net zero supporting data'!AA156</f>
        <v>-40254948.098629385</v>
      </c>
      <c r="AB168">
        <f>'Net zero Activity data'!BD65*'Net zero supporting data'!AB156</f>
        <v>-42683204.433031321</v>
      </c>
      <c r="AC168">
        <f>'Net zero Activity data'!BE65*'Net zero supporting data'!AC156</f>
        <v>-45112144.967044957</v>
      </c>
      <c r="AD168">
        <f>'Net zero Activity data'!BF65*'Net zero supporting data'!AD156</f>
        <v>-47541335.574629463</v>
      </c>
      <c r="AE168">
        <f>'Net zero Activity data'!BG65*'Net zero supporting data'!AE156</f>
        <v>-47590974.261808403</v>
      </c>
      <c r="AF168">
        <f>'Net zero Activity data'!BH65*'Net zero supporting data'!AF156</f>
        <v>-47633999.088197194</v>
      </c>
      <c r="AG168">
        <f>'Net zero Activity data'!BI65*'Net zero supporting data'!AG156</f>
        <v>-47669524.193234615</v>
      </c>
      <c r="AH168">
        <f>'Net zero Activity data'!BJ65*'Net zero supporting data'!AH156</f>
        <v>-47697509.358967923</v>
      </c>
      <c r="AI168">
        <f>'Net zero Activity data'!BK65*'Net zero supporting data'!AI156</f>
        <v>-47716933.323081039</v>
      </c>
      <c r="AJ168">
        <f>'Net zero Activity data'!BL65*'Net zero supporting data'!AJ156</f>
        <v>-47726682.155939534</v>
      </c>
      <c r="AK168">
        <f>'Net zero Activity data'!BM65*'Net zero supporting data'!AK156</f>
        <v>-47726723.936664656</v>
      </c>
      <c r="AL168">
        <f>'Net zero Activity data'!BN65*'Net zero supporting data'!AL156</f>
        <v>-47717347.888305739</v>
      </c>
      <c r="AM168">
        <f>'Net zero Activity data'!BO65*'Net zero supporting data'!AM156</f>
        <v>-47698783.861094415</v>
      </c>
      <c r="AN168">
        <f>'Net zero Activity data'!BP65*'Net zero supporting data'!AN156</f>
        <v>-47669987.590099581</v>
      </c>
    </row>
    <row r="169" spans="1:40" x14ac:dyDescent="0.25">
      <c r="A169" t="s">
        <v>1130</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399215.52910450927</v>
      </c>
      <c r="L169">
        <f>'Net zero Activity data'!AN47-'Net zero supporting data'!L157</f>
        <v>378048.08038343681</v>
      </c>
      <c r="M169">
        <f>'Net zero Activity data'!AO47-'Net zero supporting data'!M157</f>
        <v>353507.14429308107</v>
      </c>
      <c r="N169">
        <f>'Net zero Activity data'!AP47-'Net zero supporting data'!N157</f>
        <v>332629.41260289098</v>
      </c>
      <c r="O169">
        <f>'Net zero Activity data'!AQ47-'Net zero supporting data'!O157</f>
        <v>311767.87841231667</v>
      </c>
      <c r="P169">
        <f>'Net zero Activity data'!AR47-'Net zero supporting data'!P157</f>
        <v>290921.37479923246</v>
      </c>
      <c r="Q169">
        <f>'Net zero Activity data'!AS47-'Net zero supporting data'!Q157</f>
        <v>270088.69998551137</v>
      </c>
      <c r="R169">
        <f>'Net zero Activity data'!AT47-'Net zero supporting data'!R157</f>
        <v>249268.7480898762</v>
      </c>
      <c r="S169">
        <f>'Net zero Activity data'!AU47-'Net zero supporting data'!S157</f>
        <v>228460.39286177151</v>
      </c>
      <c r="T169">
        <f>'Net zero Activity data'!AV47-'Net zero supporting data'!T157</f>
        <v>207662.49570728809</v>
      </c>
      <c r="U169">
        <f>'Net zero Activity data'!AW47-'Net zero supporting data'!U157</f>
        <v>186873.90486332579</v>
      </c>
      <c r="V169">
        <f>'Net zero Activity data'!AX47-'Net zero supporting data'!V157</f>
        <v>166093.45422774128</v>
      </c>
      <c r="W169">
        <f>'Net zero Activity data'!AY47-'Net zero supporting data'!W157</f>
        <v>145319.968481321</v>
      </c>
      <c r="X169">
        <f>'Net zero Activity data'!AZ47-'Net zero supporting data'!X157</f>
        <v>124552.26124295476</v>
      </c>
      <c r="Y169">
        <f>'Net zero Activity data'!BA47-'Net zero supporting data'!Y157</f>
        <v>103789.13691796089</v>
      </c>
      <c r="Z169">
        <f>'Net zero Activity data'!BB47-'Net zero supporting data'!Z157</f>
        <v>83029.394101599988</v>
      </c>
      <c r="AA169">
        <f>'Net zero Activity data'!BC47-'Net zero supporting data'!AA157</f>
        <v>62271.824972800037</v>
      </c>
      <c r="AB169">
        <f>'Net zero Activity data'!BD47-'Net zero supporting data'!AB157</f>
        <v>42745.035530111229</v>
      </c>
      <c r="AC169">
        <f>'Net zero Activity data'!BE47-'Net zero supporting data'!AC157</f>
        <v>21373.039308109961</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1131</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2634.8224920897615</v>
      </c>
      <c r="L170">
        <f>'Net zero Activity data'!AN48-'Net zero supporting data'!L158</f>
        <v>2495.1173305306834</v>
      </c>
      <c r="M170">
        <f>'Net zero Activity data'!AO48-'Net zero supporting data'!M158</f>
        <v>2333.1471523343357</v>
      </c>
      <c r="N170">
        <f>'Net zero Activity data'!AP48-'Net zero supporting data'!N158</f>
        <v>2195.3541231790805</v>
      </c>
      <c r="O170">
        <f>'Net zero Activity data'!AQ48-'Net zero supporting data'!O158</f>
        <v>2057.667997521291</v>
      </c>
      <c r="P170">
        <f>'Net zero Activity data'!AR48-'Net zero supporting data'!P158</f>
        <v>1920.0810736749345</v>
      </c>
      <c r="Q170">
        <f>'Net zero Activity data'!AS48-'Net zero supporting data'!Q158</f>
        <v>1782.5854199043752</v>
      </c>
      <c r="R170">
        <f>'Net zero Activity data'!AT48-'Net zero supporting data'!R158</f>
        <v>1645.1737373931828</v>
      </c>
      <c r="S170">
        <f>'Net zero Activity data'!AU48-'Net zero supporting data'!S158</f>
        <v>1507.8385928876921</v>
      </c>
      <c r="T170">
        <f>'Net zero Activity data'!AV48-'Net zero supporting data'!T158</f>
        <v>1370.5724716681016</v>
      </c>
      <c r="U170">
        <f>'Net zero Activity data'!AW48-'Net zero supporting data'!U158</f>
        <v>1233.3677720979504</v>
      </c>
      <c r="V170">
        <f>'Net zero Activity data'!AX48-'Net zero supporting data'!V158</f>
        <v>1096.2167979030928</v>
      </c>
      <c r="W170">
        <f>'Net zero Activity data'!AY48-'Net zero supporting data'!W158</f>
        <v>959.11179197671891</v>
      </c>
      <c r="X170">
        <f>'Net zero Activity data'!AZ48-'Net zero supporting data'!X158</f>
        <v>822.04492420350175</v>
      </c>
      <c r="Y170">
        <f>'Net zero Activity data'!BA48-'Net zero supporting data'!Y158</f>
        <v>685.00830365854199</v>
      </c>
      <c r="Z170">
        <f>'Net zero Activity data'!BB48-'Net zero supporting data'!Z158</f>
        <v>547.99400107055999</v>
      </c>
      <c r="AA170">
        <f>'Net zero Activity data'!BC48-'Net zero supporting data'!AA158</f>
        <v>410.99404482048021</v>
      </c>
      <c r="AB170">
        <f>'Net zero Activity data'!BD48-'Net zero supporting data'!AB158</f>
        <v>282.11723449873443</v>
      </c>
      <c r="AC170">
        <f>'Net zero Activity data'!BE48-'Net zero supporting data'!AC158</f>
        <v>141.06205943352597</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1142</v>
      </c>
      <c r="B171">
        <f>'Net zero Activity data'!AD50-'Net zero supporting data'!B159</f>
        <v>20286067.697994635</v>
      </c>
      <c r="C171">
        <f>'Net zero Activity data'!AE50-'Net zero supporting data'!C159</f>
        <v>20399477.19036686</v>
      </c>
      <c r="D171">
        <f>'Net zero Activity data'!AF50-'Net zero supporting data'!D159</f>
        <v>20560385.837839566</v>
      </c>
      <c r="E171">
        <f>'Net zero Activity data'!AG50-'Net zero supporting data'!E159</f>
        <v>20663786.784143396</v>
      </c>
      <c r="F171">
        <f>'Net zero Activity data'!AH50-'Net zero supporting data'!F159</f>
        <v>20732497.185878474</v>
      </c>
      <c r="G171">
        <f>'Net zero Activity data'!AI50-'Net zero supporting data'!G159</f>
        <v>20765840.779266842</v>
      </c>
      <c r="H171">
        <f>'Net zero Activity data'!AJ50-'Net zero supporting data'!H159</f>
        <v>20839509.186275803</v>
      </c>
      <c r="I171">
        <f>'Net zero Activity data'!AK50-'Net zero supporting data'!I159</f>
        <v>20924019.222796652</v>
      </c>
      <c r="J171">
        <f>'Net zero Activity data'!AL50-'Net zero supporting data'!J159</f>
        <v>20329471.467798639</v>
      </c>
      <c r="K171">
        <f>'Net zero Activity data'!AM50-'Net zero supporting data'!K159</f>
        <v>19645305.374556743</v>
      </c>
      <c r="L171">
        <f>'Net zero Activity data'!AN50-'Net zero supporting data'!L159</f>
        <v>32022302.187056266</v>
      </c>
      <c r="M171">
        <f>'Net zero Activity data'!AO50-'Net zero supporting data'!M159</f>
        <v>30607854.08824205</v>
      </c>
      <c r="N171">
        <f>'Net zero Activity data'!AP50-'Net zero supporting data'!N159</f>
        <v>29135465.320371609</v>
      </c>
      <c r="O171">
        <f>'Net zero Activity data'!AQ50-'Net zero supporting data'!O159</f>
        <v>27602726.127490044</v>
      </c>
      <c r="P171">
        <f>'Net zero Activity data'!AR50-'Net zero supporting data'!P159</f>
        <v>26006320.72904408</v>
      </c>
      <c r="Q171">
        <f>'Net zero Activity data'!AS50-'Net zero supporting data'!Q159</f>
        <v>24350599.691298313</v>
      </c>
      <c r="R171">
        <f>'Net zero Activity data'!AT50-'Net zero supporting data'!R159</f>
        <v>22640129.10039223</v>
      </c>
      <c r="S171">
        <f>'Net zero Activity data'!AU50-'Net zero supporting data'!S159</f>
        <v>20880078.848661136</v>
      </c>
      <c r="T171">
        <f>'Net zero Activity data'!AV50-'Net zero supporting data'!T159</f>
        <v>19076034.375241514</v>
      </c>
      <c r="U171">
        <f>'Net zero Activity data'!AW50-'Net zero supporting data'!U159</f>
        <v>17233773.28319706</v>
      </c>
      <c r="V171">
        <f>'Net zero Activity data'!AX50-'Net zero supporting data'!V159</f>
        <v>15359484.768441357</v>
      </c>
      <c r="W171">
        <f>'Net zero Activity data'!AY50-'Net zero supporting data'!W159</f>
        <v>13459504.469266083</v>
      </c>
      <c r="X171">
        <f>'Net zero Activity data'!AZ50-'Net zero supporting data'!X159</f>
        <v>11540305.800565373</v>
      </c>
      <c r="Y171">
        <f>'Net zero Activity data'!BA50-'Net zero supporting data'!Y159</f>
        <v>9608618.2743601575</v>
      </c>
      <c r="Z171">
        <f>'Net zero Activity data'!BB50-'Net zero supporting data'!Z159</f>
        <v>7671255.4851458259</v>
      </c>
      <c r="AA171">
        <f>'Net zero Activity data'!BC50-'Net zero supporting data'!AA159</f>
        <v>1820289.43578678</v>
      </c>
      <c r="AB171">
        <f>'Net zero Activity data'!BD50-'Net zero supporting data'!AB159</f>
        <v>1214412.1443513967</v>
      </c>
      <c r="AC171">
        <f>'Net zero Activity data'!BE50-'Net zero supporting data'!AC159</f>
        <v>607617.11428577639</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1143</v>
      </c>
      <c r="B172">
        <f>'Net zero Activity data'!AD51-'Net zero supporting data'!B160</f>
        <v>59315868.867694005</v>
      </c>
      <c r="C172">
        <f>'Net zero Activity data'!AE51-'Net zero supporting data'!C160</f>
        <v>59647474.907762975</v>
      </c>
      <c r="D172">
        <f>'Net zero Activity data'!AF51-'Net zero supporting data'!D160</f>
        <v>60117967.088665649</v>
      </c>
      <c r="E172">
        <f>'Net zero Activity data'!AG51-'Net zero supporting data'!E160</f>
        <v>60420308.43263936</v>
      </c>
      <c r="F172">
        <f>'Net zero Activity data'!AH51-'Net zero supporting data'!F160</f>
        <v>60621215.638502978</v>
      </c>
      <c r="G172">
        <f>'Net zero Activity data'!AI51-'Net zero supporting data'!G160</f>
        <v>60718711.330740973</v>
      </c>
      <c r="H172">
        <f>'Net zero Activity data'!AJ51-'Net zero supporting data'!H160</f>
        <v>60934115.599073708</v>
      </c>
      <c r="I172">
        <f>'Net zero Activity data'!AK51-'Net zero supporting data'!I160</f>
        <v>61181220.475134552</v>
      </c>
      <c r="J172">
        <f>'Net zero Activity data'!AL51-'Net zero supporting data'!J160</f>
        <v>59442780.221653096</v>
      </c>
      <c r="K172">
        <f>'Net zero Activity data'!AM51-'Net zero supporting data'!K160</f>
        <v>57442298.567218386</v>
      </c>
      <c r="L172">
        <f>'Net zero Activity data'!AN51-'Net zero supporting data'!L160</f>
        <v>93632275.39445053</v>
      </c>
      <c r="M172">
        <f>'Net zero Activity data'!AO51-'Net zero supporting data'!M160</f>
        <v>89496470.506166667</v>
      </c>
      <c r="N172">
        <f>'Net zero Activity data'!AP51-'Net zero supporting data'!N160</f>
        <v>85191248.795509458</v>
      </c>
      <c r="O172">
        <f>'Net zero Activity data'!AQ51-'Net zero supporting data'!O160</f>
        <v>80709564.206518084</v>
      </c>
      <c r="P172">
        <f>'Net zero Activity data'!AR51-'Net zero supporting data'!P160</f>
        <v>76041721.493794605</v>
      </c>
      <c r="Q172">
        <f>'Net zero Activity data'!AS51-'Net zero supporting data'!Q160</f>
        <v>71200441.585904002</v>
      </c>
      <c r="R172">
        <f>'Net zero Activity data'!AT51-'Net zero supporting data'!R160</f>
        <v>66199075.585224532</v>
      </c>
      <c r="S172">
        <f>'Net zero Activity data'!AU51-'Net zero supporting data'!S160</f>
        <v>61052740.105798237</v>
      </c>
      <c r="T172">
        <f>'Net zero Activity data'!AV51-'Net zero supporting data'!T160</f>
        <v>55777766.808364913</v>
      </c>
      <c r="U172">
        <f>'Net zero Activity data'!AW51-'Net zero supporting data'!U160</f>
        <v>50391049.235369451</v>
      </c>
      <c r="V172">
        <f>'Net zero Activity data'!AX51-'Net zero supporting data'!V160</f>
        <v>44910684.414716467</v>
      </c>
      <c r="W172">
        <f>'Net zero Activity data'!AY51-'Net zero supporting data'!W160</f>
        <v>39355197.567542866</v>
      </c>
      <c r="X172">
        <f>'Net zero Activity data'!AZ51-'Net zero supporting data'!X160</f>
        <v>33743516.769743025</v>
      </c>
      <c r="Y172">
        <f>'Net zero Activity data'!BA51-'Net zero supporting data'!Y160</f>
        <v>28095318.917722866</v>
      </c>
      <c r="Z172">
        <f>'Net zero Activity data'!BB51-'Net zero supporting data'!Z160</f>
        <v>22430526.762585416</v>
      </c>
      <c r="AA172">
        <f>'Net zero Activity data'!BC51-'Net zero supporting data'!AA160</f>
        <v>5322473.0924589597</v>
      </c>
      <c r="AB172">
        <f>'Net zero Activity data'!BD51-'Net zero supporting data'!AB160</f>
        <v>3550905.6056637056</v>
      </c>
      <c r="AC172">
        <f>'Net zero Activity data'!BE51-'Net zero supporting data'!AC160</f>
        <v>1776654.677944541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1144</v>
      </c>
      <c r="B173">
        <f>'Net zero Activity data'!AD52-'Net zero supporting data'!B161</f>
        <v>3173064.5386902587</v>
      </c>
      <c r="C173">
        <f>'Net zero Activity data'!AE52-'Net zero supporting data'!C161</f>
        <v>3190803.5921112793</v>
      </c>
      <c r="D173">
        <f>'Net zero Activity data'!AF52-'Net zero supporting data'!D161</f>
        <v>3215972.2709733113</v>
      </c>
      <c r="E173">
        <f>'Net zero Activity data'!AG52-'Net zero supporting data'!E161</f>
        <v>3232145.8281588736</v>
      </c>
      <c r="F173">
        <f>'Net zero Activity data'!AH52-'Net zero supporting data'!F161</f>
        <v>3242893.2308803126</v>
      </c>
      <c r="G173">
        <f>'Net zero Activity data'!AI52-'Net zero supporting data'!G161</f>
        <v>3248108.7006967533</v>
      </c>
      <c r="H173">
        <f>'Net zero Activity data'!AJ52-'Net zero supporting data'!H161</f>
        <v>3259631.6145202648</v>
      </c>
      <c r="I173">
        <f>'Net zero Activity data'!AK52-'Net zero supporting data'!I161</f>
        <v>3272850.3321169848</v>
      </c>
      <c r="J173">
        <f>'Net zero Activity data'!AL52-'Net zero supporting data'!J161</f>
        <v>3179853.58055194</v>
      </c>
      <c r="K173">
        <f>'Net zero Activity data'!AM52-'Net zero supporting data'!K161</f>
        <v>3072839.0915263146</v>
      </c>
      <c r="L173">
        <f>'Net zero Activity data'!AN52-'Net zero supporting data'!L161</f>
        <v>5008798.7987448266</v>
      </c>
      <c r="M173">
        <f>'Net zero Activity data'!AO52-'Net zero supporting data'!M161</f>
        <v>4787556.5564837046</v>
      </c>
      <c r="N173">
        <f>'Net zero Activity data'!AP52-'Net zero supporting data'!N161</f>
        <v>4557251.4694629516</v>
      </c>
      <c r="O173">
        <f>'Net zero Activity data'!AQ52-'Net zero supporting data'!O161</f>
        <v>4317506.6134170443</v>
      </c>
      <c r="P173">
        <f>'Net zero Activity data'!AR52-'Net zero supporting data'!P161</f>
        <v>4067803.3473827261</v>
      </c>
      <c r="Q173">
        <f>'Net zero Activity data'!AS52-'Net zero supporting data'!Q161</f>
        <v>3808822.1693127202</v>
      </c>
      <c r="R173">
        <f>'Net zero Activity data'!AT52-'Net zero supporting data'!R161</f>
        <v>3541277.2879056074</v>
      </c>
      <c r="S173">
        <f>'Net zero Activity data'!AU52-'Net zero supporting data'!S161</f>
        <v>3265977.3567793355</v>
      </c>
      <c r="T173">
        <f>'Net zero Activity data'!AV52-'Net zero supporting data'!T161</f>
        <v>2983796.027699288</v>
      </c>
      <c r="U173">
        <f>'Net zero Activity data'!AW52-'Net zero supporting data'!U161</f>
        <v>2695637.009933962</v>
      </c>
      <c r="V173">
        <f>'Net zero Activity data'!AX52-'Net zero supporting data'!V161</f>
        <v>2402468.3924382371</v>
      </c>
      <c r="W173">
        <f>'Net zero Activity data'!AY52-'Net zero supporting data'!W161</f>
        <v>2105281.1700905995</v>
      </c>
      <c r="X173">
        <f>'Net zero Activity data'!AZ52-'Net zero supporting data'!X161</f>
        <v>1805087.8882276108</v>
      </c>
      <c r="Y173">
        <f>'Net zero Activity data'!BA52-'Net zero supporting data'!Y161</f>
        <v>1502941.1498610619</v>
      </c>
      <c r="Z173">
        <f>'Net zero Activity data'!BB52-'Net zero supporting data'!Z161</f>
        <v>1199906.7098428151</v>
      </c>
      <c r="AA173">
        <f>'Net zero Activity data'!BC52-'Net zero supporting data'!AA161</f>
        <v>284722.30029176618</v>
      </c>
      <c r="AB173">
        <f>'Net zero Activity data'!BD52-'Net zero supporting data'!AB161</f>
        <v>189953.42852854333</v>
      </c>
      <c r="AC173">
        <f>'Net zero Activity data'!BE52-'Net zero supporting data'!AC161</f>
        <v>95041.007806165144</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1145</v>
      </c>
      <c r="B174">
        <f>'Net zero Activity data'!AD53-'Net zero supporting data'!B162</f>
        <v>25454532.089860555</v>
      </c>
      <c r="C174">
        <f>'Net zero Activity data'!AE53-'Net zero supporting data'!C162</f>
        <v>25233773.06215195</v>
      </c>
      <c r="D174">
        <f>'Net zero Activity data'!AF53-'Net zero supporting data'!D162</f>
        <v>25149736.783242285</v>
      </c>
      <c r="E174">
        <f>'Net zero Activity data'!AG53-'Net zero supporting data'!E162</f>
        <v>24813894.968798298</v>
      </c>
      <c r="F174">
        <f>'Net zero Activity data'!AH53-'Net zero supporting data'!F162</f>
        <v>24326412.373308245</v>
      </c>
      <c r="G174">
        <f>'Net zero Activity data'!AI53-'Net zero supporting data'!G162</f>
        <v>23697369.373689067</v>
      </c>
      <c r="H174">
        <f>'Net zero Activity data'!AJ53-'Net zero supporting data'!H162</f>
        <v>23201224.762306098</v>
      </c>
      <c r="I174">
        <f>'Net zero Activity data'!AK53-'Net zero supporting data'!I162</f>
        <v>22731815.556191601</v>
      </c>
      <c r="J174">
        <f>'Net zero Activity data'!AL53-'Net zero supporting data'!J162</f>
        <v>20329488.947331246</v>
      </c>
      <c r="K174">
        <f>'Net zero Activity data'!AM53-'Net zero supporting data'!K162</f>
        <v>20057086.258751813</v>
      </c>
      <c r="L174">
        <f>'Net zero Activity data'!AN53-'Net zero supporting data'!L162</f>
        <v>59886787.606947206</v>
      </c>
      <c r="M174">
        <f>'Net zero Activity data'!AO53-'Net zero supporting data'!M162</f>
        <v>56832552.944076352</v>
      </c>
      <c r="N174">
        <f>'Net zero Activity data'!AP53-'Net zero supporting data'!N162</f>
        <v>53653788.319240607</v>
      </c>
      <c r="O174">
        <f>'Net zero Activity data'!AQ53-'Net zero supporting data'!O162</f>
        <v>50367793.874355398</v>
      </c>
      <c r="P174">
        <f>'Net zero Activity data'!AR53-'Net zero supporting data'!P162</f>
        <v>46993239.360349938</v>
      </c>
      <c r="Q174">
        <f>'Net zero Activity data'!AS53-'Net zero supporting data'!Q162</f>
        <v>43546433.788331047</v>
      </c>
      <c r="R174">
        <f>'Net zero Activity data'!AT53-'Net zero supporting data'!R162</f>
        <v>40044397.248130254</v>
      </c>
      <c r="S174">
        <f>'Net zero Activity data'!AU53-'Net zero supporting data'!S162</f>
        <v>36504520.142109133</v>
      </c>
      <c r="T174">
        <f>'Net zero Activity data'!AV53-'Net zero supporting data'!T162</f>
        <v>32944460.49610405</v>
      </c>
      <c r="U174">
        <f>'Net zero Activity data'!AW53-'Net zero supporting data'!U162</f>
        <v>29135139.166586861</v>
      </c>
      <c r="V174">
        <f>'Net zero Activity data'!AX53-'Net zero supporting data'!V162</f>
        <v>25397125.237302989</v>
      </c>
      <c r="W174">
        <f>'Net zero Activity data'!AY53-'Net zero supporting data'!W162</f>
        <v>21748553.532679364</v>
      </c>
      <c r="X174">
        <f>'Net zero Activity data'!AZ53-'Net zero supporting data'!X162</f>
        <v>18206625.589023873</v>
      </c>
      <c r="Y174">
        <f>'Net zero Activity data'!BA53-'Net zero supporting data'!Y162</f>
        <v>14787391.209286831</v>
      </c>
      <c r="Z174">
        <f>'Net zero Activity data'!BB53-'Net zero supporting data'!Z162</f>
        <v>11505652.904128484</v>
      </c>
      <c r="AA174">
        <f>'Net zero Activity data'!BC53-'Net zero supporting data'!AA162</f>
        <v>-666291.14770383388</v>
      </c>
      <c r="AB174">
        <f>'Net zero Activity data'!BD53-'Net zero supporting data'!AB162</f>
        <v>-433499.18820352759</v>
      </c>
      <c r="AC174">
        <f>'Net zero Activity data'!BE53-'Net zero supporting data'!AC162</f>
        <v>-211457.77651067125</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1146</v>
      </c>
      <c r="B175">
        <f>'Net zero Activity data'!AD55-'Net zero supporting data'!B163</f>
        <v>21864231.859672833</v>
      </c>
      <c r="C175">
        <f>'Net zero Activity data'!AE55-'Net zero supporting data'!C163</f>
        <v>22601454.870712783</v>
      </c>
      <c r="D175">
        <f>'Net zero Activity data'!AF55-'Net zero supporting data'!D163</f>
        <v>23476461.448728886</v>
      </c>
      <c r="E175">
        <f>'Net zero Activity data'!AG55-'Net zero supporting data'!E163</f>
        <v>24129022.140224975</v>
      </c>
      <c r="F175">
        <f>'Net zero Activity data'!AH55-'Net zero supporting data'!F163</f>
        <v>24632268.790066544</v>
      </c>
      <c r="G175">
        <f>'Net zero Activity data'!AI55-'Net zero supporting data'!G163</f>
        <v>24979009.110318452</v>
      </c>
      <c r="H175">
        <f>'Net zero Activity data'!AJ55-'Net zero supporting data'!H163</f>
        <v>25452454.13795951</v>
      </c>
      <c r="I175">
        <f>'Net zero Activity data'!AK55-'Net zero supporting data'!I163</f>
        <v>25948762.759661093</v>
      </c>
      <c r="J175">
        <f>'Net zero Activity data'!AL55-'Net zero supporting data'!J163</f>
        <v>24144367.996325094</v>
      </c>
      <c r="K175">
        <f>'Net zero Activity data'!AM55-'Net zero supporting data'!K163</f>
        <v>24394756.66863393</v>
      </c>
      <c r="L175">
        <f>'Net zero Activity data'!AN55-'Net zero supporting data'!L163</f>
        <v>74569049.885784701</v>
      </c>
      <c r="M175">
        <f>'Net zero Activity data'!AO55-'Net zero supporting data'!M163</f>
        <v>72426177.845354691</v>
      </c>
      <c r="N175">
        <f>'Net zero Activity data'!AP55-'Net zero supporting data'!N163</f>
        <v>69960420.432174951</v>
      </c>
      <c r="O175">
        <f>'Net zero Activity data'!AQ55-'Net zero supporting data'!O163</f>
        <v>67181739.479688004</v>
      </c>
      <c r="P175">
        <f>'Net zero Activity data'!AR55-'Net zero supporting data'!P163</f>
        <v>64103481.667144433</v>
      </c>
      <c r="Q175">
        <f>'Net zero Activity data'!AS55-'Net zero supporting data'!Q163</f>
        <v>60737444.346965611</v>
      </c>
      <c r="R175">
        <f>'Net zero Activity data'!AT55-'Net zero supporting data'!R163</f>
        <v>57097957.276812084</v>
      </c>
      <c r="S175">
        <f>'Net zero Activity data'!AU55-'Net zero supporting data'!S163</f>
        <v>53201561.413276099</v>
      </c>
      <c r="T175">
        <f>'Net zero Activity data'!AV55-'Net zero supporting data'!T163</f>
        <v>49066985.913421839</v>
      </c>
      <c r="U175">
        <f>'Net zero Activity data'!AW55-'Net zero supporting data'!U163</f>
        <v>44832483.822478577</v>
      </c>
      <c r="V175">
        <f>'Net zero Activity data'!AX55-'Net zero supporting data'!V163</f>
        <v>40379013.983197384</v>
      </c>
      <c r="W175">
        <f>'Net zero Activity data'!AY55-'Net zero supporting data'!W163</f>
        <v>35729969.03684511</v>
      </c>
      <c r="X175">
        <f>'Net zero Activity data'!AZ55-'Net zero supporting data'!X163</f>
        <v>30910592.505424768</v>
      </c>
      <c r="Y175">
        <f>'Net zero Activity data'!BA55-'Net zero supporting data'!Y163</f>
        <v>25947665.631856874</v>
      </c>
      <c r="Z175">
        <f>'Net zero Activity data'!BB55-'Net zero supporting data'!Z163</f>
        <v>20869346.995707169</v>
      </c>
      <c r="AA175">
        <f>'Net zero Activity data'!BC55-'Net zero supporting data'!AA163</f>
        <v>-1249462.6311911559</v>
      </c>
      <c r="AB175">
        <f>'Net zero Activity data'!BD55-'Net zero supporting data'!AB163</f>
        <v>-840598.82903333753</v>
      </c>
      <c r="AC175">
        <f>'Net zero Activity data'!BE55-'Net zero supporting data'!AC163</f>
        <v>-424086.07941812556</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1147</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3767729.0920704734</v>
      </c>
      <c r="K176">
        <f>'Net zero Activity data'!AM56-'Net zero supporting data'!K164</f>
        <v>3581724.842028006</v>
      </c>
      <c r="L176">
        <f>'Net zero Activity data'!AN56-'Net zero supporting data'!L164</f>
        <v>3437409.9054153971</v>
      </c>
      <c r="M176">
        <f>'Net zero Activity data'!AO56-'Net zero supporting data'!M164</f>
        <v>3247460.9401035747</v>
      </c>
      <c r="N176">
        <f>'Net zero Activity data'!AP56-'Net zero supporting data'!N164</f>
        <v>3060533.162955693</v>
      </c>
      <c r="O176">
        <f>'Net zero Activity data'!AQ56-'Net zero supporting data'!O164</f>
        <v>2874805.1756746899</v>
      </c>
      <c r="P176">
        <f>'Net zero Activity data'!AR56-'Net zero supporting data'!P164</f>
        <v>2687968.1657629004</v>
      </c>
      <c r="Q176">
        <f>'Net zero Activity data'!AS56-'Net zero supporting data'!Q164</f>
        <v>2500156.4341128767</v>
      </c>
      <c r="R176">
        <f>'Net zero Activity data'!AT56-'Net zero supporting data'!R164</f>
        <v>2311415.5206536604</v>
      </c>
      <c r="S176">
        <f>'Net zero Activity data'!AU56-'Net zero supporting data'!S164</f>
        <v>2121846.2793263728</v>
      </c>
      <c r="T176">
        <f>'Net zero Activity data'!AV56-'Net zero supporting data'!T164</f>
        <v>1931553.9862277068</v>
      </c>
      <c r="U176">
        <f>'Net zero Activity data'!AW56-'Net zero supporting data'!U164</f>
        <v>1740587.0559261339</v>
      </c>
      <c r="V176">
        <f>'Net zero Activity data'!AX56-'Net zero supporting data'!V164</f>
        <v>1549027.9601340955</v>
      </c>
      <c r="W176">
        <f>'Net zero Activity data'!AY56-'Net zero supporting data'!W164</f>
        <v>1356920.2846787502</v>
      </c>
      <c r="X176">
        <f>'Net zero Activity data'!AZ56-'Net zero supporting data'!X164</f>
        <v>1164284.1827022238</v>
      </c>
      <c r="Y176">
        <f>'Net zero Activity data'!BA56-'Net zero supporting data'!Y164</f>
        <v>971175.82888287026</v>
      </c>
      <c r="Z176">
        <f>'Net zero Activity data'!BB56-'Net zero supporting data'!Z164</f>
        <v>777648.62802254735</v>
      </c>
      <c r="AA176">
        <f>'Net zero Activity data'!BC56-'Net zero supporting data'!AA164</f>
        <v>570436.66887131659</v>
      </c>
      <c r="AB176">
        <f>'Net zero Activity data'!BD56-'Net zero supporting data'!AB164</f>
        <v>380640.8247114392</v>
      </c>
      <c r="AC176">
        <f>'Net zero Activity data'!BE56-'Net zero supporting data'!AC164</f>
        <v>190483.50805764925</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1148</v>
      </c>
      <c r="B177">
        <f>'Net zero Activity data'!AD58-'Net zero supporting data'!B165</f>
        <v>459078.62878496031</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471900.01049903827</v>
      </c>
      <c r="I177">
        <f>'Net zero Activity data'!AK58-'Net zero supporting data'!I165</f>
        <v>475004.74383453937</v>
      </c>
      <c r="J177">
        <f>'Net zero Activity data'!AL58-'Net zero supporting data'!J165</f>
        <v>473846.44384169258</v>
      </c>
      <c r="K177">
        <f>'Net zero Activity data'!AM58-'Net zero supporting data'!K165</f>
        <v>450890.81078456348</v>
      </c>
      <c r="L177">
        <f>'Net zero Activity data'!AN58-'Net zero supporting data'!L165</f>
        <v>435820.48995924776</v>
      </c>
      <c r="M177">
        <f>'Net zero Activity data'!AO58-'Net zero supporting data'!M165</f>
        <v>411977.78588552336</v>
      </c>
      <c r="N177">
        <f>'Net zero Activity data'!AP58-'Net zero supporting data'!N165</f>
        <v>388664.62336688209</v>
      </c>
      <c r="O177">
        <f>'Net zero Activity data'!AQ58-'Net zero supporting data'!O165</f>
        <v>365538.1834349985</v>
      </c>
      <c r="P177">
        <f>'Net zero Activity data'!AR58-'Net zero supporting data'!P165</f>
        <v>342166.29231244355</v>
      </c>
      <c r="Q177">
        <f>'Net zero Activity data'!AS58-'Net zero supporting data'!Q165</f>
        <v>318580.49935141543</v>
      </c>
      <c r="R177">
        <f>'Net zero Activity data'!AT58-'Net zero supporting data'!R165</f>
        <v>294794.86797998118</v>
      </c>
      <c r="S177">
        <f>'Net zero Activity data'!AU58-'Net zero supporting data'!S165</f>
        <v>270833.26908151759</v>
      </c>
      <c r="T177">
        <f>'Net zero Activity data'!AV58-'Net zero supporting data'!T165</f>
        <v>246719.8096106122</v>
      </c>
      <c r="U177">
        <f>'Net zero Activity data'!AW58-'Net zero supporting data'!U165</f>
        <v>222467.43555153068</v>
      </c>
      <c r="V177">
        <f>'Net zero Activity data'!AX58-'Net zero supporting data'!V165</f>
        <v>198095.04226682225</v>
      </c>
      <c r="W177">
        <f>'Net zero Activity data'!AY58-'Net zero supporting data'!W165</f>
        <v>173613.88000394363</v>
      </c>
      <c r="X177">
        <f>'Net zero Activity data'!AZ58-'Net zero supporting data'!X165</f>
        <v>149030.53223189234</v>
      </c>
      <c r="Y177">
        <f>'Net zero Activity data'!BA58-'Net zero supporting data'!Y165</f>
        <v>124358.00688351586</v>
      </c>
      <c r="Z177">
        <f>'Net zero Activity data'!BB58-'Net zero supporting data'!Z165</f>
        <v>99608.521953050862</v>
      </c>
      <c r="AA177">
        <f>'Net zero Activity data'!BC58-'Net zero supporting data'!AA165</f>
        <v>72334.806930253049</v>
      </c>
      <c r="AB177">
        <f>'Net zero Activity data'!BD58-'Net zero supporting data'!AB165</f>
        <v>48284.145986774878</v>
      </c>
      <c r="AC177">
        <f>'Net zero Activity data'!BE58-'Net zero supporting data'!AC165</f>
        <v>24169.816136367794</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1149</v>
      </c>
      <c r="B178">
        <f>'Net zero Activity data'!AD62-'Net zero supporting data'!B166</f>
        <v>7930919.3723073695</v>
      </c>
      <c r="C178">
        <f>'Net zero Activity data'!AE62-'Net zero supporting data'!C166</f>
        <v>7887809.5503911283</v>
      </c>
      <c r="D178">
        <f>'Net zero Activity data'!AF62-'Net zero supporting data'!D166</f>
        <v>7891347.8708342696</v>
      </c>
      <c r="E178">
        <f>'Net zero Activity data'!AG62-'Net zero supporting data'!E166</f>
        <v>7818899.2502508275</v>
      </c>
      <c r="F178">
        <f>'Net zero Activity data'!AH62-'Net zero supporting data'!F166</f>
        <v>7700573.9427559087</v>
      </c>
      <c r="G178">
        <f>'Net zero Activity data'!AI62-'Net zero supporting data'!G166</f>
        <v>7538263.5038453471</v>
      </c>
      <c r="H178">
        <f>'Net zero Activity data'!AJ62-'Net zero supporting data'!H166</f>
        <v>7420408.1254293481</v>
      </c>
      <c r="I178">
        <f>'Net zero Activity data'!AK62-'Net zero supporting data'!I166</f>
        <v>7312981.3674521036</v>
      </c>
      <c r="J178">
        <f>'Net zero Activity data'!AL62-'Net zero supporting data'!J166</f>
        <v>6579667.0256935256</v>
      </c>
      <c r="K178">
        <f>'Net zero Activity data'!AM62-'Net zero supporting data'!K166</f>
        <v>6473884.2695910279</v>
      </c>
      <c r="L178">
        <f>'Net zero Activity data'!AN62-'Net zero supporting data'!L166</f>
        <v>19604737.731382936</v>
      </c>
      <c r="M178">
        <f>'Net zero Activity data'!AO62-'Net zero supporting data'!M166</f>
        <v>18566341.442369357</v>
      </c>
      <c r="N178">
        <f>'Net zero Activity data'!AP62-'Net zero supporting data'!N166</f>
        <v>17491846.635976676</v>
      </c>
      <c r="O178">
        <f>'Net zero Activity data'!AQ62-'Net zero supporting data'!O166</f>
        <v>16387648.473849652</v>
      </c>
      <c r="P178">
        <f>'Net zero Activity data'!AR62-'Net zero supporting data'!P166</f>
        <v>15260789.467639014</v>
      </c>
      <c r="Q178">
        <f>'Net zero Activity data'!AS62-'Net zero supporting data'!Q166</f>
        <v>14116145.609762695</v>
      </c>
      <c r="R178">
        <f>'Net zero Activity data'!AT62-'Net zero supporting data'!R166</f>
        <v>12958881.073293725</v>
      </c>
      <c r="S178">
        <f>'Net zero Activity data'!AU62-'Net zero supporting data'!S166</f>
        <v>11794256.683739295</v>
      </c>
      <c r="T178">
        <f>'Net zero Activity data'!AV62-'Net zero supporting data'!T166</f>
        <v>10627624.234868312</v>
      </c>
      <c r="U178">
        <f>'Net zero Activity data'!AW62-'Net zero supporting data'!U166</f>
        <v>9464425.8397813402</v>
      </c>
      <c r="V178">
        <f>'Net zero Activity data'!AX62-'Net zero supporting data'!V166</f>
        <v>8310057.8590389546</v>
      </c>
      <c r="W178">
        <f>'Net zero Activity data'!AY62-'Net zero supporting data'!W166</f>
        <v>7169882.5846160874</v>
      </c>
      <c r="X178">
        <f>'Net zero Activity data'!AZ62-'Net zero supporting data'!X166</f>
        <v>6049161.9198667277</v>
      </c>
      <c r="Y178">
        <f>'Net zero Activity data'!BA62-'Net zero supporting data'!Y166</f>
        <v>4952958.2922719885</v>
      </c>
      <c r="Z178">
        <f>'Net zero Activity data'!BB62-'Net zero supporting data'!Z166</f>
        <v>3886122.4398805555</v>
      </c>
      <c r="AA178">
        <f>'Net zero Activity data'!BC62-'Net zero supporting data'!AA166</f>
        <v>-271588.32505226857</v>
      </c>
      <c r="AB178">
        <f>'Net zero Activity data'!BD62-'Net zero supporting data'!AB166</f>
        <v>-179098.75566519657</v>
      </c>
      <c r="AC178">
        <f>'Net zero Activity data'!BE62-'Net zero supporting data'!AC166</f>
        <v>-88565.841680282727</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1150</v>
      </c>
      <c r="B179">
        <f>'Net zero Activity data'!AD64-'Net zero supporting data'!B167</f>
        <v>9991382.7736652158</v>
      </c>
      <c r="C179">
        <f>'Net zero Activity data'!AE64-'Net zero supporting data'!C167</f>
        <v>10194527.393101329</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10870140.745282182</v>
      </c>
      <c r="H179">
        <f>'Net zero Activity data'!AJ64-'Net zero supporting data'!H167</f>
        <v>11010566.420753065</v>
      </c>
      <c r="I179">
        <f>'Net zero Activity data'!AK64-'Net zero supporting data'!I167</f>
        <v>11156570.250775764</v>
      </c>
      <c r="J179">
        <f>'Net zero Activity data'!AL64-'Net zero supporting data'!J167</f>
        <v>10716755.548243115</v>
      </c>
      <c r="K179">
        <f>'Net zero Activity data'!AM64-'Net zero supporting data'!K167</f>
        <v>10554370.198267573</v>
      </c>
      <c r="L179">
        <f>'Net zero Activity data'!AN64-'Net zero supporting data'!L167</f>
        <v>22221870.00754264</v>
      </c>
      <c r="M179">
        <f>'Net zero Activity data'!AO64-'Net zero supporting data'!M167</f>
        <v>21448715.852185968</v>
      </c>
      <c r="N179">
        <f>'Net zero Activity data'!AP64-'Net zero supporting data'!N167</f>
        <v>20603471.529224366</v>
      </c>
      <c r="O179">
        <f>'Net zero Activity data'!AQ64-'Net zero supporting data'!O167</f>
        <v>19686028.152760468</v>
      </c>
      <c r="P179">
        <f>'Net zero Activity data'!AR64-'Net zero supporting data'!P167</f>
        <v>18696050.457585733</v>
      </c>
      <c r="Q179">
        <f>'Net zero Activity data'!AS64-'Net zero supporting data'!Q167</f>
        <v>17637193.779739968</v>
      </c>
      <c r="R179">
        <f>'Net zero Activity data'!AT64-'Net zero supporting data'!R167</f>
        <v>16513494.703066368</v>
      </c>
      <c r="S179">
        <f>'Net zero Activity data'!AU64-'Net zero supporting data'!S167</f>
        <v>15329554.328223931</v>
      </c>
      <c r="T179">
        <f>'Net zero Activity data'!AV64-'Net zero supporting data'!T167</f>
        <v>14090435.41647077</v>
      </c>
      <c r="U179">
        <f>'Net zero Activity data'!AW64-'Net zero supporting data'!U167</f>
        <v>12801536.403747287</v>
      </c>
      <c r="V179">
        <f>'Net zero Activity data'!AX64-'Net zero supporting data'!V167</f>
        <v>11468683.374069005</v>
      </c>
      <c r="W179">
        <f>'Net zero Activity data'!AY64-'Net zero supporting data'!W167</f>
        <v>10097976.966932647</v>
      </c>
      <c r="X179">
        <f>'Net zero Activity data'!AZ64-'Net zero supporting data'!X167</f>
        <v>8695764.3762970939</v>
      </c>
      <c r="Y179">
        <f>'Net zero Activity data'!BA64-'Net zero supporting data'!Y167</f>
        <v>7268674.4380887523</v>
      </c>
      <c r="Z179">
        <f>'Net zero Activity data'!BB64-'Net zero supporting data'!Z167</f>
        <v>5823503.8493493125</v>
      </c>
      <c r="AA179">
        <f>'Net zero Activity data'!BC64-'Net zero supporting data'!AA167</f>
        <v>569378.64984048251</v>
      </c>
      <c r="AB179">
        <f>'Net zero Activity data'!BD64-'Net zero supporting data'!AB167</f>
        <v>382371.67734031891</v>
      </c>
      <c r="AC179">
        <f>'Net zero Activity data'!BE64-'Net zero supporting data'!AC167</f>
        <v>192544.26449196367</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1151</v>
      </c>
      <c r="B180">
        <f>'Net zero Activity data'!AD65-'Net zero supporting data'!B168</f>
        <v>50031084.230106682</v>
      </c>
      <c r="C180">
        <f>'Net zero Activity data'!AE65-'Net zero supporting data'!C168</f>
        <v>50689904.185566798</v>
      </c>
      <c r="D180">
        <f>'Net zero Activity data'!AF65-'Net zero supporting data'!D168</f>
        <v>51748158.015700467</v>
      </c>
      <c r="E180">
        <f>'Net zero Activity data'!AG65-'Net zero supporting data'!E168</f>
        <v>52052013.608416229</v>
      </c>
      <c r="F180">
        <f>'Net zero Activity data'!AH65-'Net zero supporting data'!F168</f>
        <v>51865691.663914956</v>
      </c>
      <c r="G180">
        <f>'Net zero Activity data'!AI65-'Net zero supporting data'!G168</f>
        <v>51191174.533183947</v>
      </c>
      <c r="H180">
        <f>'Net zero Activity data'!AJ65-'Net zero supporting data'!H168</f>
        <v>50907218.229325041</v>
      </c>
      <c r="I180">
        <f>'Net zero Activity data'!AK65-'Net zero supporting data'!I168</f>
        <v>50687682.526318632</v>
      </c>
      <c r="J180">
        <f>'Net zero Activity data'!AL65-'Net zero supporting data'!J168</f>
        <v>44205362.178658716</v>
      </c>
      <c r="K180">
        <f>'Net zero Activity data'!AM65-'Net zero supporting data'!K168</f>
        <v>45173292.989538237</v>
      </c>
      <c r="L180">
        <f>'Net zero Activity data'!AN65-'Net zero supporting data'!L168</f>
        <v>186086646.47374767</v>
      </c>
      <c r="M180">
        <f>'Net zero Activity data'!AO65-'Net zero supporting data'!M168</f>
        <v>178899378.31523106</v>
      </c>
      <c r="N180">
        <f>'Net zero Activity data'!AP65-'Net zero supporting data'!N168</f>
        <v>171010442.85547528</v>
      </c>
      <c r="O180">
        <f>'Net zero Activity data'!AQ65-'Net zero supporting data'!O168</f>
        <v>162492444.26133978</v>
      </c>
      <c r="P180">
        <f>'Net zero Activity data'!AR65-'Net zero supporting data'!P168</f>
        <v>153432857.79263645</v>
      </c>
      <c r="Q180">
        <f>'Net zero Activity data'!AS65-'Net zero supporting data'!Q168</f>
        <v>143873382.69856811</v>
      </c>
      <c r="R180">
        <f>'Net zero Activity data'!AT65-'Net zero supporting data'!R168</f>
        <v>133862166.57604612</v>
      </c>
      <c r="S180">
        <f>'Net zero Activity data'!AU65-'Net zero supporting data'!S168</f>
        <v>123450411.74563654</v>
      </c>
      <c r="T180">
        <f>'Net zero Activity data'!AV65-'Net zero supporting data'!T168</f>
        <v>112692963.44875014</v>
      </c>
      <c r="U180">
        <f>'Net zero Activity data'!AW65-'Net zero supporting data'!U168</f>
        <v>101649055.14574854</v>
      </c>
      <c r="V180">
        <f>'Net zero Activity data'!AX65-'Net zero supporting data'!V168</f>
        <v>90379918.525925219</v>
      </c>
      <c r="W180">
        <f>'Net zero Activity data'!AY65-'Net zero supporting data'!W168</f>
        <v>78949707.171375722</v>
      </c>
      <c r="X180">
        <f>'Net zero Activity data'!AZ65-'Net zero supporting data'!X168</f>
        <v>67424594.004595846</v>
      </c>
      <c r="Y180">
        <f>'Net zero Activity data'!BA65-'Net zero supporting data'!Y168</f>
        <v>55870974.138488322</v>
      </c>
      <c r="Z180">
        <f>'Net zero Activity data'!BB65-'Net zero supporting data'!Z168</f>
        <v>44355647.210840464</v>
      </c>
      <c r="AA180">
        <f>'Net zero Activity data'!BC65-'Net zero supporting data'!AA168</f>
        <v>-7103814.370346345</v>
      </c>
      <c r="AB180">
        <f>'Net zero Activity data'!BD65-'Net zero supporting data'!AB168</f>
        <v>-4742578.2703367919</v>
      </c>
      <c r="AC180">
        <f>'Net zero Activity data'!BE65-'Net zero supporting data'!AC168</f>
        <v>-2374323.4193181396</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1119</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1120</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1121</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1122</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1123</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75" x14ac:dyDescent="0.25">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25">
      <c r="A188" t="s">
        <v>1219</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1220</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1221</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1222</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1223</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1224</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1225</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1226</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1236</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1237</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131400.00687195902</v>
      </c>
      <c r="L197">
        <f>'Net zero Activity data'!AN9*'Net zero supporting data'!L196</f>
        <v>828265.65816478187</v>
      </c>
      <c r="M197">
        <f>'Net zero Activity data'!AO9*'Net zero supporting data'!M196</f>
        <v>1248391.0462911304</v>
      </c>
      <c r="N197">
        <f>'Net zero Activity data'!AP9*'Net zero supporting data'!N196</f>
        <v>1669635.0256856582</v>
      </c>
      <c r="O197">
        <f>'Net zero Activity data'!AQ9*'Net zero supporting data'!O196</f>
        <v>2089838.9583420334</v>
      </c>
      <c r="P197">
        <f>'Net zero Activity data'!AR9*'Net zero supporting data'!P196</f>
        <v>2506915.7819108074</v>
      </c>
      <c r="Q197">
        <f>'Net zero Activity data'!AS9*'Net zero supporting data'!Q196</f>
        <v>2918693.0826187683</v>
      </c>
      <c r="R197">
        <f>'Net zero Activity data'!AT9*'Net zero supporting data'!R196</f>
        <v>3323010.0028294367</v>
      </c>
      <c r="S197">
        <f>'Net zero Activity data'!AU9*'Net zero supporting data'!S196</f>
        <v>3717728.0216174135</v>
      </c>
      <c r="T197">
        <f>'Net zero Activity data'!AV9*'Net zero supporting data'!T196</f>
        <v>4100752.3882064894</v>
      </c>
      <c r="U197">
        <f>'Net zero Activity data'!AW9*'Net zero supporting data'!U196</f>
        <v>4163860.519916649</v>
      </c>
      <c r="V197">
        <f>'Net zero Activity data'!AX9*'Net zero supporting data'!V196</f>
        <v>4215066.626361087</v>
      </c>
      <c r="W197">
        <f>'Net zero Activity data'!AY9*'Net zero supporting data'!W196</f>
        <v>4254085.0634136805</v>
      </c>
      <c r="X197">
        <f>'Net zero Activity data'!AZ9*'Net zero supporting data'!X196</f>
        <v>4280721.9520980893</v>
      </c>
      <c r="Y197">
        <f>'Net zero Activity data'!BA9*'Net zero supporting data'!Y196</f>
        <v>4294864.7746913778</v>
      </c>
      <c r="Z197">
        <f>'Net zero Activity data'!BB9*'Net zero supporting data'!Z196</f>
        <v>4296488.658242818</v>
      </c>
      <c r="AA197">
        <f>'Net zero Activity data'!BC9*'Net zero supporting data'!AA196</f>
        <v>-340960.76325482893</v>
      </c>
      <c r="AB197">
        <f>'Net zero Activity data'!BD9*'Net zero supporting data'!AB196</f>
        <v>-341744.69482162769</v>
      </c>
      <c r="AC197">
        <f>'Net zero Activity data'!BE9*'Net zero supporting data'!AC196</f>
        <v>-342174.90882073482</v>
      </c>
      <c r="AD197">
        <f>'Net zero Activity data'!BF9*'Net zero supporting data'!AD196</f>
        <v>-342257.42363538197</v>
      </c>
      <c r="AE197">
        <f>'Net zero Activity data'!BG9*'Net zero supporting data'!AE196</f>
        <v>-343743.43331164081</v>
      </c>
      <c r="AF197">
        <f>'Net zero Activity data'!BH9*'Net zero supporting data'!AF196</f>
        <v>-344953.25075682206</v>
      </c>
      <c r="AG197">
        <f>'Net zero Activity data'!BI9*'Net zero supporting data'!AG196</f>
        <v>-345886.3205929395</v>
      </c>
      <c r="AH197">
        <f>'Net zero Activity data'!BJ9*'Net zero supporting data'!AH196</f>
        <v>-346545.32402967528</v>
      </c>
      <c r="AI197">
        <f>'Net zero Activity data'!BK9*'Net zero supporting data'!AI196</f>
        <v>-346929.13994567218</v>
      </c>
      <c r="AJ197">
        <f>'Net zero Activity data'!BL9*'Net zero supporting data'!AJ196</f>
        <v>-347036.27323783346</v>
      </c>
      <c r="AK197">
        <f>'Net zero Activity data'!BM9*'Net zero supporting data'!AK196</f>
        <v>-346869.48887839611</v>
      </c>
      <c r="AL197">
        <f>'Net zero Activity data'!BN9*'Net zero supporting data'!AL196</f>
        <v>-346432.88754784554</v>
      </c>
      <c r="AM197">
        <f>'Net zero Activity data'!BO9*'Net zero supporting data'!AM196</f>
        <v>-345730.41848170391</v>
      </c>
      <c r="AN197">
        <f>'Net zero Activity data'!BP9*'Net zero supporting data'!AN196</f>
        <v>-344761.10321393365</v>
      </c>
    </row>
    <row r="198" spans="1:48" x14ac:dyDescent="0.25">
      <c r="A198" t="s">
        <v>1238</v>
      </c>
      <c r="B198" s="11">
        <f>'Net zero Activity data'!AD9-'Net zero supporting data'!B197</f>
        <v>5280742.7858025115</v>
      </c>
      <c r="C198" s="11">
        <f>'Net zero Activity data'!AE9-'Net zero supporting data'!C197</f>
        <v>5234944.5900683487</v>
      </c>
      <c r="D198" s="11">
        <f>'Net zero Activity data'!AF9-'Net zero supporting data'!D197</f>
        <v>5217510.6033805832</v>
      </c>
      <c r="E198" s="11">
        <f>'Net zero Activity data'!AG9-'Net zero supporting data'!E197</f>
        <v>5147837.57884668</v>
      </c>
      <c r="F198" s="11">
        <f>'Net zero Activity data'!AH9-'Net zero supporting data'!F197</f>
        <v>5046705.4822027264</v>
      </c>
      <c r="G198" s="11">
        <f>'Net zero Activity data'!AI9-'Net zero supporting data'!G197</f>
        <v>4916205.5668842383</v>
      </c>
      <c r="H198" s="11">
        <f>'Net zero Activity data'!AJ9-'Net zero supporting data'!H197</f>
        <v>4813276.4669492589</v>
      </c>
      <c r="I198" s="11">
        <f>'Net zero Activity data'!AK9-'Net zero supporting data'!I197</f>
        <v>4715893.8370102132</v>
      </c>
      <c r="J198" s="11">
        <f>'Net zero Activity data'!AL9-'Net zero supporting data'!J197</f>
        <v>4217512.2967762044</v>
      </c>
      <c r="K198" s="11">
        <f>'Net zero Activity data'!AM9-'Net zero supporting data'!K197</f>
        <v>4248600.2221933417</v>
      </c>
      <c r="L198" s="11">
        <f>'Net zero Activity data'!AN9-'Net zero supporting data'!L197</f>
        <v>12976161.977914916</v>
      </c>
      <c r="M198" s="11">
        <f>'Net zero Activity data'!AO9-'Net zero supporting data'!M197</f>
        <v>12622620.579165874</v>
      </c>
      <c r="N198" s="11">
        <f>'Net zero Activity data'!AP9-'Net zero supporting data'!N197</f>
        <v>12243990.188361494</v>
      </c>
      <c r="O198" s="11">
        <f>'Net zero Activity data'!AQ9-'Net zero supporting data'!O197</f>
        <v>11842420.763938189</v>
      </c>
      <c r="P198" s="11">
        <f>'Net zero Activity data'!AR9-'Net zero supporting data'!P197</f>
        <v>11420394.11759368</v>
      </c>
      <c r="Q198" s="11">
        <f>'Net zero Activity data'!AS9-'Net zero supporting data'!Q197</f>
        <v>10979845.406042032</v>
      </c>
      <c r="R198" s="11">
        <f>'Net zero Activity data'!AT9-'Net zero supporting data'!R197</f>
        <v>10522865.008959884</v>
      </c>
      <c r="S198" s="11">
        <f>'Net zero Activity data'!AU9-'Net zero supporting data'!S197</f>
        <v>10051635.021410044</v>
      </c>
      <c r="T198" s="11">
        <f>'Net zero Activity data'!AV9-'Net zero supporting data'!T197</f>
        <v>9568422.2391484752</v>
      </c>
      <c r="U198" s="11">
        <f>'Net zero Activity data'!AW9-'Net zero supporting data'!U197</f>
        <v>9267947.6088467352</v>
      </c>
      <c r="V198" s="11">
        <f>'Net zero Activity data'!AX9-'Net zero supporting data'!V197</f>
        <v>8957016.5810173098</v>
      </c>
      <c r="W198" s="11">
        <f>'Net zero Activity data'!AY9-'Net zero supporting data'!W197</f>
        <v>8637081.7954156548</v>
      </c>
      <c r="X198" s="11">
        <f>'Net zero Activity data'!AZ9-'Net zero supporting data'!X197</f>
        <v>8309636.7305433499</v>
      </c>
      <c r="Y198" s="11">
        <f>'Net zero Activity data'!BA9-'Net zero supporting data'!Y197</f>
        <v>7976177.4387125587</v>
      </c>
      <c r="Z198" s="11">
        <f>'Net zero Activity data'!BB9-'Net zero supporting data'!Z197</f>
        <v>7638202.0590983406</v>
      </c>
      <c r="AA198" s="11">
        <f>'Net zero Activity data'!BC9-'Net zero supporting data'!AA197</f>
        <v>-580554.81310957344</v>
      </c>
      <c r="AB198" s="11">
        <f>'Net zero Activity data'!BD9-'Net zero supporting data'!AB197</f>
        <v>-557583.44944581343</v>
      </c>
      <c r="AC198" s="11">
        <f>'Net zero Activity data'!BE9-'Net zero supporting data'!AC197</f>
        <v>-535196.65225807228</v>
      </c>
      <c r="AD198" s="11">
        <f>'Net zero Activity data'!BF9-'Net zero supporting data'!AD197</f>
        <v>-513386.13545307284</v>
      </c>
      <c r="AE198" s="11">
        <f>'Net zero Activity data'!BG9-'Net zero supporting data'!AE197</f>
        <v>-494655.18452162942</v>
      </c>
      <c r="AF198" s="11">
        <f>'Net zero Activity data'!BH9-'Net zero supporting data'!AF197</f>
        <v>-476364.01294989709</v>
      </c>
      <c r="AG198" s="11">
        <f>'Net zero Activity data'!BI9-'Net zero supporting data'!AG197</f>
        <v>-458500.47148366389</v>
      </c>
      <c r="AH198" s="11">
        <f>'Net zero Activity data'!BJ9-'Net zero supporting data'!AH197</f>
        <v>-441057.68512867746</v>
      </c>
      <c r="AI198" s="11">
        <f>'Net zero Activity data'!BK9-'Net zero supporting data'!AI197</f>
        <v>-424024.50437804364</v>
      </c>
      <c r="AJ198" s="11">
        <f>'Net zero Activity data'!BL9-'Net zero supporting data'!AJ197</f>
        <v>-407390.40771397826</v>
      </c>
      <c r="AK198" s="11">
        <f>'Net zero Activity data'!BM9-'Net zero supporting data'!AK197</f>
        <v>-391150.70022457419</v>
      </c>
      <c r="AL198" s="11">
        <f>'Net zero Activity data'!BN9-'Net zero supporting data'!AL197</f>
        <v>-375302.29484349926</v>
      </c>
      <c r="AM198" s="11">
        <f>'Net zero Activity data'!BO9-'Net zero supporting data'!AM197</f>
        <v>-359841.86413401825</v>
      </c>
      <c r="AN198" s="11">
        <f>'Net zero Activity data'!BP9-'Net zero supporting data'!AN197</f>
        <v>-344761.10321393365</v>
      </c>
    </row>
    <row r="199" spans="1:48" x14ac:dyDescent="0.25">
      <c r="A199" t="s">
        <v>1239</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75" x14ac:dyDescent="0.25">
      <c r="A201" s="107" t="s">
        <v>1376</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25">
      <c r="A202" t="s">
        <v>1370</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1371</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1372</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920446.2624380854</v>
      </c>
      <c r="C205">
        <f>'Intermediate calculations'!Z5-('Intermediate calculations'!Z5*'Net zero supporting data'!C202)</f>
        <v>941691.58339834912</v>
      </c>
      <c r="D205">
        <f>'Intermediate calculations'!AA5-('Intermediate calculations'!AA5*'Net zero supporting data'!D202)</f>
        <v>967640.07013586559</v>
      </c>
      <c r="E205">
        <f>'Intermediate calculations'!AB5-('Intermediate calculations'!AB5*'Net zero supporting data'!E202)</f>
        <v>985205.95615671005</v>
      </c>
      <c r="F205">
        <f>'Intermediate calculations'!AC5-('Intermediate calculations'!AC5*'Net zero supporting data'!F202)</f>
        <v>997182.14033234725</v>
      </c>
      <c r="G205">
        <f>'Intermediate calculations'!AD5-('Intermediate calculations'!AD5*'Net zero supporting data'!G202)</f>
        <v>1003428.5497078976</v>
      </c>
      <c r="H205">
        <f>'Intermediate calculations'!AE5-('Intermediate calculations'!AE5*'Net zero supporting data'!H202)</f>
        <v>1014063.5244529058</v>
      </c>
      <c r="I205">
        <f>'Intermediate calculations'!AF5-('Intermediate calculations'!AF5*'Net zero supporting data'!I202)</f>
        <v>1025355.6611865474</v>
      </c>
      <c r="J205">
        <f>'Intermediate calculations'!AG5-('Intermediate calculations'!AG5*'Net zero supporting data'!J202)</f>
        <v>956351.78084582905</v>
      </c>
      <c r="K205">
        <f>'Intermediate calculations'!AH5-('Intermediate calculations'!AH5*'Net zero supporting data'!K202)</f>
        <v>992277.0084151004</v>
      </c>
      <c r="L205">
        <f>'Intermediate calculations'!AI5-('Intermediate calculations'!AI5*'Net zero supporting data'!L202)</f>
        <v>2896382.9129533237</v>
      </c>
      <c r="M205">
        <f>'Intermediate calculations'!AJ5-('Intermediate calculations'!AJ5*'Net zero supporting data'!M202)</f>
        <v>2921883.1519214399</v>
      </c>
      <c r="N205">
        <f>'Intermediate calculations'!AK5-('Intermediate calculations'!AK5*'Net zero supporting data'!N202)</f>
        <v>2941257.8672533436</v>
      </c>
      <c r="O205">
        <f>'Intermediate calculations'!AL5-('Intermediate calculations'!AL5*'Net zero supporting data'!O202)</f>
        <v>2954451.3988242489</v>
      </c>
      <c r="P205">
        <f>'Intermediate calculations'!AM5-('Intermediate calculations'!AM5*'Net zero supporting data'!P202)</f>
        <v>2961500.420124629</v>
      </c>
      <c r="Q205">
        <f>'Intermediate calculations'!AN5-('Intermediate calculations'!AN5*'Net zero supporting data'!Q202)</f>
        <v>2962322.2838135301</v>
      </c>
      <c r="R205">
        <f>'Intermediate calculations'!AO5-('Intermediate calculations'!AO5*'Net zero supporting data'!R202)</f>
        <v>2956877.9032252701</v>
      </c>
      <c r="S205">
        <f>'Intermediate calculations'!AP5-('Intermediate calculations'!AP5*'Net zero supporting data'!S202)</f>
        <v>2945161.6062905574</v>
      </c>
      <c r="T205">
        <f>'Intermediate calculations'!AQ5-('Intermediate calculations'!AQ5*'Net zero supporting data'!T202)</f>
        <v>2927204.5776021704</v>
      </c>
      <c r="U205">
        <f>'Intermediate calculations'!AR5-('Intermediate calculations'!AR5*'Net zero supporting data'!U202)</f>
        <v>2920464.4590749447</v>
      </c>
      <c r="V205">
        <f>'Intermediate calculations'!AS5-('Intermediate calculations'!AS5*'Net zero supporting data'!V202)</f>
        <v>2907933.0790171698</v>
      </c>
      <c r="W205">
        <f>'Intermediate calculations'!AT5-('Intermediate calculations'!AT5*'Net zero supporting data'!W202)</f>
        <v>2889663.209365462</v>
      </c>
      <c r="X205">
        <f>'Intermediate calculations'!AU5-('Intermediate calculations'!AU5*'Net zero supporting data'!X202)</f>
        <v>2865744.2260670378</v>
      </c>
      <c r="Y205">
        <f>'Intermediate calculations'!AV5-('Intermediate calculations'!AV5*'Net zero supporting data'!Y202)</f>
        <v>2836293.3180406019</v>
      </c>
      <c r="Z205">
        <f>'Intermediate calculations'!AW5-('Intermediate calculations'!AW5*'Net zero supporting data'!Z202)</f>
        <v>2801458.1770490045</v>
      </c>
      <c r="AA205">
        <f>'Intermediate calculations'!AX5-('Intermediate calculations'!AX5*'Net zero supporting data'!AA202)</f>
        <v>-122605.88556996972</v>
      </c>
      <c r="AB205">
        <f>'Intermediate calculations'!AY5-('Intermediate calculations'!AY5*'Net zero supporting data'!AB202)</f>
        <v>-121884.95884251707</v>
      </c>
      <c r="AC205">
        <f>'Intermediate calculations'!AZ5-('Intermediate calculations'!AZ5*'Net zero supporting data'!AC202)</f>
        <v>-121121.08142159098</v>
      </c>
      <c r="AD205">
        <f>'Intermediate calculations'!BA5-('Intermediate calculations'!BA5*'Net zero supporting data'!AD202)</f>
        <v>-120316.29644591686</v>
      </c>
      <c r="AE205">
        <f>'Intermediate calculations'!BB5-('Intermediate calculations'!BB5*'Net zero supporting data'!AE202)</f>
        <v>-120280.01430338103</v>
      </c>
      <c r="AF205">
        <f>'Intermediate calculations'!BC5-('Intermediate calculations'!BC5*'Net zero supporting data'!AF202)</f>
        <v>-120212.61829313447</v>
      </c>
      <c r="AG205">
        <f>'Intermediate calculations'!BD5-('Intermediate calculations'!BD5*'Net zero supporting data'!AG202)</f>
        <v>-120112.48590235571</v>
      </c>
      <c r="AH205">
        <f>'Intermediate calculations'!BE5-('Intermediate calculations'!BE5*'Net zero supporting data'!AH202)</f>
        <v>-119979.93167426274</v>
      </c>
      <c r="AI205">
        <f>'Intermediate calculations'!BF5-('Intermediate calculations'!BF5*'Net zero supporting data'!AI202)</f>
        <v>-119813.02033620191</v>
      </c>
      <c r="AJ205">
        <f>'Intermediate calculations'!BG5-('Intermediate calculations'!BG5*'Net zero supporting data'!AJ202)</f>
        <v>-119609.61282630754</v>
      </c>
      <c r="AK205">
        <f>'Intermediate calculations'!BH5-('Intermediate calculations'!BH5*'Net zero supporting data'!AK202)</f>
        <v>-119370.05095634054</v>
      </c>
      <c r="AL205">
        <f>'Intermediate calculations'!BI5-('Intermediate calculations'!BI5*'Net zero supporting data'!AL202)</f>
        <v>-119095.408393538</v>
      </c>
      <c r="AM205">
        <f>'Intermediate calculations'!BJ5-('Intermediate calculations'!BJ5*'Net zero supporting data'!AM202)</f>
        <v>-118786.61989664816</v>
      </c>
      <c r="AN205">
        <f>'Intermediate calculations'!BK5-('Intermediate calculations'!BK5*'Net zero supporting data'!AN202)</f>
        <v>-118441.72644522297</v>
      </c>
    </row>
    <row r="206" spans="1:48" x14ac:dyDescent="0.25">
      <c r="A206" t="s">
        <v>332</v>
      </c>
      <c r="B206">
        <f>'Intermediate calculations'!Y19+('Intermediate calculations'!Y19*'Net zero supporting data'!B203)</f>
        <v>168493.35641070592</v>
      </c>
      <c r="C206">
        <f>'Intermediate calculations'!Z19+('Intermediate calculations'!Z19*'Net zero supporting data'!C203)</f>
        <v>171016.70205543254</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v>
      </c>
      <c r="I206">
        <f>'Intermediate calculations'!AF19+('Intermediate calculations'!AF19*'Net zero supporting data'!I203)</f>
        <v>187938.21358431838</v>
      </c>
      <c r="J206">
        <f>'Intermediate calculations'!AG19+('Intermediate calculations'!AG19*'Net zero supporting data'!J203)</f>
        <v>189192.83903649283</v>
      </c>
      <c r="K206">
        <f>'Intermediate calculations'!AH19+('Intermediate calculations'!AH19*'Net zero supporting data'!K203)</f>
        <v>192130.65389212608</v>
      </c>
      <c r="L206">
        <f>'Intermediate calculations'!AI19+('Intermediate calculations'!AI19*'Net zero supporting data'!L203)</f>
        <v>198683.16201043309</v>
      </c>
      <c r="M206">
        <f>'Intermediate calculations'!AJ19+('Intermediate calculations'!AJ19*'Net zero supporting data'!M203)</f>
        <v>201498.67684145147</v>
      </c>
      <c r="N206">
        <f>'Intermediate calculations'!AK19+('Intermediate calculations'!AK19*'Net zero supporting data'!N203)</f>
        <v>204600.28802328056</v>
      </c>
      <c r="O206">
        <f>'Intermediate calculations'!AL19+('Intermediate calculations'!AL19*'Net zero supporting data'!O203)</f>
        <v>207867.40160931103</v>
      </c>
      <c r="P206">
        <f>'Intermediate calculations'!AM19+('Intermediate calculations'!AM19*'Net zero supporting data'!P203)</f>
        <v>211078.57138311453</v>
      </c>
      <c r="Q206">
        <f>'Intermediate calculations'!AN19+('Intermediate calculations'!AN19*'Net zero supporting data'!Q203)</f>
        <v>214241.29186362974</v>
      </c>
      <c r="R206">
        <f>'Intermediate calculations'!AO19+('Intermediate calculations'!AO19*'Net zero supporting data'!R203)</f>
        <v>217353.24113064774</v>
      </c>
      <c r="S206">
        <f>'Intermediate calculations'!AP19+('Intermediate calculations'!AP19*'Net zero supporting data'!S203)</f>
        <v>220419.2490105461</v>
      </c>
      <c r="T206">
        <f>'Intermediate calculations'!AQ19+('Intermediate calculations'!AQ19*'Net zero supporting data'!T203)</f>
        <v>223446.77181218311</v>
      </c>
      <c r="U206">
        <f>'Intermediate calculations'!AR19+('Intermediate calculations'!AR19*'Net zero supporting data'!U203)</f>
        <v>226078.0950286148</v>
      </c>
      <c r="V206">
        <f>'Intermediate calculations'!AS19+('Intermediate calculations'!AS19*'Net zero supporting data'!V203)</f>
        <v>228672.04514152108</v>
      </c>
      <c r="W206">
        <f>'Intermediate calculations'!AT19+('Intermediate calculations'!AT19*'Net zero supporting data'!W203)</f>
        <v>231230.23210607021</v>
      </c>
      <c r="X206">
        <f>'Intermediate calculations'!AU19+('Intermediate calculations'!AU19*'Net zero supporting data'!X203)</f>
        <v>233748.03422527987</v>
      </c>
      <c r="Y206">
        <f>'Intermediate calculations'!AV19+('Intermediate calculations'!AV19*'Net zero supporting data'!Y203)</f>
        <v>236229.09038141713</v>
      </c>
      <c r="Z206">
        <f>'Intermediate calculations'!AW19+('Intermediate calculations'!AW19*'Net zero supporting data'!Z203)</f>
        <v>238679.10897910612</v>
      </c>
      <c r="AA206">
        <f>'Intermediate calculations'!AX19+('Intermediate calculations'!AX19*'Net zero supporting data'!AA203)</f>
        <v>233183.25795428597</v>
      </c>
      <c r="AB206">
        <f>'Intermediate calculations'!AY19+('Intermediate calculations'!AY19*'Net zero supporting data'!AB203)</f>
        <v>235551.94271781255</v>
      </c>
      <c r="AC206">
        <f>'Intermediate calculations'!AZ19+('Intermediate calculations'!AZ19*'Net zero supporting data'!AC203)</f>
        <v>237889.86285102065</v>
      </c>
      <c r="AD206">
        <f>'Intermediate calculations'!BA19+('Intermediate calculations'!BA19*'Net zero supporting data'!AD203)</f>
        <v>240199.07517706632</v>
      </c>
      <c r="AE206">
        <f>'Intermediate calculations'!BB19+('Intermediate calculations'!BB19*'Net zero supporting data'!AE203)</f>
        <v>242110.13478977256</v>
      </c>
      <c r="AF206">
        <f>'Intermediate calculations'!BC19+('Intermediate calculations'!BC19*'Net zero supporting data'!AF203)</f>
        <v>243983.6449124878</v>
      </c>
      <c r="AG206">
        <f>'Intermediate calculations'!BD19+('Intermediate calculations'!BD19*'Net zero supporting data'!AG203)</f>
        <v>245815.22615046156</v>
      </c>
      <c r="AH206">
        <f>'Intermediate calculations'!BE19+('Intermediate calculations'!BE19*'Net zero supporting data'!AH203)</f>
        <v>247604.35617713633</v>
      </c>
      <c r="AI206">
        <f>'Intermediate calculations'!BF19+('Intermediate calculations'!BF19*'Net zero supporting data'!AI203)</f>
        <v>249345.82010744303</v>
      </c>
      <c r="AJ206">
        <f>'Intermediate calculations'!BG19+('Intermediate calculations'!BG19*'Net zero supporting data'!AJ203)</f>
        <v>251033.80572396243</v>
      </c>
      <c r="AK206">
        <f>'Intermediate calculations'!BH19+('Intermediate calculations'!BH19*'Net zero supporting data'!AK203)</f>
        <v>252667.56186621025</v>
      </c>
      <c r="AL206">
        <f>'Intermediate calculations'!BI19+('Intermediate calculations'!BI19*'Net zero supporting data'!AL203)</f>
        <v>254247.88303370684</v>
      </c>
      <c r="AM206">
        <f>'Intermediate calculations'!BJ19+('Intermediate calculations'!BJ19*'Net zero supporting data'!AM203)</f>
        <v>255775.30119509713</v>
      </c>
      <c r="AN206">
        <f>'Intermediate calculations'!BK19+('Intermediate calculations'!BK19*'Net zero supporting data'!AN203)</f>
        <v>257244.09081103402</v>
      </c>
    </row>
    <row r="207" spans="1:48" x14ac:dyDescent="0.25">
      <c r="A207" t="s">
        <v>338</v>
      </c>
      <c r="B207">
        <f>'Intermediate calculations'!Y39+('Intermediate calculations'!Y39*'Net zero supporting data'!B204)</f>
        <v>1780536.5679391946</v>
      </c>
      <c r="C207">
        <f>'Intermediate calculations'!Z39+('Intermediate calculations'!Z39*'Net zero supporting data'!C204)</f>
        <v>1834642.5186756095</v>
      </c>
      <c r="D207">
        <f>'Intermediate calculations'!AA39+('Intermediate calculations'!AA39*'Net zero supporting data'!D204)</f>
        <v>1905076.8868757146</v>
      </c>
      <c r="E207">
        <f>'Intermediate calculations'!AB39+('Intermediate calculations'!AB39*'Net zero supporting data'!E204)</f>
        <v>1943924.618219733</v>
      </c>
      <c r="F207">
        <f>'Intermediate calculations'!AC39+('Intermediate calculations'!AC39*'Net zero supporting data'!F204)</f>
        <v>1961369.2810630382</v>
      </c>
      <c r="G207">
        <f>'Intermediate calculations'!AD39+('Intermediate calculations'!AD39*'Net zero supporting data'!G204)</f>
        <v>1956860.8704089581</v>
      </c>
      <c r="H207">
        <f>'Intermediate calculations'!AE39+('Intermediate calculations'!AE39*'Net zero supporting data'!H204)</f>
        <v>1968044.8895064986</v>
      </c>
      <c r="I207">
        <f>'Intermediate calculations'!AF39+('Intermediate calculations'!AF39*'Net zero supporting data'!I204)</f>
        <v>1981185.0437649265</v>
      </c>
      <c r="J207">
        <f>'Intermediate calculations'!AG39+('Intermediate calculations'!AG39*'Net zero supporting data'!J204)</f>
        <v>1715438.6006468041</v>
      </c>
      <c r="K207">
        <f>'Intermediate calculations'!AH39+('Intermediate calculations'!AH39*'Net zero supporting data'!K204)</f>
        <v>1904056.507527655</v>
      </c>
      <c r="L207">
        <f>'Intermediate calculations'!AI39+('Intermediate calculations'!AI39*'Net zero supporting data'!L204)</f>
        <v>9299973.1913848203</v>
      </c>
      <c r="M207">
        <f>'Intermediate calculations'!AJ39+('Intermediate calculations'!AJ39*'Net zero supporting data'!M204)</f>
        <v>9657116.5839116052</v>
      </c>
      <c r="N207">
        <f>'Intermediate calculations'!AK39+('Intermediate calculations'!AK39*'Net zero supporting data'!N204)</f>
        <v>10001003.713679846</v>
      </c>
      <c r="O207">
        <f>'Intermediate calculations'!AL39+('Intermediate calculations'!AL39*'Net zero supporting data'!O204)</f>
        <v>10331273.12280657</v>
      </c>
      <c r="P207">
        <f>'Intermediate calculations'!AM39+('Intermediate calculations'!AM39*'Net zero supporting data'!P204)</f>
        <v>10648867.75698545</v>
      </c>
      <c r="Q207">
        <f>'Intermediate calculations'!AN39+('Intermediate calculations'!AN39*'Net zero supporting data'!Q204)</f>
        <v>10951911.444699069</v>
      </c>
      <c r="R207">
        <f>'Intermediate calculations'!AO39+('Intermediate calculations'!AO39*'Net zero supporting data'!R204)</f>
        <v>11238682.981901651</v>
      </c>
      <c r="S207">
        <f>'Intermediate calculations'!AP39+('Intermediate calculations'!AP39*'Net zero supporting data'!S204)</f>
        <v>11507416.901971605</v>
      </c>
      <c r="T207">
        <f>'Intermediate calculations'!AQ39+('Intermediate calculations'!AQ39*'Net zero supporting data'!T204)</f>
        <v>11756373.538549509</v>
      </c>
      <c r="U207">
        <f>'Intermediate calculations'!AR39+('Intermediate calculations'!AR39*'Net zero supporting data'!U204)</f>
        <v>11946381.130260414</v>
      </c>
      <c r="V207">
        <f>'Intermediate calculations'!AS39+('Intermediate calculations'!AS39*'Net zero supporting data'!V204)</f>
        <v>12112896.137245152</v>
      </c>
      <c r="W207">
        <f>'Intermediate calculations'!AT39+('Intermediate calculations'!AT39*'Net zero supporting data'!W204)</f>
        <v>12254759.071583511</v>
      </c>
      <c r="X207">
        <f>'Intermediate calculations'!AU39+('Intermediate calculations'!AU39*'Net zero supporting data'!X204)</f>
        <v>12371011.773399258</v>
      </c>
      <c r="Y207">
        <f>'Intermediate calculations'!AV39+('Intermediate calculations'!AV39*'Net zero supporting data'!Y204)</f>
        <v>12460719.309894651</v>
      </c>
      <c r="Z207">
        <f>'Intermediate calculations'!AW39+('Intermediate calculations'!AW39*'Net zero supporting data'!Z204)</f>
        <v>12523057.571569011</v>
      </c>
      <c r="AA207">
        <f>'Intermediate calculations'!AX39+('Intermediate calculations'!AX39*'Net zero supporting data'!AA204)</f>
        <v>-3055113.4578282149</v>
      </c>
      <c r="AB207">
        <f>'Intermediate calculations'!AY39+('Intermediate calculations'!AY39*'Net zero supporting data'!AB204)</f>
        <v>-3095254.9598803106</v>
      </c>
      <c r="AC207">
        <f>'Intermediate calculations'!AZ39+('Intermediate calculations'!AZ39*'Net zero supporting data'!AC204)</f>
        <v>-3135117.4032791504</v>
      </c>
      <c r="AD207">
        <f>'Intermediate calculations'!BA39+('Intermediate calculations'!BA39*'Net zero supporting data'!AD204)</f>
        <v>-3174723.2818766641</v>
      </c>
      <c r="AE207">
        <f>'Intermediate calculations'!BB39+('Intermediate calculations'!BB39*'Net zero supporting data'!AE204)</f>
        <v>-3204583.5853352305</v>
      </c>
      <c r="AF207">
        <f>'Intermediate calculations'!BC39+('Intermediate calculations'!BC39*'Net zero supporting data'!AF204)</f>
        <v>-3234004.5890791654</v>
      </c>
      <c r="AG207">
        <f>'Intermediate calculations'!BD39+('Intermediate calculations'!BD39*'Net zero supporting data'!AG204)</f>
        <v>-3262925.7651117779</v>
      </c>
      <c r="AH207">
        <f>'Intermediate calculations'!BE39+('Intermediate calculations'!BE39*'Net zero supporting data'!AH204)</f>
        <v>-3291337.541151558</v>
      </c>
      <c r="AI207">
        <f>'Intermediate calculations'!BF39+('Intermediate calculations'!BF39*'Net zero supporting data'!AI204)</f>
        <v>-3319167.8567348039</v>
      </c>
      <c r="AJ207">
        <f>'Intermediate calculations'!BG39+('Intermediate calculations'!BG39*'Net zero supporting data'!AJ204)</f>
        <v>-3346336.3144906936</v>
      </c>
      <c r="AK207">
        <f>'Intermediate calculations'!BH39+('Intermediate calculations'!BH39*'Net zero supporting data'!AK204)</f>
        <v>-3372829.6604313576</v>
      </c>
      <c r="AL207">
        <f>'Intermediate calculations'!BI39+('Intermediate calculations'!BI39*'Net zero supporting data'!AL204)</f>
        <v>-3398655.2658759127</v>
      </c>
      <c r="AM207">
        <f>'Intermediate calculations'!BJ39+('Intermediate calculations'!BJ39*'Net zero supporting data'!AM204)</f>
        <v>-3423817.06656245</v>
      </c>
      <c r="AN207">
        <f>'Intermediate calculations'!BK39+('Intermediate calculations'!BK39*'Net zero supporting data'!AN204)</f>
        <v>-3448235.1779507045</v>
      </c>
    </row>
    <row r="209" spans="1:48" s="111" customFormat="1" ht="15.75" x14ac:dyDescent="0.25">
      <c r="A209" s="107" t="s">
        <v>1377</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25">
      <c r="A210" t="s">
        <v>1370</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75" x14ac:dyDescent="0.25">
      <c r="A212" s="107" t="s">
        <v>1256</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25">
      <c r="A213" t="s">
        <v>1261</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1262</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1263</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1264</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5546875"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42578125" customWidth="1"/>
    <col min="10" max="10" width="14" customWidth="1"/>
    <col min="11" max="16" width="9.7109375" customWidth="1"/>
    <col min="17" max="17" width="9.42578125" customWidth="1"/>
    <col min="19" max="19" width="10" customWidth="1"/>
    <col min="32" max="33" width="9.42578125" customWidth="1"/>
    <col min="34" max="34" width="9.7109375" customWidth="1"/>
  </cols>
  <sheetData>
    <row r="1" spans="1:55" ht="18.75" x14ac:dyDescent="0.3">
      <c r="D1" s="1" t="s">
        <v>658</v>
      </c>
    </row>
    <row r="2" spans="1:55" x14ac:dyDescent="0.25">
      <c r="K2" s="79">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95" t="str">
        <f>B4&amp;" "&amp;C4</f>
        <v>FS Cattle</v>
      </c>
      <c r="B4" s="95" t="s">
        <v>1004</v>
      </c>
      <c r="C4" s="95" t="s">
        <v>1108</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73.223011790998029</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73.83596289834658</v>
      </c>
      <c r="P4" s="93">
        <f>IF('Net zero activities &amp; levers'!$C$5="Off",('Activity data'!AI5*EF!$H4)*kgtoGg,IF('Net zero activities &amp; levers'!$C$5="On",(((('Activity data'!AI5-'Net zero supporting data'!G15)*EF!$H4)+('Net zero supporting data'!G15*'Net zero supporting data'!G25))*kgtoGg)))</f>
        <v>73.954711561483919</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74.518042528471327</v>
      </c>
      <c r="S4" s="93">
        <f>IF('Net zero activities &amp; levers'!$C$5="Off",('Activity data'!AL5*EF!$H4)*kgtoGg,IF('Net zero activities &amp; levers'!$C$5="On",(((('Activity data'!AL5-'Net zero supporting data'!J15)*EF!$H4)+('Net zero supporting data'!J15*'Net zero supporting data'!J25))*kgtoGg)))</f>
        <v>72.400641735612226</v>
      </c>
      <c r="T4" s="93">
        <f>IF('Net zero activities &amp; levers'!$C$5="Off",('Activity data'!AM5*EF!$H4)*kgtoGg,IF('Net zero activities &amp; levers'!$C$5="On",(((('Activity data'!AM5-'Net zero supporting data'!K15)*EF!$H4)+('Net zero supporting data'!K15*'Net zero supporting data'!K25))*kgtoGg)))</f>
        <v>73.646397311613569</v>
      </c>
      <c r="U4" s="93">
        <f>IF('Net zero activities &amp; levers'!$C$5="Off",('Activity data'!AN5*EF!$H4)*kgtoGg,IF('Net zero activities &amp; levers'!$C$5="On",(((('Activity data'!AN5-'Net zero supporting data'!L15)*EF!$H4)+('Net zero supporting data'!L15*'Net zero supporting data'!L25))*kgtoGg)))</f>
        <v>126.71451623908638</v>
      </c>
      <c r="V4" s="93">
        <f>IF('Net zero activities &amp; levers'!$C$5="Off",('Activity data'!AO5*EF!$H4)*kgtoGg,IF('Net zero activities &amp; levers'!$C$5="On",(((('Activity data'!AO5-'Net zero supporting data'!M15)*EF!$H4)+('Net zero supporting data'!M15*'Net zero supporting data'!M25))*kgtoGg)))</f>
        <v>128.24200058803578</v>
      </c>
      <c r="W4" s="93">
        <f>IF('Net zero activities &amp; levers'!$C$5="Off",('Activity data'!AP5*EF!$H4)*kgtoGg,IF('Net zero activities &amp; levers'!$C$5="On",(((('Activity data'!AP5-'Net zero supporting data'!N15)*EF!$H4)+('Net zero supporting data'!N15*'Net zero supporting data'!N25))*kgtoGg)))</f>
        <v>129.70248573615504</v>
      </c>
      <c r="X4" s="93">
        <f>IF('Net zero activities &amp; levers'!$C$5="Off",('Activity data'!AQ5*EF!$H4)*kgtoGg,IF('Net zero activities &amp; levers'!$C$5="On",(((('Activity data'!AQ5-'Net zero supporting data'!O15)*EF!$H4)+('Net zero supporting data'!O15*'Net zero supporting data'!O25))*kgtoGg)))</f>
        <v>131.07112915343163</v>
      </c>
      <c r="Y4" s="93">
        <f>IF('Net zero activities &amp; levers'!$C$5="Off",('Activity data'!AR5*EF!$H4)*kgtoGg,IF('Net zero activities &amp; levers'!$C$5="On",(((('Activity data'!AR5-'Net zero supporting data'!P15)*EF!$H4)+('Net zero supporting data'!P15*'Net zero supporting data'!P25))*kgtoGg)))</f>
        <v>132.31138089682617</v>
      </c>
      <c r="Z4" s="93">
        <f>IF('Net zero activities &amp; levers'!$C$5="Off",('Activity data'!AS5*EF!$H4)*kgtoGg,IF('Net zero activities &amp; levers'!$C$5="On",(((('Activity data'!AS5-'Net zero supporting data'!Q15)*EF!$H4)+('Net zero supporting data'!Q15*'Net zero supporting data'!Q25))*kgtoGg)))</f>
        <v>133.41744896278323</v>
      </c>
      <c r="AA4" s="93">
        <f>IF('Net zero activities &amp; levers'!$C$5="Off",('Activity data'!AT5*EF!$H4)*kgtoGg,IF('Net zero activities &amp; levers'!$C$5="On",(((('Activity data'!AT5-'Net zero supporting data'!R15)*EF!$H4)+('Net zero supporting data'!R15*'Net zero supporting data'!R25))*kgtoGg)))</f>
        <v>134.38288992099422</v>
      </c>
      <c r="AB4" s="93">
        <f>IF('Net zero activities &amp; levers'!$C$5="Off",('Activity data'!AU5*EF!$H4)*kgtoGg,IF('Net zero activities &amp; levers'!$C$5="On",(((('Activity data'!AU5-'Net zero supporting data'!S15)*EF!$H4)+('Net zero supporting data'!S15*'Net zero supporting data'!S25))*kgtoGg)))</f>
        <v>135.20282704552554</v>
      </c>
      <c r="AC4" s="93">
        <f>IF('Net zero activities &amp; levers'!$C$5="Off",('Activity data'!AV5*EF!$H4)*kgtoGg,IF('Net zero activities &amp; levers'!$C$5="On",(((('Activity data'!AV5-'Net zero supporting data'!T15)*EF!$H4)+('Net zero supporting data'!T15*'Net zero supporting data'!T25))*kgtoGg)))</f>
        <v>135.87339274665732</v>
      </c>
      <c r="AD4" s="93">
        <f>IF('Net zero activities &amp; levers'!$C$5="Off",('Activity data'!AW5*EF!$H4)*kgtoGg,IF('Net zero activities &amp; levers'!$C$5="On",(((('Activity data'!AW5-'Net zero supporting data'!U15)*EF!$H4)+('Net zero supporting data'!U15*'Net zero supporting data'!U25))*kgtoGg)))</f>
        <v>136.39052131842715</v>
      </c>
      <c r="AE4" s="93">
        <f>IF('Net zero activities &amp; levers'!$C$5="Off",('Activity data'!AX5*EF!$H4)*kgtoGg,IF('Net zero activities &amp; levers'!$C$5="On",(((('Activity data'!AX5-'Net zero supporting data'!V15)*EF!$H4)+('Net zero supporting data'!V15*'Net zero supporting data'!V25))*kgtoGg)))</f>
        <v>136.75177878147903</v>
      </c>
      <c r="AF4" s="93">
        <f>IF('Net zero activities &amp; levers'!$C$5="Off",('Activity data'!AY5*EF!$H4)*kgtoGg,IF('Net zero activities &amp; levers'!$C$5="On",(((('Activity data'!AY5-'Net zero supporting data'!W15)*EF!$H4)+('Net zero supporting data'!W15*'Net zero supporting data'!W25))*kgtoGg)))</f>
        <v>136.95483040988077</v>
      </c>
      <c r="AG4" s="93">
        <f>IF('Net zero activities &amp; levers'!$C$5="Off",('Activity data'!AZ5*EF!$H4)*kgtoGg,IF('Net zero activities &amp; levers'!$C$5="On",(((('Activity data'!AZ5-'Net zero supporting data'!X15)*EF!$H4)+('Net zero supporting data'!X15*'Net zero supporting data'!X25))*kgtoGg)))</f>
        <v>136.99742056904799</v>
      </c>
      <c r="AH4" s="93">
        <f>IF('Net zero activities &amp; levers'!$C$5="Off",('Activity data'!BA5*EF!$H4)*kgtoGg,IF('Net zero activities &amp; levers'!$C$5="On",(((('Activity data'!BA5-'Net zero supporting data'!Y15)*EF!$H4)+('Net zero supporting data'!Y15*'Net zero supporting data'!Y25))*kgtoGg)))</f>
        <v>136.87913733677345</v>
      </c>
      <c r="AI4" s="93">
        <f>IF('Net zero activities &amp; levers'!$C$5="Off",('Activity data'!BB5*EF!$H4)*kgtoGg,IF('Net zero activities &amp; levers'!$C$5="On",(((('Activity data'!BB5-'Net zero supporting data'!Z15)*EF!$H4)+('Net zero supporting data'!Z15*'Net zero supporting data'!Z25))*kgtoGg)))</f>
        <v>136.60065411000454</v>
      </c>
      <c r="AJ4" s="93">
        <f>IF('Net zero activities &amp; levers'!$C$5="Off",('Activity data'!BC5*EF!$H4)*kgtoGg,IF('Net zero activities &amp; levers'!$C$5="On",(((('Activity data'!BC5-'Net zero supporting data'!AA15)*EF!$H4)+('Net zero supporting data'!AA15*'Net zero supporting data'!AA25))*kgtoGg)))</f>
        <v>43.218084806671186</v>
      </c>
      <c r="AK4" s="93">
        <f>IF('Net zero activities &amp; levers'!$C$5="Off",('Activity data'!BD5*EF!$H4)*kgtoGg,IF('Net zero activities &amp; levers'!$C$5="On",(((('Activity data'!BD5-'Net zero supporting data'!AB15)*EF!$H4)+('Net zero supporting data'!AB15*'Net zero supporting data'!AB25))*kgtoGg)))</f>
        <v>43.249633283301115</v>
      </c>
      <c r="AL4" s="93">
        <f>IF('Net zero activities &amp; levers'!$C$5="Off",('Activity data'!BE5*EF!$H4)*kgtoGg,IF('Net zero activities &amp; levers'!$C$5="On",(((('Activity data'!BE5-'Net zero supporting data'!AC15)*EF!$H4)+('Net zero supporting data'!AC15*'Net zero supporting data'!AC25))*kgtoGg)))</f>
        <v>43.278910692305409</v>
      </c>
      <c r="AM4" s="93">
        <f>IF('Net zero activities &amp; levers'!$C$5="Off",('Activity data'!BF5*EF!$H4)*kgtoGg,IF('Net zero activities &amp; levers'!$C$5="On",(((('Activity data'!BF5-'Net zero supporting data'!AD15)*EF!$H4)+('Net zero supporting data'!AD15*'Net zero supporting data'!AD25))*kgtoGg)))</f>
        <v>43.306115085271941</v>
      </c>
      <c r="AN4" s="93">
        <f>IF('Net zero activities &amp; levers'!$C$5="Off",('Activity data'!BG5*EF!$H4)*kgtoGg,IF('Net zero activities &amp; levers'!$C$5="On",(((('Activity data'!BG5-'Net zero supporting data'!AE15)*EF!$H4)+('Net zero supporting data'!AE15*'Net zero supporting data'!AE25))*kgtoGg)))</f>
        <v>43.331490420249878</v>
      </c>
      <c r="AO4" s="93">
        <f>IF('Net zero activities &amp; levers'!$C$5="Off",('Activity data'!BH5*EF!$H4)*kgtoGg,IF('Net zero activities &amp; levers'!$C$5="On",(((('Activity data'!BH5-'Net zero supporting data'!AF15)*EF!$H4)+('Net zero supporting data'!AF15*'Net zero supporting data'!AF25))*kgtoGg)))</f>
        <v>43.354240288744201</v>
      </c>
      <c r="AP4" s="93">
        <f>IF('Net zero activities &amp; levers'!$C$5="Off",('Activity data'!BI5*EF!$H4)*kgtoGg,IF('Net zero activities &amp; levers'!$C$5="On",(((('Activity data'!BI5-'Net zero supporting data'!AG15)*EF!$H4)+('Net zero supporting data'!AG15*'Net zero supporting data'!AG25))*kgtoGg)))</f>
        <v>43.373829871792871</v>
      </c>
      <c r="AQ4" s="93">
        <f>IF('Net zero activities &amp; levers'!$C$5="Off",('Activity data'!BJ5*EF!$H4)*kgtoGg,IF('Net zero activities &amp; levers'!$C$5="On",(((('Activity data'!BJ5-'Net zero supporting data'!AH15)*EF!$H4)+('Net zero supporting data'!AH15*'Net zero supporting data'!AH25))*kgtoGg)))</f>
        <v>43.390173404871973</v>
      </c>
      <c r="AR4" s="93">
        <f>IF('Net zero activities &amp; levers'!$C$5="Off",('Activity data'!BK5*EF!$H4)*kgtoGg,IF('Net zero activities &amp; levers'!$C$5="On",(((('Activity data'!BK5-'Net zero supporting data'!AI15)*EF!$H4)+('Net zero supporting data'!AI15*'Net zero supporting data'!AI25))*kgtoGg)))</f>
        <v>43.402664060341642</v>
      </c>
      <c r="AS4" s="93">
        <f>IF('Net zero activities &amp; levers'!$C$5="Off",('Activity data'!BL5*EF!$H4)*kgtoGg,IF('Net zero activities &amp; levers'!$C$5="On",(((('Activity data'!BL5-'Net zero supporting data'!AJ15)*EF!$H4)+('Net zero supporting data'!AJ15*'Net zero supporting data'!AJ25))*kgtoGg)))</f>
        <v>43.410643013134724</v>
      </c>
      <c r="AT4" s="93">
        <f>IF('Net zero activities &amp; levers'!$C$5="Off",('Activity data'!BM5*EF!$H4)*kgtoGg,IF('Net zero activities &amp; levers'!$C$5="On",(((('Activity data'!BM5-'Net zero supporting data'!AK15)*EF!$H4)+('Net zero supporting data'!AK15*'Net zero supporting data'!AK25))*kgtoGg)))</f>
        <v>43.414028889166616</v>
      </c>
      <c r="AU4" s="93">
        <f>IF('Net zero activities &amp; levers'!$C$5="Off",('Activity data'!BN5*EF!$H4)*kgtoGg,IF('Net zero activities &amp; levers'!$C$5="On",(((('Activity data'!BN5-'Net zero supporting data'!AL15)*EF!$H4)+('Net zero supporting data'!AL15*'Net zero supporting data'!AL25))*kgtoGg)))</f>
        <v>43.412915266479416</v>
      </c>
      <c r="AV4" s="93">
        <f>IF('Net zero activities &amp; levers'!$C$5="Off",('Activity data'!BO5*EF!$H4)*kgtoGg,IF('Net zero activities &amp; levers'!$C$5="On",(((('Activity data'!BO5-'Net zero supporting data'!AM15)*EF!$H4)+('Net zero supporting data'!AM15*'Net zero supporting data'!AM25))*kgtoGg)))</f>
        <v>43.407367404961896</v>
      </c>
      <c r="AW4" s="93">
        <f>IF('Net zero activities &amp; levers'!$C$5="Off",('Activity data'!BP5*EF!$H4)*kgtoGg,IF('Net zero activities &amp; levers'!$C$5="On",(((('Activity data'!BP5-'Net zero supporting data'!AN15)*EF!$H4)+('Net zero supporting data'!AN15*'Net zero supporting data'!AN25))*kgtoGg)))</f>
        <v>43.396765644330657</v>
      </c>
      <c r="AY4" s="79"/>
    </row>
    <row r="5" spans="1:55" x14ac:dyDescent="0.25">
      <c r="A5" s="95" t="str">
        <f t="shared" ref="A5:A471" si="0">B5&amp;" "&amp;C5</f>
        <v>FS Cattle</v>
      </c>
      <c r="B5" s="95" t="s">
        <v>1004</v>
      </c>
      <c r="C5" s="95" t="s">
        <v>1108</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58.564977012483297</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59.055225455337663</v>
      </c>
      <c r="P5" s="93">
        <f>IF('Net zero activities &amp; levers'!$C$5="Off",('Activity data'!AI6*EF!$H5)*kgtoGg,IF('Net zero activities &amp; levers'!$C$5="On",(((('Activity data'!AI6-'Net zero supporting data'!G16)*EF!$H5)+('Net zero supporting data'!G16*'Net zero supporting data'!G26))*kgtoGg)))</f>
        <v>59.150202601958618</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59.600764035107616</v>
      </c>
      <c r="S5" s="93">
        <f>IF('Net zero activities &amp; levers'!$C$5="Off",('Activity data'!AL6*EF!$H5)*kgtoGg,IF('Net zero activities &amp; levers'!$C$5="On",(((('Activity data'!AL6-'Net zero supporting data'!J16)*EF!$H5)+('Net zero supporting data'!J16*'Net zero supporting data'!J26))*kgtoGg)))</f>
        <v>57.907231828129312</v>
      </c>
      <c r="T5" s="93">
        <f>IF('Net zero activities &amp; levers'!$C$5="Off",('Activity data'!AM6*EF!$H5)*kgtoGg,IF('Net zero activities &amp; levers'!$C$5="On",(((('Activity data'!AM6-'Net zero supporting data'!K16)*EF!$H5)+('Net zero supporting data'!K16*'Net zero supporting data'!K26))*kgtoGg)))</f>
        <v>58.903607760874827</v>
      </c>
      <c r="U5" s="93">
        <f>IF('Net zero activities &amp; levers'!$C$5="Off",('Activity data'!AN6*EF!$H5)*kgtoGg,IF('Net zero activities &amp; levers'!$C$5="On",(((('Activity data'!AN6-'Net zero supporting data'!L16)*EF!$H5)+('Net zero supporting data'!L16*'Net zero supporting data'!L26))*kgtoGg)))</f>
        <v>101.34836780371782</v>
      </c>
      <c r="V5" s="93">
        <f>IF('Net zero activities &amp; levers'!$C$5="Off",('Activity data'!AO6*EF!$H5)*kgtoGg,IF('Net zero activities &amp; levers'!$C$5="On",(((('Activity data'!AO6-'Net zero supporting data'!M16)*EF!$H5)+('Net zero supporting data'!M16*'Net zero supporting data'!M26))*kgtoGg)))</f>
        <v>102.57007507299116</v>
      </c>
      <c r="W5" s="93">
        <f>IF('Net zero activities &amp; levers'!$C$5="Off",('Activity data'!AP6*EF!$H5)*kgtoGg,IF('Net zero activities &amp; levers'!$C$5="On",(((('Activity data'!AP6-'Net zero supporting data'!N16)*EF!$H5)+('Net zero supporting data'!N16*'Net zero supporting data'!N26))*kgtoGg)))</f>
        <v>103.73819527229158</v>
      </c>
      <c r="X5" s="93">
        <f>IF('Net zero activities &amp; levers'!$C$5="Off",('Activity data'!AQ6*EF!$H5)*kgtoGg,IF('Net zero activities &amp; levers'!$C$5="On",(((('Activity data'!AQ6-'Net zero supporting data'!O16)*EF!$H5)+('Net zero supporting data'!O16*'Net zero supporting data'!O26))*kgtoGg)))</f>
        <v>104.83285893485541</v>
      </c>
      <c r="Y5" s="93">
        <f>IF('Net zero activities &amp; levers'!$C$5="Off",('Activity data'!AR6*EF!$H5)*kgtoGg,IF('Net zero activities &amp; levers'!$C$5="On",(((('Activity data'!AR6-'Net zero supporting data'!P16)*EF!$H5)+('Net zero supporting data'!P16*'Net zero supporting data'!P26))*kgtoGg)))</f>
        <v>105.82483281116795</v>
      </c>
      <c r="Z5" s="93">
        <f>IF('Net zero activities &amp; levers'!$C$5="Off",('Activity data'!AS6*EF!$H5)*kgtoGg,IF('Net zero activities &amp; levers'!$C$5="On",(((('Activity data'!AS6-'Net zero supporting data'!Q16)*EF!$H5)+('Net zero supporting data'!Q16*'Net zero supporting data'!Q26))*kgtoGg)))</f>
        <v>106.70948436090084</v>
      </c>
      <c r="AA5" s="93">
        <f>IF('Net zero activities &amp; levers'!$C$5="Off",('Activity data'!AT6*EF!$H5)*kgtoGg,IF('Net zero activities &amp; levers'!$C$5="On",(((('Activity data'!AT6-'Net zero supporting data'!R16)*EF!$H5)+('Net zero supporting data'!R16*'Net zero supporting data'!R26))*kgtoGg)))</f>
        <v>107.48166002182452</v>
      </c>
      <c r="AB5" s="93">
        <f>IF('Net zero activities &amp; levers'!$C$5="Off",('Activity data'!AU6*EF!$H5)*kgtoGg,IF('Net zero activities &amp; levers'!$C$5="On",(((('Activity data'!AU6-'Net zero supporting data'!S16)*EF!$H5)+('Net zero supporting data'!S16*'Net zero supporting data'!S26))*kgtoGg)))</f>
        <v>108.13745930780478</v>
      </c>
      <c r="AC5" s="93">
        <f>IF('Net zero activities &amp; levers'!$C$5="Off",('Activity data'!AV6*EF!$H5)*kgtoGg,IF('Net zero activities &amp; levers'!$C$5="On",(((('Activity data'!AV6-'Net zero supporting data'!T16)*EF!$H5)+('Net zero supporting data'!T16*'Net zero supporting data'!T26))*kgtoGg)))</f>
        <v>108.67378885655694</v>
      </c>
      <c r="AD5" s="93">
        <f>IF('Net zero activities &amp; levers'!$C$5="Off",('Activity data'!AW6*EF!$H5)*kgtoGg,IF('Net zero activities &amp; levers'!$C$5="On",(((('Activity data'!AW6-'Net zero supporting data'!U16)*EF!$H5)+('Net zero supporting data'!U16*'Net zero supporting data'!U26))*kgtoGg)))</f>
        <v>109.087396849146</v>
      </c>
      <c r="AE5" s="93">
        <f>IF('Net zero activities &amp; levers'!$C$5="Off",('Activity data'!AX6*EF!$H5)*kgtoGg,IF('Net zero activities &amp; levers'!$C$5="On",(((('Activity data'!AX6-'Net zero supporting data'!V16)*EF!$H5)+('Net zero supporting data'!V16*'Net zero supporting data'!V26))*kgtoGg)))</f>
        <v>109.37633654858924</v>
      </c>
      <c r="AF5" s="93">
        <f>IF('Net zero activities &amp; levers'!$C$5="Off",('Activity data'!AY6*EF!$H5)*kgtoGg,IF('Net zero activities &amp; levers'!$C$5="On",(((('Activity data'!AY6-'Net zero supporting data'!W16)*EF!$H5)+('Net zero supporting data'!W16*'Net zero supporting data'!W26))*kgtoGg)))</f>
        <v>109.5387406024356</v>
      </c>
      <c r="AG5" s="93">
        <f>IF('Net zero activities &amp; levers'!$C$5="Off",('Activity data'!AZ6*EF!$H5)*kgtoGg,IF('Net zero activities &amp; levers'!$C$5="On",(((('Activity data'!AZ6-'Net zero supporting data'!X16)*EF!$H5)+('Net zero supporting data'!X16*'Net zero supporting data'!X26))*kgtoGg)))</f>
        <v>109.57280491680314</v>
      </c>
      <c r="AH5" s="93">
        <f>IF('Net zero activities &amp; levers'!$C$5="Off",('Activity data'!BA6*EF!$H5)*kgtoGg,IF('Net zero activities &amp; levers'!$C$5="On",(((('Activity data'!BA6-'Net zero supporting data'!Y16)*EF!$H5)+('Net zero supporting data'!Y16*'Net zero supporting data'!Y26))*kgtoGg)))</f>
        <v>109.47820002949129</v>
      </c>
      <c r="AI5" s="93">
        <f>IF('Net zero activities &amp; levers'!$C$5="Off",('Activity data'!BB6*EF!$H5)*kgtoGg,IF('Net zero activities &amp; levers'!$C$5="On",(((('Activity data'!BB6-'Net zero supporting data'!Z16)*EF!$H5)+('Net zero supporting data'!Z16*'Net zero supporting data'!Z26))*kgtoGg)))</f>
        <v>109.25546453452645</v>
      </c>
      <c r="AJ5" s="93">
        <f>IF('Net zero activities &amp; levers'!$C$5="Off",('Activity data'!BC6*EF!$H5)*kgtoGg,IF('Net zero activities &amp; levers'!$C$5="On",(((('Activity data'!BC6-'Net zero supporting data'!AA16)*EF!$H5)+('Net zero supporting data'!AA16*'Net zero supporting data'!AA26))*kgtoGg)))</f>
        <v>34.566539689062871</v>
      </c>
      <c r="AK5" s="93">
        <f>IF('Net zero activities &amp; levers'!$C$5="Off",('Activity data'!BD6*EF!$H5)*kgtoGg,IF('Net zero activities &amp; levers'!$C$5="On",(((('Activity data'!BD6-'Net zero supporting data'!AB16)*EF!$H5)+('Net zero supporting data'!AB16*'Net zero supporting data'!AB26))*kgtoGg)))</f>
        <v>34.591772682945773</v>
      </c>
      <c r="AL5" s="93">
        <f>IF('Net zero activities &amp; levers'!$C$5="Off",('Activity data'!BE6*EF!$H5)*kgtoGg,IF('Net zero activities &amp; levers'!$C$5="On",(((('Activity data'!BE6-'Net zero supporting data'!AC16)*EF!$H5)+('Net zero supporting data'!AC16*'Net zero supporting data'!AC26))*kgtoGg)))</f>
        <v>34.61518923934495</v>
      </c>
      <c r="AM5" s="93">
        <f>IF('Net zero activities &amp; levers'!$C$5="Off",('Activity data'!BF6*EF!$H5)*kgtoGg,IF('Net zero activities &amp; levers'!$C$5="On",(((('Activity data'!BF6-'Net zero supporting data'!AD16)*EF!$H5)+('Net zero supporting data'!AD16*'Net zero supporting data'!AD26))*kgtoGg)))</f>
        <v>34.636947763199053</v>
      </c>
      <c r="AN5" s="93">
        <f>IF('Net zero activities &amp; levers'!$C$5="Off",('Activity data'!BG6*EF!$H5)*kgtoGg,IF('Net zero activities &amp; levers'!$C$5="On",(((('Activity data'!BG6-'Net zero supporting data'!AE16)*EF!$H5)+('Net zero supporting data'!AE16*'Net zero supporting data'!AE26))*kgtoGg)))</f>
        <v>34.657243376194444</v>
      </c>
      <c r="AO5" s="93">
        <f>IF('Net zero activities &amp; levers'!$C$5="Off",('Activity data'!BH6*EF!$H5)*kgtoGg,IF('Net zero activities &amp; levers'!$C$5="On",(((('Activity data'!BH6-'Net zero supporting data'!AF16)*EF!$H5)+('Net zero supporting data'!AF16*'Net zero supporting data'!AF26))*kgtoGg)))</f>
        <v>34.675439097632541</v>
      </c>
      <c r="AP5" s="93">
        <f>IF('Net zero activities &amp; levers'!$C$5="Off",('Activity data'!BI6*EF!$H5)*kgtoGg,IF('Net zero activities &amp; levers'!$C$5="On",(((('Activity data'!BI6-'Net zero supporting data'!AG16)*EF!$H5)+('Net zero supporting data'!AG16*'Net zero supporting data'!AG26))*kgtoGg)))</f>
        <v>34.691107170453741</v>
      </c>
      <c r="AQ5" s="93">
        <f>IF('Net zero activities &amp; levers'!$C$5="Off",('Activity data'!BJ6*EF!$H5)*kgtoGg,IF('Net zero activities &amp; levers'!$C$5="On",(((('Activity data'!BJ6-'Net zero supporting data'!AH16)*EF!$H5)+('Net zero supporting data'!AH16*'Net zero supporting data'!AH26))*kgtoGg)))</f>
        <v>34.704178998772043</v>
      </c>
      <c r="AR5" s="93">
        <f>IF('Net zero activities &amp; levers'!$C$5="Off",('Activity data'!BK6*EF!$H5)*kgtoGg,IF('Net zero activities &amp; levers'!$C$5="On",(((('Activity data'!BK6-'Net zero supporting data'!AI16)*EF!$H5)+('Net zero supporting data'!AI16*'Net zero supporting data'!AI26))*kgtoGg)))</f>
        <v>34.714169231795225</v>
      </c>
      <c r="AS5" s="93">
        <f>IF('Net zero activities &amp; levers'!$C$5="Off",('Activity data'!BL6*EF!$H5)*kgtoGg,IF('Net zero activities &amp; levers'!$C$5="On",(((('Activity data'!BL6-'Net zero supporting data'!AJ16)*EF!$H5)+('Net zero supporting data'!AJ16*'Net zero supporting data'!AJ26))*kgtoGg)))</f>
        <v>34.720550930327988</v>
      </c>
      <c r="AT5" s="93">
        <f>IF('Net zero activities &amp; levers'!$C$5="Off",('Activity data'!BM6*EF!$H5)*kgtoGg,IF('Net zero activities &amp; levers'!$C$5="On",(((('Activity data'!BM6-'Net zero supporting data'!AK16)*EF!$H5)+('Net zero supporting data'!AK16*'Net zero supporting data'!AK26))*kgtoGg)))</f>
        <v>34.723259010030318</v>
      </c>
      <c r="AU5" s="93">
        <f>IF('Net zero activities &amp; levers'!$C$5="Off",('Activity data'!BN6*EF!$H5)*kgtoGg,IF('Net zero activities &amp; levers'!$C$5="On",(((('Activity data'!BN6-'Net zero supporting data'!AL16)*EF!$H5)+('Net zero supporting data'!AL16*'Net zero supporting data'!AL26))*kgtoGg)))</f>
        <v>34.722368316169444</v>
      </c>
      <c r="AV5" s="93">
        <f>IF('Net zero activities &amp; levers'!$C$5="Off",('Activity data'!BO6*EF!$H5)*kgtoGg,IF('Net zero activities &amp; levers'!$C$5="On",(((('Activity data'!BO6-'Net zero supporting data'!AM16)*EF!$H5)+('Net zero supporting data'!AM16*'Net zero supporting data'!AM26))*kgtoGg)))</f>
        <v>34.717931044684789</v>
      </c>
      <c r="AW5" s="93">
        <f>IF('Net zero activities &amp; levers'!$C$5="Off",('Activity data'!BP6*EF!$H5)*kgtoGg,IF('Net zero activities &amp; levers'!$C$5="On",(((('Activity data'!BP6-'Net zero supporting data'!AN16)*EF!$H5)+('Net zero supporting data'!AN16*'Net zero supporting data'!AN26))*kgtoGg)))</f>
        <v>34.709451581023373</v>
      </c>
      <c r="AY5" s="79"/>
    </row>
    <row r="6" spans="1:55" x14ac:dyDescent="0.25">
      <c r="A6" s="95" t="str">
        <f t="shared" si="0"/>
        <v>FS Cattle</v>
      </c>
      <c r="B6" s="95" t="s">
        <v>1004</v>
      </c>
      <c r="C6" s="95" t="s">
        <v>1108</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26.479482964607669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26.701143177813606</v>
      </c>
      <c r="P6" s="93">
        <f>IF('Net zero activities &amp; levers'!$C$5="Off",('Activity data'!AI7*EF!$H6)*kgtoGg,IF('Net zero activities &amp; levers'!$C$5="On",(((('Activity data'!AI7-'Net zero supporting data'!G17)*EF!$H6)+('Net zero supporting data'!G17*'Net zero supporting data'!G27))*kgtoGg)))</f>
        <v>26.744086005835896</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26.947802192577253</v>
      </c>
      <c r="S6" s="93">
        <f>IF('Net zero activities &amp; levers'!$C$5="Off",('Activity data'!AL7*EF!$H6)*kgtoGg,IF('Net zero activities &amp; levers'!$C$5="On",(((('Activity data'!AL7-'Net zero supporting data'!J17)*EF!$H6)+('Net zero supporting data'!J17*'Net zero supporting data'!J27))*kgtoGg)))</f>
        <v>26.182091019923025</v>
      </c>
      <c r="T6" s="93">
        <f>IF('Net zero activities &amp; levers'!$C$5="Off",('Activity data'!AM7*EF!$H6)*kgtoGg,IF('Net zero activities &amp; levers'!$C$5="On",(((('Activity data'!AM7-'Net zero supporting data'!K17)*EF!$H6)+('Net zero supporting data'!K17*'Net zero supporting data'!K27))*kgtoGg)))</f>
        <v>26.632590975414445</v>
      </c>
      <c r="U6" s="93">
        <f>IF('Net zero activities &amp; levers'!$C$5="Off",('Activity data'!AN7*EF!$H6)*kgtoGg,IF('Net zero activities &amp; levers'!$C$5="On",(((('Activity data'!AN7-'Net zero supporting data'!L17)*EF!$H6)+('Net zero supporting data'!L17*'Net zero supporting data'!L27))*kgtoGg)))</f>
        <v>45.823502640107073</v>
      </c>
      <c r="V6" s="93">
        <f>IF('Net zero activities &amp; levers'!$C$5="Off",('Activity data'!AO7*EF!$H6)*kgtoGg,IF('Net zero activities &amp; levers'!$C$5="On",(((('Activity data'!AO7-'Net zero supporting data'!M17)*EF!$H6)+('Net zero supporting data'!M17*'Net zero supporting data'!M27))*kgtoGg)))</f>
        <v>46.375883576200764</v>
      </c>
      <c r="W6" s="93">
        <f>IF('Net zero activities &amp; levers'!$C$5="Off",('Activity data'!AP7*EF!$H6)*kgtoGg,IF('Net zero activities &amp; levers'!$C$5="On",(((('Activity data'!AP7-'Net zero supporting data'!N17)*EF!$H6)+('Net zero supporting data'!N17*'Net zero supporting data'!N27))*kgtoGg)))</f>
        <v>46.904035732930822</v>
      </c>
      <c r="X6" s="93">
        <f>IF('Net zero activities &amp; levers'!$C$5="Off",('Activity data'!AQ7*EF!$H6)*kgtoGg,IF('Net zero activities &amp; levers'!$C$5="On",(((('Activity data'!AQ7-'Net zero supporting data'!O17)*EF!$H6)+('Net zero supporting data'!O17*'Net zero supporting data'!O27))*kgtoGg)))</f>
        <v>47.398975358684552</v>
      </c>
      <c r="Y6" s="93">
        <f>IF('Net zero activities &amp; levers'!$C$5="Off",('Activity data'!AR7*EF!$H6)*kgtoGg,IF('Net zero activities &amp; levers'!$C$5="On",(((('Activity data'!AR7-'Net zero supporting data'!P17)*EF!$H6)+('Net zero supporting data'!P17*'Net zero supporting data'!P27))*kgtoGg)))</f>
        <v>47.847484974825178</v>
      </c>
      <c r="Z6" s="93">
        <f>IF('Net zero activities &amp; levers'!$C$5="Off",('Activity data'!AS7*EF!$H6)*kgtoGg,IF('Net zero activities &amp; levers'!$C$5="On",(((('Activity data'!AS7-'Net zero supporting data'!Q17)*EF!$H6)+('Net zero supporting data'!Q17*'Net zero supporting data'!Q27))*kgtoGg)))</f>
        <v>48.2474700313509</v>
      </c>
      <c r="AA6" s="93">
        <f>IF('Net zero activities &amp; levers'!$C$5="Off",('Activity data'!AT7*EF!$H6)*kgtoGg,IF('Net zero activities &amp; levers'!$C$5="On",(((('Activity data'!AT7-'Net zero supporting data'!R17)*EF!$H6)+('Net zero supporting data'!R17*'Net zero supporting data'!R27))*kgtoGg)))</f>
        <v>48.5966004041803</v>
      </c>
      <c r="AB6" s="93">
        <f>IF('Net zero activities &amp; levers'!$C$5="Off",('Activity data'!AU7*EF!$H6)*kgtoGg,IF('Net zero activities &amp; levers'!$C$5="On",(((('Activity data'!AU7-'Net zero supporting data'!S17)*EF!$H6)+('Net zero supporting data'!S17*'Net zero supporting data'!S27))*kgtoGg)))</f>
        <v>48.893112533223132</v>
      </c>
      <c r="AC6" s="93">
        <f>IF('Net zero activities &amp; levers'!$C$5="Off",('Activity data'!AV7*EF!$H6)*kgtoGg,IF('Net zero activities &amp; levers'!$C$5="On",(((('Activity data'!AV7-'Net zero supporting data'!T17)*EF!$H6)+('Net zero supporting data'!T17*'Net zero supporting data'!T27))*kgtoGg)))</f>
        <v>49.135607790184835</v>
      </c>
      <c r="AD6" s="93">
        <f>IF('Net zero activities &amp; levers'!$C$5="Off",('Activity data'!AW7*EF!$H6)*kgtoGg,IF('Net zero activities &amp; levers'!$C$5="On",(((('Activity data'!AW7-'Net zero supporting data'!U17)*EF!$H6)+('Net zero supporting data'!U17*'Net zero supporting data'!U27))*kgtoGg)))</f>
        <v>49.322615902412963</v>
      </c>
      <c r="AE6" s="93">
        <f>IF('Net zero activities &amp; levers'!$C$5="Off",('Activity data'!AX7*EF!$H6)*kgtoGg,IF('Net zero activities &amp; levers'!$C$5="On",(((('Activity data'!AX7-'Net zero supporting data'!V17)*EF!$H6)+('Net zero supporting data'!V17*'Net zero supporting data'!V27))*kgtoGg)))</f>
        <v>49.453256675098231</v>
      </c>
      <c r="AF6" s="93">
        <f>IF('Net zero activities &amp; levers'!$C$5="Off",('Activity data'!AY7*EF!$H6)*kgtoGg,IF('Net zero activities &amp; levers'!$C$5="On",(((('Activity data'!AY7-'Net zero supporting data'!W17)*EF!$H6)+('Net zero supporting data'!W17*'Net zero supporting data'!W27))*kgtoGg)))</f>
        <v>49.526685806237325</v>
      </c>
      <c r="AG6" s="93">
        <f>IF('Net zero activities &amp; levers'!$C$5="Off",('Activity data'!AZ7*EF!$H6)*kgtoGg,IF('Net zero activities &amp; levers'!$C$5="On",(((('Activity data'!AZ7-'Net zero supporting data'!X17)*EF!$H6)+('Net zero supporting data'!X17*'Net zero supporting data'!X27))*kgtoGg)))</f>
        <v>49.542087595463748</v>
      </c>
      <c r="AH6" s="93">
        <f>IF('Net zero activities &amp; levers'!$C$5="Off",('Activity data'!BA7*EF!$H6)*kgtoGg,IF('Net zero activities &amp; levers'!$C$5="On",(((('Activity data'!BA7-'Net zero supporting data'!Y17)*EF!$H6)+('Net zero supporting data'!Y17*'Net zero supporting data'!Y27))*kgtoGg)))</f>
        <v>49.499313080220467</v>
      </c>
      <c r="AI6" s="93">
        <f>IF('Net zero activities &amp; levers'!$C$5="Off",('Activity data'!BB7*EF!$H6)*kgtoGg,IF('Net zero activities &amp; levers'!$C$5="On",(((('Activity data'!BB7-'Net zero supporting data'!Z17)*EF!$H6)+('Net zero supporting data'!Z17*'Net zero supporting data'!Z27))*kgtoGg)))</f>
        <v>49.398605779622059</v>
      </c>
      <c r="AJ6" s="93">
        <f>IF('Net zero activities &amp; levers'!$C$5="Off",('Activity data'!BC7*EF!$H6)*kgtoGg,IF('Net zero activities &amp; levers'!$C$5="On",(((('Activity data'!BC7-'Net zero supporting data'!AA17)*EF!$H6)+('Net zero supporting data'!AA17*'Net zero supporting data'!AA27))*kgtoGg)))</f>
        <v>15.628864648010964</v>
      </c>
      <c r="AK6" s="93">
        <f>IF('Net zero activities &amp; levers'!$C$5="Off",('Activity data'!BD7*EF!$H6)*kgtoGg,IF('Net zero activities &amp; levers'!$C$5="On",(((('Activity data'!BD7-'Net zero supporting data'!AB17)*EF!$H6)+('Net zero supporting data'!AB17*'Net zero supporting data'!AB27))*kgtoGg)))</f>
        <v>15.640273456922923</v>
      </c>
      <c r="AL6" s="93">
        <f>IF('Net zero activities &amp; levers'!$C$5="Off",('Activity data'!BE7*EF!$H6)*kgtoGg,IF('Net zero activities &amp; levers'!$C$5="On",(((('Activity data'!BE7-'Net zero supporting data'!AC17)*EF!$H6)+('Net zero supporting data'!AC17*'Net zero supporting data'!AC27))*kgtoGg)))</f>
        <v>15.650860984450333</v>
      </c>
      <c r="AM6" s="93">
        <f>IF('Net zero activities &amp; levers'!$C$5="Off",('Activity data'!BF7*EF!$H6)*kgtoGg,IF('Net zero activities &amp; levers'!$C$5="On",(((('Activity data'!BF7-'Net zero supporting data'!AD17)*EF!$H6)+('Net zero supporting data'!AD17*'Net zero supporting data'!AD27))*kgtoGg)))</f>
        <v>15.660698851570245</v>
      </c>
      <c r="AN6" s="93">
        <f>IF('Net zero activities &amp; levers'!$C$5="Off",('Activity data'!BG7*EF!$H6)*kgtoGg,IF('Net zero activities &amp; levers'!$C$5="On",(((('Activity data'!BG7-'Net zero supporting data'!AE17)*EF!$H6)+('Net zero supporting data'!AE17*'Net zero supporting data'!AE27))*kgtoGg)))</f>
        <v>15.669875280316276</v>
      </c>
      <c r="AO6" s="93">
        <f>IF('Net zero activities &amp; levers'!$C$5="Off",('Activity data'!BH7*EF!$H6)*kgtoGg,IF('Net zero activities &amp; levers'!$C$5="On",(((('Activity data'!BH7-'Net zero supporting data'!AF17)*EF!$H6)+('Net zero supporting data'!AF17*'Net zero supporting data'!AF27))*kgtoGg)))</f>
        <v>15.678102267167921</v>
      </c>
      <c r="AP6" s="93">
        <f>IF('Net zero activities &amp; levers'!$C$5="Off",('Activity data'!BI7*EF!$H6)*kgtoGg,IF('Net zero activities &amp; levers'!$C$5="On",(((('Activity data'!BI7-'Net zero supporting data'!AG17)*EF!$H6)+('Net zero supporting data'!AG17*'Net zero supporting data'!AG27))*kgtoGg)))</f>
        <v>15.685186406674521</v>
      </c>
      <c r="AQ6" s="93">
        <f>IF('Net zero activities &amp; levers'!$C$5="Off",('Activity data'!BJ7*EF!$H6)*kgtoGg,IF('Net zero activities &amp; levers'!$C$5="On",(((('Activity data'!BJ7-'Net zero supporting data'!AH17)*EF!$H6)+('Net zero supporting data'!AH17*'Net zero supporting data'!AH27))*kgtoGg)))</f>
        <v>15.691096683992601</v>
      </c>
      <c r="AR6" s="93">
        <f>IF('Net zero activities &amp; levers'!$C$5="Off",('Activity data'!BK7*EF!$H6)*kgtoGg,IF('Net zero activities &amp; levers'!$C$5="On",(((('Activity data'!BK7-'Net zero supporting data'!AI17)*EF!$H6)+('Net zero supporting data'!AI17*'Net zero supporting data'!AI27))*kgtoGg)))</f>
        <v>15.695613653325545</v>
      </c>
      <c r="AS6" s="93">
        <f>IF('Net zero activities &amp; levers'!$C$5="Off",('Activity data'!BL7*EF!$H6)*kgtoGg,IF('Net zero activities &amp; levers'!$C$5="On",(((('Activity data'!BL7-'Net zero supporting data'!AJ17)*EF!$H6)+('Net zero supporting data'!AJ17*'Net zero supporting data'!AJ27))*kgtoGg)))</f>
        <v>15.698499065157048</v>
      </c>
      <c r="AT6" s="93">
        <f>IF('Net zero activities &amp; levers'!$C$5="Off",('Activity data'!BM7*EF!$H6)*kgtoGg,IF('Net zero activities &amp; levers'!$C$5="On",(((('Activity data'!BM7-'Net zero supporting data'!AK17)*EF!$H6)+('Net zero supporting data'!AK17*'Net zero supporting data'!AK27))*kgtoGg)))</f>
        <v>15.699723492348907</v>
      </c>
      <c r="AU6" s="93">
        <f>IF('Net zero activities &amp; levers'!$C$5="Off",('Activity data'!BN7*EF!$H6)*kgtoGg,IF('Net zero activities &amp; levers'!$C$5="On",(((('Activity data'!BN7-'Net zero supporting data'!AL17)*EF!$H6)+('Net zero supporting data'!AL17*'Net zero supporting data'!AL27))*kgtoGg)))</f>
        <v>15.699320775330669</v>
      </c>
      <c r="AV6" s="93">
        <f>IF('Net zero activities &amp; levers'!$C$5="Off",('Activity data'!BO7*EF!$H6)*kgtoGg,IF('Net zero activities &amp; levers'!$C$5="On",(((('Activity data'!BO7-'Net zero supporting data'!AM17)*EF!$H6)+('Net zero supporting data'!AM17*'Net zero supporting data'!AM27))*kgtoGg)))</f>
        <v>15.697314513897963</v>
      </c>
      <c r="AW6" s="93">
        <f>IF('Net zero activities &amp; levers'!$C$5="Off",('Activity data'!BP7*EF!$H6)*kgtoGg,IF('Net zero activities &amp; levers'!$C$5="On",(((('Activity data'!BP7-'Net zero supporting data'!AN17)*EF!$H6)+('Net zero supporting data'!AN17*'Net zero supporting data'!AN27))*kgtoGg)))</f>
        <v>15.693480621612418</v>
      </c>
      <c r="AY6" s="79"/>
    </row>
    <row r="7" spans="1:55" x14ac:dyDescent="0.25">
      <c r="A7" s="95" t="str">
        <f t="shared" si="0"/>
        <v>FS Cattle</v>
      </c>
      <c r="B7" s="95" t="s">
        <v>1004</v>
      </c>
      <c r="C7" s="95" t="s">
        <v>1108</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463.23498593143177</v>
      </c>
      <c r="L7" s="93">
        <f>IF('Net zero activities &amp; levers'!$C$5="Off",('Activity data'!AE8*EF!$H7)*kgtoGg,IF('Net zero activities &amp; levers'!$C$5="On",(((('Activity data'!AE8-'Net zero supporting data'!C18)*EF!$H7)+('Net zero supporting data'!C18*'Net zero supporting data'!C28))*kgtoGg)))</f>
        <v>459.21749683621613</v>
      </c>
      <c r="M7" s="93">
        <f>IF('Net zero activities &amp; levers'!$C$5="Off",('Activity data'!AF8*EF!$H7)*kgtoGg,IF('Net zero activities &amp; levers'!$C$5="On",(((('Activity data'!AF8-'Net zero supporting data'!D18)*EF!$H7)+('Net zero supporting data'!D18*'Net zero supporting data'!D28))*kgtoGg)))</f>
        <v>457.68816035731243</v>
      </c>
      <c r="N7" s="93">
        <f>IF('Net zero activities &amp; levers'!$C$5="Off",('Activity data'!AG8*EF!$H7)*kgtoGg,IF('Net zero activities &amp; levers'!$C$5="On",(((('Activity data'!AG8-'Net zero supporting data'!E18)*EF!$H7)+('Net zero supporting data'!E18*'Net zero supporting data'!E28))*kgtoGg)))</f>
        <v>451.57633407663542</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431.25721304480419</v>
      </c>
      <c r="Q7" s="93">
        <f>IF('Net zero activities &amp; levers'!$C$5="Off",('Activity data'!AJ8*EF!$H7)*kgtoGg,IF('Net zero activities &amp; levers'!$C$5="On",(((('Activity data'!AJ8-'Net zero supporting data'!H18)*EF!$H7)+('Net zero supporting data'!H18*'Net zero supporting data'!H28))*kgtoGg)))</f>
        <v>422.22811200839209</v>
      </c>
      <c r="R7" s="93">
        <f>IF('Net zero activities &amp; levers'!$C$5="Off",('Activity data'!AK8*EF!$H7)*kgtoGg,IF('Net zero activities &amp; levers'!$C$5="On",(((('Activity data'!AK8-'Net zero supporting data'!I18)*EF!$H7)+('Net zero supporting data'!I18*'Net zero supporting data'!I28))*kgtoGg)))</f>
        <v>413.6855559628558</v>
      </c>
      <c r="S7" s="93">
        <f>IF('Net zero activities &amp; levers'!$C$5="Off",('Activity data'!AL8*EF!$H7)*kgtoGg,IF('Net zero activities &amp; levers'!$C$5="On",(((('Activity data'!AL8-'Net zero supporting data'!J18)*EF!$H7)+('Net zero supporting data'!J18*'Net zero supporting data'!J28))*kgtoGg)))</f>
        <v>369.96675064639845</v>
      </c>
      <c r="T7" s="93">
        <f>IF('Net zero activities &amp; levers'!$C$5="Off",('Activity data'!AM8*EF!$H7)*kgtoGg,IF('Net zero activities &amp; levers'!$C$5="On",(((('Activity data'!AM8-'Net zero supporting data'!K18)*EF!$H7)+('Net zero supporting data'!K18*'Net zero supporting data'!K28))*kgtoGg)))</f>
        <v>384.22044526495358</v>
      </c>
      <c r="U7" s="93">
        <f>IF('Net zero activities &amp; levers'!$C$5="Off",('Activity data'!AN8*EF!$H7)*kgtoGg,IF('Net zero activities &amp; levers'!$C$5="On",(((('Activity data'!AN8-'Net zero supporting data'!L18)*EF!$H7)+('Net zero supporting data'!L18*'Net zero supporting data'!L28))*kgtoGg)))</f>
        <v>1210.9459030996998</v>
      </c>
      <c r="V7" s="93">
        <f>IF('Net zero activities &amp; levers'!$C$5="Off",('Activity data'!AO8*EF!$H7)*kgtoGg,IF('Net zero activities &amp; levers'!$C$5="On",(((('Activity data'!AO8-'Net zero supporting data'!M18)*EF!$H7)+('Net zero supporting data'!M18*'Net zero supporting data'!M28))*kgtoGg)))</f>
        <v>1216.7867544029255</v>
      </c>
      <c r="W7" s="93">
        <f>IF('Net zero activities &amp; levers'!$C$5="Off",('Activity data'!AP8*EF!$H7)*kgtoGg,IF('Net zero activities &amp; levers'!$C$5="On",(((('Activity data'!AP8-'Net zero supporting data'!N18)*EF!$H7)+('Net zero supporting data'!N18*'Net zero supporting data'!N28))*kgtoGg)))</f>
        <v>1220.5248847970281</v>
      </c>
      <c r="X7" s="93">
        <f>IF('Net zero activities &amp; levers'!$C$5="Off",('Activity data'!AQ8*EF!$H7)*kgtoGg,IF('Net zero activities &amp; levers'!$C$5="On",(((('Activity data'!AQ8-'Net zero supporting data'!O18)*EF!$H7)+('Net zero supporting data'!O18*'Net zero supporting data'!O28))*kgtoGg)))</f>
        <v>1222.1595328966084</v>
      </c>
      <c r="Y7" s="93">
        <f>IF('Net zero activities &amp; levers'!$C$5="Off",('Activity data'!AR8*EF!$H7)*kgtoGg,IF('Net zero activities &amp; levers'!$C$5="On",(((('Activity data'!AR8-'Net zero supporting data'!P18)*EF!$H7)+('Net zero supporting data'!P18*'Net zero supporting data'!P28))*kgtoGg)))</f>
        <v>1221.7253267296187</v>
      </c>
      <c r="Z7" s="93">
        <f>IF('Net zero activities &amp; levers'!$C$5="Off",('Activity data'!AS8*EF!$H7)*kgtoGg,IF('Net zero activities &amp; levers'!$C$5="On",(((('Activity data'!AS8-'Net zero supporting data'!Q18)*EF!$H7)+('Net zero supporting data'!Q18*'Net zero supporting data'!Q28))*kgtoGg)))</f>
        <v>1219.2014537371233</v>
      </c>
      <c r="AA7" s="93">
        <f>IF('Net zero activities &amp; levers'!$C$5="Off",('Activity data'!AT8*EF!$H7)*kgtoGg,IF('Net zero activities &amp; levers'!$C$5="On",(((('Activity data'!AT8-'Net zero supporting data'!R18)*EF!$H7)+('Net zero supporting data'!R18*'Net zero supporting data'!R28))*kgtoGg)))</f>
        <v>1214.5817314826613</v>
      </c>
      <c r="AB7" s="93">
        <f>IF('Net zero activities &amp; levers'!$C$5="Off",('Activity data'!AU8*EF!$H7)*kgtoGg,IF('Net zero activities &amp; levers'!$C$5="On",(((('Activity data'!AU8-'Net zero supporting data'!S18)*EF!$H7)+('Net zero supporting data'!S18*'Net zero supporting data'!S28))*kgtoGg)))</f>
        <v>1207.8699823574666</v>
      </c>
      <c r="AC7" s="93">
        <f>IF('Net zero activities &amp; levers'!$C$5="Off",('Activity data'!AV8*EF!$H7)*kgtoGg,IF('Net zero activities &amp; levers'!$C$5="On",(((('Activity data'!AV8-'Net zero supporting data'!T18)*EF!$H7)+('Net zero supporting data'!T18*'Net zero supporting data'!T28))*kgtoGg)))</f>
        <v>1199.081298415254</v>
      </c>
      <c r="AD7" s="93">
        <f>IF('Net zero activities &amp; levers'!$C$5="Off",('Activity data'!AW8*EF!$H7)*kgtoGg,IF('Net zero activities &amp; levers'!$C$5="On",(((('Activity data'!AW8-'Net zero supporting data'!U18)*EF!$H7)+('Net zero supporting data'!U18*'Net zero supporting data'!U28))*kgtoGg)))</f>
        <v>1178.2591392805034</v>
      </c>
      <c r="AE7" s="93">
        <f>IF('Net zero activities &amp; levers'!$C$5="Off",('Activity data'!AX8*EF!$H7)*kgtoGg,IF('Net zero activities &amp; levers'!$C$5="On",(((('Activity data'!AX8-'Net zero supporting data'!V18)*EF!$H7)+('Net zero supporting data'!V18*'Net zero supporting data'!V28))*kgtoGg)))</f>
        <v>1155.4756644581196</v>
      </c>
      <c r="AF7" s="93">
        <f>IF('Net zero activities &amp; levers'!$C$5="Off",('Activity data'!AY8*EF!$H7)*kgtoGg,IF('Net zero activities &amp; levers'!$C$5="On",(((('Activity data'!AY8-'Net zero supporting data'!W18)*EF!$H7)+('Net zero supporting data'!W18*'Net zero supporting data'!W28))*kgtoGg)))</f>
        <v>1130.8332446231877</v>
      </c>
      <c r="AG7" s="93">
        <f>IF('Net zero activities &amp; levers'!$C$5="Off",('Activity data'!AZ8*EF!$H7)*kgtoGg,IF('Net zero activities &amp; levers'!$C$5="On",(((('Activity data'!AZ8-'Net zero supporting data'!X18)*EF!$H7)+('Net zero supporting data'!X18*'Net zero supporting data'!X28))*kgtoGg)))</f>
        <v>1104.4458826711734</v>
      </c>
      <c r="AH7" s="93">
        <f>IF('Net zero activities &amp; levers'!$C$5="Off",('Activity data'!BA8*EF!$H7)*kgtoGg,IF('Net zero activities &amp; levers'!$C$5="On",(((('Activity data'!BA8-'Net zero supporting data'!Y18)*EF!$H7)+('Net zero supporting data'!Y18*'Net zero supporting data'!Y28))*kgtoGg)))</f>
        <v>1076.4349444121476</v>
      </c>
      <c r="AI7" s="93">
        <f>IF('Net zero activities &amp; levers'!$C$5="Off",('Activity data'!BB8*EF!$H7)*kgtoGg,IF('Net zero activities &amp; levers'!$C$5="On",(((('Activity data'!BB8-'Net zero supporting data'!Z18)*EF!$H7)+('Net zero supporting data'!Z18*'Net zero supporting data'!Z28))*kgtoGg)))</f>
        <v>1046.9296670550386</v>
      </c>
      <c r="AJ7" s="93">
        <f>IF('Net zero activities &amp; levers'!$C$5="Off",('Activity data'!BC8*EF!$H7)*kgtoGg,IF('Net zero activities &amp; levers'!$C$5="On",(((('Activity data'!BC8-'Net zero supporting data'!AA18)*EF!$H7)+('Net zero supporting data'!AA18*'Net zero supporting data'!AA28))*kgtoGg)))</f>
        <v>-80.836782317903939</v>
      </c>
      <c r="AK7" s="93">
        <f>IF('Net zero activities &amp; levers'!$C$5="Off",('Activity data'!BD8*EF!$H7)*kgtoGg,IF('Net zero activities &amp; levers'!$C$5="On",(((('Activity data'!BD8-'Net zero supporting data'!AB18)*EF!$H7)+('Net zero supporting data'!AB18*'Net zero supporting data'!AB28))*kgtoGg)))</f>
        <v>-78.890466200610106</v>
      </c>
      <c r="AL7" s="93">
        <f>IF('Net zero activities &amp; levers'!$C$5="Off",('Activity data'!BE8*EF!$H7)*kgtoGg,IF('Net zero activities &amp; levers'!$C$5="On",(((('Activity data'!BE8-'Net zero supporting data'!AC18)*EF!$H7)+('Net zero supporting data'!AC18*'Net zero supporting data'!AC28))*kgtoGg)))</f>
        <v>-76.96440050927697</v>
      </c>
      <c r="AM7" s="93">
        <f>IF('Net zero activities &amp; levers'!$C$5="Off",('Activity data'!BF8*EF!$H7)*kgtoGg,IF('Net zero activities &amp; levers'!$C$5="On",(((('Activity data'!BF8-'Net zero supporting data'!AD18)*EF!$H7)+('Net zero supporting data'!AD18*'Net zero supporting data'!AD28))*kgtoGg)))</f>
        <v>-75.058386316845628</v>
      </c>
      <c r="AN7" s="93">
        <f>IF('Net zero activities &amp; levers'!$C$5="Off",('Activity data'!BG8*EF!$H7)*kgtoGg,IF('Net zero activities &amp; levers'!$C$5="On",(((('Activity data'!BG8-'Net zero supporting data'!AE18)*EF!$H7)+('Net zero supporting data'!AE18*'Net zero supporting data'!AE28))*kgtoGg)))</f>
        <v>-73.545633197869449</v>
      </c>
      <c r="AO7" s="93">
        <f>IF('Net zero activities &amp; levers'!$C$5="Off",('Activity data'!BH8*EF!$H7)*kgtoGg,IF('Net zero activities &amp; levers'!$C$5="On",(((('Activity data'!BH8-'Net zero supporting data'!AF18)*EF!$H7)+('Net zero supporting data'!AF18*'Net zero supporting data'!AF28))*kgtoGg)))</f>
        <v>-72.047230196727966</v>
      </c>
      <c r="AP7" s="93">
        <f>IF('Net zero activities &amp; levers'!$C$5="Off",('Activity data'!BI8*EF!$H7)*kgtoGg,IF('Net zero activities &amp; levers'!$C$5="On",(((('Activity data'!BI8-'Net zero supporting data'!AG18)*EF!$H7)+('Net zero supporting data'!AG18*'Net zero supporting data'!AG28))*kgtoGg)))</f>
        <v>-70.562062843287677</v>
      </c>
      <c r="AQ7" s="93">
        <f>IF('Net zero activities &amp; levers'!$C$5="Off",('Activity data'!BJ8*EF!$H7)*kgtoGg,IF('Net zero activities &amp; levers'!$C$5="On",(((('Activity data'!BJ8-'Net zero supporting data'!AH18)*EF!$H7)+('Net zero supporting data'!AH18*'Net zero supporting data'!AH28))*kgtoGg)))</f>
        <v>-69.089763252231094</v>
      </c>
      <c r="AR7" s="93">
        <f>IF('Net zero activities &amp; levers'!$C$5="Off",('Activity data'!BK8*EF!$H7)*kgtoGg,IF('Net zero activities &amp; levers'!$C$5="On",(((('Activity data'!BK8-'Net zero supporting data'!AI18)*EF!$H7)+('Net zero supporting data'!AI18*'Net zero supporting data'!AI28))*kgtoGg)))</f>
        <v>-67.629255024927176</v>
      </c>
      <c r="AS7" s="93">
        <f>IF('Net zero activities &amp; levers'!$C$5="Off",('Activity data'!BL8*EF!$H7)*kgtoGg,IF('Net zero activities &amp; levers'!$C$5="On",(((('Activity data'!BL8-'Net zero supporting data'!AJ18)*EF!$H7)+('Net zero supporting data'!AJ18*'Net zero supporting data'!AJ28))*kgtoGg)))</f>
        <v>-66.179484044667291</v>
      </c>
      <c r="AT7" s="93">
        <f>IF('Net zero activities &amp; levers'!$C$5="Off",('Activity data'!BM8*EF!$H7)*kgtoGg,IF('Net zero activities &amp; levers'!$C$5="On",(((('Activity data'!BM8-'Net zero supporting data'!AK18)*EF!$H7)+('Net zero supporting data'!AK18*'Net zero supporting data'!AK28))*kgtoGg)))</f>
        <v>-64.740281014136201</v>
      </c>
      <c r="AU7" s="93">
        <f>IF('Net zero activities &amp; levers'!$C$5="Off",('Activity data'!BN8*EF!$H7)*kgtoGg,IF('Net zero activities &amp; levers'!$C$5="On",(((('Activity data'!BN8-'Net zero supporting data'!AL18)*EF!$H7)+('Net zero supporting data'!AL18*'Net zero supporting data'!AL28))*kgtoGg)))</f>
        <v>-63.311734849146887</v>
      </c>
      <c r="AV7" s="93">
        <f>IF('Net zero activities &amp; levers'!$C$5="Off",('Activity data'!BO8*EF!$H7)*kgtoGg,IF('Net zero activities &amp; levers'!$C$5="On",(((('Activity data'!BO8-'Net zero supporting data'!AM18)*EF!$H7)+('Net zero supporting data'!AM18*'Net zero supporting data'!AM28))*kgtoGg)))</f>
        <v>-61.893900094857884</v>
      </c>
      <c r="AW7" s="93">
        <f>IF('Net zero activities &amp; levers'!$C$5="Off",('Activity data'!BP8*EF!$H7)*kgtoGg,IF('Net zero activities &amp; levers'!$C$5="On",(((('Activity data'!BP8-'Net zero supporting data'!AN18)*EF!$H7)+('Net zero supporting data'!AN18*'Net zero supporting data'!AN28))*kgtoGg)))</f>
        <v>-60.485962401496174</v>
      </c>
      <c r="AY7" s="79"/>
    </row>
    <row r="8" spans="1:55" x14ac:dyDescent="0.25">
      <c r="A8" s="95" t="str">
        <f t="shared" si="0"/>
        <v>FS Cattle</v>
      </c>
      <c r="B8" s="95" t="s">
        <v>1004</v>
      </c>
      <c r="C8" s="95" t="s">
        <v>1108</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326.20040935577731</v>
      </c>
      <c r="L8" s="27">
        <f t="shared" ref="L8:AW8" si="5">L1383</f>
        <v>323.37137738012325</v>
      </c>
      <c r="M8" s="27">
        <f t="shared" si="5"/>
        <v>322.29445054900742</v>
      </c>
      <c r="N8" s="27">
        <f t="shared" si="5"/>
        <v>317.99063003627231</v>
      </c>
      <c r="O8" s="27">
        <f t="shared" si="5"/>
        <v>311.74352945546792</v>
      </c>
      <c r="P8" s="27">
        <f t="shared" si="5"/>
        <v>303.68232906672068</v>
      </c>
      <c r="Q8" s="27">
        <f t="shared" si="5"/>
        <v>297.32422455466593</v>
      </c>
      <c r="R8" s="27">
        <f t="shared" si="5"/>
        <v>291.30873487096767</v>
      </c>
      <c r="S8" s="27">
        <f t="shared" si="5"/>
        <v>260.52286458075423</v>
      </c>
      <c r="T8" s="27">
        <f t="shared" si="5"/>
        <v>270.56001885582697</v>
      </c>
      <c r="U8" s="27">
        <f t="shared" si="5"/>
        <v>852.72283246173731</v>
      </c>
      <c r="V8" s="27">
        <f t="shared" si="5"/>
        <v>856.83583805061244</v>
      </c>
      <c r="W8" s="27">
        <f t="shared" si="5"/>
        <v>859.46815145917253</v>
      </c>
      <c r="X8" s="27">
        <f t="shared" si="5"/>
        <v>860.61923653571034</v>
      </c>
      <c r="Y8" s="27">
        <f t="shared" si="5"/>
        <v>860.31347761482039</v>
      </c>
      <c r="Z8" s="27">
        <f t="shared" si="5"/>
        <v>858.53621892685965</v>
      </c>
      <c r="AA8" s="27">
        <f t="shared" si="5"/>
        <v>855.28310692910031</v>
      </c>
      <c r="AB8" s="27">
        <f t="shared" si="5"/>
        <v>850.55683326967551</v>
      </c>
      <c r="AC8" s="27">
        <f t="shared" si="5"/>
        <v>844.36802545783894</v>
      </c>
      <c r="AD8" s="27">
        <f t="shared" si="5"/>
        <v>829.70549555464197</v>
      </c>
      <c r="AE8" s="27">
        <f t="shared" si="5"/>
        <v>813.66184807696902</v>
      </c>
      <c r="AF8" s="27">
        <f t="shared" si="5"/>
        <v>796.30917031773436</v>
      </c>
      <c r="AG8" s="27">
        <f t="shared" si="5"/>
        <v>777.72774073667881</v>
      </c>
      <c r="AH8" s="27">
        <f t="shared" si="5"/>
        <v>758.0030226043441</v>
      </c>
      <c r="AI8" s="27">
        <f t="shared" si="5"/>
        <v>737.22602206606996</v>
      </c>
      <c r="AJ8" s="27">
        <f t="shared" si="5"/>
        <v>-56.923575040610757</v>
      </c>
      <c r="AK8" s="27">
        <f t="shared" si="5"/>
        <v>-55.553019850526375</v>
      </c>
      <c r="AL8" s="27">
        <f t="shared" si="5"/>
        <v>-54.19672458777611</v>
      </c>
      <c r="AM8" s="27">
        <f t="shared" si="5"/>
        <v>-52.854549172076716</v>
      </c>
      <c r="AN8" s="27">
        <f t="shared" si="5"/>
        <v>-51.78929999692631</v>
      </c>
      <c r="AO8" s="27">
        <f t="shared" si="5"/>
        <v>-50.734155875267454</v>
      </c>
      <c r="AP8" s="27">
        <f t="shared" si="5"/>
        <v>-49.688332020491153</v>
      </c>
      <c r="AQ8" s="27">
        <f t="shared" si="5"/>
        <v>-48.651569375434605</v>
      </c>
      <c r="AR8" s="27">
        <f t="shared" si="5"/>
        <v>-47.623109962646353</v>
      </c>
      <c r="AS8" s="27">
        <f t="shared" si="5"/>
        <v>-46.60221149513962</v>
      </c>
      <c r="AT8" s="27">
        <f t="shared" si="5"/>
        <v>-45.588754757278259</v>
      </c>
      <c r="AU8" s="27">
        <f t="shared" si="5"/>
        <v>-44.582802361722123</v>
      </c>
      <c r="AV8" s="27">
        <f t="shared" si="5"/>
        <v>-43.584392718033477</v>
      </c>
      <c r="AW8" s="27">
        <f t="shared" si="5"/>
        <v>-42.59295237809765</v>
      </c>
      <c r="AY8" s="79"/>
    </row>
    <row r="9" spans="1:55" x14ac:dyDescent="0.25">
      <c r="A9" s="95" t="str">
        <f t="shared" si="0"/>
        <v>FS Cattle</v>
      </c>
      <c r="B9" s="95" t="s">
        <v>1004</v>
      </c>
      <c r="C9" s="95" t="s">
        <v>1108</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32.967337371253549</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35.195504797614667</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36.435327957872921</v>
      </c>
      <c r="Q9" s="93">
        <f>IF('Net zero activities &amp; levers'!$C$5="Off",('Activity data'!AJ10*EF!$H9)*kgtoGg,IF('Net zero activities &amp; levers'!$C$5="On",(((('Activity data'!AJ10-'Net zero supporting data'!H19)*EF!$H9)+('Net zero supporting data'!H19*'Net zero supporting data'!H29))*kgtoGg)))</f>
        <v>37.125912791560353</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35.21788884404873</v>
      </c>
      <c r="T9" s="93">
        <f>IF('Net zero activities &amp; levers'!$C$5="Off",('Activity data'!AM10*EF!$H9)*kgtoGg,IF('Net zero activities &amp; levers'!$C$5="On",(((('Activity data'!AM10-'Net zero supporting data'!K19)*EF!$H9)+('Net zero supporting data'!K19*'Net zero supporting data'!K29))*kgtoGg)))</f>
        <v>37.455910775606171</v>
      </c>
      <c r="U9" s="93">
        <f>IF('Net zero activities &amp; levers'!$C$5="Off",('Activity data'!AN10*EF!$H9)*kgtoGg,IF('Net zero activities &amp; levers'!$C$5="On",(((('Activity data'!AN10-'Net zero supporting data'!L19)*EF!$H9)+('Net zero supporting data'!L19*'Net zero supporting data'!L29))*kgtoGg)))</f>
        <v>120.85470894098397</v>
      </c>
      <c r="V9" s="93">
        <f>IF('Net zero activities &amp; levers'!$C$5="Off",('Activity data'!AO10*EF!$H9)*kgtoGg,IF('Net zero activities &amp; levers'!$C$5="On",(((('Activity data'!AO10-'Net zero supporting data'!M19)*EF!$H9)+('Net zero supporting data'!M19*'Net zero supporting data'!M29))*kgtoGg)))</f>
        <v>124.28654564348025</v>
      </c>
      <c r="W9" s="93">
        <f>IF('Net zero activities &amp; levers'!$C$5="Off",('Activity data'!AP10*EF!$H9)*kgtoGg,IF('Net zero activities &amp; levers'!$C$5="On",(((('Activity data'!AP10-'Net zero supporting data'!N19)*EF!$H9)+('Net zero supporting data'!N19*'Net zero supporting data'!N29))*kgtoGg)))</f>
        <v>127.55864590441264</v>
      </c>
      <c r="X9" s="93">
        <f>IF('Net zero activities &amp; levers'!$C$5="Off",('Activity data'!AQ10*EF!$H9)*kgtoGg,IF('Net zero activities &amp; levers'!$C$5="On",(((('Activity data'!AQ10-'Net zero supporting data'!O19)*EF!$H9)+('Net zero supporting data'!O19*'Net zero supporting data'!O29))*kgtoGg)))</f>
        <v>130.65843671178916</v>
      </c>
      <c r="Y9" s="93">
        <f>IF('Net zero activities &amp; levers'!$C$5="Off",('Activity data'!AR10*EF!$H9)*kgtoGg,IF('Net zero activities &amp; levers'!$C$5="On",(((('Activity data'!AR10-'Net zero supporting data'!P19)*EF!$H9)+('Net zero supporting data'!P19*'Net zero supporting data'!P29))*kgtoGg)))</f>
        <v>133.57680599902966</v>
      </c>
      <c r="Z9" s="93">
        <f>IF('Net zero activities &amp; levers'!$C$5="Off",('Activity data'!AS10*EF!$H9)*kgtoGg,IF('Net zero activities &amp; levers'!$C$5="On",(((('Activity data'!AS10-'Net zero supporting data'!Q19)*EF!$H9)+('Net zero supporting data'!Q19*'Net zero supporting data'!Q29))*kgtoGg)))</f>
        <v>136.29836120715478</v>
      </c>
      <c r="AA9" s="93">
        <f>IF('Net zero activities &amp; levers'!$C$5="Off",('Activity data'!AT10*EF!$H9)*kgtoGg,IF('Net zero activities &amp; levers'!$C$5="On",(((('Activity data'!AT10-'Net zero supporting data'!R19)*EF!$H9)+('Net zero supporting data'!R19*'Net zero supporting data'!R29))*kgtoGg)))</f>
        <v>138.8087353610496</v>
      </c>
      <c r="AB9" s="93">
        <f>IF('Net zero activities &amp; levers'!$C$5="Off",('Activity data'!AU10*EF!$H9)*kgtoGg,IF('Net zero activities &amp; levers'!$C$5="On",(((('Activity data'!AU10-'Net zero supporting data'!S19)*EF!$H9)+('Net zero supporting data'!S19*'Net zero supporting data'!S29))*kgtoGg)))</f>
        <v>141.09420138271955</v>
      </c>
      <c r="AC9" s="93">
        <f>IF('Net zero activities &amp; levers'!$C$5="Off",('Activity data'!AV10*EF!$H9)*kgtoGg,IF('Net zero activities &amp; levers'!$C$5="On",(((('Activity data'!AV10-'Net zero supporting data'!T19)*EF!$H9)+('Net zero supporting data'!T19*'Net zero supporting data'!T29))*kgtoGg)))</f>
        <v>143.14192494700313</v>
      </c>
      <c r="AD9" s="93">
        <f>IF('Net zero activities &amp; levers'!$C$5="Off",('Activity data'!AW10*EF!$H9)*kgtoGg,IF('Net zero activities &amp; levers'!$C$5="On",(((('Activity data'!AW10-'Net zero supporting data'!U19)*EF!$H9)+('Net zero supporting data'!U19*'Net zero supporting data'!U29))*kgtoGg)))</f>
        <v>145.32079439837173</v>
      </c>
      <c r="AE9" s="93">
        <f>IF('Net zero activities &amp; levers'!$C$5="Off",('Activity data'!AX10*EF!$H9)*kgtoGg,IF('Net zero activities &amp; levers'!$C$5="On",(((('Activity data'!AX10-'Net zero supporting data'!V19)*EF!$H9)+('Net zero supporting data'!V19*'Net zero supporting data'!V29))*kgtoGg)))</f>
        <v>147.24589460251983</v>
      </c>
      <c r="AF9" s="93">
        <f>IF('Net zero activities &amp; levers'!$C$5="Off",('Activity data'!AY10*EF!$H9)*kgtoGg,IF('Net zero activities &amp; levers'!$C$5="On",(((('Activity data'!AY10-'Net zero supporting data'!W19)*EF!$H9)+('Net zero supporting data'!W19*'Net zero supporting data'!W29))*kgtoGg)))</f>
        <v>148.90595700146477</v>
      </c>
      <c r="AG9" s="93">
        <f>IF('Net zero activities &amp; levers'!$C$5="Off",('Activity data'!AZ10*EF!$H9)*kgtoGg,IF('Net zero activities &amp; levers'!$C$5="On",(((('Activity data'!AZ10-'Net zero supporting data'!X19)*EF!$H9)+('Net zero supporting data'!X19*'Net zero supporting data'!X29))*kgtoGg)))</f>
        <v>150.29119988084832</v>
      </c>
      <c r="AH9" s="93">
        <f>IF('Net zero activities &amp; levers'!$C$5="Off",('Activity data'!BA10*EF!$H9)*kgtoGg,IF('Net zero activities &amp; levers'!$C$5="On",(((('Activity data'!BA10-'Net zero supporting data'!Y19)*EF!$H9)+('Net zero supporting data'!Y19*'Net zero supporting data'!Y29))*kgtoGg)))</f>
        <v>151.39298806651198</v>
      </c>
      <c r="AI9" s="93">
        <f>IF('Net zero activities &amp; levers'!$C$5="Off",('Activity data'!BB10*EF!$H9)*kgtoGg,IF('Net zero activities &amp; levers'!$C$5="On",(((('Activity data'!BB10-'Net zero supporting data'!Z19)*EF!$H9)+('Net zero supporting data'!Z19*'Net zero supporting data'!Z29))*kgtoGg)))</f>
        <v>152.2040963869018</v>
      </c>
      <c r="AJ9" s="93">
        <f>IF('Net zero activities &amp; levers'!$C$5="Off",('Activity data'!BC10*EF!$H9)*kgtoGg,IF('Net zero activities &amp; levers'!$C$5="On",(((('Activity data'!BC10-'Net zero supporting data'!AA19)*EF!$H9)+('Net zero supporting data'!AA19*'Net zero supporting data'!AA29))*kgtoGg)))</f>
        <v>-12.150089844770541</v>
      </c>
      <c r="AK9" s="93">
        <f>IF('Net zero activities &amp; levers'!$C$5="Off",('Activity data'!BD10*EF!$H9)*kgtoGg,IF('Net zero activities &amp; levers'!$C$5="On",(((('Activity data'!BD10-'Net zero supporting data'!AB19)*EF!$H9)+('Net zero supporting data'!AB19*'Net zero supporting data'!AB29))*kgtoGg)))</f>
        <v>-12.261292624366734</v>
      </c>
      <c r="AL9" s="93">
        <f>IF('Net zero activities &amp; levers'!$C$5="Off",('Activity data'!BE10*EF!$H9)*kgtoGg,IF('Net zero activities &amp; levers'!$C$5="On",(((('Activity data'!BE10-'Net zero supporting data'!AC19)*EF!$H9)+('Net zero supporting data'!AC19*'Net zero supporting data'!AC29))*kgtoGg)))</f>
        <v>-12.371760078813706</v>
      </c>
      <c r="AM9" s="93">
        <f>IF('Net zero activities &amp; levers'!$C$5="Off",('Activity data'!BF10*EF!$H9)*kgtoGg,IF('Net zero activities &amp; levers'!$C$5="On",(((('Activity data'!BF10-'Net zero supporting data'!AD19)*EF!$H9)+('Net zero supporting data'!AD19*'Net zero supporting data'!AD29))*kgtoGg)))</f>
        <v>-12.481547229069234</v>
      </c>
      <c r="AN9" s="93">
        <f>IF('Net zero activities &amp; levers'!$C$5="Off",('Activity data'!BG10*EF!$H9)*kgtoGg,IF('Net zero activities &amp; levers'!$C$5="On",(((('Activity data'!BG10-'Net zero supporting data'!AE19)*EF!$H9)+('Net zero supporting data'!AE19*'Net zero supporting data'!AE29))*kgtoGg)))</f>
        <v>-12.575061773814197</v>
      </c>
      <c r="AO9" s="93">
        <f>IF('Net zero activities &amp; levers'!$C$5="Off",('Activity data'!BH10*EF!$H9)*kgtoGg,IF('Net zero activities &amp; levers'!$C$5="On",(((('Activity data'!BH10-'Net zero supporting data'!AF19)*EF!$H9)+('Net zero supporting data'!AF19*'Net zero supporting data'!AF29))*kgtoGg)))</f>
        <v>-12.667641248223251</v>
      </c>
      <c r="AP9" s="93">
        <f>IF('Net zero activities &amp; levers'!$C$5="Off",('Activity data'!BI10*EF!$H9)*kgtoGg,IF('Net zero activities &amp; levers'!$C$5="On",(((('Activity data'!BI10-'Net zero supporting data'!AG19)*EF!$H9)+('Net zero supporting data'!AG19*'Net zero supporting data'!AG29))*kgtoGg)))</f>
        <v>-12.759143955764493</v>
      </c>
      <c r="AQ9" s="93">
        <f>IF('Net zero activities &amp; levers'!$C$5="Off",('Activity data'!BJ10*EF!$H9)*kgtoGg,IF('Net zero activities &amp; levers'!$C$5="On",(((('Activity data'!BJ10-'Net zero supporting data'!AH19)*EF!$H9)+('Net zero supporting data'!AH19*'Net zero supporting data'!AH29))*kgtoGg)))</f>
        <v>-12.849544731083009</v>
      </c>
      <c r="AR9" s="93">
        <f>IF('Net zero activities &amp; levers'!$C$5="Off",('Activity data'!BK10*EF!$H9)*kgtoGg,IF('Net zero activities &amp; levers'!$C$5="On",(((('Activity data'!BK10-'Net zero supporting data'!AI19)*EF!$H9)+('Net zero supporting data'!AI19*'Net zero supporting data'!AI29))*kgtoGg)))</f>
        <v>-12.938674897522816</v>
      </c>
      <c r="AS9" s="93">
        <f>IF('Net zero activities &amp; levers'!$C$5="Off",('Activity data'!BL10*EF!$H9)*kgtoGg,IF('Net zero activities &amp; levers'!$C$5="On",(((('Activity data'!BL10-'Net zero supporting data'!AJ19)*EF!$H9)+('Net zero supporting data'!AJ19*'Net zero supporting data'!AJ29))*kgtoGg)))</f>
        <v>-13.02634616662869</v>
      </c>
      <c r="AT9" s="93">
        <f>IF('Net zero activities &amp; levers'!$C$5="Off",('Activity data'!BM10*EF!$H9)*kgtoGg,IF('Net zero activities &amp; levers'!$C$5="On",(((('Activity data'!BM10-'Net zero supporting data'!AK19)*EF!$H9)+('Net zero supporting data'!AK19*'Net zero supporting data'!AK29))*kgtoGg)))</f>
        <v>-13.112524146200343</v>
      </c>
      <c r="AU9" s="93">
        <f>IF('Net zero activities &amp; levers'!$C$5="Off",('Activity data'!BN10*EF!$H9)*kgtoGg,IF('Net zero activities &amp; levers'!$C$5="On",(((('Activity data'!BN10-'Net zero supporting data'!AL19)*EF!$H9)+('Net zero supporting data'!AL19*'Net zero supporting data'!AL29))*kgtoGg)))</f>
        <v>-13.197221864241371</v>
      </c>
      <c r="AV9" s="93">
        <f>IF('Net zero activities &amp; levers'!$C$5="Off",('Activity data'!BO10*EF!$H9)*kgtoGg,IF('Net zero activities &amp; levers'!$C$5="On",(((('Activity data'!BO10-'Net zero supporting data'!AM19)*EF!$H9)+('Net zero supporting data'!AM19*'Net zero supporting data'!AM29))*kgtoGg)))</f>
        <v>-13.28044453197926</v>
      </c>
      <c r="AW9" s="93">
        <f>IF('Net zero activities &amp; levers'!$C$5="Off",('Activity data'!BP10*EF!$H9)*kgtoGg,IF('Net zero activities &amp; levers'!$C$5="On",(((('Activity data'!BP10-'Net zero supporting data'!AN19)*EF!$H9)+('Net zero supporting data'!AN19*'Net zero supporting data'!AN29))*kgtoGg)))</f>
        <v>-13.362004258887673</v>
      </c>
      <c r="AY9" s="79"/>
    </row>
    <row r="10" spans="1:55" x14ac:dyDescent="0.25">
      <c r="A10" s="95" t="str">
        <f t="shared" si="0"/>
        <v>FS Sheep</v>
      </c>
      <c r="B10" s="95" t="s">
        <v>1004</v>
      </c>
      <c r="C10" s="95" t="s">
        <v>152</v>
      </c>
      <c r="D10" t="s">
        <v>15</v>
      </c>
      <c r="E10" t="s">
        <v>16</v>
      </c>
      <c r="F10" t="s">
        <v>18</v>
      </c>
      <c r="G10" t="s">
        <v>122</v>
      </c>
      <c r="H10" t="s">
        <v>1020</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134.51556530099631</v>
      </c>
      <c r="T10" s="27">
        <f t="shared" si="6"/>
        <v>134.60509112337468</v>
      </c>
      <c r="U10" s="27">
        <f t="shared" si="6"/>
        <v>136.35833424652054</v>
      </c>
      <c r="V10" s="27">
        <f t="shared" si="6"/>
        <v>136.40110324414033</v>
      </c>
      <c r="W10" s="27">
        <f t="shared" si="6"/>
        <v>136.58404654274005</v>
      </c>
      <c r="X10" s="27">
        <f t="shared" si="6"/>
        <v>136.84849552124783</v>
      </c>
      <c r="Y10" s="27">
        <f t="shared" si="6"/>
        <v>137.09415955987274</v>
      </c>
      <c r="Z10" s="27">
        <f t="shared" si="6"/>
        <v>137.32408030952666</v>
      </c>
      <c r="AA10" s="27">
        <f t="shared" si="6"/>
        <v>137.53703172758449</v>
      </c>
      <c r="AB10" s="27">
        <f t="shared" si="6"/>
        <v>137.73493252382224</v>
      </c>
      <c r="AC10" s="27">
        <f t="shared" si="6"/>
        <v>137.92078465176073</v>
      </c>
      <c r="AD10" s="27">
        <f t="shared" si="6"/>
        <v>138.09441299579947</v>
      </c>
      <c r="AE10" s="27">
        <f t="shared" si="6"/>
        <v>138.25859465521103</v>
      </c>
      <c r="AF10" s="27">
        <f t="shared" si="6"/>
        <v>138.41372705764812</v>
      </c>
      <c r="AG10" s="27">
        <f t="shared" si="6"/>
        <v>138.55768393469623</v>
      </c>
      <c r="AH10" s="27">
        <f t="shared" si="6"/>
        <v>138.69178217062699</v>
      </c>
      <c r="AI10" s="27">
        <f t="shared" si="6"/>
        <v>138.81816108295814</v>
      </c>
      <c r="AJ10" s="27">
        <f t="shared" si="6"/>
        <v>135.77163521502163</v>
      </c>
      <c r="AK10" s="27">
        <f t="shared" si="6"/>
        <v>135.89648953385836</v>
      </c>
      <c r="AL10" s="27">
        <f t="shared" si="6"/>
        <v>136.01294647652736</v>
      </c>
      <c r="AM10" s="27">
        <f t="shared" si="6"/>
        <v>136.12171776801748</v>
      </c>
      <c r="AN10" s="27">
        <f t="shared" si="6"/>
        <v>136.22366859450332</v>
      </c>
      <c r="AO10" s="27">
        <f t="shared" si="6"/>
        <v>136.31611723482146</v>
      </c>
      <c r="AP10" s="27">
        <f t="shared" si="6"/>
        <v>136.39727280638544</v>
      </c>
      <c r="AQ10" s="27">
        <f t="shared" si="6"/>
        <v>136.46687299989276</v>
      </c>
      <c r="AR10" s="27">
        <f t="shared" si="6"/>
        <v>136.52287982045266</v>
      </c>
      <c r="AS10" s="27">
        <f t="shared" si="6"/>
        <v>136.56307802336653</v>
      </c>
      <c r="AT10" s="27">
        <f t="shared" si="6"/>
        <v>136.58721779491506</v>
      </c>
      <c r="AU10" s="27">
        <f t="shared" si="6"/>
        <v>136.59564346547165</v>
      </c>
      <c r="AV10" s="27">
        <f t="shared" si="6"/>
        <v>136.58860148831764</v>
      </c>
      <c r="AW10" s="27">
        <f t="shared" si="6"/>
        <v>136.56400681676968</v>
      </c>
      <c r="AY10" s="79"/>
    </row>
    <row r="11" spans="1:55" x14ac:dyDescent="0.25">
      <c r="A11" s="95" t="str">
        <f t="shared" si="0"/>
        <v>FS Sheep</v>
      </c>
      <c r="B11" s="95" t="s">
        <v>1004</v>
      </c>
      <c r="C11" s="95" t="s">
        <v>152</v>
      </c>
      <c r="D11" t="s">
        <v>15</v>
      </c>
      <c r="E11" t="s">
        <v>16</v>
      </c>
      <c r="F11" t="s">
        <v>18</v>
      </c>
      <c r="G11" t="s">
        <v>123</v>
      </c>
      <c r="H11" t="s">
        <v>1020</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14.577965145623706</v>
      </c>
      <c r="T11" s="27">
        <f t="shared" si="7"/>
        <v>14.587667400640397</v>
      </c>
      <c r="U11" s="27">
        <f t="shared" si="7"/>
        <v>14.777673048565481</v>
      </c>
      <c r="V11" s="27">
        <f t="shared" si="7"/>
        <v>14.782308088051206</v>
      </c>
      <c r="W11" s="27">
        <f t="shared" si="7"/>
        <v>14.802134351462762</v>
      </c>
      <c r="X11" s="27">
        <f t="shared" si="7"/>
        <v>14.830793696445298</v>
      </c>
      <c r="Y11" s="27">
        <f t="shared" si="7"/>
        <v>14.857417245806248</v>
      </c>
      <c r="Z11" s="27">
        <f t="shared" si="7"/>
        <v>14.882334634862383</v>
      </c>
      <c r="AA11" s="27">
        <f t="shared" si="6"/>
        <v>14.905412992695631</v>
      </c>
      <c r="AB11" s="27">
        <f t="shared" si="6"/>
        <v>14.926860257206538</v>
      </c>
      <c r="AC11" s="27">
        <f t="shared" si="6"/>
        <v>14.947001761554121</v>
      </c>
      <c r="AD11" s="27">
        <f t="shared" si="6"/>
        <v>14.965818527792479</v>
      </c>
      <c r="AE11" s="27">
        <f t="shared" si="6"/>
        <v>14.983611520767653</v>
      </c>
      <c r="AF11" s="27">
        <f t="shared" si="6"/>
        <v>15.000423811231022</v>
      </c>
      <c r="AG11" s="27">
        <f t="shared" si="6"/>
        <v>15.016024967360309</v>
      </c>
      <c r="AH11" s="27">
        <f t="shared" si="6"/>
        <v>15.030557704929484</v>
      </c>
      <c r="AI11" s="27">
        <f t="shared" si="6"/>
        <v>15.044253869941933</v>
      </c>
      <c r="AJ11" s="27">
        <f t="shared" si="6"/>
        <v>14.714090235580054</v>
      </c>
      <c r="AK11" s="27">
        <f t="shared" si="6"/>
        <v>14.727621174577411</v>
      </c>
      <c r="AL11" s="27">
        <f t="shared" si="6"/>
        <v>14.740242057873667</v>
      </c>
      <c r="AM11" s="27">
        <f t="shared" si="6"/>
        <v>14.752030017821943</v>
      </c>
      <c r="AN11" s="27">
        <f t="shared" si="6"/>
        <v>14.763078817949665</v>
      </c>
      <c r="AO11" s="27">
        <f t="shared" si="6"/>
        <v>14.773097829900454</v>
      </c>
      <c r="AP11" s="27">
        <f t="shared" si="6"/>
        <v>14.781892968894116</v>
      </c>
      <c r="AQ11" s="27">
        <f t="shared" si="6"/>
        <v>14.789435807470511</v>
      </c>
      <c r="AR11" s="27">
        <f t="shared" si="6"/>
        <v>14.795505480346009</v>
      </c>
      <c r="AS11" s="27">
        <f t="shared" si="6"/>
        <v>14.799861912998866</v>
      </c>
      <c r="AT11" s="27">
        <f t="shared" si="6"/>
        <v>14.802478032162998</v>
      </c>
      <c r="AU11" s="27">
        <f t="shared" si="6"/>
        <v>14.803391154234989</v>
      </c>
      <c r="AV11" s="27">
        <f t="shared" si="6"/>
        <v>14.802627988297443</v>
      </c>
      <c r="AW11" s="27">
        <f t="shared" si="6"/>
        <v>14.799962569884396</v>
      </c>
      <c r="AY11" s="79"/>
    </row>
    <row r="12" spans="1:55" x14ac:dyDescent="0.25">
      <c r="A12" s="95" t="str">
        <f t="shared" si="0"/>
        <v>FS Goats</v>
      </c>
      <c r="B12" s="95" t="s">
        <v>1004</v>
      </c>
      <c r="C12" s="95" t="s">
        <v>153</v>
      </c>
      <c r="D12" t="s">
        <v>15</v>
      </c>
      <c r="E12" t="s">
        <v>16</v>
      </c>
      <c r="F12" t="s">
        <v>19</v>
      </c>
      <c r="G12" t="s">
        <v>122</v>
      </c>
      <c r="H12" t="s">
        <v>1020</v>
      </c>
      <c r="I12" t="s">
        <v>121</v>
      </c>
      <c r="J12" t="s">
        <v>286</v>
      </c>
      <c r="K12" s="27">
        <f t="shared" si="7"/>
        <v>15.123414197798359</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15.545788610572222</v>
      </c>
      <c r="R12" s="27">
        <f t="shared" si="6"/>
        <v>15.648067752449878</v>
      </c>
      <c r="S12" s="27">
        <f t="shared" si="6"/>
        <v>15.609909908763072</v>
      </c>
      <c r="T12" s="27">
        <f t="shared" si="6"/>
        <v>15.635455939498677</v>
      </c>
      <c r="U12" s="27">
        <f t="shared" si="6"/>
        <v>15.95246888070791</v>
      </c>
      <c r="V12" s="27">
        <f t="shared" si="6"/>
        <v>15.966791142533616</v>
      </c>
      <c r="W12" s="27">
        <f t="shared" si="6"/>
        <v>16.004709527553434</v>
      </c>
      <c r="X12" s="27">
        <f t="shared" si="6"/>
        <v>16.055885293055152</v>
      </c>
      <c r="Y12" s="27">
        <f t="shared" si="6"/>
        <v>16.102820608505493</v>
      </c>
      <c r="Z12" s="27">
        <f t="shared" si="6"/>
        <v>16.146135876832972</v>
      </c>
      <c r="AA12" s="27">
        <f t="shared" si="6"/>
        <v>16.185698238107559</v>
      </c>
      <c r="AB12" s="27">
        <f t="shared" si="6"/>
        <v>16.22191395009931</v>
      </c>
      <c r="AC12" s="27">
        <f t="shared" si="6"/>
        <v>16.25536732746065</v>
      </c>
      <c r="AD12" s="27">
        <f t="shared" si="6"/>
        <v>16.286085323517181</v>
      </c>
      <c r="AE12" s="27">
        <f t="shared" si="6"/>
        <v>16.31459834375584</v>
      </c>
      <c r="AF12" s="27">
        <f t="shared" si="6"/>
        <v>16.341020303059434</v>
      </c>
      <c r="AG12" s="27">
        <f t="shared" si="6"/>
        <v>16.365028601066268</v>
      </c>
      <c r="AH12" s="27">
        <f t="shared" si="6"/>
        <v>16.386889120844085</v>
      </c>
      <c r="AI12" s="27">
        <f t="shared" si="6"/>
        <v>16.407003513902541</v>
      </c>
      <c r="AJ12" s="27">
        <f t="shared" si="6"/>
        <v>15.886156568564889</v>
      </c>
      <c r="AK12" s="27">
        <f t="shared" si="6"/>
        <v>15.906232465615583</v>
      </c>
      <c r="AL12" s="27">
        <f t="shared" si="6"/>
        <v>15.924511297002383</v>
      </c>
      <c r="AM12" s="27">
        <f t="shared" si="6"/>
        <v>15.941140997111155</v>
      </c>
      <c r="AN12" s="27">
        <f t="shared" si="6"/>
        <v>15.956292884471127</v>
      </c>
      <c r="AO12" s="27">
        <f t="shared" si="6"/>
        <v>15.969536826708435</v>
      </c>
      <c r="AP12" s="27">
        <f t="shared" si="6"/>
        <v>15.980594577453482</v>
      </c>
      <c r="AQ12" s="27">
        <f t="shared" si="6"/>
        <v>15.989445822984647</v>
      </c>
      <c r="AR12" s="27">
        <f t="shared" si="6"/>
        <v>15.995770985939464</v>
      </c>
      <c r="AS12" s="27">
        <f t="shared" si="6"/>
        <v>15.999221862064399</v>
      </c>
      <c r="AT12" s="27">
        <f t="shared" si="6"/>
        <v>15.999780644603296</v>
      </c>
      <c r="AU12" s="27">
        <f t="shared" si="6"/>
        <v>15.99752803776004</v>
      </c>
      <c r="AV12" s="27">
        <f t="shared" si="6"/>
        <v>15.992527037206958</v>
      </c>
      <c r="AW12" s="27">
        <f t="shared" si="6"/>
        <v>15.984450939829935</v>
      </c>
      <c r="AY12" s="79"/>
    </row>
    <row r="13" spans="1:55" x14ac:dyDescent="0.25">
      <c r="A13" s="95" t="str">
        <f t="shared" si="0"/>
        <v>FS Goats</v>
      </c>
      <c r="B13" s="95" t="s">
        <v>1004</v>
      </c>
      <c r="C13" s="95" t="s">
        <v>153</v>
      </c>
      <c r="D13" t="s">
        <v>15</v>
      </c>
      <c r="E13" t="s">
        <v>16</v>
      </c>
      <c r="F13" t="s">
        <v>19</v>
      </c>
      <c r="G13" t="s">
        <v>123</v>
      </c>
      <c r="H13" t="s">
        <v>1020</v>
      </c>
      <c r="I13" t="s">
        <v>121</v>
      </c>
      <c r="J13" t="s">
        <v>286</v>
      </c>
      <c r="K13" s="27">
        <f t="shared" si="7"/>
        <v>22.381101687842744</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23.101065436464115</v>
      </c>
      <c r="T13" s="27">
        <f t="shared" si="6"/>
        <v>23.138870941499981</v>
      </c>
      <c r="U13" s="27">
        <f t="shared" si="6"/>
        <v>23.608017576034321</v>
      </c>
      <c r="V13" s="27">
        <f t="shared" si="6"/>
        <v>23.62921305439183</v>
      </c>
      <c r="W13" s="27">
        <f t="shared" si="6"/>
        <v>23.685328374640804</v>
      </c>
      <c r="X13" s="27">
        <f t="shared" si="6"/>
        <v>23.761063258091507</v>
      </c>
      <c r="Y13" s="27">
        <f t="shared" si="6"/>
        <v>23.830522710441766</v>
      </c>
      <c r="Z13" s="27">
        <f t="shared" si="6"/>
        <v>23.894624864386248</v>
      </c>
      <c r="AA13" s="27">
        <f t="shared" si="6"/>
        <v>23.953173100856997</v>
      </c>
      <c r="AB13" s="27">
        <f t="shared" si="6"/>
        <v>24.006768639680701</v>
      </c>
      <c r="AC13" s="27">
        <f t="shared" si="6"/>
        <v>24.0562762066053</v>
      </c>
      <c r="AD13" s="27">
        <f t="shared" si="6"/>
        <v>24.101735689787876</v>
      </c>
      <c r="AE13" s="27">
        <f t="shared" si="6"/>
        <v>24.143932034941329</v>
      </c>
      <c r="AF13" s="27">
        <f t="shared" si="6"/>
        <v>24.183033824407083</v>
      </c>
      <c r="AG13" s="27">
        <f t="shared" si="6"/>
        <v>24.218563642741437</v>
      </c>
      <c r="AH13" s="27">
        <f t="shared" si="6"/>
        <v>24.250914969610982</v>
      </c>
      <c r="AI13" s="27">
        <f t="shared" si="6"/>
        <v>24.280682208049512</v>
      </c>
      <c r="AJ13" s="27">
        <f t="shared" si="6"/>
        <v>23.509882156226475</v>
      </c>
      <c r="AK13" s="27">
        <f t="shared" si="6"/>
        <v>23.53959242452235</v>
      </c>
      <c r="AL13" s="27">
        <f t="shared" si="6"/>
        <v>23.566643219974505</v>
      </c>
      <c r="AM13" s="27">
        <f t="shared" si="6"/>
        <v>23.591253470299264</v>
      </c>
      <c r="AN13" s="27">
        <f t="shared" si="6"/>
        <v>23.613676709346407</v>
      </c>
      <c r="AO13" s="27">
        <f t="shared" si="6"/>
        <v>23.633276385324617</v>
      </c>
      <c r="AP13" s="27">
        <f t="shared" si="6"/>
        <v>23.649640722148757</v>
      </c>
      <c r="AQ13" s="27">
        <f t="shared" si="6"/>
        <v>23.662739657594557</v>
      </c>
      <c r="AR13" s="27">
        <f t="shared" si="6"/>
        <v>23.672100249947082</v>
      </c>
      <c r="AS13" s="27">
        <f t="shared" si="6"/>
        <v>23.67720719262908</v>
      </c>
      <c r="AT13" s="27">
        <f t="shared" si="6"/>
        <v>23.678034133468028</v>
      </c>
      <c r="AU13" s="27">
        <f t="shared" si="6"/>
        <v>23.674700506407216</v>
      </c>
      <c r="AV13" s="27">
        <f t="shared" si="6"/>
        <v>23.667299538579741</v>
      </c>
      <c r="AW13" s="27">
        <f t="shared" si="6"/>
        <v>23.655347742889163</v>
      </c>
      <c r="AY13" s="79"/>
    </row>
    <row r="14" spans="1:55" x14ac:dyDescent="0.25">
      <c r="A14" s="95" t="str">
        <f t="shared" si="0"/>
        <v>FS Horses</v>
      </c>
      <c r="B14" s="95" t="s">
        <v>1004</v>
      </c>
      <c r="C14" s="95" t="s">
        <v>3</v>
      </c>
      <c r="D14" t="s">
        <v>15</v>
      </c>
      <c r="E14" t="s">
        <v>16</v>
      </c>
      <c r="F14" t="s">
        <v>20</v>
      </c>
      <c r="G14" t="s">
        <v>3</v>
      </c>
      <c r="H14" t="s">
        <v>1020</v>
      </c>
      <c r="I14" t="s">
        <v>121</v>
      </c>
      <c r="J14" t="s">
        <v>286</v>
      </c>
      <c r="K14" s="27">
        <f t="shared" si="7"/>
        <v>5.5526214800767901</v>
      </c>
      <c r="L14" s="27">
        <f t="shared" si="6"/>
        <v>5.5795235710196529</v>
      </c>
      <c r="M14" s="27">
        <f t="shared" si="6"/>
        <v>5.6203482259438022</v>
      </c>
      <c r="N14" s="27">
        <f t="shared" si="6"/>
        <v>5.6290756550083767</v>
      </c>
      <c r="O14" s="27">
        <f t="shared" si="6"/>
        <v>5.6165815405282284</v>
      </c>
      <c r="P14" s="27">
        <f t="shared" si="6"/>
        <v>5.5833231296706112</v>
      </c>
      <c r="Q14" s="27">
        <f t="shared" si="6"/>
        <v>5.5648827699457364</v>
      </c>
      <c r="R14" s="27">
        <f t="shared" si="6"/>
        <v>5.5483103177944031</v>
      </c>
      <c r="S14" s="27">
        <f t="shared" si="6"/>
        <v>5.301317756839599</v>
      </c>
      <c r="T14" s="27">
        <f t="shared" si="6"/>
        <v>5.4334519326298842</v>
      </c>
      <c r="U14" s="27">
        <f t="shared" si="6"/>
        <v>11.663279711908721</v>
      </c>
      <c r="V14" s="27">
        <f t="shared" si="6"/>
        <v>11.812653235838557</v>
      </c>
      <c r="W14" s="27">
        <f t="shared" si="6"/>
        <v>11.932954790442608</v>
      </c>
      <c r="X14" s="27">
        <f t="shared" si="6"/>
        <v>12.029772886609605</v>
      </c>
      <c r="Y14" s="27">
        <f t="shared" si="6"/>
        <v>12.113873667726716</v>
      </c>
      <c r="Z14" s="27">
        <f t="shared" si="6"/>
        <v>12.184301808011908</v>
      </c>
      <c r="AA14" s="27">
        <f t="shared" si="6"/>
        <v>12.240662308750712</v>
      </c>
      <c r="AB14" s="27">
        <f t="shared" si="6"/>
        <v>12.282268429354316</v>
      </c>
      <c r="AC14" s="27">
        <f t="shared" si="6"/>
        <v>12.308384588149881</v>
      </c>
      <c r="AD14" s="27">
        <f t="shared" si="6"/>
        <v>12.31872545788376</v>
      </c>
      <c r="AE14" s="27">
        <f t="shared" si="6"/>
        <v>12.312750989800492</v>
      </c>
      <c r="AF14" s="27">
        <f t="shared" si="6"/>
        <v>12.290286651516004</v>
      </c>
      <c r="AG14" s="27">
        <f t="shared" si="6"/>
        <v>12.251535501678408</v>
      </c>
      <c r="AH14" s="27">
        <f t="shared" si="6"/>
        <v>12.196396092630039</v>
      </c>
      <c r="AI14" s="27">
        <f t="shared" si="6"/>
        <v>12.124769930026071</v>
      </c>
      <c r="AJ14" s="27">
        <f t="shared" si="6"/>
        <v>1.7851056965565462</v>
      </c>
      <c r="AK14" s="27">
        <f t="shared" si="6"/>
        <v>1.7851056965565462</v>
      </c>
      <c r="AL14" s="27">
        <f t="shared" si="6"/>
        <v>1.7851056965565462</v>
      </c>
      <c r="AM14" s="27">
        <f t="shared" si="6"/>
        <v>1.7851056965565462</v>
      </c>
      <c r="AN14" s="27">
        <f t="shared" si="6"/>
        <v>1.7851056965565462</v>
      </c>
      <c r="AO14" s="27">
        <f t="shared" si="6"/>
        <v>1.7851056965565462</v>
      </c>
      <c r="AP14" s="27">
        <f t="shared" si="6"/>
        <v>1.7851056965565462</v>
      </c>
      <c r="AQ14" s="27">
        <f t="shared" si="6"/>
        <v>1.7851056965565462</v>
      </c>
      <c r="AR14" s="27">
        <f t="shared" si="6"/>
        <v>1.7851056965565462</v>
      </c>
      <c r="AS14" s="27">
        <f t="shared" si="6"/>
        <v>1.7851056965565462</v>
      </c>
      <c r="AT14" s="27">
        <f t="shared" si="6"/>
        <v>1.7851056965565462</v>
      </c>
      <c r="AU14" s="27">
        <f t="shared" si="6"/>
        <v>1.7851056965565462</v>
      </c>
      <c r="AV14" s="27">
        <f t="shared" si="6"/>
        <v>1.7851056965565462</v>
      </c>
      <c r="AW14" s="27">
        <f t="shared" si="6"/>
        <v>1.7851056965565462</v>
      </c>
      <c r="AY14" s="79"/>
    </row>
    <row r="15" spans="1:55" x14ac:dyDescent="0.25">
      <c r="A15" s="95" t="str">
        <f t="shared" si="0"/>
        <v>FS Mules&amp;Asses</v>
      </c>
      <c r="B15" s="95" t="s">
        <v>1004</v>
      </c>
      <c r="C15" s="95" t="s">
        <v>1323</v>
      </c>
      <c r="D15" t="s">
        <v>15</v>
      </c>
      <c r="E15" t="s">
        <v>16</v>
      </c>
      <c r="F15" t="s">
        <v>140</v>
      </c>
      <c r="G15" t="s">
        <v>124</v>
      </c>
      <c r="H15" t="s">
        <v>1020</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25">
      <c r="A16" s="95" t="str">
        <f t="shared" si="0"/>
        <v>FS Swine</v>
      </c>
      <c r="B16" s="95" t="s">
        <v>1004</v>
      </c>
      <c r="C16" s="95" t="s">
        <v>155</v>
      </c>
      <c r="D16" t="s">
        <v>15</v>
      </c>
      <c r="E16" t="s">
        <v>16</v>
      </c>
      <c r="F16" t="s">
        <v>21</v>
      </c>
      <c r="G16" t="s">
        <v>122</v>
      </c>
      <c r="H16" t="s">
        <v>1020</v>
      </c>
      <c r="I16" t="s">
        <v>121</v>
      </c>
      <c r="J16" t="s">
        <v>286</v>
      </c>
      <c r="K16" s="27">
        <f t="shared" si="7"/>
        <v>1.8400999552016302</v>
      </c>
      <c r="L16" s="27">
        <f t="shared" si="6"/>
        <v>1.8300977880312248</v>
      </c>
      <c r="M16" s="27">
        <f t="shared" si="6"/>
        <v>1.8309187348828151</v>
      </c>
      <c r="N16" s="27">
        <f t="shared" si="6"/>
        <v>1.8141094978660448</v>
      </c>
      <c r="O16" s="27">
        <f t="shared" si="6"/>
        <v>1.7866561368117295</v>
      </c>
      <c r="P16" s="27">
        <f t="shared" si="6"/>
        <v>1.7489975228040082</v>
      </c>
      <c r="Q16" s="27">
        <f t="shared" si="6"/>
        <v>1.721653192801009</v>
      </c>
      <c r="R16" s="27">
        <f t="shared" si="6"/>
        <v>1.6967284692901872</v>
      </c>
      <c r="S16" s="27">
        <f t="shared" si="6"/>
        <v>1.5265878305982445</v>
      </c>
      <c r="T16" s="27">
        <f t="shared" si="6"/>
        <v>1.5810995176609606</v>
      </c>
      <c r="U16" s="27">
        <f t="shared" si="6"/>
        <v>5.0540136125986557</v>
      </c>
      <c r="V16" s="27">
        <f t="shared" si="6"/>
        <v>5.0678679159640359</v>
      </c>
      <c r="W16" s="27">
        <f t="shared" si="6"/>
        <v>5.0729847165704873</v>
      </c>
      <c r="X16" s="27">
        <f t="shared" si="6"/>
        <v>5.0695948867136602</v>
      </c>
      <c r="Y16" s="27">
        <f t="shared" si="6"/>
        <v>5.0582098272592386</v>
      </c>
      <c r="Z16" s="27">
        <f t="shared" si="6"/>
        <v>5.0387249592432335</v>
      </c>
      <c r="AA16" s="27">
        <f t="shared" si="6"/>
        <v>5.0111122815709459</v>
      </c>
      <c r="AB16" s="27">
        <f t="shared" si="6"/>
        <v>4.9753743834920021</v>
      </c>
      <c r="AC16" s="27">
        <f t="shared" si="6"/>
        <v>4.9315571021349269</v>
      </c>
      <c r="AD16" s="27">
        <f t="shared" si="6"/>
        <v>4.8797732145240138</v>
      </c>
      <c r="AE16" s="27">
        <f t="shared" si="6"/>
        <v>4.8201653478957827</v>
      </c>
      <c r="AF16" s="27">
        <f t="shared" si="6"/>
        <v>4.7529350466048701</v>
      </c>
      <c r="AG16" s="27">
        <f t="shared" si="6"/>
        <v>4.6783405786979539</v>
      </c>
      <c r="AH16" s="27">
        <f t="shared" si="6"/>
        <v>4.5966617003060959</v>
      </c>
      <c r="AI16" s="27">
        <f t="shared" si="6"/>
        <v>4.5082123470458679</v>
      </c>
      <c r="AJ16" s="27">
        <f t="shared" si="6"/>
        <v>-0.42008552544106242</v>
      </c>
      <c r="AK16" s="27">
        <f t="shared" si="6"/>
        <v>-0.41553771612775497</v>
      </c>
      <c r="AL16" s="27">
        <f t="shared" si="6"/>
        <v>-0.41097379422953517</v>
      </c>
      <c r="AM16" s="27">
        <f t="shared" si="6"/>
        <v>-0.40639849459231969</v>
      </c>
      <c r="AN16" s="27">
        <f t="shared" si="6"/>
        <v>-0.40181705013442426</v>
      </c>
      <c r="AO16" s="27">
        <f t="shared" si="6"/>
        <v>-0.39721731633182522</v>
      </c>
      <c r="AP16" s="27">
        <f t="shared" si="6"/>
        <v>-0.39259212331291987</v>
      </c>
      <c r="AQ16" s="27">
        <f t="shared" si="6"/>
        <v>-0.38794191787285037</v>
      </c>
      <c r="AR16" s="27">
        <f t="shared" si="6"/>
        <v>-0.38325899383328277</v>
      </c>
      <c r="AS16" s="27">
        <f t="shared" si="6"/>
        <v>-0.37853535700522173</v>
      </c>
      <c r="AT16" s="27">
        <f t="shared" si="6"/>
        <v>-0.37377234804073223</v>
      </c>
      <c r="AU16" s="27">
        <f t="shared" si="6"/>
        <v>-0.36897393039459231</v>
      </c>
      <c r="AV16" s="27">
        <f t="shared" si="6"/>
        <v>-0.36414349435249727</v>
      </c>
      <c r="AW16" s="27">
        <f t="shared" si="6"/>
        <v>-0.35927435241905337</v>
      </c>
      <c r="AY16" s="79"/>
    </row>
    <row r="17" spans="1:51" x14ac:dyDescent="0.25">
      <c r="A17" s="95" t="str">
        <f t="shared" si="0"/>
        <v>FS Swine</v>
      </c>
      <c r="B17" s="95" t="s">
        <v>1004</v>
      </c>
      <c r="C17" s="95" t="s">
        <v>155</v>
      </c>
      <c r="D17" t="s">
        <v>15</v>
      </c>
      <c r="E17" t="s">
        <v>16</v>
      </c>
      <c r="F17" t="s">
        <v>21</v>
      </c>
      <c r="G17" t="s">
        <v>123</v>
      </c>
      <c r="H17" t="s">
        <v>1020</v>
      </c>
      <c r="I17" t="s">
        <v>121</v>
      </c>
      <c r="J17" t="s">
        <v>286</v>
      </c>
      <c r="K17" s="27">
        <f t="shared" si="7"/>
        <v>0.25496723934882604</v>
      </c>
      <c r="L17" s="27">
        <f t="shared" si="6"/>
        <v>0.25358132281546891</v>
      </c>
      <c r="M17" s="27">
        <f t="shared" si="6"/>
        <v>0.25369507454499335</v>
      </c>
      <c r="N17" s="27">
        <f t="shared" si="6"/>
        <v>0.25136595935447842</v>
      </c>
      <c r="O17" s="27">
        <f t="shared" si="6"/>
        <v>0.247561977044127</v>
      </c>
      <c r="P17" s="27">
        <f t="shared" ref="L17:AW23" si="8">P1392</f>
        <v>0.24234393830437845</v>
      </c>
      <c r="Q17" s="27">
        <f t="shared" si="8"/>
        <v>0.23855506351363695</v>
      </c>
      <c r="R17" s="27">
        <f t="shared" si="8"/>
        <v>0.23510145332951485</v>
      </c>
      <c r="S17" s="27">
        <f t="shared" si="8"/>
        <v>0.21152649000988519</v>
      </c>
      <c r="T17" s="27">
        <f t="shared" si="8"/>
        <v>0.21907971793282416</v>
      </c>
      <c r="U17" s="27">
        <f t="shared" si="8"/>
        <v>0.70029233726842122</v>
      </c>
      <c r="V17" s="27">
        <f t="shared" si="8"/>
        <v>0.70221201205140604</v>
      </c>
      <c r="W17" s="27">
        <f t="shared" si="8"/>
        <v>0.7029210042565508</v>
      </c>
      <c r="X17" s="27">
        <f t="shared" si="8"/>
        <v>0.70245130392423227</v>
      </c>
      <c r="Y17" s="27">
        <f t="shared" si="8"/>
        <v>0.70087377158925745</v>
      </c>
      <c r="Z17" s="27">
        <f t="shared" si="8"/>
        <v>0.6981739166204699</v>
      </c>
      <c r="AA17" s="27">
        <f t="shared" si="8"/>
        <v>0.69434785914069519</v>
      </c>
      <c r="AB17" s="27">
        <f t="shared" si="8"/>
        <v>0.68939595792056851</v>
      </c>
      <c r="AC17" s="27">
        <f t="shared" si="8"/>
        <v>0.68332456422708854</v>
      </c>
      <c r="AD17" s="27">
        <f t="shared" si="8"/>
        <v>0.67614930462796652</v>
      </c>
      <c r="AE17" s="27">
        <f t="shared" si="8"/>
        <v>0.66788994178481698</v>
      </c>
      <c r="AF17" s="27">
        <f t="shared" si="8"/>
        <v>0.65857440201086193</v>
      </c>
      <c r="AG17" s="27">
        <f t="shared" si="8"/>
        <v>0.64823847134624946</v>
      </c>
      <c r="AH17" s="27">
        <f t="shared" si="8"/>
        <v>0.63692091325501032</v>
      </c>
      <c r="AI17" s="27">
        <f t="shared" si="8"/>
        <v>0.62466522716621964</v>
      </c>
      <c r="AJ17" s="27">
        <f t="shared" si="8"/>
        <v>-5.8207732905668316E-2</v>
      </c>
      <c r="AK17" s="27">
        <f t="shared" si="8"/>
        <v>-5.7577581058524868E-2</v>
      </c>
      <c r="AL17" s="27">
        <f t="shared" si="8"/>
        <v>-5.6945196625438323E-2</v>
      </c>
      <c r="AM17" s="27">
        <f t="shared" si="8"/>
        <v>-5.6311235674351458E-2</v>
      </c>
      <c r="AN17" s="27">
        <f t="shared" si="8"/>
        <v>-5.5676423286927873E-2</v>
      </c>
      <c r="AO17" s="27">
        <f t="shared" si="8"/>
        <v>-5.5039076698188007E-2</v>
      </c>
      <c r="AP17" s="27">
        <f t="shared" si="8"/>
        <v>-5.4398202439073888E-2</v>
      </c>
      <c r="AQ17" s="27">
        <f t="shared" si="8"/>
        <v>-5.3753862418246326E-2</v>
      </c>
      <c r="AR17" s="27">
        <f t="shared" si="8"/>
        <v>-5.3104988855115366E-2</v>
      </c>
      <c r="AS17" s="27">
        <f t="shared" si="8"/>
        <v>-5.2450474061865898E-2</v>
      </c>
      <c r="AT17" s="27">
        <f t="shared" si="8"/>
        <v>-5.1790503801426135E-2</v>
      </c>
      <c r="AU17" s="27">
        <f t="shared" si="8"/>
        <v>-5.1125627256529457E-2</v>
      </c>
      <c r="AV17" s="27">
        <f t="shared" si="8"/>
        <v>-5.0456314190669899E-2</v>
      </c>
      <c r="AW17" s="27">
        <f t="shared" si="8"/>
        <v>-4.9781637973620729E-2</v>
      </c>
      <c r="AY17" s="79"/>
    </row>
    <row r="18" spans="1:51" x14ac:dyDescent="0.25">
      <c r="A18" s="95" t="str">
        <f t="shared" si="0"/>
        <v>FS Cattle MMCH4</v>
      </c>
      <c r="B18" s="95" t="s">
        <v>1004</v>
      </c>
      <c r="C18" s="95" t="s">
        <v>1229</v>
      </c>
      <c r="D18" t="s">
        <v>15</v>
      </c>
      <c r="E18" t="s">
        <v>22</v>
      </c>
      <c r="F18" t="s">
        <v>6</v>
      </c>
      <c r="G18" t="s">
        <v>136</v>
      </c>
      <c r="H18" t="s">
        <v>1227</v>
      </c>
      <c r="I18" t="s">
        <v>121</v>
      </c>
      <c r="J18" t="s">
        <v>286</v>
      </c>
      <c r="K18" s="27">
        <f t="shared" si="7"/>
        <v>7.351330651107908</v>
      </c>
      <c r="L18" s="27">
        <f t="shared" si="8"/>
        <v>7.3924283487896005</v>
      </c>
      <c r="M18" s="27">
        <f t="shared" si="8"/>
        <v>7.4507389435191715</v>
      </c>
      <c r="N18" s="27">
        <f t="shared" si="8"/>
        <v>7.4882097119910753</v>
      </c>
      <c r="O18" s="27">
        <f t="shared" si="8"/>
        <v>7.5131092090175455</v>
      </c>
      <c r="P18" s="27">
        <f t="shared" si="8"/>
        <v>7.5251923679492423</v>
      </c>
      <c r="Q18" s="27">
        <f t="shared" si="8"/>
        <v>7.5518885629203734</v>
      </c>
      <c r="R18" s="27">
        <f t="shared" si="8"/>
        <v>7.5825135825669054</v>
      </c>
      <c r="S18" s="27">
        <f t="shared" si="8"/>
        <v>7.3670594492211752</v>
      </c>
      <c r="T18" s="27">
        <f t="shared" si="8"/>
        <v>7.4938201403917679</v>
      </c>
      <c r="U18" s="27">
        <f t="shared" si="8"/>
        <v>12.893716848831154</v>
      </c>
      <c r="V18" s="27">
        <f t="shared" si="8"/>
        <v>13.049144587269693</v>
      </c>
      <c r="W18" s="27">
        <f t="shared" si="8"/>
        <v>13.19775488481636</v>
      </c>
      <c r="X18" s="27">
        <f t="shared" si="8"/>
        <v>13.337019913111025</v>
      </c>
      <c r="Y18" s="27">
        <f t="shared" si="8"/>
        <v>13.463220566952655</v>
      </c>
      <c r="Z18" s="27">
        <f t="shared" si="8"/>
        <v>13.575767486447466</v>
      </c>
      <c r="AA18" s="27">
        <f t="shared" si="8"/>
        <v>13.674005026382902</v>
      </c>
      <c r="AB18" s="27">
        <f t="shared" si="8"/>
        <v>13.757436960081838</v>
      </c>
      <c r="AC18" s="27">
        <f t="shared" si="8"/>
        <v>13.825669744576842</v>
      </c>
      <c r="AD18" s="27">
        <f t="shared" si="8"/>
        <v>13.878289677767924</v>
      </c>
      <c r="AE18" s="27">
        <f t="shared" si="8"/>
        <v>13.915049092366717</v>
      </c>
      <c r="AF18" s="27">
        <f t="shared" si="8"/>
        <v>13.935710420523995</v>
      </c>
      <c r="AG18" s="27">
        <f t="shared" si="8"/>
        <v>13.940044142256493</v>
      </c>
      <c r="AH18" s="27">
        <f t="shared" si="8"/>
        <v>13.928008342806061</v>
      </c>
      <c r="AI18" s="27">
        <f t="shared" si="8"/>
        <v>13.899671543047996</v>
      </c>
      <c r="AJ18" s="27">
        <f t="shared" si="8"/>
        <v>4.3976157174808597</v>
      </c>
      <c r="AK18" s="27">
        <f t="shared" si="8"/>
        <v>4.4008259031545416</v>
      </c>
      <c r="AL18" s="27">
        <f t="shared" si="8"/>
        <v>4.403804998470318</v>
      </c>
      <c r="AM18" s="27">
        <f t="shared" si="8"/>
        <v>4.4065731559819081</v>
      </c>
      <c r="AN18" s="27">
        <f t="shared" si="8"/>
        <v>4.4091551994119804</v>
      </c>
      <c r="AO18" s="27">
        <f t="shared" si="8"/>
        <v>4.4114700909604787</v>
      </c>
      <c r="AP18" s="27">
        <f t="shared" si="8"/>
        <v>4.4134634106251305</v>
      </c>
      <c r="AQ18" s="27">
        <f t="shared" si="8"/>
        <v>4.4151264315171801</v>
      </c>
      <c r="AR18" s="27">
        <f t="shared" si="8"/>
        <v>4.4163974064588221</v>
      </c>
      <c r="AS18" s="27">
        <f t="shared" si="8"/>
        <v>4.4172092973227706</v>
      </c>
      <c r="AT18" s="27">
        <f t="shared" si="8"/>
        <v>4.4175538239653074</v>
      </c>
      <c r="AU18" s="27">
        <f t="shared" si="8"/>
        <v>4.4174405083324073</v>
      </c>
      <c r="AV18" s="27">
        <f t="shared" si="8"/>
        <v>4.4168759908828958</v>
      </c>
      <c r="AW18" s="27">
        <f t="shared" si="8"/>
        <v>4.4157972186653511</v>
      </c>
      <c r="AY18" s="79"/>
    </row>
    <row r="19" spans="1:51" x14ac:dyDescent="0.25">
      <c r="A19" s="95" t="str">
        <f t="shared" si="0"/>
        <v>FS Cattle MMCH4</v>
      </c>
      <c r="B19" s="95" t="s">
        <v>1004</v>
      </c>
      <c r="C19" s="95" t="s">
        <v>1229</v>
      </c>
      <c r="D19" t="s">
        <v>15</v>
      </c>
      <c r="E19" t="s">
        <v>22</v>
      </c>
      <c r="F19" t="s">
        <v>6</v>
      </c>
      <c r="G19" t="s">
        <v>137</v>
      </c>
      <c r="H19" t="s">
        <v>1227</v>
      </c>
      <c r="I19" t="s">
        <v>121</v>
      </c>
      <c r="J19" t="s">
        <v>286</v>
      </c>
      <c r="K19" s="27">
        <f t="shared" si="7"/>
        <v>2.0944490884992821</v>
      </c>
      <c r="L19" s="27">
        <f t="shared" si="8"/>
        <v>2.1061581299686476</v>
      </c>
      <c r="M19" s="27">
        <f t="shared" si="8"/>
        <v>2.1227712545548472</v>
      </c>
      <c r="N19" s="27">
        <f t="shared" si="8"/>
        <v>2.1334469567638776</v>
      </c>
      <c r="O19" s="27">
        <f t="shared" si="8"/>
        <v>2.1405410097083362</v>
      </c>
      <c r="P19" s="27">
        <f t="shared" si="8"/>
        <v>2.1439835920667925</v>
      </c>
      <c r="Q19" s="27">
        <f t="shared" si="8"/>
        <v>2.151589537694508</v>
      </c>
      <c r="R19" s="27">
        <f t="shared" si="8"/>
        <v>2.1603148348588097</v>
      </c>
      <c r="S19" s="27">
        <f t="shared" si="8"/>
        <v>2.0989303407289799</v>
      </c>
      <c r="T19" s="27">
        <f t="shared" si="8"/>
        <v>2.1350454097797478</v>
      </c>
      <c r="U19" s="27">
        <f t="shared" si="8"/>
        <v>3.6735163718057389</v>
      </c>
      <c r="V19" s="27">
        <f t="shared" si="8"/>
        <v>3.7177988970450366</v>
      </c>
      <c r="W19" s="27">
        <f t="shared" si="8"/>
        <v>3.7601390823815941</v>
      </c>
      <c r="X19" s="27">
        <f t="shared" si="8"/>
        <v>3.7998167306081263</v>
      </c>
      <c r="Y19" s="27">
        <f t="shared" si="8"/>
        <v>3.8357722408349422</v>
      </c>
      <c r="Z19" s="27">
        <f t="shared" si="8"/>
        <v>3.8678377000200475</v>
      </c>
      <c r="AA19" s="27">
        <f t="shared" si="8"/>
        <v>3.8958263099383315</v>
      </c>
      <c r="AB19" s="27">
        <f t="shared" si="8"/>
        <v>3.919596691897838</v>
      </c>
      <c r="AC19" s="27">
        <f t="shared" si="8"/>
        <v>3.9390367225635514</v>
      </c>
      <c r="AD19" s="27">
        <f t="shared" si="8"/>
        <v>3.9540285351128004</v>
      </c>
      <c r="AE19" s="27">
        <f t="shared" si="8"/>
        <v>3.9645015672826429</v>
      </c>
      <c r="AF19" s="27">
        <f t="shared" si="8"/>
        <v>3.9703881342158924</v>
      </c>
      <c r="AG19" s="27">
        <f t="shared" si="8"/>
        <v>3.9716228439525687</v>
      </c>
      <c r="AH19" s="27">
        <f t="shared" si="8"/>
        <v>3.9681937546645596</v>
      </c>
      <c r="AI19" s="27">
        <f t="shared" si="8"/>
        <v>3.9601203884617591</v>
      </c>
      <c r="AJ19" s="27">
        <f t="shared" si="8"/>
        <v>1.2529136109065901</v>
      </c>
      <c r="AK19" s="27">
        <f t="shared" si="8"/>
        <v>1.2538282168163573</v>
      </c>
      <c r="AL19" s="27">
        <f t="shared" si="8"/>
        <v>1.2546769833546632</v>
      </c>
      <c r="AM19" s="27">
        <f t="shared" si="8"/>
        <v>1.2554656521347973</v>
      </c>
      <c r="AN19" s="27">
        <f t="shared" si="8"/>
        <v>1.2562012956210231</v>
      </c>
      <c r="AO19" s="27">
        <f t="shared" si="8"/>
        <v>1.2568608255379636</v>
      </c>
      <c r="AP19" s="27">
        <f t="shared" si="8"/>
        <v>1.2574287372199238</v>
      </c>
      <c r="AQ19" s="27">
        <f t="shared" si="8"/>
        <v>1.257902544311023</v>
      </c>
      <c r="AR19" s="27">
        <f t="shared" si="8"/>
        <v>1.2582646545784513</v>
      </c>
      <c r="AS19" s="27">
        <f t="shared" si="8"/>
        <v>1.2584959683583183</v>
      </c>
      <c r="AT19" s="27">
        <f t="shared" si="8"/>
        <v>1.2585941265757443</v>
      </c>
      <c r="AU19" s="27">
        <f t="shared" si="8"/>
        <v>1.2585618421043605</v>
      </c>
      <c r="AV19" s="27">
        <f t="shared" si="8"/>
        <v>1.2584010068605544</v>
      </c>
      <c r="AW19" s="27">
        <f t="shared" si="8"/>
        <v>1.2580936565868464</v>
      </c>
      <c r="AY19" s="79"/>
    </row>
    <row r="20" spans="1:51" x14ac:dyDescent="0.25">
      <c r="A20" s="95" t="str">
        <f t="shared" si="0"/>
        <v>FS Cattle MMCH4</v>
      </c>
      <c r="B20" s="95" t="s">
        <v>1004</v>
      </c>
      <c r="C20" s="95" t="s">
        <v>1229</v>
      </c>
      <c r="D20" t="s">
        <v>15</v>
      </c>
      <c r="E20" t="s">
        <v>22</v>
      </c>
      <c r="F20" t="s">
        <v>67</v>
      </c>
      <c r="G20" t="s">
        <v>307</v>
      </c>
      <c r="H20" t="s">
        <v>1227</v>
      </c>
      <c r="I20" t="s">
        <v>121</v>
      </c>
      <c r="J20" t="s">
        <v>286</v>
      </c>
      <c r="K20" s="27">
        <f t="shared" si="7"/>
        <v>0.43258377187145641</v>
      </c>
      <c r="L20" s="27">
        <f t="shared" si="8"/>
        <v>0.43500213637199753</v>
      </c>
      <c r="M20" s="27">
        <f t="shared" si="8"/>
        <v>0.43843338143569016</v>
      </c>
      <c r="N20" s="27">
        <f t="shared" si="8"/>
        <v>0.44063832189202168</v>
      </c>
      <c r="O20" s="27">
        <f t="shared" si="8"/>
        <v>0.44210351490980404</v>
      </c>
      <c r="P20" s="27">
        <f t="shared" si="8"/>
        <v>0.44281453971808249</v>
      </c>
      <c r="Q20" s="27">
        <f t="shared" si="8"/>
        <v>0.44438545813589125</v>
      </c>
      <c r="R20" s="27">
        <f t="shared" si="8"/>
        <v>0.44618756541973903</v>
      </c>
      <c r="S20" s="27">
        <f t="shared" si="8"/>
        <v>0.43350932169879508</v>
      </c>
      <c r="T20" s="27">
        <f t="shared" si="8"/>
        <v>0.44096846352141772</v>
      </c>
      <c r="U20" s="27">
        <f t="shared" si="8"/>
        <v>0.75872150670699801</v>
      </c>
      <c r="V20" s="27">
        <f t="shared" si="8"/>
        <v>0.76786754033521754</v>
      </c>
      <c r="W20" s="27">
        <f t="shared" si="8"/>
        <v>0.77661240655096708</v>
      </c>
      <c r="X20" s="27">
        <f t="shared" si="8"/>
        <v>0.78480735711007588</v>
      </c>
      <c r="Y20" s="27">
        <f t="shared" si="8"/>
        <v>0.79223354393833789</v>
      </c>
      <c r="Z20" s="27">
        <f t="shared" si="8"/>
        <v>0.79885628657612706</v>
      </c>
      <c r="AA20" s="27">
        <f t="shared" si="8"/>
        <v>0.80463700405184546</v>
      </c>
      <c r="AB20" s="27">
        <f t="shared" si="8"/>
        <v>0.80954649626310582</v>
      </c>
      <c r="AC20" s="27">
        <f t="shared" si="8"/>
        <v>0.81356160545666301</v>
      </c>
      <c r="AD20" s="27">
        <f t="shared" si="8"/>
        <v>0.81665798762959563</v>
      </c>
      <c r="AE20" s="27">
        <f t="shared" si="8"/>
        <v>0.81882106897821283</v>
      </c>
      <c r="AF20" s="27">
        <f t="shared" si="8"/>
        <v>0.82003686999306757</v>
      </c>
      <c r="AG20" s="27">
        <f t="shared" si="8"/>
        <v>0.82029188473560344</v>
      </c>
      <c r="AH20" s="27">
        <f t="shared" si="8"/>
        <v>0.81958364676198259</v>
      </c>
      <c r="AI20" s="27">
        <f t="shared" si="8"/>
        <v>0.81791618813389544</v>
      </c>
      <c r="AJ20" s="27">
        <f t="shared" si="8"/>
        <v>0.2587745381881813</v>
      </c>
      <c r="AK20" s="27">
        <f t="shared" si="8"/>
        <v>0.25896343925834608</v>
      </c>
      <c r="AL20" s="27">
        <f t="shared" si="8"/>
        <v>0.25913874198238679</v>
      </c>
      <c r="AM20" s="27">
        <f t="shared" si="8"/>
        <v>0.25930163222285196</v>
      </c>
      <c r="AN20" s="27">
        <f t="shared" si="8"/>
        <v>0.25945357071387171</v>
      </c>
      <c r="AO20" s="27">
        <f t="shared" si="8"/>
        <v>0.25958978884430933</v>
      </c>
      <c r="AP20" s="27">
        <f t="shared" si="8"/>
        <v>0.25970708430821976</v>
      </c>
      <c r="AQ20" s="27">
        <f t="shared" si="8"/>
        <v>0.25980494357810247</v>
      </c>
      <c r="AR20" s="27">
        <f t="shared" si="8"/>
        <v>0.25987973318563101</v>
      </c>
      <c r="AS20" s="27">
        <f t="shared" si="8"/>
        <v>0.25992750832035744</v>
      </c>
      <c r="AT20" s="27">
        <f t="shared" si="8"/>
        <v>0.2599477817431719</v>
      </c>
      <c r="AU20" s="27">
        <f t="shared" si="8"/>
        <v>0.25994111376614593</v>
      </c>
      <c r="AV20" s="27">
        <f t="shared" si="8"/>
        <v>0.25990789514230944</v>
      </c>
      <c r="AW20" s="27">
        <f t="shared" si="8"/>
        <v>0.2598444155660255</v>
      </c>
      <c r="AY20" s="79"/>
    </row>
    <row r="21" spans="1:51" x14ac:dyDescent="0.25">
      <c r="A21" s="95" t="str">
        <f t="shared" si="0"/>
        <v>FS Cattle MMCH4</v>
      </c>
      <c r="B21" s="95" t="s">
        <v>1004</v>
      </c>
      <c r="C21" s="95" t="s">
        <v>1229</v>
      </c>
      <c r="D21" t="s">
        <v>15</v>
      </c>
      <c r="E21" t="s">
        <v>22</v>
      </c>
      <c r="F21" t="s">
        <v>67</v>
      </c>
      <c r="G21" t="s">
        <v>122</v>
      </c>
      <c r="H21" t="s">
        <v>1227</v>
      </c>
      <c r="I21" t="s">
        <v>121</v>
      </c>
      <c r="J21" t="s">
        <v>286</v>
      </c>
      <c r="K21" s="27">
        <f t="shared" si="7"/>
        <v>9.4871637196006525E-2</v>
      </c>
      <c r="L21" s="27">
        <f t="shared" si="8"/>
        <v>9.4048845784615531E-2</v>
      </c>
      <c r="M21" s="27">
        <f t="shared" si="8"/>
        <v>9.3735634002294232E-2</v>
      </c>
      <c r="N21" s="27">
        <f t="shared" si="8"/>
        <v>9.2483917307495112E-2</v>
      </c>
      <c r="O21" s="27">
        <f t="shared" si="8"/>
        <v>9.0667019955957343E-2</v>
      </c>
      <c r="P21" s="27">
        <f t="shared" si="8"/>
        <v>8.8322512540543879E-2</v>
      </c>
      <c r="Q21" s="27">
        <f t="shared" si="8"/>
        <v>8.6473330972337878E-2</v>
      </c>
      <c r="R21" s="27">
        <f t="shared" si="8"/>
        <v>8.4723794986300269E-2</v>
      </c>
      <c r="S21" s="27">
        <f t="shared" si="8"/>
        <v>7.5770078702790261E-2</v>
      </c>
      <c r="T21" s="27">
        <f t="shared" si="8"/>
        <v>7.8689269579177143E-2</v>
      </c>
      <c r="U21" s="27">
        <f t="shared" si="8"/>
        <v>0.24800462804394147</v>
      </c>
      <c r="V21" s="27">
        <f t="shared" si="8"/>
        <v>0.24920084841283532</v>
      </c>
      <c r="W21" s="27">
        <f t="shared" si="8"/>
        <v>0.24996642649158854</v>
      </c>
      <c r="X21" s="27">
        <f t="shared" si="8"/>
        <v>0.2503012063466436</v>
      </c>
      <c r="Y21" s="27">
        <f t="shared" si="8"/>
        <v>0.25021227988125561</v>
      </c>
      <c r="Z21" s="27">
        <f t="shared" si="8"/>
        <v>0.2496953846333905</v>
      </c>
      <c r="AA21" s="27">
        <f t="shared" si="8"/>
        <v>0.24874925442521903</v>
      </c>
      <c r="AB21" s="27">
        <f t="shared" si="8"/>
        <v>0.24737467209164213</v>
      </c>
      <c r="AC21" s="27">
        <f t="shared" si="8"/>
        <v>0.24557472852149176</v>
      </c>
      <c r="AD21" s="27">
        <f t="shared" si="8"/>
        <v>0.24131030034343104</v>
      </c>
      <c r="AE21" s="27">
        <f t="shared" si="8"/>
        <v>0.23664419000405892</v>
      </c>
      <c r="AF21" s="27">
        <f t="shared" si="8"/>
        <v>0.23159736326339173</v>
      </c>
      <c r="AG21" s="27">
        <f t="shared" si="8"/>
        <v>0.22619316818810492</v>
      </c>
      <c r="AH21" s="27">
        <f t="shared" si="8"/>
        <v>0.22045646078746098</v>
      </c>
      <c r="AI21" s="27">
        <f t="shared" si="8"/>
        <v>0.21441370915210514</v>
      </c>
      <c r="AJ21" s="27">
        <f t="shared" si="8"/>
        <v>-1.6555567081653722E-2</v>
      </c>
      <c r="AK21" s="27">
        <f t="shared" si="8"/>
        <v>-1.6156956868356984E-2</v>
      </c>
      <c r="AL21" s="27">
        <f t="shared" si="8"/>
        <v>-1.5762493990911713E-2</v>
      </c>
      <c r="AM21" s="27">
        <f t="shared" si="8"/>
        <v>-1.5372137708578686E-2</v>
      </c>
      <c r="AN21" s="27">
        <f t="shared" si="8"/>
        <v>-1.5062322238181812E-2</v>
      </c>
      <c r="AO21" s="27">
        <f t="shared" si="8"/>
        <v>-1.4755445706367474E-2</v>
      </c>
      <c r="AP21" s="27">
        <f t="shared" si="8"/>
        <v>-1.4451279866976845E-2</v>
      </c>
      <c r="AQ21" s="27">
        <f t="shared" si="8"/>
        <v>-1.4149749376213728E-2</v>
      </c>
      <c r="AR21" s="27">
        <f t="shared" si="8"/>
        <v>-1.3850633785054411E-2</v>
      </c>
      <c r="AS21" s="27">
        <f t="shared" si="8"/>
        <v>-1.3553717207866358E-2</v>
      </c>
      <c r="AT21" s="27">
        <f t="shared" si="8"/>
        <v>-1.3258964972152997E-2</v>
      </c>
      <c r="AU21" s="27">
        <f t="shared" si="8"/>
        <v>-1.296639528808627E-2</v>
      </c>
      <c r="AV21" s="27">
        <f t="shared" si="8"/>
        <v>-1.26760193266456E-2</v>
      </c>
      <c r="AW21" s="27">
        <f t="shared" si="8"/>
        <v>-1.2387670307042478E-2</v>
      </c>
      <c r="AY21" s="79"/>
    </row>
    <row r="22" spans="1:51" x14ac:dyDescent="0.25">
      <c r="A22" s="95" t="str">
        <f t="shared" si="0"/>
        <v>FS Cattle MMCH4</v>
      </c>
      <c r="B22" s="95" t="s">
        <v>1004</v>
      </c>
      <c r="C22" s="95" t="s">
        <v>1229</v>
      </c>
      <c r="D22" t="s">
        <v>15</v>
      </c>
      <c r="E22" t="s">
        <v>22</v>
      </c>
      <c r="F22" t="s">
        <v>67</v>
      </c>
      <c r="G22" t="s">
        <v>123</v>
      </c>
      <c r="H22" t="s">
        <v>1227</v>
      </c>
      <c r="I22" t="s">
        <v>121</v>
      </c>
      <c r="J22" t="s">
        <v>286</v>
      </c>
      <c r="K22" s="27">
        <f t="shared" si="7"/>
        <v>6.968944973410629E-2</v>
      </c>
      <c r="L22" s="27">
        <f t="shared" si="8"/>
        <v>6.908505539244103E-2</v>
      </c>
      <c r="M22" s="27">
        <f t="shared" si="8"/>
        <v>6.8854980763127779E-2</v>
      </c>
      <c r="N22" s="27">
        <f t="shared" si="8"/>
        <v>6.7935512624264296E-2</v>
      </c>
      <c r="O22" s="27">
        <f t="shared" si="8"/>
        <v>6.660088216573827E-2</v>
      </c>
      <c r="P22" s="27">
        <f t="shared" si="8"/>
        <v>6.487868745605771E-2</v>
      </c>
      <c r="Q22" s="27">
        <f t="shared" si="8"/>
        <v>6.3520342119606055E-2</v>
      </c>
      <c r="R22" s="27">
        <f t="shared" si="8"/>
        <v>6.2235193009075984E-2</v>
      </c>
      <c r="S22" s="27">
        <f t="shared" si="8"/>
        <v>5.5658100220174651E-2</v>
      </c>
      <c r="T22" s="27">
        <f t="shared" si="8"/>
        <v>5.7802437683476982E-2</v>
      </c>
      <c r="U22" s="27">
        <f t="shared" si="8"/>
        <v>0.182175690972702</v>
      </c>
      <c r="V22" s="27">
        <f t="shared" si="8"/>
        <v>0.18305439341457844</v>
      </c>
      <c r="W22" s="27">
        <f t="shared" si="8"/>
        <v>0.18361676080501965</v>
      </c>
      <c r="X22" s="27">
        <f t="shared" si="8"/>
        <v>0.18386267860058431</v>
      </c>
      <c r="Y22" s="27">
        <f t="shared" si="8"/>
        <v>0.18379735627008756</v>
      </c>
      <c r="Z22" s="27">
        <f t="shared" si="8"/>
        <v>0.18341766275515989</v>
      </c>
      <c r="AA22" s="27">
        <f t="shared" si="8"/>
        <v>0.18272266796500922</v>
      </c>
      <c r="AB22" s="27">
        <f t="shared" si="8"/>
        <v>0.18171294694329559</v>
      </c>
      <c r="AC22" s="27">
        <f t="shared" si="8"/>
        <v>0.1803907701509096</v>
      </c>
      <c r="AD22" s="27">
        <f t="shared" si="8"/>
        <v>0.17725826751953122</v>
      </c>
      <c r="AE22" s="27">
        <f t="shared" si="8"/>
        <v>0.17383070295376282</v>
      </c>
      <c r="AF22" s="27">
        <f t="shared" si="8"/>
        <v>0.17012347718159837</v>
      </c>
      <c r="AG22" s="27">
        <f t="shared" si="8"/>
        <v>0.16615374089176904</v>
      </c>
      <c r="AH22" s="27">
        <f t="shared" si="8"/>
        <v>0.16193975245589462</v>
      </c>
      <c r="AI22" s="27">
        <f t="shared" si="8"/>
        <v>0.1575009544252694</v>
      </c>
      <c r="AJ22" s="27">
        <f t="shared" si="8"/>
        <v>-1.2161151573392443E-2</v>
      </c>
      <c r="AK22" s="27">
        <f t="shared" si="8"/>
        <v>-1.1868346186618603E-2</v>
      </c>
      <c r="AL22" s="27">
        <f t="shared" si="8"/>
        <v>-1.1578587290470338E-2</v>
      </c>
      <c r="AM22" s="27">
        <f t="shared" si="8"/>
        <v>-1.1291844958198401E-2</v>
      </c>
      <c r="AN22" s="27">
        <f t="shared" si="8"/>
        <v>-1.1064265143100825E-2</v>
      </c>
      <c r="AO22" s="27">
        <f t="shared" si="8"/>
        <v>-1.0838844171453966E-2</v>
      </c>
      <c r="AP22" s="27">
        <f t="shared" si="8"/>
        <v>-1.0615414381460443E-2</v>
      </c>
      <c r="AQ22" s="27">
        <f t="shared" si="8"/>
        <v>-1.039392042815254E-2</v>
      </c>
      <c r="AR22" s="27">
        <f t="shared" si="8"/>
        <v>-1.017420037724082E-2</v>
      </c>
      <c r="AS22" s="27">
        <f t="shared" si="8"/>
        <v>-9.956095646546443E-3</v>
      </c>
      <c r="AT22" s="27">
        <f t="shared" si="8"/>
        <v>-9.739580766843E-3</v>
      </c>
      <c r="AU22" s="27">
        <f t="shared" si="8"/>
        <v>-9.5246691146980388E-3</v>
      </c>
      <c r="AV22" s="27">
        <f t="shared" si="8"/>
        <v>-9.3113688959297666E-3</v>
      </c>
      <c r="AW22" s="27">
        <f t="shared" si="8"/>
        <v>-9.0995575990930264E-3</v>
      </c>
      <c r="AY22" s="79"/>
    </row>
    <row r="23" spans="1:51" x14ac:dyDescent="0.25">
      <c r="A23" s="95" t="str">
        <f t="shared" si="0"/>
        <v>FS Cattle MMCH4</v>
      </c>
      <c r="B23" s="95" t="s">
        <v>1004</v>
      </c>
      <c r="C23" s="95" t="s">
        <v>1229</v>
      </c>
      <c r="D23" t="s">
        <v>15</v>
      </c>
      <c r="E23" t="s">
        <v>22</v>
      </c>
      <c r="F23" t="s">
        <v>67</v>
      </c>
      <c r="G23" t="s">
        <v>135</v>
      </c>
      <c r="H23" t="s">
        <v>1227</v>
      </c>
      <c r="I23" t="s">
        <v>121</v>
      </c>
      <c r="J23" t="s">
        <v>286</v>
      </c>
      <c r="K23" s="27">
        <f t="shared" si="7"/>
        <v>0.47107022937833831</v>
      </c>
      <c r="L23" s="27">
        <f t="shared" si="8"/>
        <v>0.48695387967725956</v>
      </c>
      <c r="M23" s="27">
        <f t="shared" si="8"/>
        <v>0.50580611066616787</v>
      </c>
      <c r="N23" s="27">
        <f t="shared" si="8"/>
        <v>0.51986569055899423</v>
      </c>
      <c r="O23" s="27">
        <f t="shared" si="8"/>
        <v>0.5307082628613855</v>
      </c>
      <c r="P23" s="27">
        <f t="shared" si="8"/>
        <v>0.53817886796858139</v>
      </c>
      <c r="Q23" s="27">
        <f t="shared" si="8"/>
        <v>0.54837935702304763</v>
      </c>
      <c r="R23" s="27">
        <f t="shared" si="8"/>
        <v>0.55907244781022658</v>
      </c>
      <c r="S23" s="27">
        <f t="shared" si="8"/>
        <v>0.52019632078645839</v>
      </c>
      <c r="T23" s="27">
        <f t="shared" si="8"/>
        <v>0.55325369057346974</v>
      </c>
      <c r="U23" s="27">
        <f t="shared" si="8"/>
        <v>1.7851204886019707</v>
      </c>
      <c r="V23" s="27">
        <f t="shared" si="8"/>
        <v>1.8358114551753451</v>
      </c>
      <c r="W23" s="27">
        <f t="shared" si="8"/>
        <v>1.8841429870431068</v>
      </c>
      <c r="X23" s="27">
        <f t="shared" si="8"/>
        <v>1.9299293707853407</v>
      </c>
      <c r="Y23" s="27">
        <f t="shared" si="8"/>
        <v>1.9730360139075687</v>
      </c>
      <c r="Z23" s="27">
        <f t="shared" si="8"/>
        <v>2.0132355560309785</v>
      </c>
      <c r="AA23" s="27">
        <f t="shared" si="8"/>
        <v>2.0503157854688139</v>
      </c>
      <c r="AB23" s="27">
        <f t="shared" si="8"/>
        <v>2.0840739423253991</v>
      </c>
      <c r="AC23" s="27">
        <f t="shared" si="8"/>
        <v>2.1143204533767861</v>
      </c>
      <c r="AD23" s="27">
        <f t="shared" si="8"/>
        <v>2.1465040938299391</v>
      </c>
      <c r="AE23" s="27">
        <f t="shared" si="8"/>
        <v>2.1749393600032643</v>
      </c>
      <c r="AF23" s="27">
        <f t="shared" si="8"/>
        <v>2.1994598063034698</v>
      </c>
      <c r="AG23" s="27">
        <f t="shared" si="8"/>
        <v>2.2199209490040412</v>
      </c>
      <c r="AH23" s="27">
        <f t="shared" si="8"/>
        <v>2.2361952396921123</v>
      </c>
      <c r="AI23" s="27">
        <f t="shared" si="8"/>
        <v>2.2481759568184136</v>
      </c>
      <c r="AJ23" s="27">
        <f t="shared" si="8"/>
        <v>-0.17946652232513363</v>
      </c>
      <c r="AK23" s="27">
        <f t="shared" si="8"/>
        <v>-0.18110907611543389</v>
      </c>
      <c r="AL23" s="27">
        <f t="shared" si="8"/>
        <v>-0.18274076856651822</v>
      </c>
      <c r="AM23" s="27">
        <f t="shared" si="8"/>
        <v>-0.18436241238183759</v>
      </c>
      <c r="AN23" s="27">
        <f t="shared" si="8"/>
        <v>-0.18574369682883446</v>
      </c>
      <c r="AO23" s="27">
        <f t="shared" si="8"/>
        <v>-0.18711116954081883</v>
      </c>
      <c r="AP23" s="27">
        <f t="shared" si="8"/>
        <v>-0.18846273754694579</v>
      </c>
      <c r="AQ23" s="27">
        <f t="shared" ref="L23:AW30" si="9">AQ1398</f>
        <v>-0.18979802913484242</v>
      </c>
      <c r="AR23" s="27">
        <f t="shared" si="9"/>
        <v>-0.19111455281570203</v>
      </c>
      <c r="AS23" s="27">
        <f t="shared" si="9"/>
        <v>-0.19240952741879389</v>
      </c>
      <c r="AT23" s="27">
        <f t="shared" si="9"/>
        <v>-0.19368244494387601</v>
      </c>
      <c r="AU23" s="27">
        <f t="shared" si="9"/>
        <v>-0.19493349782495742</v>
      </c>
      <c r="AV23" s="27">
        <f t="shared" si="9"/>
        <v>-0.19616276303602645</v>
      </c>
      <c r="AW23" s="27">
        <f t="shared" si="9"/>
        <v>-0.19736746528407936</v>
      </c>
      <c r="AY23" s="79"/>
    </row>
    <row r="24" spans="1:51" x14ac:dyDescent="0.25">
      <c r="A24" s="95" t="str">
        <f t="shared" si="0"/>
        <v>FS Sheep MMCH4</v>
      </c>
      <c r="B24" s="95" t="s">
        <v>1004</v>
      </c>
      <c r="C24" s="95" t="s">
        <v>1324</v>
      </c>
      <c r="D24" t="s">
        <v>15</v>
      </c>
      <c r="E24" t="s">
        <v>22</v>
      </c>
      <c r="F24" t="s">
        <v>18</v>
      </c>
      <c r="G24" t="s">
        <v>122</v>
      </c>
      <c r="H24" t="s">
        <v>1227</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3.6578192116978575E-2</v>
      </c>
      <c r="T24" s="27">
        <f t="shared" si="9"/>
        <v>3.6602536457524273E-2</v>
      </c>
      <c r="U24" s="27">
        <f t="shared" si="9"/>
        <v>3.7079287706665597E-2</v>
      </c>
      <c r="V24" s="27">
        <f t="shared" si="9"/>
        <v>3.7090917681294085E-2</v>
      </c>
      <c r="W24" s="27">
        <f t="shared" si="9"/>
        <v>3.7140664601717173E-2</v>
      </c>
      <c r="X24" s="27">
        <f t="shared" si="9"/>
        <v>3.7212574982641126E-2</v>
      </c>
      <c r="Y24" s="27">
        <f t="shared" si="9"/>
        <v>3.7279377262220796E-2</v>
      </c>
      <c r="Z24" s="27">
        <f t="shared" si="9"/>
        <v>3.7341898542443672E-2</v>
      </c>
      <c r="AA24" s="27">
        <f t="shared" si="9"/>
        <v>3.7399805431240309E-2</v>
      </c>
      <c r="AB24" s="27">
        <f t="shared" si="9"/>
        <v>3.7453619674437284E-2</v>
      </c>
      <c r="AC24" s="27">
        <f t="shared" si="9"/>
        <v>3.7504157579295157E-2</v>
      </c>
      <c r="AD24" s="27">
        <f t="shared" si="9"/>
        <v>3.755137152744302E-2</v>
      </c>
      <c r="AE24" s="27">
        <f t="shared" si="9"/>
        <v>3.7596016682571363E-2</v>
      </c>
      <c r="AF24" s="27">
        <f t="shared" si="9"/>
        <v>3.7638201115333593E-2</v>
      </c>
      <c r="AG24" s="27">
        <f t="shared" si="9"/>
        <v>3.7677346639447794E-2</v>
      </c>
      <c r="AH24" s="27">
        <f t="shared" si="9"/>
        <v>3.7713811349129885E-2</v>
      </c>
      <c r="AI24" s="27">
        <f t="shared" si="9"/>
        <v>3.7748176979043722E-2</v>
      </c>
      <c r="AJ24" s="27">
        <f t="shared" si="9"/>
        <v>3.6919749367433322E-2</v>
      </c>
      <c r="AK24" s="27">
        <f t="shared" si="9"/>
        <v>3.6953700421728228E-2</v>
      </c>
      <c r="AL24" s="27">
        <f t="shared" si="9"/>
        <v>3.6985368016573254E-2</v>
      </c>
      <c r="AM24" s="27">
        <f t="shared" si="9"/>
        <v>3.7014945688034803E-2</v>
      </c>
      <c r="AN24" s="27">
        <f t="shared" si="9"/>
        <v>3.7042668702165847E-2</v>
      </c>
      <c r="AO24" s="27">
        <f t="shared" si="9"/>
        <v>3.7067807831001554E-2</v>
      </c>
      <c r="AP24" s="27">
        <f t="shared" si="9"/>
        <v>3.7089876088168584E-2</v>
      </c>
      <c r="AQ24" s="27">
        <f t="shared" si="9"/>
        <v>3.710880214511815E-2</v>
      </c>
      <c r="AR24" s="27">
        <f t="shared" si="9"/>
        <v>3.7124031819377158E-2</v>
      </c>
      <c r="AS24" s="27">
        <f t="shared" si="9"/>
        <v>3.7134962729756575E-2</v>
      </c>
      <c r="AT24" s="27">
        <f t="shared" si="9"/>
        <v>3.7141526945573433E-2</v>
      </c>
      <c r="AU24" s="27">
        <f t="shared" si="9"/>
        <v>3.7143818098984892E-2</v>
      </c>
      <c r="AV24" s="27">
        <f t="shared" si="9"/>
        <v>3.7141903206885624E-2</v>
      </c>
      <c r="AW24" s="27">
        <f t="shared" si="9"/>
        <v>3.7135215292227401E-2</v>
      </c>
      <c r="AY24" s="79"/>
    </row>
    <row r="25" spans="1:51" x14ac:dyDescent="0.25">
      <c r="A25" s="95" t="str">
        <f t="shared" si="0"/>
        <v>FS Sheep MMCH4</v>
      </c>
      <c r="B25" s="95" t="s">
        <v>1004</v>
      </c>
      <c r="C25" s="95" t="s">
        <v>1324</v>
      </c>
      <c r="D25" t="s">
        <v>15</v>
      </c>
      <c r="E25" t="s">
        <v>22</v>
      </c>
      <c r="F25" t="s">
        <v>18</v>
      </c>
      <c r="G25" t="s">
        <v>123</v>
      </c>
      <c r="H25" t="s">
        <v>1227</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4.1774038907199012E-3</v>
      </c>
      <c r="T25" s="27">
        <f t="shared" si="9"/>
        <v>4.1801841304481904E-3</v>
      </c>
      <c r="U25" s="27">
        <f t="shared" si="9"/>
        <v>4.2346313955480986E-3</v>
      </c>
      <c r="V25" s="27">
        <f t="shared" si="9"/>
        <v>4.2359595940852672E-3</v>
      </c>
      <c r="W25" s="27">
        <f t="shared" si="9"/>
        <v>4.24164092951765E-3</v>
      </c>
      <c r="X25" s="27">
        <f t="shared" si="9"/>
        <v>4.2498534377819787E-3</v>
      </c>
      <c r="Y25" s="27">
        <f t="shared" si="9"/>
        <v>4.2574825765248842E-3</v>
      </c>
      <c r="Z25" s="27">
        <f t="shared" si="9"/>
        <v>4.2646228047357425E-3</v>
      </c>
      <c r="AA25" s="27">
        <f t="shared" si="9"/>
        <v>4.2712360474510998E-3</v>
      </c>
      <c r="AB25" s="27">
        <f t="shared" si="9"/>
        <v>4.2773818905312679E-3</v>
      </c>
      <c r="AC25" s="27">
        <f t="shared" si="9"/>
        <v>4.2831535601563532E-3</v>
      </c>
      <c r="AD25" s="27">
        <f t="shared" si="9"/>
        <v>4.2885456180814241E-3</v>
      </c>
      <c r="AE25" s="27">
        <f t="shared" si="9"/>
        <v>4.2936443075994434E-3</v>
      </c>
      <c r="AF25" s="27">
        <f t="shared" si="9"/>
        <v>4.2984619708941515E-3</v>
      </c>
      <c r="AG25" s="27">
        <f t="shared" si="9"/>
        <v>4.3029325763362138E-3</v>
      </c>
      <c r="AH25" s="27">
        <f t="shared" si="9"/>
        <v>4.3070970199919519E-3</v>
      </c>
      <c r="AI25" s="27">
        <f t="shared" si="9"/>
        <v>4.3110217387328335E-3</v>
      </c>
      <c r="AJ25" s="27">
        <f t="shared" si="9"/>
        <v>4.2164113567638812E-3</v>
      </c>
      <c r="AK25" s="27">
        <f t="shared" si="9"/>
        <v>4.2202887289929962E-3</v>
      </c>
      <c r="AL25" s="27">
        <f t="shared" si="9"/>
        <v>4.2239053192687616E-3</v>
      </c>
      <c r="AM25" s="27">
        <f t="shared" si="9"/>
        <v>4.2272832303324572E-3</v>
      </c>
      <c r="AN25" s="27">
        <f t="shared" si="9"/>
        <v>4.2304493306887332E-3</v>
      </c>
      <c r="AO25" s="27">
        <f t="shared" si="9"/>
        <v>4.2333203390281212E-3</v>
      </c>
      <c r="AP25" s="27">
        <f t="shared" si="9"/>
        <v>4.235840639185552E-3</v>
      </c>
      <c r="AQ25" s="27">
        <f t="shared" si="9"/>
        <v>4.2380020851007644E-3</v>
      </c>
      <c r="AR25" s="27">
        <f t="shared" si="9"/>
        <v>4.2397413864938057E-3</v>
      </c>
      <c r="AS25" s="27">
        <f t="shared" si="9"/>
        <v>4.2409897485616204E-3</v>
      </c>
      <c r="AT25" s="27">
        <f t="shared" si="9"/>
        <v>4.241739413296421E-3</v>
      </c>
      <c r="AU25" s="27">
        <f t="shared" si="9"/>
        <v>4.2420010739368554E-3</v>
      </c>
      <c r="AV25" s="27">
        <f t="shared" si="9"/>
        <v>4.2417823841317337E-3</v>
      </c>
      <c r="AW25" s="27">
        <f t="shared" si="9"/>
        <v>4.2410185923996346E-3</v>
      </c>
      <c r="AY25" s="79"/>
    </row>
    <row r="26" spans="1:51" x14ac:dyDescent="0.25">
      <c r="A26" s="95" t="str">
        <f t="shared" si="0"/>
        <v>FS Goats MMCH4</v>
      </c>
      <c r="B26" s="95" t="s">
        <v>1004</v>
      </c>
      <c r="C26" s="95" t="s">
        <v>1325</v>
      </c>
      <c r="D26" t="s">
        <v>15</v>
      </c>
      <c r="E26" t="s">
        <v>22</v>
      </c>
      <c r="F26" t="s">
        <v>19</v>
      </c>
      <c r="G26" t="s">
        <v>122</v>
      </c>
      <c r="H26" t="s">
        <v>1227</v>
      </c>
      <c r="I26" t="s">
        <v>121</v>
      </c>
      <c r="J26" t="s">
        <v>286</v>
      </c>
      <c r="K26" s="27">
        <f t="shared" si="7"/>
        <v>1.5789672763163301E-2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1.6230654784419023E-2</v>
      </c>
      <c r="R26" s="27">
        <f t="shared" si="9"/>
        <v>1.6337439810579345E-2</v>
      </c>
      <c r="S26" s="27">
        <f t="shared" si="9"/>
        <v>1.6297600931786334E-2</v>
      </c>
      <c r="T26" s="27">
        <f t="shared" si="9"/>
        <v>1.6324272387083224E-2</v>
      </c>
      <c r="U26" s="27">
        <f t="shared" si="9"/>
        <v>1.6655251261159847E-2</v>
      </c>
      <c r="V26" s="27">
        <f t="shared" si="9"/>
        <v>1.6670204486965774E-2</v>
      </c>
      <c r="W26" s="27">
        <f t="shared" si="9"/>
        <v>1.6709793357794805E-2</v>
      </c>
      <c r="X26" s="27">
        <f t="shared" si="9"/>
        <v>1.6763223659981074E-2</v>
      </c>
      <c r="Y26" s="27">
        <f t="shared" si="9"/>
        <v>1.6812226700055496E-2</v>
      </c>
      <c r="Z26" s="27">
        <f t="shared" si="9"/>
        <v>1.6857450212656173E-2</v>
      </c>
      <c r="AA26" s="27">
        <f t="shared" si="9"/>
        <v>1.6898755484739163E-2</v>
      </c>
      <c r="AB26" s="27">
        <f t="shared" si="9"/>
        <v>1.6936566671667971E-2</v>
      </c>
      <c r="AC26" s="27">
        <f t="shared" si="9"/>
        <v>1.697149382994385E-2</v>
      </c>
      <c r="AD26" s="27">
        <f t="shared" si="9"/>
        <v>1.7003565100315018E-2</v>
      </c>
      <c r="AE26" s="27">
        <f t="shared" si="9"/>
        <v>1.7033334255161247E-2</v>
      </c>
      <c r="AF26" s="27">
        <f t="shared" si="9"/>
        <v>1.7060920227859537E-2</v>
      </c>
      <c r="AG26" s="27">
        <f t="shared" si="9"/>
        <v>1.7085986205962782E-2</v>
      </c>
      <c r="AH26" s="27">
        <f t="shared" si="9"/>
        <v>1.7108809785956688E-2</v>
      </c>
      <c r="AI26" s="27">
        <f t="shared" si="9"/>
        <v>1.712981031401661E-2</v>
      </c>
      <c r="AJ26" s="27">
        <f t="shared" si="9"/>
        <v>1.6586017575220102E-2</v>
      </c>
      <c r="AK26" s="27">
        <f t="shared" si="9"/>
        <v>1.6606977911339412E-2</v>
      </c>
      <c r="AL26" s="27">
        <f t="shared" si="9"/>
        <v>1.6626062012476617E-2</v>
      </c>
      <c r="AM26" s="27">
        <f t="shared" si="9"/>
        <v>1.664342433023323E-2</v>
      </c>
      <c r="AN26" s="27">
        <f t="shared" si="9"/>
        <v>1.6659243730537236E-2</v>
      </c>
      <c r="AO26" s="27">
        <f t="shared" si="9"/>
        <v>1.6673071131631082E-2</v>
      </c>
      <c r="AP26" s="27">
        <f t="shared" si="9"/>
        <v>1.6684616029064781E-2</v>
      </c>
      <c r="AQ26" s="27">
        <f t="shared" si="9"/>
        <v>1.6693857214200334E-2</v>
      </c>
      <c r="AR26" s="27">
        <f t="shared" si="9"/>
        <v>1.6700461030767416E-2</v>
      </c>
      <c r="AS26" s="27">
        <f t="shared" si="9"/>
        <v>1.6704063934453468E-2</v>
      </c>
      <c r="AT26" s="27">
        <f t="shared" si="9"/>
        <v>1.6704647334029751E-2</v>
      </c>
      <c r="AU26" s="27">
        <f t="shared" si="9"/>
        <v>1.6702295489105456E-2</v>
      </c>
      <c r="AV26" s="27">
        <f t="shared" si="9"/>
        <v>1.6697074170612902E-2</v>
      </c>
      <c r="AW26" s="27">
        <f t="shared" si="9"/>
        <v>1.668864228260674E-2</v>
      </c>
      <c r="AY26" s="79"/>
    </row>
    <row r="27" spans="1:51" x14ac:dyDescent="0.25">
      <c r="A27" s="95" t="str">
        <f t="shared" si="0"/>
        <v>FS Goats MMCH4</v>
      </c>
      <c r="B27" s="95" t="s">
        <v>1004</v>
      </c>
      <c r="C27" s="95" t="s">
        <v>1325</v>
      </c>
      <c r="D27" t="s">
        <v>15</v>
      </c>
      <c r="E27" t="s">
        <v>22</v>
      </c>
      <c r="F27" t="s">
        <v>19</v>
      </c>
      <c r="G27" t="s">
        <v>123</v>
      </c>
      <c r="H27" t="s">
        <v>1227</v>
      </c>
      <c r="I27" t="s">
        <v>121</v>
      </c>
      <c r="J27" t="s">
        <v>286</v>
      </c>
      <c r="K27" s="27">
        <f t="shared" si="7"/>
        <v>2.6592218800664803E-2</v>
      </c>
      <c r="L27" s="27">
        <f t="shared" si="9"/>
        <v>2.6661345733624896E-2</v>
      </c>
      <c r="M27" s="27">
        <f t="shared" si="9"/>
        <v>2.6756703894783639E-2</v>
      </c>
      <c r="N27" s="27">
        <f t="shared" si="9"/>
        <v>2.6872875319249701E-2</v>
      </c>
      <c r="O27" s="27">
        <f t="shared" si="9"/>
        <v>2.7009694315810229E-2</v>
      </c>
      <c r="P27" s="27">
        <f t="shared" si="9"/>
        <v>2.7166328132291764E-2</v>
      </c>
      <c r="Q27" s="27">
        <f t="shared" si="9"/>
        <v>2.7334899828466052E-2</v>
      </c>
      <c r="R27" s="27">
        <f t="shared" si="9"/>
        <v>2.7514742110372921E-2</v>
      </c>
      <c r="S27" s="27">
        <f t="shared" si="9"/>
        <v>2.7447647358155608E-2</v>
      </c>
      <c r="T27" s="27">
        <f t="shared" si="9"/>
        <v>2.7492566159553547E-2</v>
      </c>
      <c r="U27" s="27">
        <f t="shared" si="9"/>
        <v>2.8049985098492974E-2</v>
      </c>
      <c r="V27" s="27">
        <f t="shared" si="9"/>
        <v>2.80751686129566E-2</v>
      </c>
      <c r="W27" s="27">
        <f t="shared" si="9"/>
        <v>2.81418423136056E-2</v>
      </c>
      <c r="X27" s="27">
        <f t="shared" si="9"/>
        <v>2.8231827097181202E-2</v>
      </c>
      <c r="Y27" s="27">
        <f t="shared" si="9"/>
        <v>2.8314355695658353E-2</v>
      </c>
      <c r="Z27" s="27">
        <f t="shared" si="9"/>
        <v>2.8390518993026845E-2</v>
      </c>
      <c r="AA27" s="27">
        <f t="shared" si="9"/>
        <v>2.8460083375349849E-2</v>
      </c>
      <c r="AB27" s="27">
        <f t="shared" si="9"/>
        <v>2.8523763184995402E-2</v>
      </c>
      <c r="AC27" s="27">
        <f t="shared" si="9"/>
        <v>2.8582585850220259E-2</v>
      </c>
      <c r="AD27" s="27">
        <f t="shared" si="9"/>
        <v>2.8636598764339351E-2</v>
      </c>
      <c r="AE27" s="27">
        <f t="shared" si="9"/>
        <v>2.8686734564558631E-2</v>
      </c>
      <c r="AF27" s="27">
        <f t="shared" si="9"/>
        <v>2.873319355283693E-2</v>
      </c>
      <c r="AG27" s="27">
        <f t="shared" si="9"/>
        <v>2.8775408485608011E-2</v>
      </c>
      <c r="AH27" s="27">
        <f t="shared" si="9"/>
        <v>2.8813846877721389E-2</v>
      </c>
      <c r="AI27" s="27">
        <f t="shared" si="9"/>
        <v>2.884921497213825E-2</v>
      </c>
      <c r="AJ27" s="27">
        <f t="shared" si="9"/>
        <v>2.7933385004716402E-2</v>
      </c>
      <c r="AK27" s="27">
        <f t="shared" si="9"/>
        <v>2.7968685409771071E-2</v>
      </c>
      <c r="AL27" s="27">
        <f t="shared" si="9"/>
        <v>2.8000825948759214E-2</v>
      </c>
      <c r="AM27" s="27">
        <f t="shared" si="9"/>
        <v>2.8030066741750678E-2</v>
      </c>
      <c r="AN27" s="27">
        <f t="shared" si="9"/>
        <v>2.8056709026267227E-2</v>
      </c>
      <c r="AO27" s="27">
        <f t="shared" si="9"/>
        <v>2.8079996480088933E-2</v>
      </c>
      <c r="AP27" s="27">
        <f t="shared" si="9"/>
        <v>2.8099439849384365E-2</v>
      </c>
      <c r="AQ27" s="27">
        <f t="shared" si="9"/>
        <v>2.8115003415570192E-2</v>
      </c>
      <c r="AR27" s="27">
        <f t="shared" si="9"/>
        <v>2.8126125250563565E-2</v>
      </c>
      <c r="AS27" s="27">
        <f t="shared" si="9"/>
        <v>2.8132193090256906E-2</v>
      </c>
      <c r="AT27" s="27">
        <f t="shared" si="9"/>
        <v>2.8133175624183573E-2</v>
      </c>
      <c r="AU27" s="27">
        <f t="shared" si="9"/>
        <v>2.8129214758385396E-2</v>
      </c>
      <c r="AV27" s="27">
        <f t="shared" si="9"/>
        <v>2.8120421261150549E-2</v>
      </c>
      <c r="AW27" s="27">
        <f t="shared" si="9"/>
        <v>2.8106220674847984E-2</v>
      </c>
      <c r="AY27" s="79"/>
    </row>
    <row r="28" spans="1:51" x14ac:dyDescent="0.25">
      <c r="A28" s="95" t="str">
        <f t="shared" si="0"/>
        <v>FS Horses MMCH4</v>
      </c>
      <c r="B28" s="95" t="s">
        <v>1004</v>
      </c>
      <c r="C28" s="95" t="s">
        <v>1326</v>
      </c>
      <c r="D28" t="s">
        <v>15</v>
      </c>
      <c r="E28" t="s">
        <v>22</v>
      </c>
      <c r="F28" t="s">
        <v>20</v>
      </c>
      <c r="G28" t="s">
        <v>3</v>
      </c>
      <c r="H28" t="s">
        <v>1227</v>
      </c>
      <c r="I28" t="s">
        <v>121</v>
      </c>
      <c r="J28" t="s">
        <v>286</v>
      </c>
      <c r="K28" s="27">
        <f t="shared" si="7"/>
        <v>4.1336182129460552E-3</v>
      </c>
      <c r="L28" s="27">
        <f t="shared" si="9"/>
        <v>4.1536453250924088E-3</v>
      </c>
      <c r="M28" s="27">
        <f t="shared" si="9"/>
        <v>4.1840370126470534E-3</v>
      </c>
      <c r="N28" s="27">
        <f t="shared" si="9"/>
        <v>4.1905340987284578E-3</v>
      </c>
      <c r="O28" s="27">
        <f t="shared" si="9"/>
        <v>4.1812329246154597E-3</v>
      </c>
      <c r="P28" s="27">
        <f t="shared" si="9"/>
        <v>4.1564738854214557E-3</v>
      </c>
      <c r="Q28" s="27">
        <f t="shared" si="9"/>
        <v>4.142746062070715E-3</v>
      </c>
      <c r="R28" s="27">
        <f t="shared" si="9"/>
        <v>4.130408792135833E-3</v>
      </c>
      <c r="S28" s="27">
        <f t="shared" si="9"/>
        <v>3.9465365523139234E-3</v>
      </c>
      <c r="T28" s="27">
        <f t="shared" si="9"/>
        <v>4.0449031054022467E-3</v>
      </c>
      <c r="U28" s="27">
        <f t="shared" si="9"/>
        <v>8.6826637855320493E-3</v>
      </c>
      <c r="V28" s="27">
        <f t="shared" si="9"/>
        <v>8.7938640755687025E-3</v>
      </c>
      <c r="W28" s="27">
        <f t="shared" si="9"/>
        <v>8.8834218995517203E-3</v>
      </c>
      <c r="X28" s="27">
        <f t="shared" si="9"/>
        <v>8.9554975933649264E-3</v>
      </c>
      <c r="Y28" s="27">
        <f t="shared" si="9"/>
        <v>9.018105952641001E-3</v>
      </c>
      <c r="Z28" s="27">
        <f t="shared" si="9"/>
        <v>9.0705357904088645E-3</v>
      </c>
      <c r="AA28" s="27">
        <f t="shared" si="9"/>
        <v>9.1124930520699761E-3</v>
      </c>
      <c r="AB28" s="27">
        <f t="shared" si="9"/>
        <v>9.143466497408213E-3</v>
      </c>
      <c r="AC28" s="27">
        <f t="shared" si="9"/>
        <v>9.1629085267338015E-3</v>
      </c>
      <c r="AD28" s="27">
        <f t="shared" si="9"/>
        <v>9.1706067297579116E-3</v>
      </c>
      <c r="AE28" s="27">
        <f t="shared" si="9"/>
        <v>9.1661590701848112E-3</v>
      </c>
      <c r="AF28" s="27">
        <f t="shared" si="9"/>
        <v>9.149435618350802E-3</v>
      </c>
      <c r="AG28" s="27">
        <f t="shared" si="9"/>
        <v>9.120587540138371E-3</v>
      </c>
      <c r="AH28" s="27">
        <f t="shared" si="9"/>
        <v>9.0795393134023624E-3</v>
      </c>
      <c r="AI28" s="27">
        <f t="shared" si="9"/>
        <v>9.0262176145749634E-3</v>
      </c>
      <c r="AJ28" s="27">
        <f t="shared" si="9"/>
        <v>1.3289120185476511E-3</v>
      </c>
      <c r="AK28" s="27">
        <f t="shared" si="9"/>
        <v>1.3289120185476511E-3</v>
      </c>
      <c r="AL28" s="27">
        <f t="shared" si="9"/>
        <v>1.3289120185476511E-3</v>
      </c>
      <c r="AM28" s="27">
        <f t="shared" si="9"/>
        <v>1.3289120185476511E-3</v>
      </c>
      <c r="AN28" s="27">
        <f t="shared" si="9"/>
        <v>1.3289120185476511E-3</v>
      </c>
      <c r="AO28" s="27">
        <f t="shared" si="9"/>
        <v>1.3289120185476511E-3</v>
      </c>
      <c r="AP28" s="27">
        <f t="shared" si="9"/>
        <v>1.3289120185476511E-3</v>
      </c>
      <c r="AQ28" s="27">
        <f t="shared" si="9"/>
        <v>1.3289120185476511E-3</v>
      </c>
      <c r="AR28" s="27">
        <f t="shared" si="9"/>
        <v>1.3289120185476511E-3</v>
      </c>
      <c r="AS28" s="27">
        <f t="shared" si="9"/>
        <v>1.3289120185476511E-3</v>
      </c>
      <c r="AT28" s="27">
        <f t="shared" si="9"/>
        <v>1.3289120185476511E-3</v>
      </c>
      <c r="AU28" s="27">
        <f t="shared" si="9"/>
        <v>1.3289120185476511E-3</v>
      </c>
      <c r="AV28" s="27">
        <f t="shared" si="9"/>
        <v>1.3289120185476511E-3</v>
      </c>
      <c r="AW28" s="27">
        <f t="shared" si="9"/>
        <v>1.3289120185476511E-3</v>
      </c>
      <c r="AY28" s="79"/>
    </row>
    <row r="29" spans="1:51" x14ac:dyDescent="0.25">
      <c r="A29" s="95" t="str">
        <f t="shared" si="0"/>
        <v>FS Mules MMCH4</v>
      </c>
      <c r="B29" s="95" t="s">
        <v>1004</v>
      </c>
      <c r="C29" s="95" t="s">
        <v>1327</v>
      </c>
      <c r="D29" t="s">
        <v>15</v>
      </c>
      <c r="E29" t="s">
        <v>22</v>
      </c>
      <c r="F29" t="s">
        <v>140</v>
      </c>
      <c r="G29" t="s">
        <v>124</v>
      </c>
      <c r="H29" t="s">
        <v>1227</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25">
      <c r="A30" s="95" t="str">
        <f t="shared" si="0"/>
        <v>FS Swine MMCH4</v>
      </c>
      <c r="B30" s="95" t="s">
        <v>1004</v>
      </c>
      <c r="C30" s="95" t="s">
        <v>1230</v>
      </c>
      <c r="D30" t="s">
        <v>15</v>
      </c>
      <c r="E30" t="s">
        <v>22</v>
      </c>
      <c r="F30" t="s">
        <v>21</v>
      </c>
      <c r="G30" t="s">
        <v>122</v>
      </c>
      <c r="H30" t="s">
        <v>1227</v>
      </c>
      <c r="I30" t="s">
        <v>121</v>
      </c>
      <c r="J30" t="s">
        <v>286</v>
      </c>
      <c r="K30" s="27">
        <f t="shared" si="7"/>
        <v>23.279067868377393</v>
      </c>
      <c r="L30" s="27">
        <f t="shared" si="9"/>
        <v>23.152530650802596</v>
      </c>
      <c r="M30" s="27">
        <f t="shared" si="9"/>
        <v>23.162916433064304</v>
      </c>
      <c r="N30" s="27">
        <f t="shared" si="9"/>
        <v>22.950263110497293</v>
      </c>
      <c r="O30" s="27">
        <f t="shared" si="9"/>
        <v>22.602951186820601</v>
      </c>
      <c r="P30" s="27">
        <f t="shared" si="9"/>
        <v>22.12653281137495</v>
      </c>
      <c r="Q30" s="27">
        <f t="shared" si="9"/>
        <v>21.780600237355962</v>
      </c>
      <c r="R30" s="27">
        <f t="shared" si="9"/>
        <v>21.465278056857681</v>
      </c>
      <c r="S30" s="27">
        <f t="shared" si="9"/>
        <v>19.312832226900145</v>
      </c>
      <c r="T30" s="27">
        <f t="shared" si="9"/>
        <v>20.002458493758922</v>
      </c>
      <c r="U30" s="27">
        <f t="shared" si="9"/>
        <v>63.938225509328625</v>
      </c>
      <c r="V30" s="27">
        <f t="shared" si="9"/>
        <v>64.113496025150383</v>
      </c>
      <c r="W30" s="27">
        <f t="shared" si="9"/>
        <v>64.178228567667873</v>
      </c>
      <c r="X30" s="27">
        <f t="shared" si="9"/>
        <v>64.135343897693133</v>
      </c>
      <c r="Y30" s="27">
        <f t="shared" si="9"/>
        <v>63.991311737388052</v>
      </c>
      <c r="Z30" s="27">
        <f t="shared" si="9"/>
        <v>63.744809060362954</v>
      </c>
      <c r="AA30" s="27">
        <f t="shared" si="9"/>
        <v>63.395481625326759</v>
      </c>
      <c r="AB30" s="27">
        <f t="shared" si="9"/>
        <v>62.943362188824892</v>
      </c>
      <c r="AC30" s="27">
        <f t="shared" si="9"/>
        <v>62.389030635456976</v>
      </c>
      <c r="AD30" s="27">
        <f t="shared" si="9"/>
        <v>61.733913705110233</v>
      </c>
      <c r="AE30" s="27">
        <f t="shared" si="9"/>
        <v>60.979815772111941</v>
      </c>
      <c r="AF30" s="27">
        <f t="shared" ref="L30:AW38" si="10">AF1405</f>
        <v>60.129286570076758</v>
      </c>
      <c r="AG30" s="27">
        <f t="shared" si="10"/>
        <v>59.185593442917096</v>
      </c>
      <c r="AH30" s="27">
        <f t="shared" si="10"/>
        <v>58.152275579872715</v>
      </c>
      <c r="AI30" s="27">
        <f t="shared" si="10"/>
        <v>57.033304574173563</v>
      </c>
      <c r="AJ30" s="27">
        <f t="shared" si="10"/>
        <v>-5.3144936119483299</v>
      </c>
      <c r="AK30" s="27">
        <f t="shared" si="10"/>
        <v>-5.2569593669429695</v>
      </c>
      <c r="AL30" s="27">
        <f t="shared" si="10"/>
        <v>-5.1992212819469339</v>
      </c>
      <c r="AM30" s="27">
        <f t="shared" si="10"/>
        <v>-5.1413392574015706</v>
      </c>
      <c r="AN30" s="27">
        <f t="shared" si="10"/>
        <v>-5.0833794948522248</v>
      </c>
      <c r="AO30" s="27">
        <f t="shared" si="10"/>
        <v>-5.0251883541674571</v>
      </c>
      <c r="AP30" s="27">
        <f t="shared" si="10"/>
        <v>-4.9666751294444857</v>
      </c>
      <c r="AQ30" s="27">
        <f t="shared" si="10"/>
        <v>-4.9078454730797514</v>
      </c>
      <c r="AR30" s="27">
        <f t="shared" si="10"/>
        <v>-4.8486018943647</v>
      </c>
      <c r="AS30" s="27">
        <f t="shared" si="10"/>
        <v>-4.7888432589736398</v>
      </c>
      <c r="AT30" s="27">
        <f t="shared" si="10"/>
        <v>-4.7285865274691332</v>
      </c>
      <c r="AU30" s="27">
        <f t="shared" si="10"/>
        <v>-4.667881841438601</v>
      </c>
      <c r="AV30" s="27">
        <f t="shared" si="10"/>
        <v>-4.6067720913188221</v>
      </c>
      <c r="AW30" s="27">
        <f t="shared" si="10"/>
        <v>-4.5451726737388229</v>
      </c>
      <c r="AY30" s="79"/>
    </row>
    <row r="31" spans="1:51" x14ac:dyDescent="0.25">
      <c r="A31" s="95" t="str">
        <f t="shared" si="0"/>
        <v>FS Swine MMCH4</v>
      </c>
      <c r="B31" s="95" t="s">
        <v>1004</v>
      </c>
      <c r="C31" s="95" t="s">
        <v>1230</v>
      </c>
      <c r="D31" t="s">
        <v>15</v>
      </c>
      <c r="E31" t="s">
        <v>22</v>
      </c>
      <c r="F31" t="s">
        <v>21</v>
      </c>
      <c r="G31" t="s">
        <v>123</v>
      </c>
      <c r="H31" t="s">
        <v>1227</v>
      </c>
      <c r="I31" t="s">
        <v>121</v>
      </c>
      <c r="J31" t="s">
        <v>286</v>
      </c>
      <c r="K31" s="27">
        <f t="shared" si="7"/>
        <v>7.7932061732677776E-2</v>
      </c>
      <c r="L31" s="27">
        <f t="shared" si="10"/>
        <v>7.7508449141861113E-2</v>
      </c>
      <c r="M31" s="27">
        <f t="shared" si="10"/>
        <v>7.7543217949140597E-2</v>
      </c>
      <c r="N31" s="27">
        <f t="shared" si="10"/>
        <v>7.6831311787104617E-2</v>
      </c>
      <c r="O31" s="27">
        <f t="shared" si="10"/>
        <v>7.5668604825232008E-2</v>
      </c>
      <c r="P31" s="27">
        <f t="shared" si="10"/>
        <v>7.4073684167079393E-2</v>
      </c>
      <c r="Q31" s="27">
        <f t="shared" si="10"/>
        <v>7.2915594897087016E-2</v>
      </c>
      <c r="R31" s="27">
        <f t="shared" si="10"/>
        <v>7.1859980996426681E-2</v>
      </c>
      <c r="S31" s="27">
        <f t="shared" si="10"/>
        <v>6.4654170942306688E-2</v>
      </c>
      <c r="T31" s="27">
        <f t="shared" si="10"/>
        <v>6.6962854309922146E-2</v>
      </c>
      <c r="U31" s="27">
        <f t="shared" si="10"/>
        <v>0.21404799219815959</v>
      </c>
      <c r="V31" s="27">
        <f t="shared" si="10"/>
        <v>0.21463475077183489</v>
      </c>
      <c r="W31" s="27">
        <f t="shared" si="10"/>
        <v>0.21485145792386132</v>
      </c>
      <c r="X31" s="27">
        <f t="shared" si="10"/>
        <v>0.21470789157632744</v>
      </c>
      <c r="Y31" s="27">
        <f t="shared" si="10"/>
        <v>0.21422571061994838</v>
      </c>
      <c r="Z31" s="27">
        <f t="shared" si="10"/>
        <v>0.21340048591800548</v>
      </c>
      <c r="AA31" s="27">
        <f t="shared" si="10"/>
        <v>0.21223103156587736</v>
      </c>
      <c r="AB31" s="27">
        <f t="shared" si="10"/>
        <v>0.21071745722367313</v>
      </c>
      <c r="AC31" s="27">
        <f t="shared" si="10"/>
        <v>0.20886170418915742</v>
      </c>
      <c r="AD31" s="27">
        <f t="shared" si="10"/>
        <v>0.20666854880396013</v>
      </c>
      <c r="AE31" s="27">
        <f t="shared" si="10"/>
        <v>0.20414403162830727</v>
      </c>
      <c r="AF31" s="27">
        <f t="shared" si="10"/>
        <v>0.20129668848496379</v>
      </c>
      <c r="AG31" s="27">
        <f t="shared" si="10"/>
        <v>0.19813745756307569</v>
      </c>
      <c r="AH31" s="27">
        <f t="shared" si="10"/>
        <v>0.19467818711687174</v>
      </c>
      <c r="AI31" s="27">
        <f t="shared" si="10"/>
        <v>0.19093217297290849</v>
      </c>
      <c r="AJ31" s="27">
        <f t="shared" si="10"/>
        <v>-1.7791496059294212E-2</v>
      </c>
      <c r="AK31" s="27">
        <f t="shared" si="10"/>
        <v>-1.759888687241214E-2</v>
      </c>
      <c r="AL31" s="27">
        <f t="shared" si="10"/>
        <v>-1.7405595284034153E-2</v>
      </c>
      <c r="AM31" s="27">
        <f t="shared" si="10"/>
        <v>-1.7211821824736444E-2</v>
      </c>
      <c r="AN31" s="27">
        <f t="shared" si="10"/>
        <v>-1.7017788119497636E-2</v>
      </c>
      <c r="AO31" s="27">
        <f t="shared" si="10"/>
        <v>-1.6822979822456646E-2</v>
      </c>
      <c r="AP31" s="27">
        <f t="shared" si="10"/>
        <v>-1.6627093274633003E-2</v>
      </c>
      <c r="AQ31" s="27">
        <f t="shared" si="10"/>
        <v>-1.6430147398730621E-2</v>
      </c>
      <c r="AR31" s="27">
        <f t="shared" si="10"/>
        <v>-1.6231815822063071E-2</v>
      </c>
      <c r="AS31" s="27">
        <f t="shared" si="10"/>
        <v>-1.6031759974093191E-2</v>
      </c>
      <c r="AT31" s="27">
        <f t="shared" si="10"/>
        <v>-1.5830036634225372E-2</v>
      </c>
      <c r="AU31" s="27">
        <f t="shared" si="10"/>
        <v>-1.5626813663016086E-2</v>
      </c>
      <c r="AV31" s="27">
        <f t="shared" si="10"/>
        <v>-1.5422234646118577E-2</v>
      </c>
      <c r="AW31" s="27">
        <f t="shared" si="10"/>
        <v>-1.5216016354188486E-2</v>
      </c>
      <c r="AY31" s="79"/>
    </row>
    <row r="32" spans="1:51" x14ac:dyDescent="0.25">
      <c r="A32" s="95" t="str">
        <f t="shared" si="0"/>
        <v>FS Poultry MMCH4</v>
      </c>
      <c r="B32" s="95" t="s">
        <v>1004</v>
      </c>
      <c r="C32" s="95" t="s">
        <v>1231</v>
      </c>
      <c r="D32" t="s">
        <v>15</v>
      </c>
      <c r="E32" t="s">
        <v>22</v>
      </c>
      <c r="F32" t="s">
        <v>28</v>
      </c>
      <c r="G32" t="s">
        <v>131</v>
      </c>
      <c r="H32" t="s">
        <v>1227</v>
      </c>
      <c r="I32" t="s">
        <v>121</v>
      </c>
      <c r="J32" t="s">
        <v>286</v>
      </c>
      <c r="K32" s="27">
        <f t="shared" si="7"/>
        <v>0.55586528215230246</v>
      </c>
      <c r="L32" s="27">
        <f t="shared" si="10"/>
        <v>0.56716712532642333</v>
      </c>
      <c r="M32" s="27">
        <f t="shared" si="10"/>
        <v>0.58037790885594753</v>
      </c>
      <c r="N32" s="27">
        <f t="shared" si="10"/>
        <v>0.59052015237226141</v>
      </c>
      <c r="O32" s="27">
        <f t="shared" si="10"/>
        <v>0.5986618277459016</v>
      </c>
      <c r="P32" s="27">
        <f t="shared" si="10"/>
        <v>0.60475451589519713</v>
      </c>
      <c r="Q32" s="27">
        <f t="shared" si="10"/>
        <v>0.61256702388185857</v>
      </c>
      <c r="R32" s="27">
        <f t="shared" si="10"/>
        <v>0.62068986953889782</v>
      </c>
      <c r="S32" s="27">
        <f t="shared" si="10"/>
        <v>0.59622101179856346</v>
      </c>
      <c r="T32" s="27">
        <f t="shared" si="10"/>
        <v>0.61809135680643945</v>
      </c>
      <c r="U32" s="27">
        <f t="shared" si="10"/>
        <v>1.373668837271812</v>
      </c>
      <c r="V32" s="27">
        <f t="shared" si="10"/>
        <v>1.4038681554321815</v>
      </c>
      <c r="W32" s="27">
        <f t="shared" si="10"/>
        <v>1.4328290155562637</v>
      </c>
      <c r="X32" s="27">
        <f t="shared" si="10"/>
        <v>1.460295648957926</v>
      </c>
      <c r="Y32" s="27">
        <f t="shared" si="10"/>
        <v>1.4859212180508141</v>
      </c>
      <c r="Z32" s="27">
        <f t="shared" si="10"/>
        <v>1.5095937275054243</v>
      </c>
      <c r="AA32" s="27">
        <f t="shared" si="10"/>
        <v>1.5311992010813591</v>
      </c>
      <c r="AB32" s="27">
        <f t="shared" si="10"/>
        <v>1.5506393195302268</v>
      </c>
      <c r="AC32" s="27">
        <f t="shared" si="10"/>
        <v>1.5678278043895033</v>
      </c>
      <c r="AD32" s="27">
        <f t="shared" si="10"/>
        <v>1.5826815313976288</v>
      </c>
      <c r="AE32" s="27">
        <f t="shared" si="10"/>
        <v>1.5951352940969563</v>
      </c>
      <c r="AF32" s="27">
        <f t="shared" si="10"/>
        <v>1.6051302673357504</v>
      </c>
      <c r="AG32" s="27">
        <f t="shared" si="10"/>
        <v>1.6126141322836316</v>
      </c>
      <c r="AH32" s="27">
        <f t="shared" si="10"/>
        <v>1.6175553910519496</v>
      </c>
      <c r="AI32" s="27">
        <f t="shared" si="10"/>
        <v>1.6199377421840562</v>
      </c>
      <c r="AJ32" s="27">
        <f t="shared" si="10"/>
        <v>0.21118052827101272</v>
      </c>
      <c r="AK32" s="27">
        <f t="shared" si="10"/>
        <v>0.21273045495969528</v>
      </c>
      <c r="AL32" s="27">
        <f t="shared" si="10"/>
        <v>0.21424196096407097</v>
      </c>
      <c r="AM32" s="27">
        <f t="shared" si="10"/>
        <v>0.21571732327397183</v>
      </c>
      <c r="AN32" s="27">
        <f t="shared" si="10"/>
        <v>0.21715916671304386</v>
      </c>
      <c r="AO32" s="27">
        <f t="shared" si="10"/>
        <v>0.2185615794759829</v>
      </c>
      <c r="AP32" s="27">
        <f t="shared" si="10"/>
        <v>0.21992066841646388</v>
      </c>
      <c r="AQ32" s="27">
        <f t="shared" si="10"/>
        <v>0.22123614681909931</v>
      </c>
      <c r="AR32" s="27">
        <f t="shared" si="10"/>
        <v>0.22250337724956543</v>
      </c>
      <c r="AS32" s="27">
        <f t="shared" si="10"/>
        <v>0.22371719705711082</v>
      </c>
      <c r="AT32" s="27">
        <f t="shared" si="10"/>
        <v>0.22487715475079265</v>
      </c>
      <c r="AU32" s="27">
        <f t="shared" si="10"/>
        <v>0.22598422868600801</v>
      </c>
      <c r="AV32" s="27">
        <f t="shared" si="10"/>
        <v>0.22703914928135227</v>
      </c>
      <c r="AW32" s="27">
        <f t="shared" si="10"/>
        <v>0.22803688221361912</v>
      </c>
      <c r="AY32" s="79"/>
    </row>
    <row r="33" spans="1:51" x14ac:dyDescent="0.25">
      <c r="A33" s="95" t="str">
        <f t="shared" si="0"/>
        <v>FS Poultry MMCH4</v>
      </c>
      <c r="B33" s="95" t="s">
        <v>1004</v>
      </c>
      <c r="C33" s="95" t="s">
        <v>1231</v>
      </c>
      <c r="D33" t="s">
        <v>15</v>
      </c>
      <c r="E33" t="s">
        <v>22</v>
      </c>
      <c r="F33" t="s">
        <v>28</v>
      </c>
      <c r="G33" t="s">
        <v>132</v>
      </c>
      <c r="H33" t="s">
        <v>1227</v>
      </c>
      <c r="I33" t="s">
        <v>121</v>
      </c>
      <c r="J33" t="s">
        <v>286</v>
      </c>
      <c r="K33" s="27">
        <f t="shared" si="7"/>
        <v>2.2100196981344116</v>
      </c>
      <c r="L33" s="27">
        <f t="shared" si="10"/>
        <v>2.2391217074451495</v>
      </c>
      <c r="M33" s="27">
        <f t="shared" si="10"/>
        <v>2.2858678822724832</v>
      </c>
      <c r="N33" s="27">
        <f t="shared" si="10"/>
        <v>2.29929007480786</v>
      </c>
      <c r="O33" s="27">
        <f t="shared" si="10"/>
        <v>2.2910596881616572</v>
      </c>
      <c r="P33" s="27">
        <f t="shared" si="10"/>
        <v>2.2612642885898926</v>
      </c>
      <c r="Q33" s="27">
        <f t="shared" si="10"/>
        <v>2.2487211059946213</v>
      </c>
      <c r="R33" s="27">
        <f t="shared" si="10"/>
        <v>2.2390235702415184</v>
      </c>
      <c r="S33" s="27">
        <f t="shared" si="10"/>
        <v>1.9526804721775937</v>
      </c>
      <c r="T33" s="27">
        <f t="shared" si="10"/>
        <v>2.100459804618418</v>
      </c>
      <c r="U33" s="27">
        <f t="shared" si="10"/>
        <v>9.1333253803948828</v>
      </c>
      <c r="V33" s="27">
        <f t="shared" si="10"/>
        <v>9.2970707439361586</v>
      </c>
      <c r="W33" s="27">
        <f t="shared" si="10"/>
        <v>9.4425409001496003</v>
      </c>
      <c r="X33" s="27">
        <f t="shared" si="10"/>
        <v>9.5703569928358032</v>
      </c>
      <c r="Y33" s="27">
        <f t="shared" si="10"/>
        <v>9.6822560637136306</v>
      </c>
      <c r="Z33" s="27">
        <f t="shared" si="10"/>
        <v>9.7773987663862059</v>
      </c>
      <c r="AA33" s="27">
        <f t="shared" si="10"/>
        <v>9.8551407097026438</v>
      </c>
      <c r="AB33" s="27">
        <f t="shared" si="10"/>
        <v>9.9148485168231666</v>
      </c>
      <c r="AC33" s="27">
        <f t="shared" si="10"/>
        <v>9.9559572971640158</v>
      </c>
      <c r="AD33" s="27">
        <f t="shared" si="10"/>
        <v>9.9780818543236887</v>
      </c>
      <c r="AE33" s="27">
        <f t="shared" si="10"/>
        <v>9.9808650627783955</v>
      </c>
      <c r="AF33" s="27">
        <f t="shared" si="10"/>
        <v>9.9641144926279814</v>
      </c>
      <c r="AG33" s="27">
        <f t="shared" si="10"/>
        <v>9.9278067613283412</v>
      </c>
      <c r="AH33" s="27">
        <f t="shared" si="10"/>
        <v>9.8719390395073479</v>
      </c>
      <c r="AI33" s="27">
        <f t="shared" si="10"/>
        <v>9.7965950136724871</v>
      </c>
      <c r="AJ33" s="27">
        <f t="shared" si="10"/>
        <v>-2.0919754098137773</v>
      </c>
      <c r="AK33" s="27">
        <f t="shared" si="10"/>
        <v>-2.0949358900923882</v>
      </c>
      <c r="AL33" s="27">
        <f t="shared" si="10"/>
        <v>-2.0976165546607759</v>
      </c>
      <c r="AM33" s="27">
        <f t="shared" si="10"/>
        <v>-2.1000401992552491</v>
      </c>
      <c r="AN33" s="27">
        <f t="shared" si="10"/>
        <v>-2.1022328856249954</v>
      </c>
      <c r="AO33" s="27">
        <f t="shared" si="10"/>
        <v>-2.1041334183696132</v>
      </c>
      <c r="AP33" s="27">
        <f t="shared" si="10"/>
        <v>-2.1057026664304765</v>
      </c>
      <c r="AQ33" s="27">
        <f t="shared" si="10"/>
        <v>-2.1069388532626809</v>
      </c>
      <c r="AR33" s="27">
        <f t="shared" si="10"/>
        <v>-2.107796866715046</v>
      </c>
      <c r="AS33" s="27">
        <f t="shared" si="10"/>
        <v>-2.1082275012492091</v>
      </c>
      <c r="AT33" s="27">
        <f t="shared" si="10"/>
        <v>-2.1082293468263522</v>
      </c>
      <c r="AU33" s="27">
        <f t="shared" si="10"/>
        <v>-2.1078151792766633</v>
      </c>
      <c r="AV33" s="27">
        <f t="shared" si="10"/>
        <v>-2.1069951517588699</v>
      </c>
      <c r="AW33" s="27">
        <f t="shared" si="10"/>
        <v>-2.1057231360288351</v>
      </c>
      <c r="AY33" s="79"/>
    </row>
    <row r="34" spans="1:51" x14ac:dyDescent="0.25">
      <c r="A34" s="95" t="str">
        <f t="shared" si="0"/>
        <v>FS Poultry MMCH4</v>
      </c>
      <c r="B34" s="95" t="s">
        <v>1004</v>
      </c>
      <c r="C34" s="95" t="s">
        <v>1231</v>
      </c>
      <c r="D34" t="s">
        <v>15</v>
      </c>
      <c r="E34" t="s">
        <v>22</v>
      </c>
      <c r="F34" t="s">
        <v>28</v>
      </c>
      <c r="G34" t="s">
        <v>134</v>
      </c>
      <c r="H34" t="s">
        <v>1227</v>
      </c>
      <c r="I34" t="s">
        <v>121</v>
      </c>
      <c r="J34" t="s">
        <v>286</v>
      </c>
      <c r="K34" s="27">
        <f t="shared" si="7"/>
        <v>2.3161053423012629E-2</v>
      </c>
      <c r="L34" s="27">
        <f t="shared" si="10"/>
        <v>2.3631963555267661E-2</v>
      </c>
      <c r="M34" s="27">
        <f t="shared" si="10"/>
        <v>2.4182412868997839E-2</v>
      </c>
      <c r="N34" s="27">
        <f t="shared" si="10"/>
        <v>2.4605006348844244E-2</v>
      </c>
      <c r="O34" s="27">
        <f t="shared" si="10"/>
        <v>2.4944242822745925E-2</v>
      </c>
      <c r="P34" s="27">
        <f t="shared" si="10"/>
        <v>2.5198104828966571E-2</v>
      </c>
      <c r="Q34" s="27">
        <f t="shared" si="10"/>
        <v>2.5523625995077459E-2</v>
      </c>
      <c r="R34" s="27">
        <f t="shared" si="10"/>
        <v>2.5862077897454101E-2</v>
      </c>
      <c r="S34" s="27">
        <f t="shared" si="10"/>
        <v>2.4842542158273501E-2</v>
      </c>
      <c r="T34" s="27">
        <f t="shared" si="10"/>
        <v>2.5753806533601667E-2</v>
      </c>
      <c r="U34" s="27">
        <f t="shared" si="10"/>
        <v>5.7236201552992215E-2</v>
      </c>
      <c r="V34" s="27">
        <f t="shared" si="10"/>
        <v>5.8494506476340941E-2</v>
      </c>
      <c r="W34" s="27">
        <f t="shared" si="10"/>
        <v>5.9701208981511052E-2</v>
      </c>
      <c r="X34" s="27">
        <f t="shared" si="10"/>
        <v>6.0845652039913642E-2</v>
      </c>
      <c r="Y34" s="27">
        <f t="shared" si="10"/>
        <v>6.1913384085450655E-2</v>
      </c>
      <c r="Z34" s="27">
        <f t="shared" si="10"/>
        <v>6.2899738646059397E-2</v>
      </c>
      <c r="AA34" s="27">
        <f t="shared" si="10"/>
        <v>6.3799966711723347E-2</v>
      </c>
      <c r="AB34" s="27">
        <f t="shared" si="10"/>
        <v>6.4609971647092854E-2</v>
      </c>
      <c r="AC34" s="27">
        <f t="shared" si="10"/>
        <v>6.5326158516229374E-2</v>
      </c>
      <c r="AD34" s="27">
        <f t="shared" si="10"/>
        <v>6.5945063808234589E-2</v>
      </c>
      <c r="AE34" s="27">
        <f t="shared" si="10"/>
        <v>6.6463970587373244E-2</v>
      </c>
      <c r="AF34" s="27">
        <f t="shared" si="10"/>
        <v>6.6880427805656326E-2</v>
      </c>
      <c r="AG34" s="27">
        <f t="shared" si="10"/>
        <v>6.7192255511818053E-2</v>
      </c>
      <c r="AH34" s="27">
        <f t="shared" si="10"/>
        <v>6.7398141293831301E-2</v>
      </c>
      <c r="AI34" s="27">
        <f t="shared" si="10"/>
        <v>6.7497405924335729E-2</v>
      </c>
      <c r="AJ34" s="27">
        <f t="shared" si="10"/>
        <v>8.7991886779588708E-3</v>
      </c>
      <c r="AK34" s="27">
        <f t="shared" si="10"/>
        <v>8.8637689566539793E-3</v>
      </c>
      <c r="AL34" s="27">
        <f t="shared" si="10"/>
        <v>8.9267483735029646E-3</v>
      </c>
      <c r="AM34" s="27">
        <f t="shared" si="10"/>
        <v>8.9882218030821696E-3</v>
      </c>
      <c r="AN34" s="27">
        <f t="shared" si="10"/>
        <v>9.0482986130435011E-3</v>
      </c>
      <c r="AO34" s="27">
        <f t="shared" si="10"/>
        <v>9.1067324781659627E-3</v>
      </c>
      <c r="AP34" s="27">
        <f t="shared" si="10"/>
        <v>9.1633611840193346E-3</v>
      </c>
      <c r="AQ34" s="27">
        <f t="shared" si="10"/>
        <v>9.2181727841291489E-3</v>
      </c>
      <c r="AR34" s="27">
        <f t="shared" si="10"/>
        <v>9.2709740520652353E-3</v>
      </c>
      <c r="AS34" s="27">
        <f t="shared" si="10"/>
        <v>9.3215498773796274E-3</v>
      </c>
      <c r="AT34" s="27">
        <f t="shared" si="10"/>
        <v>9.3698814479497017E-3</v>
      </c>
      <c r="AU34" s="27">
        <f t="shared" si="10"/>
        <v>9.4160095285836763E-3</v>
      </c>
      <c r="AV34" s="27">
        <f t="shared" si="10"/>
        <v>9.4599645533896878E-3</v>
      </c>
      <c r="AW34" s="27">
        <f t="shared" si="10"/>
        <v>9.5015367589008064E-3</v>
      </c>
      <c r="AY34" s="79"/>
    </row>
    <row r="35" spans="1:51" x14ac:dyDescent="0.25">
      <c r="A35" s="95" t="str">
        <f t="shared" si="0"/>
        <v>FS Poultry MMCH4</v>
      </c>
      <c r="B35" s="95" t="s">
        <v>1004</v>
      </c>
      <c r="C35" s="95" t="s">
        <v>1231</v>
      </c>
      <c r="D35" t="s">
        <v>15</v>
      </c>
      <c r="E35" t="s">
        <v>22</v>
      </c>
      <c r="F35" t="s">
        <v>28</v>
      </c>
      <c r="G35" t="s">
        <v>133</v>
      </c>
      <c r="H35" t="s">
        <v>1227</v>
      </c>
      <c r="I35" t="s">
        <v>121</v>
      </c>
      <c r="J35" t="s">
        <v>286</v>
      </c>
      <c r="K35" s="27">
        <f t="shared" si="7"/>
        <v>9.2084154088933889E-2</v>
      </c>
      <c r="L35" s="27">
        <f t="shared" si="10"/>
        <v>9.3296737810214664E-2</v>
      </c>
      <c r="M35" s="27">
        <f t="shared" si="10"/>
        <v>9.5244495094686882E-2</v>
      </c>
      <c r="N35" s="27">
        <f t="shared" si="10"/>
        <v>9.5803753116994267E-2</v>
      </c>
      <c r="O35" s="27">
        <f t="shared" si="10"/>
        <v>9.5460820340069155E-2</v>
      </c>
      <c r="P35" s="27">
        <f t="shared" si="10"/>
        <v>9.4219345357912279E-2</v>
      </c>
      <c r="Q35" s="27">
        <f t="shared" si="10"/>
        <v>9.3696712749775993E-2</v>
      </c>
      <c r="R35" s="27">
        <f t="shared" si="10"/>
        <v>9.3292648760063338E-2</v>
      </c>
      <c r="S35" s="27">
        <f t="shared" si="10"/>
        <v>8.1361686340733153E-2</v>
      </c>
      <c r="T35" s="27">
        <f t="shared" si="10"/>
        <v>8.7519158525767499E-2</v>
      </c>
      <c r="U35" s="27">
        <f t="shared" si="10"/>
        <v>0.38055522418312043</v>
      </c>
      <c r="V35" s="27">
        <f t="shared" si="10"/>
        <v>0.38737794766400691</v>
      </c>
      <c r="W35" s="27">
        <f t="shared" si="10"/>
        <v>0.39343920417290035</v>
      </c>
      <c r="X35" s="27">
        <f t="shared" si="10"/>
        <v>0.39876487470149208</v>
      </c>
      <c r="Y35" s="27">
        <f t="shared" si="10"/>
        <v>0.40342733598806829</v>
      </c>
      <c r="Z35" s="27">
        <f t="shared" si="10"/>
        <v>0.40739161526609236</v>
      </c>
      <c r="AA35" s="27">
        <f t="shared" si="10"/>
        <v>0.41063086290427719</v>
      </c>
      <c r="AB35" s="27">
        <f t="shared" si="10"/>
        <v>0.41311868820096576</v>
      </c>
      <c r="AC35" s="27">
        <f t="shared" si="10"/>
        <v>0.41483155404850092</v>
      </c>
      <c r="AD35" s="27">
        <f t="shared" si="10"/>
        <v>0.4157534105968208</v>
      </c>
      <c r="AE35" s="27">
        <f t="shared" si="10"/>
        <v>0.41586937761576692</v>
      </c>
      <c r="AF35" s="27">
        <f t="shared" si="10"/>
        <v>0.41517143719283295</v>
      </c>
      <c r="AG35" s="27">
        <f t="shared" si="10"/>
        <v>0.41365861505534796</v>
      </c>
      <c r="AH35" s="27">
        <f t="shared" si="10"/>
        <v>0.41133079331280648</v>
      </c>
      <c r="AI35" s="27">
        <f t="shared" si="10"/>
        <v>0.40819145890302061</v>
      </c>
      <c r="AJ35" s="27">
        <f t="shared" si="10"/>
        <v>-8.7165642075574146E-2</v>
      </c>
      <c r="AK35" s="27">
        <f t="shared" si="10"/>
        <v>-8.7288995420516255E-2</v>
      </c>
      <c r="AL35" s="27">
        <f t="shared" si="10"/>
        <v>-8.7400689777532417E-2</v>
      </c>
      <c r="AM35" s="27">
        <f t="shared" si="10"/>
        <v>-8.7501674968968782E-2</v>
      </c>
      <c r="AN35" s="27">
        <f t="shared" si="10"/>
        <v>-8.759303690104156E-2</v>
      </c>
      <c r="AO35" s="27">
        <f t="shared" si="10"/>
        <v>-8.7672225765400638E-2</v>
      </c>
      <c r="AP35" s="27">
        <f t="shared" si="10"/>
        <v>-8.773761110126993E-2</v>
      </c>
      <c r="AQ35" s="27">
        <f t="shared" si="10"/>
        <v>-8.7789118885945122E-2</v>
      </c>
      <c r="AR35" s="27">
        <f t="shared" si="10"/>
        <v>-8.7824869446460341E-2</v>
      </c>
      <c r="AS35" s="27">
        <f t="shared" si="10"/>
        <v>-8.7842812552050467E-2</v>
      </c>
      <c r="AT35" s="27">
        <f t="shared" si="10"/>
        <v>-8.7842889451098083E-2</v>
      </c>
      <c r="AU35" s="27">
        <f t="shared" si="10"/>
        <v>-8.7825632469861054E-2</v>
      </c>
      <c r="AV35" s="27">
        <f t="shared" si="10"/>
        <v>-8.7791464656619661E-2</v>
      </c>
      <c r="AW35" s="27">
        <f t="shared" si="10"/>
        <v>-8.7738464001201541E-2</v>
      </c>
      <c r="AY35" s="79"/>
    </row>
    <row r="36" spans="1:51" x14ac:dyDescent="0.25">
      <c r="A36" s="95" t="str">
        <f t="shared" si="0"/>
        <v>FS Cattle MMN2O</v>
      </c>
      <c r="B36" s="95" t="s">
        <v>1004</v>
      </c>
      <c r="C36" s="95" t="s">
        <v>1232</v>
      </c>
      <c r="D36" t="s">
        <v>15</v>
      </c>
      <c r="E36" t="s">
        <v>657</v>
      </c>
      <c r="F36" t="s">
        <v>6</v>
      </c>
      <c r="G36" t="s">
        <v>136</v>
      </c>
      <c r="H36" t="s">
        <v>1227</v>
      </c>
      <c r="I36" t="s">
        <v>139</v>
      </c>
      <c r="J36" t="s">
        <v>287</v>
      </c>
      <c r="K36" s="27">
        <f>K1411</f>
        <v>5.9474079071945893E-2</v>
      </c>
      <c r="L36" s="27">
        <f t="shared" ref="L36:AW36" si="11">L1411</f>
        <v>5.9806569587962537E-2</v>
      </c>
      <c r="M36" s="27">
        <f t="shared" si="11"/>
        <v>6.0278316688762053E-2</v>
      </c>
      <c r="N36" s="27">
        <f t="shared" si="11"/>
        <v>6.0581464452445992E-2</v>
      </c>
      <c r="O36" s="27">
        <f t="shared" si="11"/>
        <v>6.0782907527895308E-2</v>
      </c>
      <c r="P36" s="27">
        <f t="shared" si="11"/>
        <v>6.0880663265441164E-2</v>
      </c>
      <c r="Q36" s="27">
        <f t="shared" si="11"/>
        <v>6.1096642070638009E-2</v>
      </c>
      <c r="R36" s="27">
        <f t="shared" si="11"/>
        <v>6.1344406036983781E-2</v>
      </c>
      <c r="S36" s="27">
        <f t="shared" si="11"/>
        <v>5.9601328930113273E-2</v>
      </c>
      <c r="T36" s="27">
        <f t="shared" si="11"/>
        <v>6.0626854202705693E-2</v>
      </c>
      <c r="U36" s="27">
        <f t="shared" si="11"/>
        <v>0.10431335111869787</v>
      </c>
      <c r="V36" s="27">
        <f t="shared" si="11"/>
        <v>0.10557079987792001</v>
      </c>
      <c r="W36" s="27">
        <f t="shared" si="11"/>
        <v>0.10677309385797164</v>
      </c>
      <c r="X36" s="27">
        <f t="shared" si="11"/>
        <v>0.10789978230362134</v>
      </c>
      <c r="Y36" s="27">
        <f t="shared" si="11"/>
        <v>0.10892077673602073</v>
      </c>
      <c r="Z36" s="27">
        <f t="shared" si="11"/>
        <v>0.10983130908819148</v>
      </c>
      <c r="AA36" s="27">
        <f t="shared" si="11"/>
        <v>0.11062607502856897</v>
      </c>
      <c r="AB36" s="27">
        <f t="shared" si="11"/>
        <v>0.11130105996088024</v>
      </c>
      <c r="AC36" s="27">
        <f t="shared" si="11"/>
        <v>0.11185308002540331</v>
      </c>
      <c r="AD36" s="27">
        <f t="shared" si="11"/>
        <v>0.11227878827005904</v>
      </c>
      <c r="AE36" s="27">
        <f t="shared" si="11"/>
        <v>0.11257618100536711</v>
      </c>
      <c r="AF36" s="27">
        <f t="shared" si="11"/>
        <v>0.11274333624880213</v>
      </c>
      <c r="AG36" s="27">
        <f t="shared" si="11"/>
        <v>0.11277839712706036</v>
      </c>
      <c r="AH36" s="27">
        <f t="shared" si="11"/>
        <v>0.11268102453940491</v>
      </c>
      <c r="AI36" s="27">
        <f t="shared" si="11"/>
        <v>0.11245177283662604</v>
      </c>
      <c r="AJ36" s="27">
        <f t="shared" si="11"/>
        <v>3.5577796363991845E-2</v>
      </c>
      <c r="AK36" s="27">
        <f t="shared" si="11"/>
        <v>3.5603767558276704E-2</v>
      </c>
      <c r="AL36" s="27">
        <f t="shared" si="11"/>
        <v>3.5627869174539424E-2</v>
      </c>
      <c r="AM36" s="27">
        <f t="shared" si="11"/>
        <v>3.5650264251912672E-2</v>
      </c>
      <c r="AN36" s="27">
        <f t="shared" si="11"/>
        <v>3.5671153620438649E-2</v>
      </c>
      <c r="AO36" s="27">
        <f t="shared" si="11"/>
        <v>3.5689881664317018E-2</v>
      </c>
      <c r="AP36" s="27">
        <f t="shared" si="11"/>
        <v>3.5706008112300056E-2</v>
      </c>
      <c r="AQ36" s="27">
        <f t="shared" si="11"/>
        <v>3.5719462361704167E-2</v>
      </c>
      <c r="AR36" s="27">
        <f t="shared" si="11"/>
        <v>3.5729744862623404E-2</v>
      </c>
      <c r="AS36" s="27">
        <f t="shared" si="11"/>
        <v>3.5736313260064892E-2</v>
      </c>
      <c r="AT36" s="27">
        <f t="shared" si="11"/>
        <v>3.5739100565622635E-2</v>
      </c>
      <c r="AU36" s="27">
        <f t="shared" si="11"/>
        <v>3.5738183814189306E-2</v>
      </c>
      <c r="AV36" s="27">
        <f t="shared" si="11"/>
        <v>3.5733616728715514E-2</v>
      </c>
      <c r="AW36" s="27">
        <f t="shared" si="11"/>
        <v>3.5724889195264529E-2</v>
      </c>
      <c r="AY36" s="79"/>
    </row>
    <row r="37" spans="1:51" x14ac:dyDescent="0.25">
      <c r="A37" s="95" t="str">
        <f t="shared" si="0"/>
        <v>FS Cattle MMN2O</v>
      </c>
      <c r="B37" s="95" t="s">
        <v>1004</v>
      </c>
      <c r="C37" s="95" t="s">
        <v>1232</v>
      </c>
      <c r="D37" t="s">
        <v>15</v>
      </c>
      <c r="E37" t="s">
        <v>657</v>
      </c>
      <c r="F37" t="s">
        <v>6</v>
      </c>
      <c r="G37" t="s">
        <v>137</v>
      </c>
      <c r="H37" t="s">
        <v>1227</v>
      </c>
      <c r="I37" t="s">
        <v>139</v>
      </c>
      <c r="J37" t="s">
        <v>287</v>
      </c>
      <c r="K37" s="27">
        <f t="shared" si="7"/>
        <v>0.26041511380118898</v>
      </c>
      <c r="L37" s="27">
        <f t="shared" si="10"/>
        <v>0.26187096745907495</v>
      </c>
      <c r="M37" s="27">
        <f t="shared" si="10"/>
        <v>0.26393657447404822</v>
      </c>
      <c r="N37" s="27">
        <f t="shared" si="10"/>
        <v>0.26526394701365208</v>
      </c>
      <c r="O37" s="27">
        <f t="shared" si="10"/>
        <v>0.26614599213711054</v>
      </c>
      <c r="P37" s="27">
        <f t="shared" si="10"/>
        <v>0.26657402855087214</v>
      </c>
      <c r="Q37" s="27">
        <f t="shared" si="10"/>
        <v>0.26751972028770321</v>
      </c>
      <c r="R37" s="27">
        <f t="shared" si="10"/>
        <v>0.26860458755254507</v>
      </c>
      <c r="S37" s="27">
        <f t="shared" si="10"/>
        <v>0.26097229411928624</v>
      </c>
      <c r="T37" s="27">
        <f t="shared" si="10"/>
        <v>0.26546269203272144</v>
      </c>
      <c r="U37" s="27">
        <f t="shared" si="10"/>
        <v>0.45674979127794169</v>
      </c>
      <c r="V37" s="27">
        <f t="shared" si="10"/>
        <v>0.46225569682270645</v>
      </c>
      <c r="W37" s="27">
        <f t="shared" si="10"/>
        <v>0.46752009987901733</v>
      </c>
      <c r="X37" s="27">
        <f t="shared" si="10"/>
        <v>0.47245345411284095</v>
      </c>
      <c r="Y37" s="27">
        <f t="shared" si="10"/>
        <v>0.47692401314381044</v>
      </c>
      <c r="Z37" s="27">
        <f t="shared" si="10"/>
        <v>0.48091089936063391</v>
      </c>
      <c r="AA37" s="27">
        <f t="shared" si="10"/>
        <v>0.48439088704666999</v>
      </c>
      <c r="AB37" s="27">
        <f t="shared" si="10"/>
        <v>0.48734639776167055</v>
      </c>
      <c r="AC37" s="27">
        <f t="shared" si="10"/>
        <v>0.48976349055514479</v>
      </c>
      <c r="AD37" s="27">
        <f t="shared" si="10"/>
        <v>0.49162751035516583</v>
      </c>
      <c r="AE37" s="27">
        <f t="shared" si="10"/>
        <v>0.49292968374258739</v>
      </c>
      <c r="AF37" s="27">
        <f t="shared" si="10"/>
        <v>0.49366159506296176</v>
      </c>
      <c r="AG37" s="27">
        <f t="shared" si="10"/>
        <v>0.49381511375117121</v>
      </c>
      <c r="AH37" s="27">
        <f t="shared" si="10"/>
        <v>0.4933887550098322</v>
      </c>
      <c r="AI37" s="27">
        <f t="shared" si="10"/>
        <v>0.49238494613712885</v>
      </c>
      <c r="AJ37" s="27">
        <f t="shared" si="10"/>
        <v>0.15578208243824307</v>
      </c>
      <c r="AK37" s="27">
        <f t="shared" si="10"/>
        <v>0.15589580074411316</v>
      </c>
      <c r="AL37" s="27">
        <f t="shared" si="10"/>
        <v>0.15600133285557738</v>
      </c>
      <c r="AM37" s="27">
        <f t="shared" si="10"/>
        <v>0.1560993926610211</v>
      </c>
      <c r="AN37" s="27">
        <f t="shared" si="10"/>
        <v>0.15619085952132081</v>
      </c>
      <c r="AO37" s="27">
        <f t="shared" si="10"/>
        <v>0.15627286273606522</v>
      </c>
      <c r="AP37" s="27">
        <f t="shared" si="10"/>
        <v>0.15634347451942091</v>
      </c>
      <c r="AQ37" s="27">
        <f t="shared" si="10"/>
        <v>0.15640238572820886</v>
      </c>
      <c r="AR37" s="27">
        <f t="shared" si="10"/>
        <v>0.15644740901715809</v>
      </c>
      <c r="AS37" s="27">
        <f t="shared" si="10"/>
        <v>0.15647616961326835</v>
      </c>
      <c r="AT37" s="27">
        <f t="shared" si="10"/>
        <v>0.15648837419895245</v>
      </c>
      <c r="AU37" s="27">
        <f t="shared" si="10"/>
        <v>0.15648436008166708</v>
      </c>
      <c r="AV37" s="27">
        <f t="shared" si="10"/>
        <v>0.15646436249445</v>
      </c>
      <c r="AW37" s="27">
        <f t="shared" si="10"/>
        <v>0.15642614783602549</v>
      </c>
      <c r="AY37" s="79"/>
    </row>
    <row r="38" spans="1:51" x14ac:dyDescent="0.25">
      <c r="A38" s="95" t="str">
        <f t="shared" si="0"/>
        <v>FS Cattle MMN2O</v>
      </c>
      <c r="B38" s="95" t="s">
        <v>1004</v>
      </c>
      <c r="C38" s="95" t="s">
        <v>1232</v>
      </c>
      <c r="D38" t="s">
        <v>15</v>
      </c>
      <c r="E38" t="s">
        <v>657</v>
      </c>
      <c r="F38" t="s">
        <v>67</v>
      </c>
      <c r="G38" t="s">
        <v>307</v>
      </c>
      <c r="H38" t="s">
        <v>1227</v>
      </c>
      <c r="I38" t="s">
        <v>139</v>
      </c>
      <c r="J38" t="s">
        <v>287</v>
      </c>
      <c r="K38" s="27">
        <f t="shared" si="7"/>
        <v>1.1586934798802538E-2</v>
      </c>
      <c r="L38" s="27">
        <f t="shared" si="10"/>
        <v>1.1651711689683767E-2</v>
      </c>
      <c r="M38" s="27">
        <f t="shared" si="10"/>
        <v>1.1743619004328788E-2</v>
      </c>
      <c r="N38" s="27">
        <f t="shared" si="10"/>
        <v>1.1802679244134426E-2</v>
      </c>
      <c r="O38" s="27">
        <f t="shared" si="10"/>
        <v>1.1841925043604104E-2</v>
      </c>
      <c r="P38" s="27">
        <f t="shared" si="10"/>
        <v>1.186097013643829E-2</v>
      </c>
      <c r="Q38" s="27">
        <f t="shared" si="10"/>
        <v>1.1903047834366352E-2</v>
      </c>
      <c r="R38" s="27">
        <f t="shared" si="10"/>
        <v>1.1951318021451862E-2</v>
      </c>
      <c r="S38" s="27">
        <f t="shared" si="10"/>
        <v>1.1611726032777913E-2</v>
      </c>
      <c r="T38" s="27">
        <f t="shared" si="10"/>
        <v>1.1811522223882912E-2</v>
      </c>
      <c r="U38" s="27">
        <f t="shared" ref="L38:AW44" si="12">U1413</f>
        <v>2.0322668579614574E-2</v>
      </c>
      <c r="V38" s="27">
        <f t="shared" si="12"/>
        <v>2.0567648863686182E-2</v>
      </c>
      <c r="W38" s="27">
        <f t="shared" si="12"/>
        <v>2.0801883713106869E-2</v>
      </c>
      <c r="X38" s="27">
        <f t="shared" si="12"/>
        <v>2.1021388844788085E-2</v>
      </c>
      <c r="Y38" s="27">
        <f t="shared" si="12"/>
        <v>2.1220302322773034E-2</v>
      </c>
      <c r="Z38" s="27">
        <f t="shared" si="12"/>
        <v>2.1397695216642653E-2</v>
      </c>
      <c r="AA38" s="27">
        <f t="shared" si="12"/>
        <v>2.1552534119155507E-2</v>
      </c>
      <c r="AB38" s="27">
        <f t="shared" si="12"/>
        <v>2.1684036893522194E-2</v>
      </c>
      <c r="AC38" s="27">
        <f t="shared" si="12"/>
        <v>2.1791583249767946E-2</v>
      </c>
      <c r="AD38" s="27">
        <f t="shared" si="12"/>
        <v>2.1874521123731019E-2</v>
      </c>
      <c r="AE38" s="27">
        <f t="shared" si="12"/>
        <v>2.1932460150066901E-2</v>
      </c>
      <c r="AF38" s="27">
        <f t="shared" si="12"/>
        <v>2.1965025881847573E-2</v>
      </c>
      <c r="AG38" s="27">
        <f t="shared" si="12"/>
        <v>2.1971856556936734E-2</v>
      </c>
      <c r="AH38" s="27">
        <f t="shared" si="12"/>
        <v>2.1952886110618599E-2</v>
      </c>
      <c r="AI38" s="27">
        <f t="shared" si="12"/>
        <v>2.190822254332906E-2</v>
      </c>
      <c r="AJ38" s="27">
        <f t="shared" si="12"/>
        <v>6.931382766868284E-3</v>
      </c>
      <c r="AK38" s="27">
        <f t="shared" si="12"/>
        <v>6.9364425599667493E-3</v>
      </c>
      <c r="AL38" s="27">
        <f t="shared" si="12"/>
        <v>6.9411381157540699E-3</v>
      </c>
      <c r="AM38" s="27">
        <f t="shared" si="12"/>
        <v>6.9455011980478565E-3</v>
      </c>
      <c r="AN38" s="27">
        <f t="shared" si="12"/>
        <v>6.9495709332144289E-3</v>
      </c>
      <c r="AO38" s="27">
        <f t="shared" si="12"/>
        <v>6.9532195920371295E-3</v>
      </c>
      <c r="AP38" s="27">
        <f t="shared" si="12"/>
        <v>6.9563613994300545E-3</v>
      </c>
      <c r="AQ38" s="27">
        <f t="shared" si="12"/>
        <v>6.9589826003472414E-3</v>
      </c>
      <c r="AR38" s="27">
        <f t="shared" si="12"/>
        <v>6.9609858708405197E-3</v>
      </c>
      <c r="AS38" s="27">
        <f t="shared" si="12"/>
        <v>6.9622655475345486E-3</v>
      </c>
      <c r="AT38" s="27">
        <f t="shared" si="12"/>
        <v>6.9628085795287523E-3</v>
      </c>
      <c r="AU38" s="27">
        <f t="shared" si="12"/>
        <v>6.9626299750131342E-3</v>
      </c>
      <c r="AV38" s="27">
        <f t="shared" si="12"/>
        <v>6.9617402004688092E-3</v>
      </c>
      <c r="AW38" s="27">
        <f t="shared" si="12"/>
        <v>6.960039873828548E-3</v>
      </c>
      <c r="AY38" s="79"/>
    </row>
    <row r="39" spans="1:51" x14ac:dyDescent="0.25">
      <c r="A39" s="95" t="str">
        <f t="shared" si="0"/>
        <v>FS Cattle MMN2O</v>
      </c>
      <c r="B39" s="95" t="s">
        <v>1004</v>
      </c>
      <c r="C39" s="95" t="s">
        <v>1232</v>
      </c>
      <c r="D39" t="s">
        <v>15</v>
      </c>
      <c r="E39" t="s">
        <v>657</v>
      </c>
      <c r="F39" t="s">
        <v>67</v>
      </c>
      <c r="G39" t="s">
        <v>122</v>
      </c>
      <c r="H39" t="s">
        <v>1227</v>
      </c>
      <c r="I39" t="s">
        <v>139</v>
      </c>
      <c r="J39" t="s">
        <v>287</v>
      </c>
      <c r="K39" s="27">
        <f t="shared" si="7"/>
        <v>0.52525224947331295</v>
      </c>
      <c r="L39" s="27">
        <f t="shared" si="12"/>
        <v>0.5206969044571037</v>
      </c>
      <c r="M39" s="27">
        <f t="shared" si="12"/>
        <v>0.51896282251134873</v>
      </c>
      <c r="N39" s="27">
        <f t="shared" si="12"/>
        <v>0.51203275332440923</v>
      </c>
      <c r="O39" s="27">
        <f t="shared" si="12"/>
        <v>0.50197358865556674</v>
      </c>
      <c r="P39" s="27">
        <f t="shared" si="12"/>
        <v>0.48899333628247277</v>
      </c>
      <c r="Q39" s="27">
        <f t="shared" si="12"/>
        <v>0.47875543160314166</v>
      </c>
      <c r="R39" s="27">
        <f t="shared" si="12"/>
        <v>0.46906920988966783</v>
      </c>
      <c r="S39" s="27">
        <f t="shared" si="12"/>
        <v>0.41949739097667643</v>
      </c>
      <c r="T39" s="27">
        <f t="shared" si="12"/>
        <v>0.43565935064957972</v>
      </c>
      <c r="U39" s="27">
        <f t="shared" si="12"/>
        <v>1.3730656770552265</v>
      </c>
      <c r="V39" s="27">
        <f t="shared" si="12"/>
        <v>1.3796884935069886</v>
      </c>
      <c r="W39" s="27">
        <f t="shared" si="12"/>
        <v>1.3839270796629521</v>
      </c>
      <c r="X39" s="27">
        <f t="shared" si="12"/>
        <v>1.3857805722044871</v>
      </c>
      <c r="Y39" s="27">
        <f t="shared" si="12"/>
        <v>1.3852882351123565</v>
      </c>
      <c r="Z39" s="27">
        <f t="shared" si="12"/>
        <v>1.3824264694708266</v>
      </c>
      <c r="AA39" s="27">
        <f t="shared" si="12"/>
        <v>1.3771882651473364</v>
      </c>
      <c r="AB39" s="27">
        <f t="shared" si="12"/>
        <v>1.3695779562696064</v>
      </c>
      <c r="AC39" s="27">
        <f t="shared" si="12"/>
        <v>1.3596126553947701</v>
      </c>
      <c r="AD39" s="27">
        <f t="shared" si="12"/>
        <v>1.33600285419975</v>
      </c>
      <c r="AE39" s="27">
        <f t="shared" si="12"/>
        <v>1.3101691590672178</v>
      </c>
      <c r="AF39" s="27">
        <f t="shared" si="12"/>
        <v>1.2822276459176047</v>
      </c>
      <c r="AG39" s="27">
        <f t="shared" si="12"/>
        <v>1.2523075801974097</v>
      </c>
      <c r="AH39" s="27">
        <f t="shared" si="12"/>
        <v>1.2205465760046283</v>
      </c>
      <c r="AI39" s="27">
        <f t="shared" si="12"/>
        <v>1.1870911726481781</v>
      </c>
      <c r="AJ39" s="27">
        <f t="shared" si="12"/>
        <v>-9.1659099684125458E-2</v>
      </c>
      <c r="AK39" s="27">
        <f t="shared" si="12"/>
        <v>-8.9452213438823466E-2</v>
      </c>
      <c r="AL39" s="27">
        <f t="shared" si="12"/>
        <v>-8.7268288718690495E-2</v>
      </c>
      <c r="AM39" s="27">
        <f t="shared" si="12"/>
        <v>-8.5107099964586319E-2</v>
      </c>
      <c r="AN39" s="27">
        <f t="shared" si="12"/>
        <v>-8.3391821536204336E-2</v>
      </c>
      <c r="AO39" s="27">
        <f t="shared" si="12"/>
        <v>-8.1692814399719135E-2</v>
      </c>
      <c r="AP39" s="27">
        <f t="shared" si="12"/>
        <v>-8.0008814881266738E-2</v>
      </c>
      <c r="AQ39" s="27">
        <f t="shared" si="12"/>
        <v>-7.8339405843548718E-2</v>
      </c>
      <c r="AR39" s="27">
        <f t="shared" si="12"/>
        <v>-7.6683366781164067E-2</v>
      </c>
      <c r="AS39" s="27">
        <f t="shared" si="12"/>
        <v>-7.5039502453707246E-2</v>
      </c>
      <c r="AT39" s="27">
        <f t="shared" si="12"/>
        <v>-7.3407620898571099E-2</v>
      </c>
      <c r="AU39" s="27">
        <f t="shared" si="12"/>
        <v>-7.1787822935495418E-2</v>
      </c>
      <c r="AV39" s="27">
        <f t="shared" si="12"/>
        <v>-7.0180170412069726E-2</v>
      </c>
      <c r="AW39" s="27">
        <f t="shared" si="12"/>
        <v>-6.8583739954492046E-2</v>
      </c>
      <c r="AY39" s="79"/>
    </row>
    <row r="40" spans="1:51" x14ac:dyDescent="0.25">
      <c r="A40" s="95" t="str">
        <f t="shared" si="0"/>
        <v>FS Cattle MMN2O</v>
      </c>
      <c r="B40" s="95" t="s">
        <v>1004</v>
      </c>
      <c r="C40" s="95" t="s">
        <v>1232</v>
      </c>
      <c r="D40" t="s">
        <v>15</v>
      </c>
      <c r="E40" t="s">
        <v>657</v>
      </c>
      <c r="F40" t="s">
        <v>67</v>
      </c>
      <c r="G40" t="s">
        <v>123</v>
      </c>
      <c r="H40" t="s">
        <v>1227</v>
      </c>
      <c r="I40" t="s">
        <v>139</v>
      </c>
      <c r="J40" t="s">
        <v>287</v>
      </c>
      <c r="K40" s="27">
        <f t="shared" si="7"/>
        <v>0.80452586370517853</v>
      </c>
      <c r="L40" s="27">
        <f t="shared" si="12"/>
        <v>0.79754846782098077</v>
      </c>
      <c r="M40" s="27">
        <f t="shared" si="12"/>
        <v>0.79489238443144161</v>
      </c>
      <c r="N40" s="27">
        <f t="shared" si="12"/>
        <v>0.78427763712907461</v>
      </c>
      <c r="O40" s="27">
        <f t="shared" si="12"/>
        <v>0.76887007218962322</v>
      </c>
      <c r="P40" s="27">
        <f t="shared" si="12"/>
        <v>0.74898829393537247</v>
      </c>
      <c r="Q40" s="27">
        <f t="shared" si="12"/>
        <v>0.73330695394505496</v>
      </c>
      <c r="R40" s="27">
        <f t="shared" si="12"/>
        <v>0.71847062359542468</v>
      </c>
      <c r="S40" s="27">
        <f t="shared" si="12"/>
        <v>0.64254175234089539</v>
      </c>
      <c r="T40" s="27">
        <f t="shared" si="12"/>
        <v>0.66729693345254038</v>
      </c>
      <c r="U40" s="27">
        <f t="shared" si="12"/>
        <v>2.1031168374137881</v>
      </c>
      <c r="V40" s="27">
        <f t="shared" si="12"/>
        <v>2.1132609674605565</v>
      </c>
      <c r="W40" s="27">
        <f t="shared" si="12"/>
        <v>2.1197531856118057</v>
      </c>
      <c r="X40" s="27">
        <f t="shared" si="12"/>
        <v>2.1225921695273335</v>
      </c>
      <c r="Y40" s="27">
        <f t="shared" si="12"/>
        <v>2.1218380596217075</v>
      </c>
      <c r="Z40" s="27">
        <f t="shared" si="12"/>
        <v>2.1174547095707896</v>
      </c>
      <c r="AA40" s="27">
        <f t="shared" si="12"/>
        <v>2.1094313819946655</v>
      </c>
      <c r="AB40" s="27">
        <f t="shared" si="12"/>
        <v>2.0977747154519557</v>
      </c>
      <c r="AC40" s="27">
        <f t="shared" si="12"/>
        <v>2.0825109211484589</v>
      </c>
      <c r="AD40" s="27">
        <f t="shared" si="12"/>
        <v>2.0463479238126498</v>
      </c>
      <c r="AE40" s="27">
        <f t="shared" si="12"/>
        <v>2.0067786008634618</v>
      </c>
      <c r="AF40" s="27">
        <f t="shared" si="12"/>
        <v>1.9639807451237425</v>
      </c>
      <c r="AG40" s="27">
        <f t="shared" si="12"/>
        <v>1.9181523517379118</v>
      </c>
      <c r="AH40" s="27">
        <f t="shared" si="12"/>
        <v>1.8695042034320957</v>
      </c>
      <c r="AI40" s="27">
        <f t="shared" si="12"/>
        <v>1.8182607536268967</v>
      </c>
      <c r="AJ40" s="27">
        <f t="shared" si="12"/>
        <v>-0.14039371828250841</v>
      </c>
      <c r="AK40" s="27">
        <f t="shared" si="12"/>
        <v>-0.13701344325392734</v>
      </c>
      <c r="AL40" s="27">
        <f t="shared" si="12"/>
        <v>-0.13366833826200414</v>
      </c>
      <c r="AM40" s="27">
        <f t="shared" si="12"/>
        <v>-0.13035805781909493</v>
      </c>
      <c r="AN40" s="27">
        <f t="shared" si="12"/>
        <v>-0.12773077566947513</v>
      </c>
      <c r="AO40" s="27">
        <f t="shared" si="12"/>
        <v>-0.12512841616450843</v>
      </c>
      <c r="AP40" s="27">
        <f t="shared" si="12"/>
        <v>-0.12254904374217125</v>
      </c>
      <c r="AQ40" s="27">
        <f t="shared" si="12"/>
        <v>-0.11999201947565157</v>
      </c>
      <c r="AR40" s="27">
        <f t="shared" si="12"/>
        <v>-0.11745547392381339</v>
      </c>
      <c r="AS40" s="27">
        <f t="shared" si="12"/>
        <v>-0.11493757634376978</v>
      </c>
      <c r="AT40" s="27">
        <f t="shared" si="12"/>
        <v>-0.11243803270749411</v>
      </c>
      <c r="AU40" s="27">
        <f t="shared" si="12"/>
        <v>-0.10995699744000494</v>
      </c>
      <c r="AV40" s="27">
        <f t="shared" si="12"/>
        <v>-0.10749456527290084</v>
      </c>
      <c r="AW40" s="27">
        <f t="shared" si="12"/>
        <v>-0.10504932187981528</v>
      </c>
      <c r="AY40" s="79"/>
    </row>
    <row r="41" spans="1:51" x14ac:dyDescent="0.25">
      <c r="A41" s="95" t="str">
        <f t="shared" si="0"/>
        <v>FS Cattle MMN2O</v>
      </c>
      <c r="B41" s="95" t="s">
        <v>1004</v>
      </c>
      <c r="C41" s="95" t="s">
        <v>1232</v>
      </c>
      <c r="D41" t="s">
        <v>15</v>
      </c>
      <c r="E41" t="s">
        <v>657</v>
      </c>
      <c r="F41" t="s">
        <v>67</v>
      </c>
      <c r="G41" t="s">
        <v>135</v>
      </c>
      <c r="H41" t="s">
        <v>1227</v>
      </c>
      <c r="I41" t="s">
        <v>139</v>
      </c>
      <c r="J41" t="s">
        <v>287</v>
      </c>
      <c r="K41" s="27">
        <f t="shared" si="7"/>
        <v>0.97926119892671493</v>
      </c>
      <c r="L41" s="27">
        <f t="shared" si="12"/>
        <v>1.0122801448609147</v>
      </c>
      <c r="M41" s="27">
        <f t="shared" si="12"/>
        <v>1.0514701788925804</v>
      </c>
      <c r="N41" s="27">
        <f t="shared" si="12"/>
        <v>1.0806972456941155</v>
      </c>
      <c r="O41" s="27">
        <f t="shared" si="12"/>
        <v>1.1032367943433714</v>
      </c>
      <c r="P41" s="27">
        <f t="shared" si="12"/>
        <v>1.1187666946803869</v>
      </c>
      <c r="Q41" s="27">
        <f t="shared" si="12"/>
        <v>1.1399714801203364</v>
      </c>
      <c r="R41" s="27">
        <f t="shared" si="12"/>
        <v>1.1622002864669057</v>
      </c>
      <c r="S41" s="27">
        <f t="shared" si="12"/>
        <v>1.0813845600959935</v>
      </c>
      <c r="T41" s="27">
        <f t="shared" si="12"/>
        <v>1.1501042489069657</v>
      </c>
      <c r="U41" s="27">
        <f t="shared" si="12"/>
        <v>3.7109100106027491</v>
      </c>
      <c r="V41" s="27">
        <f t="shared" si="12"/>
        <v>3.81628643561459</v>
      </c>
      <c r="W41" s="27">
        <f t="shared" si="12"/>
        <v>3.9167580657264067</v>
      </c>
      <c r="X41" s="27">
        <f t="shared" si="12"/>
        <v>4.0119388397207816</v>
      </c>
      <c r="Y41" s="27">
        <f t="shared" si="12"/>
        <v>4.1015489666041693</v>
      </c>
      <c r="Z41" s="27">
        <f t="shared" si="12"/>
        <v>4.185115809425092</v>
      </c>
      <c r="AA41" s="27">
        <f t="shared" si="12"/>
        <v>4.2621982223461794</v>
      </c>
      <c r="AB41" s="27">
        <f t="shared" si="12"/>
        <v>4.332374707921506</v>
      </c>
      <c r="AC41" s="27">
        <f t="shared" si="12"/>
        <v>4.3952511811697104</v>
      </c>
      <c r="AD41" s="27">
        <f t="shared" si="12"/>
        <v>4.4621545606882416</v>
      </c>
      <c r="AE41" s="27">
        <f t="shared" si="12"/>
        <v>4.5212658165225097</v>
      </c>
      <c r="AF41" s="27">
        <f t="shared" si="12"/>
        <v>4.572238941429692</v>
      </c>
      <c r="AG41" s="27">
        <f t="shared" si="12"/>
        <v>4.6147735825145579</v>
      </c>
      <c r="AH41" s="27">
        <f t="shared" si="12"/>
        <v>4.6486045920264791</v>
      </c>
      <c r="AI41" s="27">
        <f t="shared" si="12"/>
        <v>4.6735101171168392</v>
      </c>
      <c r="AJ41" s="27">
        <f t="shared" si="12"/>
        <v>-0.37307516132200708</v>
      </c>
      <c r="AK41" s="27">
        <f t="shared" si="12"/>
        <v>-0.37648970355727795</v>
      </c>
      <c r="AL41" s="27">
        <f t="shared" si="12"/>
        <v>-0.37988166723122341</v>
      </c>
      <c r="AM41" s="27">
        <f t="shared" si="12"/>
        <v>-0.38325274179247815</v>
      </c>
      <c r="AN41" s="27">
        <f t="shared" si="12"/>
        <v>-0.3861241570916577</v>
      </c>
      <c r="AO41" s="27">
        <f t="shared" si="12"/>
        <v>-0.38896686054418655</v>
      </c>
      <c r="AP41" s="27">
        <f t="shared" si="12"/>
        <v>-0.39177650128046815</v>
      </c>
      <c r="AQ41" s="27">
        <f t="shared" si="12"/>
        <v>-0.39455230658450102</v>
      </c>
      <c r="AR41" s="27">
        <f t="shared" si="12"/>
        <v>-0.39728909714720628</v>
      </c>
      <c r="AS41" s="27">
        <f t="shared" si="12"/>
        <v>-0.39998109146847105</v>
      </c>
      <c r="AT41" s="27">
        <f t="shared" si="12"/>
        <v>-0.40262723351695445</v>
      </c>
      <c r="AU41" s="27">
        <f t="shared" si="12"/>
        <v>-0.4052279233246403</v>
      </c>
      <c r="AV41" s="27">
        <f t="shared" si="12"/>
        <v>-0.40778332090512204</v>
      </c>
      <c r="AW41" s="27">
        <f t="shared" si="12"/>
        <v>-0.41028765697691083</v>
      </c>
      <c r="AY41" s="79"/>
    </row>
    <row r="42" spans="1:51" x14ac:dyDescent="0.25">
      <c r="A42" s="95" t="str">
        <f t="shared" si="0"/>
        <v>FS Sheep MMN2O</v>
      </c>
      <c r="B42" s="95" t="s">
        <v>1004</v>
      </c>
      <c r="C42" s="95" t="s">
        <v>1328</v>
      </c>
      <c r="D42" t="s">
        <v>15</v>
      </c>
      <c r="E42" t="s">
        <v>657</v>
      </c>
      <c r="F42" t="s">
        <v>18</v>
      </c>
      <c r="G42" t="s">
        <v>122</v>
      </c>
      <c r="H42" t="s">
        <v>1227</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0.11888990250365807</v>
      </c>
      <c r="T42" s="27">
        <f t="shared" si="12"/>
        <v>0.1189690287837306</v>
      </c>
      <c r="U42" s="27">
        <f t="shared" si="12"/>
        <v>0.12051861082287679</v>
      </c>
      <c r="V42" s="27">
        <f t="shared" si="12"/>
        <v>0.1205564116673056</v>
      </c>
      <c r="W42" s="27">
        <f t="shared" si="12"/>
        <v>0.1207181038170992</v>
      </c>
      <c r="X42" s="27">
        <f t="shared" si="12"/>
        <v>0.1209518337442019</v>
      </c>
      <c r="Y42" s="27">
        <f t="shared" si="12"/>
        <v>0.12116896083678347</v>
      </c>
      <c r="Z42" s="27">
        <f t="shared" si="12"/>
        <v>0.12137217342001694</v>
      </c>
      <c r="AA42" s="27">
        <f t="shared" si="12"/>
        <v>0.1215603878714394</v>
      </c>
      <c r="AB42" s="27">
        <f t="shared" si="12"/>
        <v>0.12173530001872475</v>
      </c>
      <c r="AC42" s="27">
        <f t="shared" si="12"/>
        <v>0.12189956310100271</v>
      </c>
      <c r="AD42" s="27">
        <f t="shared" si="12"/>
        <v>0.12205302234453672</v>
      </c>
      <c r="AE42" s="27">
        <f t="shared" si="12"/>
        <v>0.12219813225383717</v>
      </c>
      <c r="AF42" s="27">
        <f t="shared" si="12"/>
        <v>0.12233524409037175</v>
      </c>
      <c r="AG42" s="27">
        <f t="shared" si="12"/>
        <v>0.12246247857835596</v>
      </c>
      <c r="AH42" s="27">
        <f t="shared" si="12"/>
        <v>0.12258099962950754</v>
      </c>
      <c r="AI42" s="27">
        <f t="shared" si="12"/>
        <v>0.1226926980528978</v>
      </c>
      <c r="AJ42" s="27">
        <f t="shared" si="12"/>
        <v>0.12000006421083369</v>
      </c>
      <c r="AK42" s="27">
        <f t="shared" si="12"/>
        <v>0.12011041514130365</v>
      </c>
      <c r="AL42" s="27">
        <f t="shared" si="12"/>
        <v>0.12021334415571779</v>
      </c>
      <c r="AM42" s="27">
        <f t="shared" si="12"/>
        <v>0.12030948030331916</v>
      </c>
      <c r="AN42" s="27">
        <f t="shared" si="12"/>
        <v>0.12039958826810335</v>
      </c>
      <c r="AO42" s="27">
        <f t="shared" si="12"/>
        <v>0.12048129784431058</v>
      </c>
      <c r="AP42" s="27">
        <f t="shared" si="12"/>
        <v>0.12055302618273207</v>
      </c>
      <c r="AQ42" s="27">
        <f t="shared" si="12"/>
        <v>0.12061454144456668</v>
      </c>
      <c r="AR42" s="27">
        <f t="shared" si="12"/>
        <v>0.12066404237348154</v>
      </c>
      <c r="AS42" s="27">
        <f t="shared" si="12"/>
        <v>0.12069957105311468</v>
      </c>
      <c r="AT42" s="27">
        <f t="shared" si="12"/>
        <v>0.12072090668873016</v>
      </c>
      <c r="AU42" s="27">
        <f t="shared" si="12"/>
        <v>0.12072835361242823</v>
      </c>
      <c r="AV42" s="27">
        <f t="shared" si="12"/>
        <v>0.12072212964886384</v>
      </c>
      <c r="AW42" s="27">
        <f t="shared" si="12"/>
        <v>0.12070039195556491</v>
      </c>
      <c r="AY42" s="79"/>
    </row>
    <row r="43" spans="1:51" x14ac:dyDescent="0.25">
      <c r="A43" s="95" t="str">
        <f t="shared" si="0"/>
        <v>FS Sheep MMN2O</v>
      </c>
      <c r="B43" s="95" t="s">
        <v>1004</v>
      </c>
      <c r="C43" s="95" t="s">
        <v>1328</v>
      </c>
      <c r="D43" t="s">
        <v>15</v>
      </c>
      <c r="E43" t="s">
        <v>657</v>
      </c>
      <c r="F43" t="s">
        <v>18</v>
      </c>
      <c r="G43" t="s">
        <v>123</v>
      </c>
      <c r="H43" t="s">
        <v>1227</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6.3575358075834407E-2</v>
      </c>
      <c r="T43" s="27">
        <f t="shared" si="12"/>
        <v>6.3617670177054816E-2</v>
      </c>
      <c r="U43" s="27">
        <f t="shared" si="12"/>
        <v>6.4446295913404186E-2</v>
      </c>
      <c r="V43" s="27">
        <f t="shared" si="12"/>
        <v>6.4466509591517507E-2</v>
      </c>
      <c r="W43" s="27">
        <f t="shared" si="12"/>
        <v>6.4552973085091836E-2</v>
      </c>
      <c r="X43" s="27">
        <f t="shared" si="12"/>
        <v>6.4677958163687016E-2</v>
      </c>
      <c r="Y43" s="27">
        <f t="shared" si="12"/>
        <v>6.479406501858509E-2</v>
      </c>
      <c r="Z43" s="27">
        <f t="shared" si="12"/>
        <v>6.4902731208669517E-2</v>
      </c>
      <c r="AA43" s="27">
        <f t="shared" si="12"/>
        <v>6.500337727610038E-2</v>
      </c>
      <c r="AB43" s="27">
        <f t="shared" si="12"/>
        <v>6.5096910050215798E-2</v>
      </c>
      <c r="AC43" s="27">
        <f t="shared" si="12"/>
        <v>6.518474832793783E-2</v>
      </c>
      <c r="AD43" s="27">
        <f t="shared" si="12"/>
        <v>6.5266809345335172E-2</v>
      </c>
      <c r="AE43" s="27">
        <f t="shared" si="12"/>
        <v>6.5344405627692656E-2</v>
      </c>
      <c r="AF43" s="27">
        <f t="shared" si="12"/>
        <v>6.5417725009074529E-2</v>
      </c>
      <c r="AG43" s="27">
        <f t="shared" si="12"/>
        <v>6.5485762562835198E-2</v>
      </c>
      <c r="AH43" s="27">
        <f t="shared" si="12"/>
        <v>6.5549140680806597E-2</v>
      </c>
      <c r="AI43" s="27">
        <f t="shared" si="12"/>
        <v>6.560887045696083E-2</v>
      </c>
      <c r="AJ43" s="27">
        <f t="shared" si="12"/>
        <v>6.4169007549586779E-2</v>
      </c>
      <c r="AK43" s="27">
        <f t="shared" si="12"/>
        <v>6.42280167654318E-2</v>
      </c>
      <c r="AL43" s="27">
        <f t="shared" si="12"/>
        <v>6.4283057175171951E-2</v>
      </c>
      <c r="AM43" s="27">
        <f t="shared" si="12"/>
        <v>6.4334465157507542E-2</v>
      </c>
      <c r="AN43" s="27">
        <f t="shared" si="12"/>
        <v>6.4382649620662147E-2</v>
      </c>
      <c r="AO43" s="27">
        <f t="shared" si="12"/>
        <v>6.4426343117386445E-2</v>
      </c>
      <c r="AP43" s="27">
        <f t="shared" si="12"/>
        <v>6.4464699232609876E-2</v>
      </c>
      <c r="AQ43" s="27">
        <f t="shared" si="12"/>
        <v>6.4497593992517213E-2</v>
      </c>
      <c r="AR43" s="27">
        <f t="shared" si="12"/>
        <v>6.452406419069702E-2</v>
      </c>
      <c r="AS43" s="27">
        <f t="shared" si="12"/>
        <v>6.4543062848127733E-2</v>
      </c>
      <c r="AT43" s="27">
        <f t="shared" si="12"/>
        <v>6.4554471896713567E-2</v>
      </c>
      <c r="AU43" s="27">
        <f t="shared" si="12"/>
        <v>6.4558454075441099E-2</v>
      </c>
      <c r="AV43" s="27">
        <f t="shared" si="12"/>
        <v>6.4555125864180746E-2</v>
      </c>
      <c r="AW43" s="27">
        <f t="shared" si="12"/>
        <v>6.4543501818688898E-2</v>
      </c>
      <c r="AY43" s="79"/>
    </row>
    <row r="44" spans="1:51" x14ac:dyDescent="0.25">
      <c r="A44" s="95" t="str">
        <f t="shared" si="0"/>
        <v>FS Goats MMN2O</v>
      </c>
      <c r="B44" s="95" t="s">
        <v>1004</v>
      </c>
      <c r="C44" s="95" t="s">
        <v>1329</v>
      </c>
      <c r="D44" t="s">
        <v>15</v>
      </c>
      <c r="E44" t="s">
        <v>657</v>
      </c>
      <c r="F44" t="s">
        <v>19</v>
      </c>
      <c r="G44" t="s">
        <v>122</v>
      </c>
      <c r="H44" t="s">
        <v>1227</v>
      </c>
      <c r="I44" t="s">
        <v>139</v>
      </c>
      <c r="J44" t="s">
        <v>287</v>
      </c>
      <c r="K44" s="27">
        <f t="shared" si="7"/>
        <v>1.4486129996083084E-2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1.4890706011157261E-2</v>
      </c>
      <c r="R44" s="27">
        <f t="shared" si="12"/>
        <v>1.4988675221399694E-2</v>
      </c>
      <c r="S44" s="27">
        <f t="shared" si="12"/>
        <v>1.4952125307683931E-2</v>
      </c>
      <c r="T44" s="27">
        <f t="shared" si="12"/>
        <v>1.497659485650934E-2</v>
      </c>
      <c r="U44" s="27">
        <f t="shared" si="12"/>
        <v>1.5280249217669807E-2</v>
      </c>
      <c r="V44" s="27">
        <f t="shared" si="12"/>
        <v>1.5293967954982137E-2</v>
      </c>
      <c r="W44" s="27">
        <f t="shared" si="12"/>
        <v>1.5330288500558316E-2</v>
      </c>
      <c r="X44" s="27">
        <f t="shared" si="12"/>
        <v>1.5379307775042967E-2</v>
      </c>
      <c r="Y44" s="27">
        <f t="shared" si="12"/>
        <v>1.5424265287422665E-2</v>
      </c>
      <c r="Z44" s="27">
        <f t="shared" si="12"/>
        <v>1.5465755297522263E-2</v>
      </c>
      <c r="AA44" s="27">
        <f t="shared" si="12"/>
        <v>1.5503650543984475E-2</v>
      </c>
      <c r="AB44" s="27">
        <f t="shared" si="12"/>
        <v>1.5538340165319426E-2</v>
      </c>
      <c r="AC44" s="27">
        <f t="shared" si="12"/>
        <v>1.5570383853796523E-2</v>
      </c>
      <c r="AD44" s="27">
        <f t="shared" si="12"/>
        <v>1.5599807426957595E-2</v>
      </c>
      <c r="AE44" s="27">
        <f t="shared" si="12"/>
        <v>1.5627118939580072E-2</v>
      </c>
      <c r="AF44" s="27">
        <f t="shared" si="12"/>
        <v>1.5652427506297684E-2</v>
      </c>
      <c r="AG44" s="27">
        <f t="shared" si="12"/>
        <v>1.5675424120776597E-2</v>
      </c>
      <c r="AH44" s="27">
        <f t="shared" si="12"/>
        <v>1.5696363462061685E-2</v>
      </c>
      <c r="AI44" s="27">
        <f t="shared" si="12"/>
        <v>1.5715630256505467E-2</v>
      </c>
      <c r="AJ44" s="27">
        <f t="shared" si="12"/>
        <v>1.5216731234132433E-2</v>
      </c>
      <c r="AK44" s="27">
        <f t="shared" si="12"/>
        <v>1.5235961154748286E-2</v>
      </c>
      <c r="AL44" s="27">
        <f t="shared" si="12"/>
        <v>1.5253469736089939E-2</v>
      </c>
      <c r="AM44" s="27">
        <f t="shared" si="12"/>
        <v>1.5269398678749371E-2</v>
      </c>
      <c r="AN44" s="27">
        <f t="shared" si="12"/>
        <v>1.5283912082079585E-2</v>
      </c>
      <c r="AO44" s="27">
        <f t="shared" si="12"/>
        <v>1.5296597939016455E-2</v>
      </c>
      <c r="AP44" s="27">
        <f t="shared" si="12"/>
        <v>1.530718972818932E-2</v>
      </c>
      <c r="AQ44" s="27">
        <f t="shared" si="12"/>
        <v>1.5315667991874672E-2</v>
      </c>
      <c r="AR44" s="27">
        <f t="shared" si="12"/>
        <v>1.5321726619352006E-2</v>
      </c>
      <c r="AS44" s="27">
        <f t="shared" si="12"/>
        <v>1.5325032079315765E-2</v>
      </c>
      <c r="AT44" s="27">
        <f t="shared" si="12"/>
        <v>1.5325567315367106E-2</v>
      </c>
      <c r="AU44" s="27">
        <f t="shared" si="12"/>
        <v>1.5323409630922659E-2</v>
      </c>
      <c r="AV44" s="27">
        <f t="shared" ref="L44:AW51" si="13">AV1419</f>
        <v>1.5318619367085746E-2</v>
      </c>
      <c r="AW44" s="27">
        <f t="shared" si="13"/>
        <v>1.5310883587655623E-2</v>
      </c>
      <c r="AY44" s="79"/>
    </row>
    <row r="45" spans="1:51" x14ac:dyDescent="0.25">
      <c r="A45" s="95" t="str">
        <f t="shared" si="0"/>
        <v>FS Goats MMN2O</v>
      </c>
      <c r="B45" s="95" t="s">
        <v>1004</v>
      </c>
      <c r="C45" s="95" t="s">
        <v>1329</v>
      </c>
      <c r="D45" t="s">
        <v>15</v>
      </c>
      <c r="E45" t="s">
        <v>657</v>
      </c>
      <c r="F45" t="s">
        <v>19</v>
      </c>
      <c r="G45" t="s">
        <v>123</v>
      </c>
      <c r="H45" t="s">
        <v>1227</v>
      </c>
      <c r="I45" t="s">
        <v>139</v>
      </c>
      <c r="J45" t="s">
        <v>287</v>
      </c>
      <c r="K45" s="27">
        <f t="shared" si="7"/>
        <v>0.11484439540301131</v>
      </c>
      <c r="L45" s="27">
        <f t="shared" si="13"/>
        <v>0.11514293539628438</v>
      </c>
      <c r="M45" s="27">
        <f t="shared" si="13"/>
        <v>0.1155547607669731</v>
      </c>
      <c r="N45" s="27">
        <f t="shared" si="13"/>
        <v>0.11605647283191661</v>
      </c>
      <c r="O45" s="27">
        <f t="shared" si="13"/>
        <v>0.11664735601685972</v>
      </c>
      <c r="P45" s="27">
        <f t="shared" si="13"/>
        <v>0.11732381389682567</v>
      </c>
      <c r="Q45" s="27">
        <f t="shared" si="13"/>
        <v>0.11805182815822728</v>
      </c>
      <c r="R45" s="27">
        <f t="shared" si="13"/>
        <v>0.11882851694408277</v>
      </c>
      <c r="S45" s="27">
        <f t="shared" si="13"/>
        <v>0.11853875337411246</v>
      </c>
      <c r="T45" s="27">
        <f t="shared" si="13"/>
        <v>0.11873274518154472</v>
      </c>
      <c r="U45" s="27">
        <f t="shared" si="13"/>
        <v>0.12114008251238399</v>
      </c>
      <c r="V45" s="27">
        <f t="shared" si="13"/>
        <v>0.12124884310563787</v>
      </c>
      <c r="W45" s="27">
        <f t="shared" si="13"/>
        <v>0.12153678827101554</v>
      </c>
      <c r="X45" s="27">
        <f t="shared" si="13"/>
        <v>0.12192540751872388</v>
      </c>
      <c r="Y45" s="27">
        <f t="shared" si="13"/>
        <v>0.12228182557720234</v>
      </c>
      <c r="Z45" s="27">
        <f t="shared" si="13"/>
        <v>0.12261075367093349</v>
      </c>
      <c r="AA45" s="27">
        <f t="shared" si="13"/>
        <v>0.12291118288631245</v>
      </c>
      <c r="AB45" s="27">
        <f t="shared" si="13"/>
        <v>0.12318619826930632</v>
      </c>
      <c r="AC45" s="27">
        <f t="shared" si="13"/>
        <v>0.12344023699673938</v>
      </c>
      <c r="AD45" s="27">
        <f t="shared" si="13"/>
        <v>0.12367350374715462</v>
      </c>
      <c r="AE45" s="27">
        <f t="shared" si="13"/>
        <v>0.12389002632119744</v>
      </c>
      <c r="AF45" s="27">
        <f t="shared" si="13"/>
        <v>0.12409066976730669</v>
      </c>
      <c r="AG45" s="27">
        <f t="shared" si="13"/>
        <v>0.12427298431831933</v>
      </c>
      <c r="AH45" s="27">
        <f t="shared" si="13"/>
        <v>0.12443898904081413</v>
      </c>
      <c r="AI45" s="27">
        <f t="shared" si="13"/>
        <v>0.12459173400167312</v>
      </c>
      <c r="AJ45" s="27">
        <f t="shared" si="13"/>
        <v>0.12063651914393841</v>
      </c>
      <c r="AK45" s="27">
        <f t="shared" si="13"/>
        <v>0.12078897177327232</v>
      </c>
      <c r="AL45" s="27">
        <f t="shared" si="13"/>
        <v>0.12092777782009714</v>
      </c>
      <c r="AM45" s="27">
        <f t="shared" si="13"/>
        <v>0.12105406067063253</v>
      </c>
      <c r="AN45" s="27">
        <f t="shared" si="13"/>
        <v>0.12116912128593484</v>
      </c>
      <c r="AO45" s="27">
        <f t="shared" si="13"/>
        <v>0.12126969332073484</v>
      </c>
      <c r="AP45" s="27">
        <f t="shared" si="13"/>
        <v>0.12135366382383837</v>
      </c>
      <c r="AQ45" s="27">
        <f t="shared" si="13"/>
        <v>0.12142087853662052</v>
      </c>
      <c r="AR45" s="27">
        <f t="shared" si="13"/>
        <v>0.12146891064801223</v>
      </c>
      <c r="AS45" s="27">
        <f t="shared" si="13"/>
        <v>0.12149511595965648</v>
      </c>
      <c r="AT45" s="27">
        <f t="shared" si="13"/>
        <v>0.12149935925035804</v>
      </c>
      <c r="AU45" s="27">
        <f t="shared" si="13"/>
        <v>0.12148225337283523</v>
      </c>
      <c r="AV45" s="27">
        <f t="shared" si="13"/>
        <v>0.12144427670451041</v>
      </c>
      <c r="AW45" s="27">
        <f t="shared" si="13"/>
        <v>0.12138294832268144</v>
      </c>
      <c r="AY45" s="79"/>
    </row>
    <row r="46" spans="1:51" x14ac:dyDescent="0.25">
      <c r="A46" s="95" t="str">
        <f t="shared" si="0"/>
        <v>FS Horses MMN2O</v>
      </c>
      <c r="B46" s="95" t="s">
        <v>1004</v>
      </c>
      <c r="C46" s="95" t="s">
        <v>1330</v>
      </c>
      <c r="D46" t="s">
        <v>15</v>
      </c>
      <c r="E46" t="s">
        <v>657</v>
      </c>
      <c r="F46" t="s">
        <v>20</v>
      </c>
      <c r="G46" t="s">
        <v>3</v>
      </c>
      <c r="H46" t="s">
        <v>1227</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25">
      <c r="A47" s="95" t="str">
        <f t="shared" si="0"/>
        <v>FS Mules MMN2O</v>
      </c>
      <c r="B47" s="95" t="s">
        <v>1004</v>
      </c>
      <c r="C47" s="95" t="s">
        <v>1331</v>
      </c>
      <c r="D47" t="s">
        <v>15</v>
      </c>
      <c r="E47" t="s">
        <v>657</v>
      </c>
      <c r="F47" t="s">
        <v>140</v>
      </c>
      <c r="G47" t="s">
        <v>124</v>
      </c>
      <c r="H47" t="s">
        <v>1227</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25">
      <c r="A48" s="95" t="str">
        <f t="shared" si="0"/>
        <v>FS Swine MMN2O</v>
      </c>
      <c r="B48" s="95" t="s">
        <v>1004</v>
      </c>
      <c r="C48" s="95" t="s">
        <v>1233</v>
      </c>
      <c r="D48" t="s">
        <v>15</v>
      </c>
      <c r="E48" t="s">
        <v>657</v>
      </c>
      <c r="F48" t="s">
        <v>21</v>
      </c>
      <c r="G48" t="s">
        <v>122</v>
      </c>
      <c r="H48" t="s">
        <v>1227</v>
      </c>
      <c r="I48" t="s">
        <v>139</v>
      </c>
      <c r="J48" t="s">
        <v>287</v>
      </c>
      <c r="K48" s="27">
        <f t="shared" si="7"/>
        <v>9.7466979224281824E-2</v>
      </c>
      <c r="L48" s="27">
        <f t="shared" si="13"/>
        <v>9.6937181363551519E-2</v>
      </c>
      <c r="M48" s="27">
        <f t="shared" si="13"/>
        <v>9.6980665528366608E-2</v>
      </c>
      <c r="N48" s="27">
        <f t="shared" si="13"/>
        <v>9.6090308702663593E-2</v>
      </c>
      <c r="O48" s="27">
        <f t="shared" si="13"/>
        <v>9.4636150647850484E-2</v>
      </c>
      <c r="P48" s="27">
        <f t="shared" si="13"/>
        <v>9.2641437622218339E-2</v>
      </c>
      <c r="Q48" s="27">
        <f t="shared" si="13"/>
        <v>9.1193054757597189E-2</v>
      </c>
      <c r="R48" s="27">
        <f t="shared" si="13"/>
        <v>8.9872834352323558E-2</v>
      </c>
      <c r="S48" s="27">
        <f t="shared" si="13"/>
        <v>8.0860772779409465E-2</v>
      </c>
      <c r="T48" s="27">
        <f t="shared" si="13"/>
        <v>8.3748164551472229E-2</v>
      </c>
      <c r="U48" s="27">
        <f t="shared" si="13"/>
        <v>0.26770254430249885</v>
      </c>
      <c r="V48" s="27">
        <f t="shared" si="13"/>
        <v>0.26843638329557273</v>
      </c>
      <c r="W48" s="27">
        <f t="shared" si="13"/>
        <v>0.26870741156063732</v>
      </c>
      <c r="X48" s="27">
        <f t="shared" si="13"/>
        <v>0.26852785801231227</v>
      </c>
      <c r="Y48" s="27">
        <f t="shared" si="13"/>
        <v>0.26792481068861962</v>
      </c>
      <c r="Z48" s="27">
        <f t="shared" si="13"/>
        <v>0.26689273021889548</v>
      </c>
      <c r="AA48" s="27">
        <f t="shared" si="13"/>
        <v>0.26543013343256128</v>
      </c>
      <c r="AB48" s="27">
        <f t="shared" si="13"/>
        <v>0.26353715747778594</v>
      </c>
      <c r="AC48" s="27">
        <f t="shared" si="13"/>
        <v>0.26121623026966229</v>
      </c>
      <c r="AD48" s="27">
        <f t="shared" si="13"/>
        <v>0.25847332541622875</v>
      </c>
      <c r="AE48" s="27">
        <f t="shared" si="13"/>
        <v>0.25531599764072704</v>
      </c>
      <c r="AF48" s="27">
        <f t="shared" si="13"/>
        <v>0.25175492240639524</v>
      </c>
      <c r="AG48" s="27">
        <f t="shared" si="13"/>
        <v>0.2478037797344021</v>
      </c>
      <c r="AH48" s="27">
        <f t="shared" si="13"/>
        <v>0.24347738783336567</v>
      </c>
      <c r="AI48" s="27">
        <f t="shared" si="13"/>
        <v>0.23879237534138331</v>
      </c>
      <c r="AJ48" s="27">
        <f t="shared" si="13"/>
        <v>-2.2251219051901461E-2</v>
      </c>
      <c r="AK48" s="27">
        <f t="shared" si="13"/>
        <v>-2.2010329292297307E-2</v>
      </c>
      <c r="AL48" s="27">
        <f t="shared" si="13"/>
        <v>-2.1768586076349947E-2</v>
      </c>
      <c r="AM48" s="27">
        <f t="shared" si="13"/>
        <v>-2.1526240200831197E-2</v>
      </c>
      <c r="AN48" s="27">
        <f t="shared" si="13"/>
        <v>-2.1283568844564598E-2</v>
      </c>
      <c r="AO48" s="27">
        <f t="shared" si="13"/>
        <v>-2.1039928732674035E-2</v>
      </c>
      <c r="AP48" s="27">
        <f t="shared" si="13"/>
        <v>-2.0794940089199746E-2</v>
      </c>
      <c r="AQ48" s="27">
        <f t="shared" si="13"/>
        <v>-2.054862658012397E-2</v>
      </c>
      <c r="AR48" s="27">
        <f t="shared" si="13"/>
        <v>-2.0300580022227385E-2</v>
      </c>
      <c r="AS48" s="27">
        <f t="shared" si="13"/>
        <v>-2.0050376976853562E-2</v>
      </c>
      <c r="AT48" s="27">
        <f t="shared" si="13"/>
        <v>-1.9798088456072588E-2</v>
      </c>
      <c r="AU48" s="27">
        <f t="shared" si="13"/>
        <v>-1.9543924397373666E-2</v>
      </c>
      <c r="AV48" s="27">
        <f t="shared" si="13"/>
        <v>-1.9288064378450123E-2</v>
      </c>
      <c r="AW48" s="27">
        <f t="shared" si="13"/>
        <v>-1.9030154173993289E-2</v>
      </c>
      <c r="AY48" s="79"/>
    </row>
    <row r="49" spans="1:51" x14ac:dyDescent="0.25">
      <c r="A49" s="95" t="str">
        <f t="shared" si="0"/>
        <v>FS Swine MMN2O</v>
      </c>
      <c r="B49" s="95" t="s">
        <v>1004</v>
      </c>
      <c r="C49" s="95" t="s">
        <v>1233</v>
      </c>
      <c r="D49" t="s">
        <v>15</v>
      </c>
      <c r="E49" t="s">
        <v>657</v>
      </c>
      <c r="F49" t="s">
        <v>21</v>
      </c>
      <c r="G49" t="s">
        <v>123</v>
      </c>
      <c r="H49" t="s">
        <v>1227</v>
      </c>
      <c r="I49" t="s">
        <v>139</v>
      </c>
      <c r="J49" t="s">
        <v>287</v>
      </c>
      <c r="K49" s="27">
        <f t="shared" si="7"/>
        <v>3.8131055665722169E-2</v>
      </c>
      <c r="L49" s="27">
        <f t="shared" si="13"/>
        <v>3.7923788015899962E-2</v>
      </c>
      <c r="M49" s="27">
        <f t="shared" si="13"/>
        <v>3.7940799901590251E-2</v>
      </c>
      <c r="N49" s="27">
        <f t="shared" si="13"/>
        <v>3.759247428451009E-2</v>
      </c>
      <c r="O49" s="27">
        <f t="shared" si="13"/>
        <v>3.7023578211438569E-2</v>
      </c>
      <c r="P49" s="27">
        <f t="shared" si="13"/>
        <v>3.6243206089281214E-2</v>
      </c>
      <c r="Q49" s="27">
        <f t="shared" si="13"/>
        <v>3.567656938754183E-2</v>
      </c>
      <c r="R49" s="27">
        <f t="shared" si="13"/>
        <v>3.5160072434777256E-2</v>
      </c>
      <c r="S49" s="27">
        <f t="shared" si="13"/>
        <v>3.1634371482160743E-2</v>
      </c>
      <c r="T49" s="27">
        <f t="shared" si="13"/>
        <v>3.2763977603798337E-2</v>
      </c>
      <c r="U49" s="27">
        <f t="shared" si="13"/>
        <v>0.10473065544757326</v>
      </c>
      <c r="V49" s="27">
        <f t="shared" si="13"/>
        <v>0.10501774811954566</v>
      </c>
      <c r="W49" s="27">
        <f t="shared" si="13"/>
        <v>0.10512377986429053</v>
      </c>
      <c r="X49" s="27">
        <f t="shared" si="13"/>
        <v>0.10505353488080327</v>
      </c>
      <c r="Y49" s="27">
        <f t="shared" si="13"/>
        <v>0.10481761055800391</v>
      </c>
      <c r="Z49" s="27">
        <f t="shared" si="13"/>
        <v>0.10441383978193423</v>
      </c>
      <c r="AA49" s="27">
        <f t="shared" si="13"/>
        <v>0.10384164230623445</v>
      </c>
      <c r="AB49" s="27">
        <f t="shared" si="13"/>
        <v>0.10310107178604509</v>
      </c>
      <c r="AC49" s="27">
        <f t="shared" si="13"/>
        <v>0.10219307807090795</v>
      </c>
      <c r="AD49" s="27">
        <f t="shared" si="13"/>
        <v>0.10111999815723396</v>
      </c>
      <c r="AE49" s="27">
        <f t="shared" si="13"/>
        <v>9.9884787605714245E-2</v>
      </c>
      <c r="AF49" s="27">
        <f t="shared" si="13"/>
        <v>9.8491622873711313E-2</v>
      </c>
      <c r="AG49" s="27">
        <f t="shared" si="13"/>
        <v>9.6945855862482944E-2</v>
      </c>
      <c r="AH49" s="27">
        <f t="shared" si="13"/>
        <v>9.5253283755261486E-2</v>
      </c>
      <c r="AI49" s="27">
        <f t="shared" si="13"/>
        <v>9.3420412011947257E-2</v>
      </c>
      <c r="AJ49" s="27">
        <f t="shared" si="13"/>
        <v>-8.7051274087999644E-3</v>
      </c>
      <c r="AK49" s="27">
        <f t="shared" si="13"/>
        <v>-8.6108864575991286E-3</v>
      </c>
      <c r="AL49" s="27">
        <f t="shared" si="13"/>
        <v>-8.5163116169970788E-3</v>
      </c>
      <c r="AM49" s="27">
        <f t="shared" si="13"/>
        <v>-8.4215010037687853E-3</v>
      </c>
      <c r="AN49" s="27">
        <f t="shared" si="13"/>
        <v>-8.3265630558819938E-3</v>
      </c>
      <c r="AO49" s="27">
        <f t="shared" si="13"/>
        <v>-8.2312461111809163E-3</v>
      </c>
      <c r="AP49" s="27">
        <f t="shared" si="13"/>
        <v>-8.135401593620856E-3</v>
      </c>
      <c r="AQ49" s="27">
        <f t="shared" si="13"/>
        <v>-8.0390387618132202E-3</v>
      </c>
      <c r="AR49" s="27">
        <f t="shared" si="13"/>
        <v>-7.9419979262182108E-3</v>
      </c>
      <c r="AS49" s="27">
        <f t="shared" si="13"/>
        <v>-7.8441134290601709E-3</v>
      </c>
      <c r="AT49" s="27">
        <f t="shared" si="13"/>
        <v>-7.7454130516986675E-3</v>
      </c>
      <c r="AU49" s="27">
        <f t="shared" si="13"/>
        <v>-7.6459789259300508E-3</v>
      </c>
      <c r="AV49" s="27">
        <f t="shared" si="13"/>
        <v>-7.5458813061838152E-3</v>
      </c>
      <c r="AW49" s="27">
        <f t="shared" si="13"/>
        <v>-7.444981612347289E-3</v>
      </c>
      <c r="AY49" s="79"/>
    </row>
    <row r="50" spans="1:51" x14ac:dyDescent="0.25">
      <c r="A50" s="95" t="str">
        <f t="shared" si="0"/>
        <v>FS Poultry MMN2O</v>
      </c>
      <c r="B50" s="95" t="s">
        <v>1004</v>
      </c>
      <c r="C50" s="95" t="s">
        <v>1234</v>
      </c>
      <c r="D50" t="s">
        <v>15</v>
      </c>
      <c r="E50" t="s">
        <v>657</v>
      </c>
      <c r="F50" t="s">
        <v>28</v>
      </c>
      <c r="G50" t="s">
        <v>131</v>
      </c>
      <c r="H50" t="s">
        <v>1227</v>
      </c>
      <c r="I50" t="s">
        <v>139</v>
      </c>
      <c r="J50" t="s">
        <v>287</v>
      </c>
      <c r="K50" s="27">
        <f t="shared" si="7"/>
        <v>0.3278422472608899</v>
      </c>
      <c r="L50" s="27">
        <f t="shared" si="13"/>
        <v>0.33450793008613738</v>
      </c>
      <c r="M50" s="27">
        <f t="shared" si="13"/>
        <v>0.34229948156355033</v>
      </c>
      <c r="N50" s="27">
        <f t="shared" si="13"/>
        <v>0.34828124731402305</v>
      </c>
      <c r="O50" s="27">
        <f t="shared" si="13"/>
        <v>0.35308310351311478</v>
      </c>
      <c r="P50" s="27">
        <f t="shared" si="13"/>
        <v>0.35667649320457162</v>
      </c>
      <c r="Q50" s="27">
        <f t="shared" si="13"/>
        <v>0.36128421068096001</v>
      </c>
      <c r="R50" s="27">
        <f t="shared" si="13"/>
        <v>0.36607496135357975</v>
      </c>
      <c r="S50" s="27">
        <f t="shared" si="13"/>
        <v>0.35164354142672727</v>
      </c>
      <c r="T50" s="27">
        <f t="shared" si="13"/>
        <v>0.36454239171647873</v>
      </c>
      <c r="U50" s="27">
        <f t="shared" si="13"/>
        <v>0.81017234402499216</v>
      </c>
      <c r="V50" s="27">
        <f t="shared" si="13"/>
        <v>0.82798351635276735</v>
      </c>
      <c r="W50" s="27">
        <f t="shared" si="13"/>
        <v>0.84506426194084328</v>
      </c>
      <c r="X50" s="27">
        <f t="shared" si="13"/>
        <v>0.86126373168327053</v>
      </c>
      <c r="Y50" s="27">
        <f t="shared" si="13"/>
        <v>0.8763773651993314</v>
      </c>
      <c r="Z50" s="27">
        <f t="shared" si="13"/>
        <v>0.89033910907341196</v>
      </c>
      <c r="AA50" s="27">
        <f t="shared" si="13"/>
        <v>0.90308174157394194</v>
      </c>
      <c r="AB50" s="27">
        <f t="shared" si="13"/>
        <v>0.91454727526335933</v>
      </c>
      <c r="AC50" s="27">
        <f t="shared" si="13"/>
        <v>0.92468482420589437</v>
      </c>
      <c r="AD50" s="27">
        <f t="shared" si="13"/>
        <v>0.93344536277323964</v>
      </c>
      <c r="AE50" s="27">
        <f t="shared" si="13"/>
        <v>0.94079043302909848</v>
      </c>
      <c r="AF50" s="27">
        <f t="shared" si="13"/>
        <v>0.94668534064993604</v>
      </c>
      <c r="AG50" s="27">
        <f t="shared" si="13"/>
        <v>0.95109922865749519</v>
      </c>
      <c r="AH50" s="27">
        <f t="shared" si="13"/>
        <v>0.95401351999914974</v>
      </c>
      <c r="AI50" s="27">
        <f t="shared" si="13"/>
        <v>0.95541860028387315</v>
      </c>
      <c r="AJ50" s="27">
        <f t="shared" si="13"/>
        <v>0.12455157965260578</v>
      </c>
      <c r="AK50" s="27">
        <f t="shared" si="13"/>
        <v>0.12546570662729262</v>
      </c>
      <c r="AL50" s="27">
        <f t="shared" si="13"/>
        <v>0.12635717357285206</v>
      </c>
      <c r="AM50" s="27">
        <f t="shared" si="13"/>
        <v>0.12722732342881915</v>
      </c>
      <c r="AN50" s="27">
        <f t="shared" si="13"/>
        <v>0.12807770428267184</v>
      </c>
      <c r="AO50" s="27">
        <f t="shared" si="13"/>
        <v>0.12890482942711159</v>
      </c>
      <c r="AP50" s="27">
        <f t="shared" si="13"/>
        <v>0.12970640273413572</v>
      </c>
      <c r="AQ50" s="27">
        <f t="shared" si="13"/>
        <v>0.13048225510266878</v>
      </c>
      <c r="AR50" s="27">
        <f t="shared" si="13"/>
        <v>0.13122965143314799</v>
      </c>
      <c r="AS50" s="27">
        <f t="shared" si="13"/>
        <v>0.13194554686006624</v>
      </c>
      <c r="AT50" s="27">
        <f t="shared" si="13"/>
        <v>0.1326296750998292</v>
      </c>
      <c r="AU50" s="27">
        <f t="shared" si="13"/>
        <v>0.13328261317396048</v>
      </c>
      <c r="AV50" s="27">
        <f t="shared" si="13"/>
        <v>0.1339047918740231</v>
      </c>
      <c r="AW50" s="27">
        <f t="shared" si="13"/>
        <v>0.13449324202045793</v>
      </c>
      <c r="AY50" s="79"/>
    </row>
    <row r="51" spans="1:51" x14ac:dyDescent="0.25">
      <c r="A51" s="95" t="str">
        <f t="shared" si="0"/>
        <v>FS Poultry MMN2O</v>
      </c>
      <c r="B51" s="95" t="s">
        <v>1004</v>
      </c>
      <c r="C51" s="95" t="s">
        <v>1234</v>
      </c>
      <c r="D51" t="s">
        <v>15</v>
      </c>
      <c r="E51" t="s">
        <v>657</v>
      </c>
      <c r="F51" t="s">
        <v>28</v>
      </c>
      <c r="G51" t="s">
        <v>132</v>
      </c>
      <c r="H51" t="s">
        <v>1227</v>
      </c>
      <c r="I51" t="s">
        <v>139</v>
      </c>
      <c r="J51" t="s">
        <v>287</v>
      </c>
      <c r="K51" s="27">
        <f t="shared" si="7"/>
        <v>1.7017151675634967</v>
      </c>
      <c r="L51" s="27">
        <f t="shared" si="13"/>
        <v>1.724123714732765</v>
      </c>
      <c r="M51" s="27">
        <f t="shared" si="13"/>
        <v>1.7601182693498119</v>
      </c>
      <c r="N51" s="27">
        <f t="shared" si="13"/>
        <v>1.7704533576020518</v>
      </c>
      <c r="O51" s="27">
        <f t="shared" si="13"/>
        <v>1.7641159598844758</v>
      </c>
      <c r="P51" s="27">
        <f t="shared" si="13"/>
        <v>1.741173502214217</v>
      </c>
      <c r="Q51" s="27">
        <f t="shared" si="13"/>
        <v>1.7315152516158581</v>
      </c>
      <c r="R51" s="27">
        <f t="shared" si="13"/>
        <v>1.7240481490859689</v>
      </c>
      <c r="S51" s="27">
        <f t="shared" si="13"/>
        <v>1.5035639635767468</v>
      </c>
      <c r="T51" s="27">
        <f t="shared" si="13"/>
        <v>1.6173540495561818</v>
      </c>
      <c r="U51" s="27">
        <f t="shared" si="13"/>
        <v>7.0326605429040603</v>
      </c>
      <c r="V51" s="27">
        <f t="shared" si="13"/>
        <v>7.1587444728308389</v>
      </c>
      <c r="W51" s="27">
        <f t="shared" si="13"/>
        <v>7.2707564931151909</v>
      </c>
      <c r="X51" s="27">
        <f t="shared" si="13"/>
        <v>7.3691748844835665</v>
      </c>
      <c r="Y51" s="27">
        <f t="shared" si="13"/>
        <v>7.4553371690594963</v>
      </c>
      <c r="Z51" s="27">
        <f t="shared" si="13"/>
        <v>7.5285970501173791</v>
      </c>
      <c r="AA51" s="27">
        <f t="shared" si="13"/>
        <v>7.5884583464710351</v>
      </c>
      <c r="AB51" s="27">
        <f t="shared" si="13"/>
        <v>7.6344333579538368</v>
      </c>
      <c r="AC51" s="27">
        <f t="shared" si="13"/>
        <v>7.6660871188162911</v>
      </c>
      <c r="AD51" s="27">
        <f t="shared" si="13"/>
        <v>7.6831230278292386</v>
      </c>
      <c r="AE51" s="27">
        <f t="shared" si="13"/>
        <v>7.6852660983393646</v>
      </c>
      <c r="AF51" s="27">
        <f t="shared" si="13"/>
        <v>7.6723681593235442</v>
      </c>
      <c r="AG51" s="27">
        <f t="shared" si="13"/>
        <v>7.6444112062228218</v>
      </c>
      <c r="AH51" s="27">
        <f t="shared" si="13"/>
        <v>7.601393060420655</v>
      </c>
      <c r="AI51" s="27">
        <f t="shared" si="13"/>
        <v>7.5433781605278138</v>
      </c>
      <c r="AJ51" s="27">
        <f t="shared" si="13"/>
        <v>-1.6108210655566082</v>
      </c>
      <c r="AK51" s="27">
        <f t="shared" ref="L51:AW53" si="14">AK1426</f>
        <v>-1.613100635371139</v>
      </c>
      <c r="AL51" s="27">
        <f t="shared" si="14"/>
        <v>-1.6151647470887973</v>
      </c>
      <c r="AM51" s="27">
        <f t="shared" si="14"/>
        <v>-1.6170309534265412</v>
      </c>
      <c r="AN51" s="27">
        <f t="shared" si="14"/>
        <v>-1.6187193219312461</v>
      </c>
      <c r="AO51" s="27">
        <f t="shared" si="14"/>
        <v>-1.6201827321446018</v>
      </c>
      <c r="AP51" s="27">
        <f t="shared" si="14"/>
        <v>-1.6213910531514668</v>
      </c>
      <c r="AQ51" s="27">
        <f t="shared" si="14"/>
        <v>-1.6223429170122639</v>
      </c>
      <c r="AR51" s="27">
        <f t="shared" si="14"/>
        <v>-1.623003587370585</v>
      </c>
      <c r="AS51" s="27">
        <f t="shared" si="14"/>
        <v>-1.6233351759618906</v>
      </c>
      <c r="AT51" s="27">
        <f t="shared" si="14"/>
        <v>-1.623336597056291</v>
      </c>
      <c r="AU51" s="27">
        <f t="shared" si="14"/>
        <v>-1.6230176880430305</v>
      </c>
      <c r="AV51" s="27">
        <f t="shared" si="14"/>
        <v>-1.6223862668543294</v>
      </c>
      <c r="AW51" s="27">
        <f t="shared" si="14"/>
        <v>-1.6214068147422027</v>
      </c>
      <c r="AY51" s="79"/>
    </row>
    <row r="52" spans="1:51" x14ac:dyDescent="0.25">
      <c r="A52" s="95" t="str">
        <f t="shared" si="0"/>
        <v>FS Poultry MMN2O</v>
      </c>
      <c r="B52" s="95" t="s">
        <v>1004</v>
      </c>
      <c r="C52" s="95" t="s">
        <v>1234</v>
      </c>
      <c r="D52" t="s">
        <v>15</v>
      </c>
      <c r="E52" t="s">
        <v>657</v>
      </c>
      <c r="F52" t="s">
        <v>28</v>
      </c>
      <c r="G52" t="s">
        <v>134</v>
      </c>
      <c r="H52" t="s">
        <v>1227</v>
      </c>
      <c r="I52" t="s">
        <v>139</v>
      </c>
      <c r="J52" t="s">
        <v>287</v>
      </c>
      <c r="K52" s="27">
        <f t="shared" si="7"/>
        <v>1.3660093635870426E-2</v>
      </c>
      <c r="L52" s="27">
        <f t="shared" si="14"/>
        <v>1.3937830420255738E-2</v>
      </c>
      <c r="M52" s="27">
        <f t="shared" si="14"/>
        <v>1.4262478398481276E-2</v>
      </c>
      <c r="N52" s="27">
        <f t="shared" si="14"/>
        <v>1.4511718638084306E-2</v>
      </c>
      <c r="O52" s="27">
        <f t="shared" si="14"/>
        <v>1.4711795979713132E-2</v>
      </c>
      <c r="P52" s="27">
        <f t="shared" si="14"/>
        <v>1.4861520550190495E-2</v>
      </c>
      <c r="Q52" s="27">
        <f t="shared" si="14"/>
        <v>1.5053508778373347E-2</v>
      </c>
      <c r="R52" s="27">
        <f t="shared" si="14"/>
        <v>1.5253123389732505E-2</v>
      </c>
      <c r="S52" s="27">
        <f t="shared" si="14"/>
        <v>1.4651814226113646E-2</v>
      </c>
      <c r="T52" s="27">
        <f t="shared" si="14"/>
        <v>1.5189266321519962E-2</v>
      </c>
      <c r="U52" s="27">
        <f t="shared" si="14"/>
        <v>3.3757181001041366E-2</v>
      </c>
      <c r="V52" s="27">
        <f t="shared" si="14"/>
        <v>3.4499313181365336E-2</v>
      </c>
      <c r="W52" s="27">
        <f t="shared" si="14"/>
        <v>3.5211010914201833E-2</v>
      </c>
      <c r="X52" s="27">
        <f t="shared" si="14"/>
        <v>3.5885988820136307E-2</v>
      </c>
      <c r="Y52" s="27">
        <f t="shared" si="14"/>
        <v>3.6515723549972179E-2</v>
      </c>
      <c r="Z52" s="27">
        <f t="shared" si="14"/>
        <v>3.7097462878058866E-2</v>
      </c>
      <c r="AA52" s="27">
        <f t="shared" si="14"/>
        <v>3.7628405898914287E-2</v>
      </c>
      <c r="AB52" s="27">
        <f t="shared" si="14"/>
        <v>3.8106136469306676E-2</v>
      </c>
      <c r="AC52" s="27">
        <f t="shared" si="14"/>
        <v>3.85285343419123E-2</v>
      </c>
      <c r="AD52" s="27">
        <f t="shared" si="14"/>
        <v>3.8893556782218362E-2</v>
      </c>
      <c r="AE52" s="27">
        <f t="shared" si="14"/>
        <v>3.9199601376212471E-2</v>
      </c>
      <c r="AF52" s="27">
        <f t="shared" si="14"/>
        <v>3.9445222527080714E-2</v>
      </c>
      <c r="AG52" s="27">
        <f t="shared" si="14"/>
        <v>3.9629134527395672E-2</v>
      </c>
      <c r="AH52" s="27">
        <f t="shared" si="14"/>
        <v>3.9750563333297947E-2</v>
      </c>
      <c r="AI52" s="27">
        <f t="shared" si="14"/>
        <v>3.9809108345161416E-2</v>
      </c>
      <c r="AJ52" s="27">
        <f t="shared" si="14"/>
        <v>5.189649152191912E-3</v>
      </c>
      <c r="AK52" s="27">
        <f t="shared" si="14"/>
        <v>5.2277377761371976E-3</v>
      </c>
      <c r="AL52" s="27">
        <f t="shared" si="14"/>
        <v>5.2648822322021753E-3</v>
      </c>
      <c r="AM52" s="27">
        <f t="shared" si="14"/>
        <v>5.3011384762008023E-3</v>
      </c>
      <c r="AN52" s="27">
        <f t="shared" si="14"/>
        <v>5.3365710117779979E-3</v>
      </c>
      <c r="AO52" s="27">
        <f t="shared" si="14"/>
        <v>5.3710345594629892E-3</v>
      </c>
      <c r="AP52" s="27">
        <f t="shared" si="14"/>
        <v>5.4044334472556589E-3</v>
      </c>
      <c r="AQ52" s="27">
        <f t="shared" si="14"/>
        <v>5.4367606292778717E-3</v>
      </c>
      <c r="AR52" s="27">
        <f t="shared" si="14"/>
        <v>5.4679021430478368E-3</v>
      </c>
      <c r="AS52" s="27">
        <f t="shared" si="14"/>
        <v>5.4977311191694326E-3</v>
      </c>
      <c r="AT52" s="27">
        <f t="shared" si="14"/>
        <v>5.5262364624928872E-3</v>
      </c>
      <c r="AU52" s="27">
        <f t="shared" si="14"/>
        <v>5.5534422155816918E-3</v>
      </c>
      <c r="AV52" s="27">
        <f t="shared" si="14"/>
        <v>5.5793663280842998E-3</v>
      </c>
      <c r="AW52" s="27">
        <f t="shared" si="14"/>
        <v>5.6038850841857524E-3</v>
      </c>
      <c r="AY52" s="79"/>
    </row>
    <row r="53" spans="1:51" x14ac:dyDescent="0.25">
      <c r="A53" s="95" t="str">
        <f t="shared" si="0"/>
        <v>FS Poultry MMN2O</v>
      </c>
      <c r="B53" s="95" t="s">
        <v>1004</v>
      </c>
      <c r="C53" s="95" t="s">
        <v>1234</v>
      </c>
      <c r="D53" t="s">
        <v>15</v>
      </c>
      <c r="E53" t="s">
        <v>657</v>
      </c>
      <c r="F53" t="s">
        <v>28</v>
      </c>
      <c r="G53" t="s">
        <v>133</v>
      </c>
      <c r="H53" t="s">
        <v>1227</v>
      </c>
      <c r="I53" t="s">
        <v>139</v>
      </c>
      <c r="J53" t="s">
        <v>287</v>
      </c>
      <c r="K53" s="27">
        <f t="shared" si="7"/>
        <v>7.0904798648479081E-2</v>
      </c>
      <c r="L53" s="27">
        <f t="shared" si="14"/>
        <v>7.183848811386527E-2</v>
      </c>
      <c r="M53" s="27">
        <f t="shared" si="14"/>
        <v>7.3338261222908901E-2</v>
      </c>
      <c r="N53" s="27">
        <f t="shared" si="14"/>
        <v>7.3768889900085566E-2</v>
      </c>
      <c r="O53" s="27">
        <f t="shared" si="14"/>
        <v>7.3504831661853232E-2</v>
      </c>
      <c r="P53" s="27">
        <f t="shared" si="14"/>
        <v>7.2548895925592438E-2</v>
      </c>
      <c r="Q53" s="27">
        <f t="shared" si="14"/>
        <v>7.2146468817327503E-2</v>
      </c>
      <c r="R53" s="27">
        <f t="shared" si="14"/>
        <v>7.1835339545248775E-2</v>
      </c>
      <c r="S53" s="27">
        <f t="shared" si="14"/>
        <v>6.264849848236452E-2</v>
      </c>
      <c r="T53" s="27">
        <f t="shared" si="14"/>
        <v>6.7389752064840963E-2</v>
      </c>
      <c r="U53" s="27">
        <f t="shared" si="14"/>
        <v>0.29302752262100273</v>
      </c>
      <c r="V53" s="27">
        <f t="shared" si="14"/>
        <v>0.29828101970128529</v>
      </c>
      <c r="W53" s="27">
        <f t="shared" si="14"/>
        <v>0.30294818721313321</v>
      </c>
      <c r="X53" s="27">
        <f t="shared" si="14"/>
        <v>0.30704895352014883</v>
      </c>
      <c r="Y53" s="27">
        <f t="shared" si="14"/>
        <v>0.31063904871081255</v>
      </c>
      <c r="Z53" s="27">
        <f t="shared" si="14"/>
        <v>0.31369154375489111</v>
      </c>
      <c r="AA53" s="27">
        <f t="shared" si="14"/>
        <v>0.31618576443629343</v>
      </c>
      <c r="AB53" s="27">
        <f t="shared" si="14"/>
        <v>0.31810138991474352</v>
      </c>
      <c r="AC53" s="27">
        <f t="shared" si="14"/>
        <v>0.31942029661734572</v>
      </c>
      <c r="AD53" s="27">
        <f t="shared" si="14"/>
        <v>0.320130126159552</v>
      </c>
      <c r="AE53" s="27">
        <f t="shared" si="14"/>
        <v>0.32021942076414051</v>
      </c>
      <c r="AF53" s="27">
        <f t="shared" si="14"/>
        <v>0.31968200663848134</v>
      </c>
      <c r="AG53" s="27">
        <f t="shared" si="14"/>
        <v>0.31851713359261785</v>
      </c>
      <c r="AH53" s="27">
        <f t="shared" si="14"/>
        <v>0.31672471085086101</v>
      </c>
      <c r="AI53" s="27">
        <f t="shared" si="14"/>
        <v>0.31430742335532585</v>
      </c>
      <c r="AJ53" s="27">
        <f t="shared" si="14"/>
        <v>-6.7117544398192078E-2</v>
      </c>
      <c r="AK53" s="27">
        <f t="shared" si="14"/>
        <v>-6.7212526473797524E-2</v>
      </c>
      <c r="AL53" s="27">
        <f t="shared" si="14"/>
        <v>-6.7298531128699962E-2</v>
      </c>
      <c r="AM53" s="27">
        <f t="shared" si="14"/>
        <v>-6.7376289726105959E-2</v>
      </c>
      <c r="AN53" s="27">
        <f t="shared" si="14"/>
        <v>-6.7446638413801982E-2</v>
      </c>
      <c r="AO53" s="27">
        <f t="shared" si="14"/>
        <v>-6.750761383935848E-2</v>
      </c>
      <c r="AP53" s="27">
        <f t="shared" si="14"/>
        <v>-6.7557960547977858E-2</v>
      </c>
      <c r="AQ53" s="27">
        <f t="shared" si="14"/>
        <v>-6.759762154217773E-2</v>
      </c>
      <c r="AR53" s="27">
        <f t="shared" si="14"/>
        <v>-6.7625149473774446E-2</v>
      </c>
      <c r="AS53" s="27">
        <f t="shared" si="14"/>
        <v>-6.7638965665078848E-2</v>
      </c>
      <c r="AT53" s="27">
        <f t="shared" si="14"/>
        <v>-6.7639024877345522E-2</v>
      </c>
      <c r="AU53" s="27">
        <f t="shared" si="14"/>
        <v>-6.7625737001792988E-2</v>
      </c>
      <c r="AV53" s="27">
        <f t="shared" si="14"/>
        <v>-6.7599427785597133E-2</v>
      </c>
      <c r="AW53" s="27">
        <f t="shared" si="14"/>
        <v>-6.7558617280925187E-2</v>
      </c>
      <c r="AY53" s="79"/>
    </row>
    <row r="54" spans="1:51" x14ac:dyDescent="0.25">
      <c r="A54" s="95" t="str">
        <f t="shared" si="0"/>
        <v>FS Synthetic</v>
      </c>
      <c r="B54" s="95" t="s">
        <v>1004</v>
      </c>
      <c r="C54" s="95" t="s">
        <v>1126</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6.6035651430821094</v>
      </c>
      <c r="U54" s="22">
        <f t="shared" si="15"/>
        <v>6.6008394987584191</v>
      </c>
      <c r="V54" s="22">
        <f t="shared" si="15"/>
        <v>6.5354261970149441</v>
      </c>
      <c r="W54" s="22">
        <f t="shared" si="15"/>
        <v>6.5337920332710731</v>
      </c>
      <c r="X54" s="22">
        <f t="shared" si="15"/>
        <v>6.5322793572104443</v>
      </c>
      <c r="Y54" s="22">
        <f t="shared" si="15"/>
        <v>6.5308880056970544</v>
      </c>
      <c r="Z54" s="22">
        <f t="shared" si="15"/>
        <v>6.5296169227266478</v>
      </c>
      <c r="AA54" s="22">
        <f t="shared" si="15"/>
        <v>6.5284672118777083</v>
      </c>
      <c r="AB54" s="22">
        <f t="shared" si="15"/>
        <v>6.5274397960506132</v>
      </c>
      <c r="AC54" s="22">
        <f t="shared" si="15"/>
        <v>6.5265355793719113</v>
      </c>
      <c r="AD54" s="22">
        <f t="shared" si="15"/>
        <v>6.5257554079256641</v>
      </c>
      <c r="AE54" s="22">
        <f t="shared" si="15"/>
        <v>6.5250999875184093</v>
      </c>
      <c r="AF54" s="22">
        <f t="shared" si="15"/>
        <v>6.524570013447069</v>
      </c>
      <c r="AG54" s="22">
        <f t="shared" si="15"/>
        <v>6.524166065107158</v>
      </c>
      <c r="AH54" s="22">
        <f t="shared" si="15"/>
        <v>6.5238886062718322</v>
      </c>
      <c r="AI54" s="22">
        <f t="shared" si="15"/>
        <v>6.523738107982866</v>
      </c>
      <c r="AJ54" s="22">
        <f t="shared" si="15"/>
        <v>6.5237149971504902</v>
      </c>
      <c r="AK54" s="22">
        <f t="shared" si="15"/>
        <v>6.7170770118746468</v>
      </c>
      <c r="AL54" s="22">
        <f t="shared" si="15"/>
        <v>6.7172409254060446</v>
      </c>
      <c r="AM54" s="22">
        <f t="shared" si="15"/>
        <v>6.7174011054610014</v>
      </c>
      <c r="AN54" s="22">
        <f t="shared" si="15"/>
        <v>6.717557770633813</v>
      </c>
      <c r="AO54" s="22">
        <f t="shared" si="15"/>
        <v>6.7177111790148194</v>
      </c>
      <c r="AP54" s="22">
        <f t="shared" si="15"/>
        <v>6.7178606782023653</v>
      </c>
      <c r="AQ54" s="22">
        <f t="shared" si="15"/>
        <v>6.7180058277133394</v>
      </c>
      <c r="AR54" s="22">
        <f t="shared" si="15"/>
        <v>6.7181465717092257</v>
      </c>
      <c r="AS54" s="22">
        <f t="shared" si="15"/>
        <v>6.7182823869267976</v>
      </c>
      <c r="AT54" s="22">
        <f t="shared" si="15"/>
        <v>6.7184126908492701</v>
      </c>
      <c r="AU54" s="22">
        <f t="shared" si="15"/>
        <v>6.7185374065365453</v>
      </c>
      <c r="AV54" s="22">
        <f t="shared" si="15"/>
        <v>6.7186566123512304</v>
      </c>
      <c r="AW54" s="22">
        <f t="shared" si="15"/>
        <v>6.7187703615819192</v>
      </c>
      <c r="AY54" s="79"/>
    </row>
    <row r="55" spans="1:51" x14ac:dyDescent="0.25">
      <c r="A55" s="95" t="str">
        <f t="shared" si="0"/>
        <v>FS Organic</v>
      </c>
      <c r="B55" s="95" t="s">
        <v>1004</v>
      </c>
      <c r="C55" s="95" t="s">
        <v>1127</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4.358352994434192E-2</v>
      </c>
      <c r="U55" s="22">
        <f t="shared" si="16"/>
        <v>4.3565540691805578E-2</v>
      </c>
      <c r="V55" s="22">
        <f t="shared" si="16"/>
        <v>4.3133812900298642E-2</v>
      </c>
      <c r="W55" s="22">
        <f t="shared" si="16"/>
        <v>4.312302741958908E-2</v>
      </c>
      <c r="X55" s="22">
        <f t="shared" si="16"/>
        <v>4.3113043757588947E-2</v>
      </c>
      <c r="Y55" s="22">
        <f t="shared" si="16"/>
        <v>4.3103860837600566E-2</v>
      </c>
      <c r="Z55" s="22">
        <f t="shared" si="16"/>
        <v>4.3095471689995883E-2</v>
      </c>
      <c r="AA55" s="22">
        <f t="shared" si="15"/>
        <v>4.3087883598392877E-2</v>
      </c>
      <c r="AB55" s="22">
        <f t="shared" si="15"/>
        <v>4.3081102653934056E-2</v>
      </c>
      <c r="AC55" s="22">
        <f t="shared" si="15"/>
        <v>4.3075134823854618E-2</v>
      </c>
      <c r="AD55" s="22">
        <f t="shared" si="15"/>
        <v>4.3069985692309382E-2</v>
      </c>
      <c r="AE55" s="22">
        <f t="shared" si="15"/>
        <v>4.3065659917621506E-2</v>
      </c>
      <c r="AF55" s="22">
        <f t="shared" si="15"/>
        <v>4.3062162088750661E-2</v>
      </c>
      <c r="AG55" s="22">
        <f t="shared" si="15"/>
        <v>4.3059496029707253E-2</v>
      </c>
      <c r="AH55" s="22">
        <f t="shared" si="15"/>
        <v>4.3057664801394106E-2</v>
      </c>
      <c r="AI55" s="22">
        <f t="shared" si="15"/>
        <v>4.3056671512686932E-2</v>
      </c>
      <c r="AJ55" s="22">
        <f t="shared" si="15"/>
        <v>4.3056518981193247E-2</v>
      </c>
      <c r="AK55" s="22">
        <f t="shared" si="15"/>
        <v>4.4332708278372678E-2</v>
      </c>
      <c r="AL55" s="22">
        <f t="shared" si="15"/>
        <v>4.4333790107679898E-2</v>
      </c>
      <c r="AM55" s="22">
        <f t="shared" si="15"/>
        <v>4.4334847296042611E-2</v>
      </c>
      <c r="AN55" s="22">
        <f t="shared" si="15"/>
        <v>4.4335881286183175E-2</v>
      </c>
      <c r="AO55" s="22">
        <f t="shared" si="15"/>
        <v>4.433689378149782E-2</v>
      </c>
      <c r="AP55" s="22">
        <f t="shared" si="15"/>
        <v>4.433788047613562E-2</v>
      </c>
      <c r="AQ55" s="22">
        <f t="shared" si="15"/>
        <v>4.4338838462908037E-2</v>
      </c>
      <c r="AR55" s="22">
        <f t="shared" si="15"/>
        <v>4.4339767373280901E-2</v>
      </c>
      <c r="AS55" s="22">
        <f t="shared" si="15"/>
        <v>4.4340663753716876E-2</v>
      </c>
      <c r="AT55" s="22">
        <f t="shared" si="15"/>
        <v>4.4341523759605192E-2</v>
      </c>
      <c r="AU55" s="22">
        <f t="shared" si="15"/>
        <v>4.4342346883141204E-2</v>
      </c>
      <c r="AV55" s="22">
        <f t="shared" si="15"/>
        <v>4.4343133641518123E-2</v>
      </c>
      <c r="AW55" s="22">
        <f t="shared" si="15"/>
        <v>4.4343884386440678E-2</v>
      </c>
      <c r="AY55" s="79"/>
    </row>
    <row r="56" spans="1:51" x14ac:dyDescent="0.25">
      <c r="A56" s="95" t="str">
        <f t="shared" si="0"/>
        <v>FS Crop residues</v>
      </c>
      <c r="B56" s="95" t="s">
        <v>1004</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2.9710792197336011</v>
      </c>
      <c r="U56" s="22">
        <f t="shared" si="15"/>
        <v>2.9914277552243997</v>
      </c>
      <c r="V56" s="22">
        <f t="shared" si="15"/>
        <v>3.4797764662170874</v>
      </c>
      <c r="W56" s="22">
        <f t="shared" si="15"/>
        <v>3.4919764582156594</v>
      </c>
      <c r="X56" s="22">
        <f t="shared" si="15"/>
        <v>3.5032694733160721</v>
      </c>
      <c r="Y56" s="22">
        <f t="shared" si="15"/>
        <v>3.5136567294244192</v>
      </c>
      <c r="Z56" s="22">
        <f t="shared" si="15"/>
        <v>3.5231461102325734</v>
      </c>
      <c r="AA56" s="22">
        <f t="shared" si="15"/>
        <v>3.5317293768790967</v>
      </c>
      <c r="AB56" s="22">
        <f t="shared" si="15"/>
        <v>3.539399639370707</v>
      </c>
      <c r="AC56" s="22">
        <f t="shared" si="15"/>
        <v>3.5461501478717818</v>
      </c>
      <c r="AD56" s="22">
        <f t="shared" si="15"/>
        <v>3.5519745858679355</v>
      </c>
      <c r="AE56" s="22">
        <f t="shared" si="15"/>
        <v>3.5568676840988758</v>
      </c>
      <c r="AF56" s="22">
        <f t="shared" si="15"/>
        <v>3.5608242517647808</v>
      </c>
      <c r="AG56" s="22">
        <f t="shared" si="15"/>
        <v>3.5638399633378826</v>
      </c>
      <c r="AH56" s="22">
        <f t="shared" si="15"/>
        <v>3.5659113564792468</v>
      </c>
      <c r="AI56" s="22">
        <f t="shared" si="15"/>
        <v>3.5670349145853852</v>
      </c>
      <c r="AJ56" s="22">
        <f t="shared" si="15"/>
        <v>3.5672074505207347</v>
      </c>
      <c r="AK56" s="22">
        <f t="shared" si="15"/>
        <v>2.1236464601919001</v>
      </c>
      <c r="AL56" s="22">
        <f t="shared" si="15"/>
        <v>2.122422749423007</v>
      </c>
      <c r="AM56" s="22">
        <f t="shared" si="15"/>
        <v>2.1212269112482072</v>
      </c>
      <c r="AN56" s="22">
        <f t="shared" si="15"/>
        <v>2.1200573137327008</v>
      </c>
      <c r="AO56" s="22">
        <f t="shared" si="15"/>
        <v>2.1189120300805597</v>
      </c>
      <c r="AP56" s="22">
        <f t="shared" si="15"/>
        <v>2.1177959308532275</v>
      </c>
      <c r="AQ56" s="22">
        <f t="shared" si="15"/>
        <v>2.1167123045158354</v>
      </c>
      <c r="AR56" s="22">
        <f t="shared" si="15"/>
        <v>2.1156615679356672</v>
      </c>
      <c r="AS56" s="22">
        <f t="shared" si="15"/>
        <v>2.1146476275800086</v>
      </c>
      <c r="AT56" s="22">
        <f t="shared" si="15"/>
        <v>2.1136748322787415</v>
      </c>
      <c r="AU56" s="22">
        <f t="shared" si="15"/>
        <v>2.1127437564348668</v>
      </c>
      <c r="AV56" s="22">
        <f t="shared" si="15"/>
        <v>2.111853815025504</v>
      </c>
      <c r="AW56" s="22">
        <f t="shared" si="15"/>
        <v>2.1110046102200224</v>
      </c>
      <c r="AY56" s="79"/>
    </row>
    <row r="57" spans="1:51" x14ac:dyDescent="0.25">
      <c r="A57" s="95" t="str">
        <f t="shared" si="0"/>
        <v>FS Organic</v>
      </c>
      <c r="B57" s="95" t="s">
        <v>1004</v>
      </c>
      <c r="C57" s="95" t="s">
        <v>1127</v>
      </c>
      <c r="D57" t="s">
        <v>369</v>
      </c>
      <c r="E57" t="s">
        <v>55</v>
      </c>
      <c r="F57" t="s">
        <v>421</v>
      </c>
      <c r="G57" t="s">
        <v>1152</v>
      </c>
      <c r="H57" t="s">
        <v>1153</v>
      </c>
      <c r="I57" t="s">
        <v>139</v>
      </c>
      <c r="J57" t="s">
        <v>287</v>
      </c>
      <c r="K57" s="22">
        <f t="shared" si="16"/>
        <v>0.31878106382562998</v>
      </c>
      <c r="L57" s="22">
        <f t="shared" si="15"/>
        <v>0.32056321299147922</v>
      </c>
      <c r="M57" s="22">
        <f t="shared" si="15"/>
        <v>0.32309177745176459</v>
      </c>
      <c r="N57" s="22">
        <f t="shared" si="15"/>
        <v>0.32471664946511047</v>
      </c>
      <c r="O57" s="22">
        <f t="shared" si="15"/>
        <v>0.32579638434951891</v>
      </c>
      <c r="P57" s="22">
        <f t="shared" si="15"/>
        <v>0.32632035510276458</v>
      </c>
      <c r="Q57" s="22">
        <f t="shared" si="15"/>
        <v>0.32747800149861978</v>
      </c>
      <c r="R57" s="22">
        <f t="shared" si="15"/>
        <v>0.32880601635823309</v>
      </c>
      <c r="S57" s="22">
        <f t="shared" si="15"/>
        <v>0.3194631230654072</v>
      </c>
      <c r="T57" s="22">
        <f t="shared" si="15"/>
        <v>0.32495993852650251</v>
      </c>
      <c r="U57" s="22">
        <f t="shared" si="15"/>
        <v>0.55911956199622048</v>
      </c>
      <c r="V57" s="22">
        <f t="shared" si="15"/>
        <v>0.56585948734565139</v>
      </c>
      <c r="W57" s="22">
        <f t="shared" si="15"/>
        <v>0.57230378307872798</v>
      </c>
      <c r="X57" s="22">
        <f t="shared" si="15"/>
        <v>0.57834283314741031</v>
      </c>
      <c r="Y57" s="22">
        <f t="shared" si="15"/>
        <v>0.58381536330507111</v>
      </c>
      <c r="Z57" s="22">
        <f t="shared" si="15"/>
        <v>0.58869581671270654</v>
      </c>
      <c r="AA57" s="22">
        <f t="shared" si="15"/>
        <v>0.59295576215312973</v>
      </c>
      <c r="AB57" s="22">
        <f t="shared" si="15"/>
        <v>0.59657368139031808</v>
      </c>
      <c r="AC57" s="22">
        <f t="shared" si="15"/>
        <v>0.59953250893616183</v>
      </c>
      <c r="AD57" s="22">
        <f t="shared" si="15"/>
        <v>0.60181430512751644</v>
      </c>
      <c r="AE57" s="22">
        <f t="shared" si="15"/>
        <v>0.60340833018876772</v>
      </c>
      <c r="AF57" s="22">
        <f t="shared" si="15"/>
        <v>0.60430428229357946</v>
      </c>
      <c r="AG57" s="22">
        <f t="shared" si="15"/>
        <v>0.60449220860104358</v>
      </c>
      <c r="AH57" s="22">
        <f t="shared" si="15"/>
        <v>0.60397029153121029</v>
      </c>
      <c r="AI57" s="22">
        <f t="shared" si="15"/>
        <v>0.60274150240431557</v>
      </c>
      <c r="AJ57" s="22">
        <f t="shared" si="15"/>
        <v>0.19069698851099628</v>
      </c>
      <c r="AK57" s="22">
        <f t="shared" si="15"/>
        <v>0.19083619411236313</v>
      </c>
      <c r="AL57" s="22">
        <f t="shared" si="15"/>
        <v>0.19096537877553132</v>
      </c>
      <c r="AM57" s="22">
        <f t="shared" si="15"/>
        <v>0.19108541639025195</v>
      </c>
      <c r="AN57" s="22">
        <f t="shared" si="15"/>
        <v>0.19119738340555115</v>
      </c>
      <c r="AO57" s="22">
        <f t="shared" si="15"/>
        <v>0.19129776572073925</v>
      </c>
      <c r="AP57" s="22">
        <f t="shared" si="15"/>
        <v>0.19138420348192833</v>
      </c>
      <c r="AQ57" s="22">
        <f t="shared" si="15"/>
        <v>0.19145631825873433</v>
      </c>
      <c r="AR57" s="22">
        <f t="shared" si="15"/>
        <v>0.19151143246366148</v>
      </c>
      <c r="AS57" s="22">
        <f t="shared" si="15"/>
        <v>0.19154663907394784</v>
      </c>
      <c r="AT57" s="22">
        <f t="shared" si="15"/>
        <v>0.19156157903173729</v>
      </c>
      <c r="AU57" s="22">
        <f t="shared" si="15"/>
        <v>0.19155666524405471</v>
      </c>
      <c r="AV57" s="22">
        <f t="shared" si="15"/>
        <v>0.19153218566591518</v>
      </c>
      <c r="AW57" s="22">
        <f t="shared" si="15"/>
        <v>0.1914854060866179</v>
      </c>
      <c r="AY57" s="79"/>
    </row>
    <row r="58" spans="1:51" x14ac:dyDescent="0.25">
      <c r="A58" s="95" t="str">
        <f t="shared" si="0"/>
        <v>FS Organic</v>
      </c>
      <c r="B58" s="95" t="s">
        <v>1004</v>
      </c>
      <c r="C58" s="95" t="s">
        <v>1127</v>
      </c>
      <c r="D58" t="s">
        <v>369</v>
      </c>
      <c r="E58" t="s">
        <v>55</v>
      </c>
      <c r="F58" t="s">
        <v>421</v>
      </c>
      <c r="G58" t="s">
        <v>1154</v>
      </c>
      <c r="H58" t="s">
        <v>1155</v>
      </c>
      <c r="I58" t="s">
        <v>139</v>
      </c>
      <c r="J58" t="s">
        <v>287</v>
      </c>
      <c r="K58" s="22">
        <f t="shared" si="16"/>
        <v>0.93210651077804862</v>
      </c>
      <c r="L58" s="22">
        <f t="shared" si="15"/>
        <v>0.93731746283627526</v>
      </c>
      <c r="M58" s="22">
        <f t="shared" si="15"/>
        <v>0.94471091139331731</v>
      </c>
      <c r="N58" s="22">
        <f t="shared" si="15"/>
        <v>0.94946198965576145</v>
      </c>
      <c r="O58" s="22">
        <f t="shared" si="15"/>
        <v>0.95261910289076102</v>
      </c>
      <c r="P58" s="22">
        <f t="shared" si="15"/>
        <v>0.954151178054501</v>
      </c>
      <c r="Q58" s="22">
        <f t="shared" si="15"/>
        <v>0.95753610227115837</v>
      </c>
      <c r="R58" s="22">
        <f t="shared" si="15"/>
        <v>0.96141917889497153</v>
      </c>
      <c r="S58" s="22">
        <f t="shared" si="15"/>
        <v>0.93410083205454864</v>
      </c>
      <c r="T58" s="22">
        <f t="shared" si="15"/>
        <v>0.95017335975849948</v>
      </c>
      <c r="U58" s="22">
        <f t="shared" si="15"/>
        <v>1.6348492529189775</v>
      </c>
      <c r="V58" s="22">
        <f t="shared" si="15"/>
        <v>1.654556597592997</v>
      </c>
      <c r="W58" s="22">
        <f t="shared" si="15"/>
        <v>1.6733995299117927</v>
      </c>
      <c r="X58" s="22">
        <f t="shared" si="15"/>
        <v>1.6910575357556168</v>
      </c>
      <c r="Y58" s="22">
        <f t="shared" si="15"/>
        <v>1.7070590539423278</v>
      </c>
      <c r="Z58" s="22">
        <f t="shared" si="15"/>
        <v>1.7213293570218551</v>
      </c>
      <c r="AA58" s="22">
        <f t="shared" si="15"/>
        <v>1.7337853129463565</v>
      </c>
      <c r="AB58" s="22">
        <f t="shared" si="15"/>
        <v>1.7443640030228067</v>
      </c>
      <c r="AC58" s="22">
        <f t="shared" si="15"/>
        <v>1.753015528262897</v>
      </c>
      <c r="AD58" s="22">
        <f t="shared" si="15"/>
        <v>1.7596874336160764</v>
      </c>
      <c r="AE58" s="22">
        <f t="shared" si="15"/>
        <v>1.7643483162924332</v>
      </c>
      <c r="AF58" s="22">
        <f t="shared" si="15"/>
        <v>1.7669680540529458</v>
      </c>
      <c r="AG58" s="22">
        <f t="shared" si="15"/>
        <v>1.7675175450817782</v>
      </c>
      <c r="AH58" s="22">
        <f t="shared" si="15"/>
        <v>1.7659914748282959</v>
      </c>
      <c r="AI58" s="22">
        <f t="shared" si="15"/>
        <v>1.7623985313459991</v>
      </c>
      <c r="AJ58" s="22">
        <f t="shared" si="15"/>
        <v>0.55759241920998737</v>
      </c>
      <c r="AK58" s="22">
        <f t="shared" si="15"/>
        <v>0.55799945231858428</v>
      </c>
      <c r="AL58" s="22">
        <f t="shared" si="15"/>
        <v>0.55837718449685969</v>
      </c>
      <c r="AM58" s="22">
        <f t="shared" si="15"/>
        <v>0.55872817097289618</v>
      </c>
      <c r="AN58" s="22">
        <f t="shared" si="15"/>
        <v>0.55905555925217576</v>
      </c>
      <c r="AO58" s="22">
        <f t="shared" si="15"/>
        <v>0.55934907420701951</v>
      </c>
      <c r="AP58" s="22">
        <f t="shared" si="15"/>
        <v>0.55960181569365119</v>
      </c>
      <c r="AQ58" s="22">
        <f t="shared" si="15"/>
        <v>0.55981267719269234</v>
      </c>
      <c r="AR58" s="22">
        <f t="shared" si="15"/>
        <v>0.55997382951658647</v>
      </c>
      <c r="AS58" s="22">
        <f t="shared" si="15"/>
        <v>0.56007677261576738</v>
      </c>
      <c r="AT58" s="22">
        <f t="shared" si="15"/>
        <v>0.56012045661556076</v>
      </c>
      <c r="AU58" s="22">
        <f t="shared" si="15"/>
        <v>0.56010608884403601</v>
      </c>
      <c r="AV58" s="22">
        <f t="shared" si="15"/>
        <v>0.56003451127323822</v>
      </c>
      <c r="AW58" s="22">
        <f t="shared" si="15"/>
        <v>0.55989772915101532</v>
      </c>
      <c r="AY58" s="79"/>
    </row>
    <row r="59" spans="1:51" x14ac:dyDescent="0.25">
      <c r="A59" s="95" t="str">
        <f t="shared" si="0"/>
        <v>FS Organic</v>
      </c>
      <c r="B59" s="95" t="s">
        <v>1004</v>
      </c>
      <c r="C59" s="95" t="s">
        <v>1127</v>
      </c>
      <c r="D59" t="s">
        <v>369</v>
      </c>
      <c r="E59" t="s">
        <v>55</v>
      </c>
      <c r="F59" t="s">
        <v>421</v>
      </c>
      <c r="G59" t="s">
        <v>1156</v>
      </c>
      <c r="H59" t="s">
        <v>1157</v>
      </c>
      <c r="I59" t="s">
        <v>139</v>
      </c>
      <c r="J59" t="s">
        <v>287</v>
      </c>
      <c r="K59" s="22">
        <f t="shared" si="16"/>
        <v>4.9862442750846919E-2</v>
      </c>
      <c r="L59" s="22">
        <f t="shared" si="15"/>
        <v>5.0141199304605817E-2</v>
      </c>
      <c r="M59" s="22">
        <f t="shared" si="15"/>
        <v>5.0536707115294892E-2</v>
      </c>
      <c r="N59" s="22">
        <f t="shared" si="15"/>
        <v>5.0790863013925151E-2</v>
      </c>
      <c r="O59" s="22">
        <f t="shared" si="15"/>
        <v>5.0959750770976343E-2</v>
      </c>
      <c r="P59" s="22">
        <f t="shared" si="15"/>
        <v>5.1041708153806126E-2</v>
      </c>
      <c r="Q59" s="22">
        <f t="shared" si="15"/>
        <v>5.122278251388987E-2</v>
      </c>
      <c r="R59" s="22">
        <f t="shared" si="15"/>
        <v>5.1430505218981189E-2</v>
      </c>
      <c r="S59" s="22">
        <f t="shared" si="15"/>
        <v>4.9969127694387626E-2</v>
      </c>
      <c r="T59" s="22">
        <f t="shared" si="15"/>
        <v>5.08289173034428E-2</v>
      </c>
      <c r="U59" s="22">
        <f t="shared" si="15"/>
        <v>8.7455217120941425E-2</v>
      </c>
      <c r="V59" s="22">
        <f t="shared" si="15"/>
        <v>8.8509448943396227E-2</v>
      </c>
      <c r="W59" s="22">
        <f t="shared" si="15"/>
        <v>8.9517439578736563E-2</v>
      </c>
      <c r="X59" s="22">
        <f t="shared" si="15"/>
        <v>9.0462043328738057E-2</v>
      </c>
      <c r="Y59" s="22">
        <f t="shared" si="15"/>
        <v>9.1318034328999972E-2</v>
      </c>
      <c r="Z59" s="22">
        <f t="shared" si="15"/>
        <v>9.2081415082285539E-2</v>
      </c>
      <c r="AA59" s="22">
        <f t="shared" si="15"/>
        <v>9.2747738492765894E-2</v>
      </c>
      <c r="AB59" s="22">
        <f t="shared" si="15"/>
        <v>9.3313638765123857E-2</v>
      </c>
      <c r="AC59" s="22">
        <f t="shared" si="15"/>
        <v>9.3776446584834763E-2</v>
      </c>
      <c r="AD59" s="22">
        <f t="shared" si="15"/>
        <v>9.4133355902455834E-2</v>
      </c>
      <c r="AE59" s="22">
        <f t="shared" si="15"/>
        <v>9.4382686845787919E-2</v>
      </c>
      <c r="AF59" s="22">
        <f t="shared" si="15"/>
        <v>9.4522828044884072E-2</v>
      </c>
      <c r="AG59" s="22">
        <f t="shared" si="15"/>
        <v>9.4552222716684439E-2</v>
      </c>
      <c r="AH59" s="22">
        <f t="shared" si="15"/>
        <v>9.4470586562695413E-2</v>
      </c>
      <c r="AI59" s="22">
        <f t="shared" si="15"/>
        <v>9.4278384344792743E-2</v>
      </c>
      <c r="AJ59" s="22">
        <f t="shared" si="15"/>
        <v>2.9828050506756527E-2</v>
      </c>
      <c r="AK59" s="22">
        <f t="shared" si="15"/>
        <v>2.9849824483056911E-2</v>
      </c>
      <c r="AL59" s="22">
        <f t="shared" si="15"/>
        <v>2.9870031024795022E-2</v>
      </c>
      <c r="AM59" s="22">
        <f t="shared" si="15"/>
        <v>2.9888806822265943E-2</v>
      </c>
      <c r="AN59" s="22">
        <f t="shared" si="15"/>
        <v>2.9906320249266097E-2</v>
      </c>
      <c r="AO59" s="22">
        <f t="shared" si="15"/>
        <v>2.9922021644399784E-2</v>
      </c>
      <c r="AP59" s="22">
        <f t="shared" si="15"/>
        <v>2.9935541888880673E-2</v>
      </c>
      <c r="AQ59" s="22">
        <f t="shared" si="15"/>
        <v>2.9946821790160959E-2</v>
      </c>
      <c r="AR59" s="22">
        <f t="shared" si="15"/>
        <v>2.995544253085038E-2</v>
      </c>
      <c r="AS59" s="22">
        <f t="shared" si="15"/>
        <v>2.9960949406223684E-2</v>
      </c>
      <c r="AT59" s="22">
        <f t="shared" si="15"/>
        <v>2.9963286253905406E-2</v>
      </c>
      <c r="AU59" s="22">
        <f t="shared" si="15"/>
        <v>2.9962517659139858E-2</v>
      </c>
      <c r="AV59" s="22">
        <f t="shared" si="15"/>
        <v>2.995868866268411E-2</v>
      </c>
      <c r="AW59" s="22">
        <f t="shared" si="15"/>
        <v>2.9951371590375517E-2</v>
      </c>
      <c r="AY59" s="79"/>
    </row>
    <row r="60" spans="1:51" x14ac:dyDescent="0.25">
      <c r="A60" s="95" t="str">
        <f t="shared" si="0"/>
        <v>FS Organic</v>
      </c>
      <c r="B60" s="95" t="s">
        <v>1004</v>
      </c>
      <c r="C60" s="95" t="s">
        <v>1127</v>
      </c>
      <c r="D60" t="s">
        <v>369</v>
      </c>
      <c r="E60" t="s">
        <v>55</v>
      </c>
      <c r="F60" t="s">
        <v>421</v>
      </c>
      <c r="G60" t="s">
        <v>1158</v>
      </c>
      <c r="H60" t="s">
        <v>1159</v>
      </c>
      <c r="I60" t="s">
        <v>139</v>
      </c>
      <c r="J60" t="s">
        <v>287</v>
      </c>
      <c r="K60" s="22">
        <f t="shared" si="16"/>
        <v>0.39999978998352292</v>
      </c>
      <c r="L60" s="22">
        <f t="shared" si="15"/>
        <v>0.39653071954810204</v>
      </c>
      <c r="M60" s="22">
        <f t="shared" si="15"/>
        <v>0.39521014945095018</v>
      </c>
      <c r="N60" s="22">
        <f t="shared" si="15"/>
        <v>0.38993263522397326</v>
      </c>
      <c r="O60" s="22">
        <f t="shared" si="15"/>
        <v>0.382272194437701</v>
      </c>
      <c r="P60" s="22">
        <f t="shared" si="15"/>
        <v>0.37238723301511389</v>
      </c>
      <c r="Q60" s="22">
        <f t="shared" si="15"/>
        <v>0.36459067483623864</v>
      </c>
      <c r="R60" s="22">
        <f t="shared" si="15"/>
        <v>0.35721424445443944</v>
      </c>
      <c r="S60" s="22">
        <f t="shared" si="15"/>
        <v>0.31946339774377674</v>
      </c>
      <c r="T60" s="22">
        <f t="shared" si="15"/>
        <v>0.33177135164852617</v>
      </c>
      <c r="U60" s="22">
        <f t="shared" si="15"/>
        <v>1.0456423232959036</v>
      </c>
      <c r="V60" s="22">
        <f t="shared" si="15"/>
        <v>1.0506858527476302</v>
      </c>
      <c r="W60" s="22">
        <f t="shared" si="15"/>
        <v>1.0539136991279403</v>
      </c>
      <c r="X60" s="22">
        <f t="shared" si="15"/>
        <v>1.0553252049864941</v>
      </c>
      <c r="Y60" s="22">
        <f t="shared" si="15"/>
        <v>1.0549502713547947</v>
      </c>
      <c r="Z60" s="22">
        <f t="shared" si="15"/>
        <v>1.0527709267508603</v>
      </c>
      <c r="AA60" s="22">
        <f t="shared" si="15"/>
        <v>1.0487818326891256</v>
      </c>
      <c r="AB60" s="22">
        <f t="shared" si="15"/>
        <v>1.0429862897745465</v>
      </c>
      <c r="AC60" s="22">
        <f t="shared" si="15"/>
        <v>1.0353973298775558</v>
      </c>
      <c r="AD60" s="22">
        <f t="shared" si="15"/>
        <v>1.0174175581982712</v>
      </c>
      <c r="AE60" s="22">
        <f t="shared" si="15"/>
        <v>0.99774420575118894</v>
      </c>
      <c r="AF60" s="22">
        <f t="shared" si="15"/>
        <v>0.97646566881417607</v>
      </c>
      <c r="AG60" s="22">
        <f t="shared" si="15"/>
        <v>0.95368038799648891</v>
      </c>
      <c r="AH60" s="22">
        <f t="shared" si="15"/>
        <v>0.92949316172660157</v>
      </c>
      <c r="AI60" s="22">
        <f t="shared" si="15"/>
        <v>0.90401558532438187</v>
      </c>
      <c r="AJ60" s="22">
        <f t="shared" si="15"/>
        <v>-6.9801929759449391E-2</v>
      </c>
      <c r="AK60" s="22">
        <f t="shared" si="15"/>
        <v>-6.8121301003411724E-2</v>
      </c>
      <c r="AL60" s="22">
        <f t="shared" si="15"/>
        <v>-6.6458158331925851E-2</v>
      </c>
      <c r="AM60" s="22">
        <f t="shared" si="15"/>
        <v>-6.481232997303113E-2</v>
      </c>
      <c r="AN60" s="22">
        <f t="shared" si="15"/>
        <v>-6.3506079477571004E-2</v>
      </c>
      <c r="AO60" s="22">
        <f t="shared" si="15"/>
        <v>-6.2212220196709189E-2</v>
      </c>
      <c r="AP60" s="22">
        <f t="shared" si="15"/>
        <v>-6.0929789794195444E-2</v>
      </c>
      <c r="AQ60" s="22">
        <f t="shared" si="15"/>
        <v>-5.9658470603933263E-2</v>
      </c>
      <c r="AR60" s="22">
        <f t="shared" si="15"/>
        <v>-5.839733316411725E-2</v>
      </c>
      <c r="AS60" s="22">
        <f t="shared" si="15"/>
        <v>-5.7145467253207828E-2</v>
      </c>
      <c r="AT60" s="22">
        <f t="shared" si="15"/>
        <v>-5.590272668429646E-2</v>
      </c>
      <c r="AU60" s="22">
        <f t="shared" si="15"/>
        <v>-5.4669188235492674E-2</v>
      </c>
      <c r="AV60" s="22">
        <f t="shared" si="15"/>
        <v>-5.3444899006114648E-2</v>
      </c>
      <c r="AW60" s="22">
        <f t="shared" si="15"/>
        <v>-5.2229155811497792E-2</v>
      </c>
      <c r="AY60" s="79"/>
    </row>
    <row r="61" spans="1:51" x14ac:dyDescent="0.25">
      <c r="A61" s="95" t="str">
        <f t="shared" si="0"/>
        <v>FS Organic</v>
      </c>
      <c r="B61" s="95" t="s">
        <v>1004</v>
      </c>
      <c r="C61" s="95" t="s">
        <v>1127</v>
      </c>
      <c r="D61" t="s">
        <v>369</v>
      </c>
      <c r="E61" t="s">
        <v>55</v>
      </c>
      <c r="F61" t="s">
        <v>421</v>
      </c>
      <c r="G61" t="s">
        <v>1160</v>
      </c>
      <c r="H61" t="s">
        <v>1161</v>
      </c>
      <c r="I61" t="s">
        <v>139</v>
      </c>
      <c r="J61" t="s">
        <v>287</v>
      </c>
      <c r="K61" s="22">
        <f t="shared" si="16"/>
        <v>2.6602988559851242</v>
      </c>
      <c r="L61" s="22">
        <f t="shared" si="15"/>
        <v>2.6372269335947092</v>
      </c>
      <c r="M61" s="22">
        <f t="shared" si="15"/>
        <v>2.6284441511866339</v>
      </c>
      <c r="N61" s="22">
        <f t="shared" si="15"/>
        <v>2.5933447201068063</v>
      </c>
      <c r="O61" s="22">
        <f t="shared" si="15"/>
        <v>2.5423970387070201</v>
      </c>
      <c r="P61" s="22">
        <f t="shared" ref="L61:AW67" si="17">P1470</f>
        <v>2.4766546252796315</v>
      </c>
      <c r="Q61" s="22">
        <f t="shared" si="17"/>
        <v>2.4248016610449814</v>
      </c>
      <c r="R61" s="22">
        <f t="shared" si="17"/>
        <v>2.3757428620222041</v>
      </c>
      <c r="S61" s="22">
        <f t="shared" si="17"/>
        <v>2.1246713944072271</v>
      </c>
      <c r="T61" s="22">
        <f t="shared" si="17"/>
        <v>2.2065285266163999</v>
      </c>
      <c r="U61" s="22">
        <f t="shared" si="17"/>
        <v>6.9543063423815932</v>
      </c>
      <c r="V61" s="22">
        <f t="shared" si="17"/>
        <v>6.9878495990695715</v>
      </c>
      <c r="W61" s="22">
        <f t="shared" si="17"/>
        <v>7.0093172004230366</v>
      </c>
      <c r="X61" s="22">
        <f t="shared" si="17"/>
        <v>7.0187047739037158</v>
      </c>
      <c r="Y61" s="22">
        <f t="shared" si="17"/>
        <v>7.0162111838157779</v>
      </c>
      <c r="Z61" s="22">
        <f t="shared" si="17"/>
        <v>7.0017169063140772</v>
      </c>
      <c r="AA61" s="22">
        <f t="shared" si="17"/>
        <v>6.9751864364623621</v>
      </c>
      <c r="AB61" s="22">
        <f t="shared" si="17"/>
        <v>6.9366417257611337</v>
      </c>
      <c r="AC61" s="22">
        <f t="shared" si="17"/>
        <v>6.8861694459309035</v>
      </c>
      <c r="AD61" s="22">
        <f t="shared" si="17"/>
        <v>6.7665904680738294</v>
      </c>
      <c r="AE61" s="22">
        <f t="shared" si="17"/>
        <v>6.6357479068551806</v>
      </c>
      <c r="AF61" s="22">
        <f t="shared" si="17"/>
        <v>6.4942296638758421</v>
      </c>
      <c r="AG61" s="22">
        <f t="shared" si="17"/>
        <v>6.3426904430800271</v>
      </c>
      <c r="AH61" s="22">
        <f t="shared" si="17"/>
        <v>6.181827232682128</v>
      </c>
      <c r="AI61" s="22">
        <f t="shared" si="17"/>
        <v>6.0123822253262711</v>
      </c>
      <c r="AJ61" s="22">
        <f t="shared" si="17"/>
        <v>-0.46423522845416099</v>
      </c>
      <c r="AK61" s="22">
        <f t="shared" si="17"/>
        <v>-0.45305778569298638</v>
      </c>
      <c r="AL61" s="22">
        <f t="shared" si="17"/>
        <v>-0.44199663851969367</v>
      </c>
      <c r="AM61" s="22">
        <f t="shared" si="17"/>
        <v>-0.43105064452180719</v>
      </c>
      <c r="AN61" s="22">
        <f t="shared" si="17"/>
        <v>-0.42236309821373103</v>
      </c>
      <c r="AO61" s="22">
        <f t="shared" si="17"/>
        <v>-0.41375796278397442</v>
      </c>
      <c r="AP61" s="22">
        <f t="shared" si="17"/>
        <v>-0.40522883797411285</v>
      </c>
      <c r="AQ61" s="22">
        <f t="shared" si="17"/>
        <v>-0.3967736110661545</v>
      </c>
      <c r="AR61" s="22">
        <f t="shared" si="17"/>
        <v>-0.38838610044140948</v>
      </c>
      <c r="AS61" s="22">
        <f t="shared" si="17"/>
        <v>-0.38006025244339864</v>
      </c>
      <c r="AT61" s="22">
        <f t="shared" si="17"/>
        <v>-0.37179509481944717</v>
      </c>
      <c r="AU61" s="22">
        <f t="shared" si="17"/>
        <v>-0.36359113820161632</v>
      </c>
      <c r="AV61" s="22">
        <f t="shared" si="17"/>
        <v>-0.35544869583572547</v>
      </c>
      <c r="AW61" s="22">
        <f t="shared" si="17"/>
        <v>-0.34736309101592239</v>
      </c>
      <c r="AY61" s="79"/>
    </row>
    <row r="62" spans="1:51" x14ac:dyDescent="0.25">
      <c r="A62" s="95" t="str">
        <f t="shared" si="0"/>
        <v>FS Organic</v>
      </c>
      <c r="B62" s="95" t="s">
        <v>1004</v>
      </c>
      <c r="C62" s="95" t="s">
        <v>1127</v>
      </c>
      <c r="D62" t="s">
        <v>369</v>
      </c>
      <c r="E62" t="s">
        <v>55</v>
      </c>
      <c r="F62" t="s">
        <v>421</v>
      </c>
      <c r="G62" t="s">
        <v>1162</v>
      </c>
      <c r="H62" t="s">
        <v>1163</v>
      </c>
      <c r="I62" t="s">
        <v>139</v>
      </c>
      <c r="J62" t="s">
        <v>287</v>
      </c>
      <c r="K62" s="22">
        <f t="shared" si="16"/>
        <v>0.34358078636628736</v>
      </c>
      <c r="L62" s="22">
        <f t="shared" si="17"/>
        <v>0.35516571939691516</v>
      </c>
      <c r="M62" s="22">
        <f t="shared" si="17"/>
        <v>0.36891582276573964</v>
      </c>
      <c r="N62" s="22">
        <f t="shared" si="17"/>
        <v>0.379170347917821</v>
      </c>
      <c r="O62" s="22">
        <f t="shared" si="17"/>
        <v>0.38707850955818851</v>
      </c>
      <c r="P62" s="22">
        <f t="shared" si="17"/>
        <v>0.39252728601928999</v>
      </c>
      <c r="Q62" s="22">
        <f t="shared" si="17"/>
        <v>0.3999671364536494</v>
      </c>
      <c r="R62" s="22">
        <f t="shared" si="17"/>
        <v>0.40776627193753145</v>
      </c>
      <c r="S62" s="22">
        <f t="shared" si="17"/>
        <v>0.37941149708510857</v>
      </c>
      <c r="T62" s="22">
        <f t="shared" si="17"/>
        <v>0.40352229075935825</v>
      </c>
      <c r="U62" s="22">
        <f t="shared" si="17"/>
        <v>1.3019992837200502</v>
      </c>
      <c r="V62" s="22">
        <f t="shared" si="17"/>
        <v>1.3389713551242044</v>
      </c>
      <c r="W62" s="22">
        <f t="shared" si="17"/>
        <v>1.3742225442034364</v>
      </c>
      <c r="X62" s="22">
        <f t="shared" si="17"/>
        <v>1.4076173986220344</v>
      </c>
      <c r="Y62" s="22">
        <f t="shared" si="17"/>
        <v>1.4390577517114058</v>
      </c>
      <c r="Z62" s="22">
        <f t="shared" si="17"/>
        <v>1.4683777754211462</v>
      </c>
      <c r="AA62" s="22">
        <f t="shared" si="17"/>
        <v>1.4954226905831736</v>
      </c>
      <c r="AB62" s="22">
        <f t="shared" si="17"/>
        <v>1.5200446118078883</v>
      </c>
      <c r="AC62" s="22">
        <f t="shared" si="17"/>
        <v>1.5421052715646864</v>
      </c>
      <c r="AD62" s="22">
        <f t="shared" si="17"/>
        <v>1.5655788001500457</v>
      </c>
      <c r="AE62" s="22">
        <f t="shared" si="17"/>
        <v>1.5863184064827547</v>
      </c>
      <c r="AF62" s="22">
        <f t="shared" si="17"/>
        <v>1.604202691450189</v>
      </c>
      <c r="AG62" s="22">
        <f t="shared" si="17"/>
        <v>1.6191262740936789</v>
      </c>
      <c r="AH62" s="22">
        <f t="shared" si="17"/>
        <v>1.6309961254310048</v>
      </c>
      <c r="AI62" s="22">
        <f t="shared" si="17"/>
        <v>1.6397344068055653</v>
      </c>
      <c r="AJ62" s="22">
        <f t="shared" si="17"/>
        <v>-0.13089608517240703</v>
      </c>
      <c r="AK62" s="22">
        <f t="shared" si="17"/>
        <v>-0.13209410170523925</v>
      </c>
      <c r="AL62" s="22">
        <f t="shared" si="17"/>
        <v>-0.13328419638855493</v>
      </c>
      <c r="AM62" s="22">
        <f t="shared" si="17"/>
        <v>-0.13446696197747518</v>
      </c>
      <c r="AN62" s="22">
        <f t="shared" si="17"/>
        <v>-0.13547441854530159</v>
      </c>
      <c r="AO62" s="22">
        <f t="shared" si="17"/>
        <v>-0.13647180135664599</v>
      </c>
      <c r="AP62" s="22">
        <f t="shared" si="17"/>
        <v>-0.1374575838778328</v>
      </c>
      <c r="AQ62" s="22">
        <f t="shared" si="17"/>
        <v>-0.13843149499593352</v>
      </c>
      <c r="AR62" s="22">
        <f t="shared" si="17"/>
        <v>-0.13939171751336263</v>
      </c>
      <c r="AS62" s="22">
        <f t="shared" si="17"/>
        <v>-0.14033622294950923</v>
      </c>
      <c r="AT62" s="22">
        <f t="shared" si="17"/>
        <v>-0.14126464078823431</v>
      </c>
      <c r="AU62" s="22">
        <f t="shared" si="17"/>
        <v>-0.14217711138361663</v>
      </c>
      <c r="AV62" s="22">
        <f t="shared" si="17"/>
        <v>-0.14307369087756849</v>
      </c>
      <c r="AW62" s="22">
        <f t="shared" si="17"/>
        <v>-0.14395235507647042</v>
      </c>
      <c r="AY62" s="79"/>
    </row>
    <row r="63" spans="1:51" x14ac:dyDescent="0.25">
      <c r="A63" s="95" t="str">
        <f t="shared" si="0"/>
        <v>FS Organic</v>
      </c>
      <c r="B63" s="95" t="s">
        <v>1004</v>
      </c>
      <c r="C63" s="95" t="s">
        <v>1127</v>
      </c>
      <c r="D63" t="s">
        <v>369</v>
      </c>
      <c r="E63" t="s">
        <v>55</v>
      </c>
      <c r="F63" t="s">
        <v>421</v>
      </c>
      <c r="G63" t="s">
        <v>1164</v>
      </c>
      <c r="H63" t="s">
        <v>1165</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5.9207171446821721E-2</v>
      </c>
      <c r="T63" s="22">
        <f t="shared" si="17"/>
        <v>5.9246576334297835E-2</v>
      </c>
      <c r="U63" s="22">
        <f t="shared" si="17"/>
        <v>6.0018268189792646E-2</v>
      </c>
      <c r="V63" s="22">
        <f t="shared" si="17"/>
        <v>6.0037093010318184E-2</v>
      </c>
      <c r="W63" s="22">
        <f t="shared" si="17"/>
        <v>6.0117615700915394E-2</v>
      </c>
      <c r="X63" s="22">
        <f t="shared" si="17"/>
        <v>6.0234013204612538E-2</v>
      </c>
      <c r="Y63" s="22">
        <f t="shared" si="17"/>
        <v>6.0342142496718161E-2</v>
      </c>
      <c r="Z63" s="22">
        <f t="shared" si="17"/>
        <v>6.0443342363168437E-2</v>
      </c>
      <c r="AA63" s="22">
        <f t="shared" si="17"/>
        <v>6.0537073159976813E-2</v>
      </c>
      <c r="AB63" s="22">
        <f t="shared" si="17"/>
        <v>6.0624179409324928E-2</v>
      </c>
      <c r="AC63" s="22">
        <f t="shared" si="17"/>
        <v>6.0705982424299358E-2</v>
      </c>
      <c r="AD63" s="22">
        <f t="shared" si="17"/>
        <v>6.0782405127579278E-2</v>
      </c>
      <c r="AE63" s="22">
        <f t="shared" si="17"/>
        <v>6.0854669862410914E-2</v>
      </c>
      <c r="AF63" s="22">
        <f t="shared" si="17"/>
        <v>6.0922951557005132E-2</v>
      </c>
      <c r="AG63" s="22">
        <f t="shared" si="17"/>
        <v>6.0986314332021271E-2</v>
      </c>
      <c r="AH63" s="22">
        <f t="shared" si="17"/>
        <v>6.1045337815494746E-2</v>
      </c>
      <c r="AI63" s="22">
        <f t="shared" si="17"/>
        <v>6.1100963630343091E-2</v>
      </c>
      <c r="AJ63" s="22">
        <f t="shared" si="17"/>
        <v>5.9760031976995184E-2</v>
      </c>
      <c r="AK63" s="22">
        <f t="shared" si="17"/>
        <v>5.9814986740369232E-2</v>
      </c>
      <c r="AL63" s="22">
        <f t="shared" si="17"/>
        <v>5.9866245389547455E-2</v>
      </c>
      <c r="AM63" s="22">
        <f t="shared" si="17"/>
        <v>5.9914121191052938E-2</v>
      </c>
      <c r="AN63" s="22">
        <f t="shared" si="17"/>
        <v>5.9958994957515464E-2</v>
      </c>
      <c r="AO63" s="22">
        <f t="shared" si="17"/>
        <v>5.9999686326466663E-2</v>
      </c>
      <c r="AP63" s="22">
        <f t="shared" si="17"/>
        <v>6.0035407039000573E-2</v>
      </c>
      <c r="AQ63" s="22">
        <f t="shared" si="17"/>
        <v>6.0066041639394212E-2</v>
      </c>
      <c r="AR63" s="22">
        <f t="shared" si="17"/>
        <v>6.0090693101993796E-2</v>
      </c>
      <c r="AS63" s="22">
        <f t="shared" si="17"/>
        <v>6.010838638445111E-2</v>
      </c>
      <c r="AT63" s="22">
        <f t="shared" si="17"/>
        <v>6.0119011530987615E-2</v>
      </c>
      <c r="AU63" s="22">
        <f t="shared" si="17"/>
        <v>6.0122720098989259E-2</v>
      </c>
      <c r="AV63" s="22">
        <f t="shared" si="17"/>
        <v>6.0119620565134202E-2</v>
      </c>
      <c r="AW63" s="22">
        <f t="shared" si="17"/>
        <v>6.0108795193871321E-2</v>
      </c>
      <c r="AY63" s="79"/>
    </row>
    <row r="64" spans="1:51" x14ac:dyDescent="0.25">
      <c r="A64" s="95" t="str">
        <f t="shared" si="0"/>
        <v>FS Organic</v>
      </c>
      <c r="B64" s="95" t="s">
        <v>1004</v>
      </c>
      <c r="C64" s="95" t="s">
        <v>1127</v>
      </c>
      <c r="D64" t="s">
        <v>369</v>
      </c>
      <c r="E64" t="s">
        <v>55</v>
      </c>
      <c r="F64" t="s">
        <v>421</v>
      </c>
      <c r="G64" t="s">
        <v>1166</v>
      </c>
      <c r="H64" t="s">
        <v>1167</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4.8186589457144935E-2</v>
      </c>
      <c r="T64" s="22">
        <f t="shared" si="17"/>
        <v>4.8218659679197723E-2</v>
      </c>
      <c r="U64" s="22">
        <f t="shared" si="17"/>
        <v>4.884671195258742E-2</v>
      </c>
      <c r="V64" s="22">
        <f t="shared" si="17"/>
        <v>4.8862032797615189E-2</v>
      </c>
      <c r="W64" s="22">
        <f t="shared" si="17"/>
        <v>4.8927567322217112E-2</v>
      </c>
      <c r="X64" s="22">
        <f t="shared" si="17"/>
        <v>4.9022299068176782E-2</v>
      </c>
      <c r="Y64" s="22">
        <f t="shared" si="17"/>
        <v>4.9110301613808693E-2</v>
      </c>
      <c r="Z64" s="22">
        <f t="shared" si="17"/>
        <v>4.9192664548882145E-2</v>
      </c>
      <c r="AA64" s="22">
        <f t="shared" si="17"/>
        <v>4.9268948676546534E-2</v>
      </c>
      <c r="AB64" s="22">
        <f t="shared" si="17"/>
        <v>4.9339841323060789E-2</v>
      </c>
      <c r="AC64" s="22">
        <f t="shared" si="17"/>
        <v>4.9406417857669777E-2</v>
      </c>
      <c r="AD64" s="22">
        <f t="shared" si="17"/>
        <v>4.9468615549911547E-2</v>
      </c>
      <c r="AE64" s="22">
        <f t="shared" si="17"/>
        <v>4.9527429221033953E-2</v>
      </c>
      <c r="AF64" s="22">
        <f t="shared" si="17"/>
        <v>4.9583001238822449E-2</v>
      </c>
      <c r="AG64" s="22">
        <f t="shared" si="17"/>
        <v>4.9634569924708931E-2</v>
      </c>
      <c r="AH64" s="22">
        <f t="shared" si="17"/>
        <v>4.9682607017124701E-2</v>
      </c>
      <c r="AI64" s="22">
        <f t="shared" si="17"/>
        <v>4.972787886912871E-2</v>
      </c>
      <c r="AJ64" s="22">
        <f t="shared" si="17"/>
        <v>4.8636542777722926E-2</v>
      </c>
      <c r="AK64" s="22">
        <f t="shared" si="17"/>
        <v>4.8681268485043679E-2</v>
      </c>
      <c r="AL64" s="22">
        <f t="shared" si="17"/>
        <v>4.872298605782617E-2</v>
      </c>
      <c r="AM64" s="22">
        <f t="shared" si="17"/>
        <v>4.8761950452437537E-2</v>
      </c>
      <c r="AN64" s="22">
        <f t="shared" si="17"/>
        <v>4.8798471598594094E-2</v>
      </c>
      <c r="AO64" s="22">
        <f t="shared" si="17"/>
        <v>4.8831588841694647E-2</v>
      </c>
      <c r="AP64" s="22">
        <f t="shared" si="17"/>
        <v>4.8860660646138712E-2</v>
      </c>
      <c r="AQ64" s="22">
        <f t="shared" si="17"/>
        <v>4.8885593046661804E-2</v>
      </c>
      <c r="AR64" s="22">
        <f t="shared" si="17"/>
        <v>4.8905655986315542E-2</v>
      </c>
      <c r="AS64" s="22">
        <f t="shared" si="17"/>
        <v>4.8920055913167046E-2</v>
      </c>
      <c r="AT64" s="22">
        <f t="shared" si="17"/>
        <v>4.8928703338159067E-2</v>
      </c>
      <c r="AU64" s="22">
        <f t="shared" si="17"/>
        <v>4.8931721608402395E-2</v>
      </c>
      <c r="AV64" s="22">
        <f t="shared" si="17"/>
        <v>4.8929199009167666E-2</v>
      </c>
      <c r="AW64" s="22">
        <f t="shared" si="17"/>
        <v>4.892038862846515E-2</v>
      </c>
      <c r="AY64" s="79"/>
    </row>
    <row r="65" spans="1:51" x14ac:dyDescent="0.25">
      <c r="A65" s="95" t="str">
        <f t="shared" si="0"/>
        <v>FS Organic</v>
      </c>
      <c r="B65" s="95" t="s">
        <v>1004</v>
      </c>
      <c r="C65" s="95" t="s">
        <v>1127</v>
      </c>
      <c r="D65" t="s">
        <v>369</v>
      </c>
      <c r="E65" t="s">
        <v>55</v>
      </c>
      <c r="F65" t="s">
        <v>421</v>
      </c>
      <c r="G65" t="s">
        <v>1168</v>
      </c>
      <c r="H65" t="s">
        <v>1169</v>
      </c>
      <c r="I65" t="s">
        <v>139</v>
      </c>
      <c r="J65" t="s">
        <v>287</v>
      </c>
      <c r="K65" s="22">
        <f t="shared" si="16"/>
        <v>7.214092738049376E-3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7.4155715935563154E-3</v>
      </c>
      <c r="R65" s="22">
        <f t="shared" si="17"/>
        <v>7.4643602602570466E-3</v>
      </c>
      <c r="S65" s="22">
        <f t="shared" si="17"/>
        <v>7.4461584032265975E-3</v>
      </c>
      <c r="T65" s="22">
        <f t="shared" si="17"/>
        <v>7.4583442385416504E-3</v>
      </c>
      <c r="U65" s="22">
        <f t="shared" si="17"/>
        <v>7.6095641103995637E-3</v>
      </c>
      <c r="V65" s="22">
        <f t="shared" si="17"/>
        <v>7.616396041581105E-3</v>
      </c>
      <c r="W65" s="22">
        <f t="shared" si="17"/>
        <v>7.6344836732780402E-3</v>
      </c>
      <c r="X65" s="22">
        <f t="shared" si="17"/>
        <v>7.6588952719713966E-3</v>
      </c>
      <c r="Y65" s="22">
        <f t="shared" si="17"/>
        <v>7.6812841131364881E-3</v>
      </c>
      <c r="Z65" s="22">
        <f t="shared" si="17"/>
        <v>7.7019461381660883E-3</v>
      </c>
      <c r="AA65" s="22">
        <f t="shared" si="17"/>
        <v>7.7208179709042681E-3</v>
      </c>
      <c r="AB65" s="22">
        <f t="shared" si="17"/>
        <v>7.7380934023290734E-3</v>
      </c>
      <c r="AC65" s="22">
        <f t="shared" si="17"/>
        <v>7.754051159190669E-3</v>
      </c>
      <c r="AD65" s="22">
        <f t="shared" si="17"/>
        <v>7.7687040986248812E-3</v>
      </c>
      <c r="AE65" s="22">
        <f t="shared" si="17"/>
        <v>7.7823052319108766E-3</v>
      </c>
      <c r="AF65" s="22">
        <f t="shared" si="17"/>
        <v>7.7949088981362474E-3</v>
      </c>
      <c r="AG65" s="22">
        <f t="shared" si="17"/>
        <v>7.8063612121467459E-3</v>
      </c>
      <c r="AH65" s="22">
        <f t="shared" si="17"/>
        <v>7.8167890041067195E-3</v>
      </c>
      <c r="AI65" s="22">
        <f t="shared" si="17"/>
        <v>7.8263838677397213E-3</v>
      </c>
      <c r="AJ65" s="22">
        <f t="shared" si="17"/>
        <v>7.5779321545979533E-3</v>
      </c>
      <c r="AK65" s="22">
        <f t="shared" si="17"/>
        <v>7.5875086550646472E-3</v>
      </c>
      <c r="AL65" s="22">
        <f t="shared" si="17"/>
        <v>7.5962279285727895E-3</v>
      </c>
      <c r="AM65" s="22">
        <f t="shared" si="17"/>
        <v>7.6041605420171859E-3</v>
      </c>
      <c r="AN65" s="22">
        <f t="shared" si="17"/>
        <v>7.6113882168756348E-3</v>
      </c>
      <c r="AO65" s="22">
        <f t="shared" si="17"/>
        <v>7.6177057736301935E-3</v>
      </c>
      <c r="AP65" s="22">
        <f t="shared" si="17"/>
        <v>7.6229804846382823E-3</v>
      </c>
      <c r="AQ65" s="22">
        <f t="shared" si="17"/>
        <v>7.6272026599535862E-3</v>
      </c>
      <c r="AR65" s="22">
        <f t="shared" si="17"/>
        <v>7.6302198564372984E-3</v>
      </c>
      <c r="AS65" s="22">
        <f t="shared" si="17"/>
        <v>7.6318659754992515E-3</v>
      </c>
      <c r="AT65" s="22">
        <f t="shared" si="17"/>
        <v>7.6321325230528187E-3</v>
      </c>
      <c r="AU65" s="22">
        <f t="shared" si="17"/>
        <v>7.631057996199485E-3</v>
      </c>
      <c r="AV65" s="22">
        <f t="shared" si="17"/>
        <v>7.6286724448087007E-3</v>
      </c>
      <c r="AW65" s="22">
        <f t="shared" si="17"/>
        <v>7.6248200266524988E-3</v>
      </c>
      <c r="AY65" s="79"/>
    </row>
    <row r="66" spans="1:51" x14ac:dyDescent="0.25">
      <c r="A66" s="95" t="str">
        <f t="shared" si="0"/>
        <v>FS Organic</v>
      </c>
      <c r="B66" s="95" t="s">
        <v>1004</v>
      </c>
      <c r="C66" s="95" t="s">
        <v>1127</v>
      </c>
      <c r="D66" t="s">
        <v>369</v>
      </c>
      <c r="E66" t="s">
        <v>55</v>
      </c>
      <c r="F66" t="s">
        <v>421</v>
      </c>
      <c r="G66" t="s">
        <v>1170</v>
      </c>
      <c r="H66" t="s">
        <v>1171</v>
      </c>
      <c r="I66" t="s">
        <v>139</v>
      </c>
      <c r="J66" t="s">
        <v>287</v>
      </c>
      <c r="K66" s="22">
        <f t="shared" si="16"/>
        <v>8.7045671471293537E-2</v>
      </c>
      <c r="L66" s="22">
        <f t="shared" si="17"/>
        <v>8.7271948200639354E-2</v>
      </c>
      <c r="M66" s="22">
        <f t="shared" si="17"/>
        <v>8.7584088952434122E-2</v>
      </c>
      <c r="N66" s="22">
        <f t="shared" si="17"/>
        <v>8.7964358824768801E-2</v>
      </c>
      <c r="O66" s="22">
        <f t="shared" si="17"/>
        <v>8.8412215452112072E-2</v>
      </c>
      <c r="P66" s="22">
        <f t="shared" si="17"/>
        <v>8.8924932944132923E-2</v>
      </c>
      <c r="Q66" s="22">
        <f t="shared" si="17"/>
        <v>8.9476727309038592E-2</v>
      </c>
      <c r="R66" s="22">
        <f t="shared" si="17"/>
        <v>9.0065414259340087E-2</v>
      </c>
      <c r="S66" s="22">
        <f t="shared" si="17"/>
        <v>8.9845789571278714E-2</v>
      </c>
      <c r="T66" s="22">
        <f t="shared" si="17"/>
        <v>8.9992824583989703E-2</v>
      </c>
      <c r="U66" s="22">
        <f t="shared" si="17"/>
        <v>9.1817452539803057E-2</v>
      </c>
      <c r="V66" s="22">
        <f t="shared" si="17"/>
        <v>9.1899887027234312E-2</v>
      </c>
      <c r="W66" s="22">
        <f t="shared" si="17"/>
        <v>9.211813346563695E-2</v>
      </c>
      <c r="X66" s="22">
        <f t="shared" si="17"/>
        <v>9.2412685265441663E-2</v>
      </c>
      <c r="Y66" s="22">
        <f t="shared" si="17"/>
        <v>9.2682830352765116E-2</v>
      </c>
      <c r="Z66" s="22">
        <f t="shared" si="17"/>
        <v>9.293213957403032E-2</v>
      </c>
      <c r="AA66" s="22">
        <f t="shared" si="17"/>
        <v>9.3159848228775613E-2</v>
      </c>
      <c r="AB66" s="22">
        <f t="shared" si="17"/>
        <v>9.3368294610452568E-2</v>
      </c>
      <c r="AC66" s="22">
        <f t="shared" si="17"/>
        <v>9.356084185258419E-2</v>
      </c>
      <c r="AD66" s="22">
        <f t="shared" si="17"/>
        <v>9.3737645090135047E-2</v>
      </c>
      <c r="AE66" s="22">
        <f t="shared" si="17"/>
        <v>9.390175717222761E-2</v>
      </c>
      <c r="AF66" s="22">
        <f t="shared" si="17"/>
        <v>9.40538337575203E-2</v>
      </c>
      <c r="AG66" s="22">
        <f t="shared" si="17"/>
        <v>9.4192018058601723E-2</v>
      </c>
      <c r="AH66" s="22">
        <f t="shared" si="17"/>
        <v>9.4317840415768184E-2</v>
      </c>
      <c r="AI66" s="22">
        <f t="shared" si="17"/>
        <v>9.4433612610268142E-2</v>
      </c>
      <c r="AJ66" s="22">
        <f t="shared" si="17"/>
        <v>9.1435779482264015E-2</v>
      </c>
      <c r="AK66" s="22">
        <f t="shared" si="17"/>
        <v>9.1551330105708581E-2</v>
      </c>
      <c r="AL66" s="22">
        <f t="shared" si="17"/>
        <v>9.1656537377754754E-2</v>
      </c>
      <c r="AM66" s="22">
        <f t="shared" si="17"/>
        <v>9.175225276274665E-2</v>
      </c>
      <c r="AN66" s="22">
        <f t="shared" si="17"/>
        <v>9.1839462316889414E-2</v>
      </c>
      <c r="AO66" s="22">
        <f t="shared" si="17"/>
        <v>9.1915690331932545E-2</v>
      </c>
      <c r="AP66" s="22">
        <f t="shared" si="17"/>
        <v>9.1979335308257068E-2</v>
      </c>
      <c r="AQ66" s="22">
        <f t="shared" si="17"/>
        <v>9.2030280326395222E-2</v>
      </c>
      <c r="AR66" s="22">
        <f t="shared" si="17"/>
        <v>9.2066685998379513E-2</v>
      </c>
      <c r="AS66" s="22">
        <f t="shared" si="17"/>
        <v>9.2086548168755195E-2</v>
      </c>
      <c r="AT66" s="22">
        <f t="shared" si="17"/>
        <v>9.2089764347368611E-2</v>
      </c>
      <c r="AU66" s="22">
        <f t="shared" si="17"/>
        <v>9.2076799042532853E-2</v>
      </c>
      <c r="AV66" s="22">
        <f t="shared" si="17"/>
        <v>9.2048014837757555E-2</v>
      </c>
      <c r="AW66" s="22">
        <f t="shared" si="17"/>
        <v>9.2001531331463521E-2</v>
      </c>
      <c r="AY66" s="79"/>
    </row>
    <row r="67" spans="1:51" x14ac:dyDescent="0.25">
      <c r="A67" s="95" t="str">
        <f t="shared" si="0"/>
        <v>FS Organic</v>
      </c>
      <c r="B67" s="95" t="s">
        <v>1004</v>
      </c>
      <c r="C67" s="95" t="s">
        <v>1127</v>
      </c>
      <c r="D67" t="s">
        <v>369</v>
      </c>
      <c r="E67" t="s">
        <v>55</v>
      </c>
      <c r="F67" t="s">
        <v>421</v>
      </c>
      <c r="G67" t="s">
        <v>1172</v>
      </c>
      <c r="H67" t="s">
        <v>1173</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25">
      <c r="A68" s="95" t="str">
        <f t="shared" si="0"/>
        <v>FS Organic</v>
      </c>
      <c r="B68" s="95" t="s">
        <v>1004</v>
      </c>
      <c r="C68" s="95" t="s">
        <v>1127</v>
      </c>
      <c r="D68" t="s">
        <v>369</v>
      </c>
      <c r="E68" t="s">
        <v>55</v>
      </c>
      <c r="F68" t="s">
        <v>421</v>
      </c>
      <c r="G68" t="s">
        <v>1174</v>
      </c>
      <c r="H68" t="s">
        <v>1175</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25">
      <c r="A69" s="95" t="str">
        <f t="shared" si="0"/>
        <v>FS Organic</v>
      </c>
      <c r="B69" s="95" t="s">
        <v>1004</v>
      </c>
      <c r="C69" s="95" t="s">
        <v>1127</v>
      </c>
      <c r="D69" t="s">
        <v>369</v>
      </c>
      <c r="E69" t="s">
        <v>55</v>
      </c>
      <c r="F69" t="s">
        <v>421</v>
      </c>
      <c r="G69" t="s">
        <v>1176</v>
      </c>
      <c r="H69" t="s">
        <v>1177</v>
      </c>
      <c r="I69" t="s">
        <v>139</v>
      </c>
      <c r="J69" t="s">
        <v>287</v>
      </c>
      <c r="K69" s="22">
        <f t="shared" si="16"/>
        <v>0.12462873299340151</v>
      </c>
      <c r="L69" s="22">
        <f t="shared" si="18"/>
        <v>0.12395129293471774</v>
      </c>
      <c r="M69" s="22">
        <f t="shared" si="18"/>
        <v>0.12400689511310994</v>
      </c>
      <c r="N69" s="22">
        <f t="shared" si="18"/>
        <v>0.12286841678965586</v>
      </c>
      <c r="O69" s="22">
        <f t="shared" si="18"/>
        <v>0.12100901910044999</v>
      </c>
      <c r="P69" s="22">
        <f t="shared" si="18"/>
        <v>0.11845842648899831</v>
      </c>
      <c r="Q69" s="22">
        <f t="shared" si="18"/>
        <v>0.11660641339960404</v>
      </c>
      <c r="R69" s="22">
        <f t="shared" si="18"/>
        <v>0.1149182786313902</v>
      </c>
      <c r="S69" s="22">
        <f t="shared" si="18"/>
        <v>0.10339476754661255</v>
      </c>
      <c r="T69" s="22">
        <f t="shared" si="18"/>
        <v>0.10708680746691927</v>
      </c>
      <c r="U69" s="22">
        <f t="shared" si="18"/>
        <v>0.34230494451620991</v>
      </c>
      <c r="V69" s="22">
        <f t="shared" si="18"/>
        <v>0.34324328716985369</v>
      </c>
      <c r="W69" s="22">
        <f t="shared" si="18"/>
        <v>0.3435898446352561</v>
      </c>
      <c r="X69" s="22">
        <f t="shared" si="18"/>
        <v>0.34336025373780221</v>
      </c>
      <c r="Y69" s="22">
        <f t="shared" si="18"/>
        <v>0.34258915131434525</v>
      </c>
      <c r="Z69" s="22">
        <f t="shared" si="18"/>
        <v>0.34126945430195527</v>
      </c>
      <c r="AA69" s="22">
        <f t="shared" si="18"/>
        <v>0.3393992662053118</v>
      </c>
      <c r="AB69" s="22">
        <f t="shared" si="18"/>
        <v>0.33697876239255126</v>
      </c>
      <c r="AC69" s="22">
        <f t="shared" si="18"/>
        <v>0.3340110473815755</v>
      </c>
      <c r="AD69" s="22">
        <f t="shared" si="18"/>
        <v>0.33050375948442778</v>
      </c>
      <c r="AE69" s="22">
        <f t="shared" si="18"/>
        <v>0.32646655874795893</v>
      </c>
      <c r="AF69" s="22">
        <f t="shared" si="18"/>
        <v>0.32191309563582443</v>
      </c>
      <c r="AG69" s="22">
        <f t="shared" si="18"/>
        <v>0.31686086246920969</v>
      </c>
      <c r="AH69" s="22">
        <f t="shared" si="18"/>
        <v>0.31132880694281095</v>
      </c>
      <c r="AI69" s="22">
        <f t="shared" si="18"/>
        <v>0.30533819170490117</v>
      </c>
      <c r="AJ69" s="22">
        <f t="shared" si="18"/>
        <v>-2.8452110243571058E-2</v>
      </c>
      <c r="AK69" s="22">
        <f t="shared" si="18"/>
        <v>-2.814409017595957E-2</v>
      </c>
      <c r="AL69" s="22">
        <f t="shared" si="18"/>
        <v>-2.7834978813803351E-2</v>
      </c>
      <c r="AM69" s="22">
        <f t="shared" si="18"/>
        <v>-2.7525096845033417E-2</v>
      </c>
      <c r="AN69" s="22">
        <f t="shared" si="18"/>
        <v>-2.7214798691689582E-2</v>
      </c>
      <c r="AO69" s="22">
        <f t="shared" si="18"/>
        <v>-2.6903261813323635E-2</v>
      </c>
      <c r="AP69" s="22">
        <f t="shared" si="18"/>
        <v>-2.659000059935173E-2</v>
      </c>
      <c r="AQ69" s="22">
        <f t="shared" si="18"/>
        <v>-2.6275045310908511E-2</v>
      </c>
      <c r="AR69" s="22">
        <f t="shared" si="18"/>
        <v>-2.5957874013715753E-2</v>
      </c>
      <c r="AS69" s="22">
        <f t="shared" si="18"/>
        <v>-2.5637945266726723E-2</v>
      </c>
      <c r="AT69" s="22">
        <f t="shared" si="18"/>
        <v>-2.5315349871404581E-2</v>
      </c>
      <c r="AU69" s="22">
        <f t="shared" si="18"/>
        <v>-2.4990356269877063E-2</v>
      </c>
      <c r="AV69" s="22">
        <f t="shared" si="18"/>
        <v>-2.4663194083915266E-2</v>
      </c>
      <c r="AW69" s="22">
        <f t="shared" si="18"/>
        <v>-2.433341037395171E-2</v>
      </c>
      <c r="AY69" s="79"/>
    </row>
    <row r="70" spans="1:51" x14ac:dyDescent="0.25">
      <c r="A70" s="95" t="str">
        <f t="shared" si="0"/>
        <v>FS Organic</v>
      </c>
      <c r="B70" s="95" t="s">
        <v>1004</v>
      </c>
      <c r="C70" s="95" t="s">
        <v>1127</v>
      </c>
      <c r="D70" t="s">
        <v>369</v>
      </c>
      <c r="E70" t="s">
        <v>55</v>
      </c>
      <c r="F70" t="s">
        <v>421</v>
      </c>
      <c r="G70" t="s">
        <v>1178</v>
      </c>
      <c r="H70" t="s">
        <v>1179</v>
      </c>
      <c r="I70" t="s">
        <v>139</v>
      </c>
      <c r="J70" t="s">
        <v>287</v>
      </c>
      <c r="K70" s="22">
        <f t="shared" si="16"/>
        <v>3.1618785484610064E-2</v>
      </c>
      <c r="L70" s="22">
        <f t="shared" si="18"/>
        <v>3.1446916354757493E-2</v>
      </c>
      <c r="M70" s="22">
        <f t="shared" si="18"/>
        <v>3.1461022839745618E-2</v>
      </c>
      <c r="N70" s="22">
        <f t="shared" si="18"/>
        <v>3.1172186541537576E-2</v>
      </c>
      <c r="O70" s="22">
        <f t="shared" si="18"/>
        <v>3.0700450247237825E-2</v>
      </c>
      <c r="P70" s="22">
        <f t="shared" si="18"/>
        <v>3.0053355161673637E-2</v>
      </c>
      <c r="Q70" s="22">
        <f t="shared" si="18"/>
        <v>2.9583492368545915E-2</v>
      </c>
      <c r="R70" s="22">
        <f t="shared" si="18"/>
        <v>2.9155206131309674E-2</v>
      </c>
      <c r="S70" s="22">
        <f t="shared" si="18"/>
        <v>2.6231647363859134E-2</v>
      </c>
      <c r="T70" s="22">
        <f t="shared" si="18"/>
        <v>2.716833199056537E-2</v>
      </c>
      <c r="U70" s="22">
        <f t="shared" si="18"/>
        <v>8.684407159585289E-2</v>
      </c>
      <c r="V70" s="22">
        <f t="shared" si="18"/>
        <v>8.7082132710364829E-2</v>
      </c>
      <c r="W70" s="22">
        <f t="shared" si="18"/>
        <v>8.7170055662748783E-2</v>
      </c>
      <c r="X70" s="22">
        <f t="shared" si="18"/>
        <v>8.7111807575317793E-2</v>
      </c>
      <c r="Y70" s="22">
        <f t="shared" si="18"/>
        <v>8.6916175945850438E-2</v>
      </c>
      <c r="Z70" s="22">
        <f t="shared" si="18"/>
        <v>8.6581363774233103E-2</v>
      </c>
      <c r="AA70" s="22">
        <f t="shared" si="18"/>
        <v>8.6106889912360693E-2</v>
      </c>
      <c r="AB70" s="22">
        <f t="shared" si="18"/>
        <v>8.5492798851799182E-2</v>
      </c>
      <c r="AC70" s="22">
        <f t="shared" si="18"/>
        <v>8.4739878220595588E-2</v>
      </c>
      <c r="AD70" s="22">
        <f t="shared" si="18"/>
        <v>8.3850065887683914E-2</v>
      </c>
      <c r="AE70" s="22">
        <f t="shared" si="18"/>
        <v>8.2825812643839453E-2</v>
      </c>
      <c r="AF70" s="22">
        <f t="shared" si="18"/>
        <v>8.1670581663819047E-2</v>
      </c>
      <c r="AG70" s="22">
        <f t="shared" si="18"/>
        <v>8.0388810816306083E-2</v>
      </c>
      <c r="AH70" s="22">
        <f t="shared" si="18"/>
        <v>7.8985307203801092E-2</v>
      </c>
      <c r="AI70" s="22">
        <f t="shared" si="18"/>
        <v>7.7465465241367507E-2</v>
      </c>
      <c r="AJ70" s="22">
        <f t="shared" si="18"/>
        <v>-7.2184090198813182E-3</v>
      </c>
      <c r="AK70" s="22">
        <f t="shared" si="18"/>
        <v>-7.1402631524810738E-3</v>
      </c>
      <c r="AL70" s="22">
        <f t="shared" si="18"/>
        <v>-7.0618404194874671E-3</v>
      </c>
      <c r="AM70" s="22">
        <f t="shared" si="18"/>
        <v>-6.9832221806532197E-3</v>
      </c>
      <c r="AN70" s="22">
        <f t="shared" si="18"/>
        <v>-6.9044983542032711E-3</v>
      </c>
      <c r="AO70" s="22">
        <f t="shared" si="18"/>
        <v>-6.8254602584848501E-3</v>
      </c>
      <c r="AP70" s="22">
        <f t="shared" si="18"/>
        <v>-6.7459846922384176E-3</v>
      </c>
      <c r="AQ70" s="22">
        <f t="shared" si="18"/>
        <v>-6.66607933282939E-3</v>
      </c>
      <c r="AR70" s="22">
        <f t="shared" si="18"/>
        <v>-6.5856117635382473E-3</v>
      </c>
      <c r="AS70" s="22">
        <f t="shared" si="18"/>
        <v>-6.5044446187038276E-3</v>
      </c>
      <c r="AT70" s="22">
        <f t="shared" si="18"/>
        <v>-6.4226009350040626E-3</v>
      </c>
      <c r="AU70" s="22">
        <f t="shared" si="18"/>
        <v>-6.3401488172318849E-3</v>
      </c>
      <c r="AV70" s="22">
        <f t="shared" si="18"/>
        <v>-6.2571465213074788E-3</v>
      </c>
      <c r="AW70" s="22">
        <f t="shared" si="18"/>
        <v>-6.1734791347329209E-3</v>
      </c>
      <c r="AY70" s="79"/>
    </row>
    <row r="71" spans="1:51" x14ac:dyDescent="0.25">
      <c r="A71" s="95" t="str">
        <f t="shared" si="0"/>
        <v>FS Organic</v>
      </c>
      <c r="B71" s="95" t="s">
        <v>1004</v>
      </c>
      <c r="C71" s="95" t="s">
        <v>1127</v>
      </c>
      <c r="D71" t="s">
        <v>369</v>
      </c>
      <c r="E71" t="s">
        <v>55</v>
      </c>
      <c r="F71" t="s">
        <v>421</v>
      </c>
      <c r="G71" t="s">
        <v>1180</v>
      </c>
      <c r="H71" t="s">
        <v>1181</v>
      </c>
      <c r="I71" t="s">
        <v>139</v>
      </c>
      <c r="J71" t="s">
        <v>287</v>
      </c>
      <c r="K71" s="22">
        <f t="shared" si="16"/>
        <v>0.15700744358616767</v>
      </c>
      <c r="L71" s="22">
        <f t="shared" si="18"/>
        <v>0.16019971617730661</v>
      </c>
      <c r="M71" s="22">
        <f t="shared" si="18"/>
        <v>0.16393118028621728</v>
      </c>
      <c r="N71" s="22">
        <f t="shared" si="18"/>
        <v>0.1667959170810015</v>
      </c>
      <c r="O71" s="22">
        <f t="shared" si="18"/>
        <v>0.16909558154641685</v>
      </c>
      <c r="P71" s="22">
        <f t="shared" si="18"/>
        <v>0.17081649742586288</v>
      </c>
      <c r="Q71" s="22">
        <f t="shared" si="18"/>
        <v>0.17302318661183388</v>
      </c>
      <c r="R71" s="22">
        <f t="shared" si="18"/>
        <v>0.17531753251219057</v>
      </c>
      <c r="S71" s="22">
        <f t="shared" si="18"/>
        <v>0.16840615861524894</v>
      </c>
      <c r="T71" s="22">
        <f t="shared" si="18"/>
        <v>0.17458356718938842</v>
      </c>
      <c r="U71" s="22">
        <f t="shared" si="18"/>
        <v>0.38800090489360167</v>
      </c>
      <c r="V71" s="22">
        <f t="shared" si="18"/>
        <v>0.39653088130091707</v>
      </c>
      <c r="W71" s="22">
        <f t="shared" si="18"/>
        <v>0.40471104789547857</v>
      </c>
      <c r="X71" s="22">
        <f t="shared" si="18"/>
        <v>0.41246916129593358</v>
      </c>
      <c r="Y71" s="22">
        <f t="shared" si="18"/>
        <v>0.41970725517029195</v>
      </c>
      <c r="Z71" s="22">
        <f t="shared" si="18"/>
        <v>0.42639369577393321</v>
      </c>
      <c r="AA71" s="22">
        <f t="shared" si="18"/>
        <v>0.43249628984221433</v>
      </c>
      <c r="AB71" s="22">
        <f t="shared" si="18"/>
        <v>0.4379872665206837</v>
      </c>
      <c r="AC71" s="22">
        <f t="shared" si="18"/>
        <v>0.44284225594622417</v>
      </c>
      <c r="AD71" s="22">
        <f t="shared" si="18"/>
        <v>0.44703777917847665</v>
      </c>
      <c r="AE71" s="22">
        <f t="shared" si="18"/>
        <v>0.4505554182669968</v>
      </c>
      <c r="AF71" s="22">
        <f t="shared" si="18"/>
        <v>0.45337855769901697</v>
      </c>
      <c r="AG71" s="22">
        <f t="shared" si="18"/>
        <v>0.45549241971080034</v>
      </c>
      <c r="AH71" s="22">
        <f t="shared" si="18"/>
        <v>0.45688810753700776</v>
      </c>
      <c r="AI71" s="22">
        <f t="shared" si="18"/>
        <v>0.45756101673458949</v>
      </c>
      <c r="AJ71" s="22">
        <f t="shared" si="18"/>
        <v>5.9649191888050651E-2</v>
      </c>
      <c r="AK71" s="22">
        <f t="shared" si="18"/>
        <v>6.0086977867764617E-2</v>
      </c>
      <c r="AL71" s="22">
        <f t="shared" si="18"/>
        <v>6.051391169747472E-2</v>
      </c>
      <c r="AM71" s="22">
        <f t="shared" si="18"/>
        <v>6.0930636526454876E-2</v>
      </c>
      <c r="AN71" s="22">
        <f t="shared" si="18"/>
        <v>6.1337893751701338E-2</v>
      </c>
      <c r="AO71" s="22">
        <f t="shared" si="18"/>
        <v>6.173401354876637E-2</v>
      </c>
      <c r="AP71" s="22">
        <f t="shared" si="18"/>
        <v>6.2117896275395594E-2</v>
      </c>
      <c r="AQ71" s="22">
        <f t="shared" si="18"/>
        <v>6.2489460947128449E-2</v>
      </c>
      <c r="AR71" s="22">
        <f t="shared" si="18"/>
        <v>6.2847397693153853E-2</v>
      </c>
      <c r="AS71" s="22">
        <f t="shared" si="18"/>
        <v>6.3190248292167767E-2</v>
      </c>
      <c r="AT71" s="22">
        <f t="shared" si="18"/>
        <v>6.3517885217877365E-2</v>
      </c>
      <c r="AU71" s="22">
        <f t="shared" si="18"/>
        <v>6.3830584812563373E-2</v>
      </c>
      <c r="AV71" s="22">
        <f t="shared" si="18"/>
        <v>6.4128553387287249E-2</v>
      </c>
      <c r="AW71" s="22">
        <f t="shared" si="18"/>
        <v>6.4410368967620674E-2</v>
      </c>
      <c r="AY71" s="79"/>
    </row>
    <row r="72" spans="1:51" x14ac:dyDescent="0.25">
      <c r="A72" s="95" t="str">
        <f t="shared" si="0"/>
        <v>FS Organic</v>
      </c>
      <c r="B72" s="95" t="s">
        <v>1004</v>
      </c>
      <c r="C72" s="95" t="s">
        <v>1127</v>
      </c>
      <c r="D72" t="s">
        <v>369</v>
      </c>
      <c r="E72" t="s">
        <v>55</v>
      </c>
      <c r="F72" t="s">
        <v>421</v>
      </c>
      <c r="G72" t="s">
        <v>1182</v>
      </c>
      <c r="H72" t="s">
        <v>1183</v>
      </c>
      <c r="I72" t="s">
        <v>139</v>
      </c>
      <c r="J72" t="s">
        <v>287</v>
      </c>
      <c r="K72" s="22">
        <f t="shared" si="16"/>
        <v>0.78620275218739066</v>
      </c>
      <c r="L72" s="22">
        <f t="shared" si="18"/>
        <v>0.79655563720176403</v>
      </c>
      <c r="M72" s="22">
        <f t="shared" si="18"/>
        <v>0.81318534024672162</v>
      </c>
      <c r="N72" s="22">
        <f t="shared" si="18"/>
        <v>0.81796021384654061</v>
      </c>
      <c r="O72" s="22">
        <f t="shared" si="18"/>
        <v>0.81503229757580642</v>
      </c>
      <c r="P72" s="22">
        <f t="shared" si="18"/>
        <v>0.80443274266431919</v>
      </c>
      <c r="Q72" s="22">
        <f t="shared" si="18"/>
        <v>0.7999705721751077</v>
      </c>
      <c r="R72" s="22">
        <f t="shared" si="18"/>
        <v>0.79652072541357855</v>
      </c>
      <c r="S72" s="22">
        <f t="shared" si="18"/>
        <v>0.69465569137892269</v>
      </c>
      <c r="T72" s="22">
        <f t="shared" si="18"/>
        <v>0.74722740283446698</v>
      </c>
      <c r="U72" s="22">
        <f t="shared" si="18"/>
        <v>3.2491319225574986</v>
      </c>
      <c r="V72" s="22">
        <f t="shared" si="18"/>
        <v>3.3073834646513305</v>
      </c>
      <c r="W72" s="22">
        <f t="shared" si="18"/>
        <v>3.3591336989468359</v>
      </c>
      <c r="X72" s="22">
        <f t="shared" si="18"/>
        <v>3.4046035940471189</v>
      </c>
      <c r="Y72" s="22">
        <f t="shared" si="18"/>
        <v>3.4444110933040832</v>
      </c>
      <c r="Z72" s="22">
        <f t="shared" si="18"/>
        <v>3.4782576037016457</v>
      </c>
      <c r="AA72" s="22">
        <f t="shared" si="18"/>
        <v>3.505913886515494</v>
      </c>
      <c r="AB72" s="22">
        <f t="shared" si="18"/>
        <v>3.5271546213039011</v>
      </c>
      <c r="AC72" s="22">
        <f t="shared" si="18"/>
        <v>3.5417788512464328</v>
      </c>
      <c r="AD72" s="22">
        <f t="shared" si="18"/>
        <v>3.549649544772171</v>
      </c>
      <c r="AE72" s="22">
        <f t="shared" si="18"/>
        <v>3.5506396563756342</v>
      </c>
      <c r="AF72" s="22">
        <f t="shared" si="18"/>
        <v>3.5446807301434013</v>
      </c>
      <c r="AG72" s="22">
        <f t="shared" si="18"/>
        <v>3.5317644478597843</v>
      </c>
      <c r="AH72" s="22">
        <f t="shared" si="18"/>
        <v>3.5118898029906984</v>
      </c>
      <c r="AI72" s="22">
        <f t="shared" si="18"/>
        <v>3.4850865665660411</v>
      </c>
      <c r="AJ72" s="22">
        <f t="shared" si="18"/>
        <v>-0.74420912451247578</v>
      </c>
      <c r="AK72" s="22">
        <f t="shared" si="18"/>
        <v>-0.74526229962435608</v>
      </c>
      <c r="AL72" s="22">
        <f t="shared" si="18"/>
        <v>-0.74621593178570578</v>
      </c>
      <c r="AM72" s="22">
        <f t="shared" si="18"/>
        <v>-0.74707813045846294</v>
      </c>
      <c r="AN72" s="22">
        <f t="shared" si="18"/>
        <v>-0.74785816697127483</v>
      </c>
      <c r="AO72" s="22">
        <f t="shared" si="18"/>
        <v>-0.74853427138595596</v>
      </c>
      <c r="AP72" s="22">
        <f t="shared" si="18"/>
        <v>-0.74909252303654383</v>
      </c>
      <c r="AQ72" s="22">
        <f t="shared" si="18"/>
        <v>-0.74953228992663867</v>
      </c>
      <c r="AR72" s="22">
        <f t="shared" si="18"/>
        <v>-0.74983752364841638</v>
      </c>
      <c r="AS72" s="22">
        <f t="shared" si="18"/>
        <v>-0.74999071959333552</v>
      </c>
      <c r="AT72" s="22">
        <f t="shared" si="18"/>
        <v>-0.74999137614758737</v>
      </c>
      <c r="AU72" s="22">
        <f t="shared" si="18"/>
        <v>-0.74984403824480428</v>
      </c>
      <c r="AV72" s="22">
        <f t="shared" si="18"/>
        <v>-0.749552317817198</v>
      </c>
      <c r="AW72" s="22">
        <f t="shared" si="18"/>
        <v>-0.74909980498727913</v>
      </c>
      <c r="AY72" s="79"/>
    </row>
    <row r="73" spans="1:51" x14ac:dyDescent="0.25">
      <c r="A73" s="95" t="str">
        <f t="shared" si="0"/>
        <v>FS U&amp;D</v>
      </c>
      <c r="B73" s="95" t="s">
        <v>1004</v>
      </c>
      <c r="C73" s="95" t="s">
        <v>1336</v>
      </c>
      <c r="D73" t="s">
        <v>369</v>
      </c>
      <c r="E73" t="s">
        <v>55</v>
      </c>
      <c r="F73" t="s">
        <v>422</v>
      </c>
      <c r="G73" t="s">
        <v>1152</v>
      </c>
      <c r="H73" t="s">
        <v>1240</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25">
      <c r="A74" s="95" t="str">
        <f t="shared" si="0"/>
        <v>FS U&amp;D</v>
      </c>
      <c r="B74" s="95" t="s">
        <v>1004</v>
      </c>
      <c r="C74" s="95" t="s">
        <v>1336</v>
      </c>
      <c r="D74" t="s">
        <v>369</v>
      </c>
      <c r="E74" t="s">
        <v>55</v>
      </c>
      <c r="F74" t="s">
        <v>422</v>
      </c>
      <c r="G74" t="s">
        <v>1154</v>
      </c>
      <c r="H74" t="s">
        <v>1241</v>
      </c>
      <c r="I74" t="s">
        <v>139</v>
      </c>
      <c r="J74" t="s">
        <v>287</v>
      </c>
      <c r="K74" s="22">
        <f t="shared" si="16"/>
        <v>1.0775797812462991</v>
      </c>
      <c r="L74" s="22">
        <f t="shared" si="18"/>
        <v>1.0836040032789309</v>
      </c>
      <c r="M74" s="22">
        <f t="shared" si="18"/>
        <v>1.0921513426512339</v>
      </c>
      <c r="N74" s="22">
        <f t="shared" si="18"/>
        <v>1.0976439186771809</v>
      </c>
      <c r="O74" s="22">
        <f t="shared" si="18"/>
        <v>1.1012937605673541</v>
      </c>
      <c r="P74" s="22">
        <f t="shared" si="18"/>
        <v>1.1030649457277466</v>
      </c>
      <c r="Q74" s="22">
        <f t="shared" si="18"/>
        <v>1.1069781529146336</v>
      </c>
      <c r="R74" s="22">
        <f t="shared" si="18"/>
        <v>1.1114672588381174</v>
      </c>
      <c r="S74" s="22">
        <f t="shared" si="18"/>
        <v>1.0798853549763567</v>
      </c>
      <c r="T74" s="22">
        <f t="shared" si="18"/>
        <v>1.098466311859537</v>
      </c>
      <c r="U74" s="22">
        <f t="shared" si="18"/>
        <v>1.889999136322517</v>
      </c>
      <c r="V74" s="22">
        <f t="shared" si="18"/>
        <v>1.9127821937491298</v>
      </c>
      <c r="W74" s="22">
        <f t="shared" si="18"/>
        <v>1.9345659305338647</v>
      </c>
      <c r="X74" s="22">
        <f t="shared" si="18"/>
        <v>1.9549798101221001</v>
      </c>
      <c r="Y74" s="22">
        <f t="shared" si="18"/>
        <v>1.9734786750778357</v>
      </c>
      <c r="Z74" s="22">
        <f t="shared" si="18"/>
        <v>1.9899761352853818</v>
      </c>
      <c r="AA74" s="22">
        <f t="shared" si="18"/>
        <v>2.0043760843310485</v>
      </c>
      <c r="AB74" s="22">
        <f t="shared" si="18"/>
        <v>2.0166057838413951</v>
      </c>
      <c r="AC74" s="22">
        <f t="shared" si="18"/>
        <v>2.0266075471247365</v>
      </c>
      <c r="AD74" s="22">
        <f t="shared" si="18"/>
        <v>2.0343207325041344</v>
      </c>
      <c r="AE74" s="22">
        <f t="shared" si="18"/>
        <v>2.0397090361762231</v>
      </c>
      <c r="AF74" s="22">
        <f t="shared" ref="L74:AW81" si="19">AF1483</f>
        <v>2.0427376347432897</v>
      </c>
      <c r="AG74" s="22">
        <f t="shared" si="19"/>
        <v>2.0433728844876047</v>
      </c>
      <c r="AH74" s="22">
        <f t="shared" si="19"/>
        <v>2.0416086414199954</v>
      </c>
      <c r="AI74" s="22">
        <f t="shared" si="19"/>
        <v>2.0374549495329468</v>
      </c>
      <c r="AJ74" s="22">
        <f t="shared" si="19"/>
        <v>0.64461551353755753</v>
      </c>
      <c r="AK74" s="22">
        <f t="shared" si="19"/>
        <v>0.64508607204460633</v>
      </c>
      <c r="AL74" s="22">
        <f t="shared" si="19"/>
        <v>0.64552275664376835</v>
      </c>
      <c r="AM74" s="22">
        <f t="shared" si="19"/>
        <v>0.64592852135594947</v>
      </c>
      <c r="AN74" s="22">
        <f t="shared" si="19"/>
        <v>0.64630700491581017</v>
      </c>
      <c r="AO74" s="22">
        <f t="shared" si="19"/>
        <v>0.64664632856302828</v>
      </c>
      <c r="AP74" s="22">
        <f t="shared" si="19"/>
        <v>0.64693851525277601</v>
      </c>
      <c r="AQ74" s="22">
        <f t="shared" si="19"/>
        <v>0.64718228577189862</v>
      </c>
      <c r="AR74" s="22">
        <f t="shared" si="19"/>
        <v>0.64736858903651606</v>
      </c>
      <c r="AS74" s="22">
        <f t="shared" si="19"/>
        <v>0.64748759839973102</v>
      </c>
      <c r="AT74" s="22">
        <f t="shared" si="19"/>
        <v>0.64753810013359636</v>
      </c>
      <c r="AU74" s="22">
        <f t="shared" si="19"/>
        <v>0.6475214899931051</v>
      </c>
      <c r="AV74" s="22">
        <f t="shared" si="19"/>
        <v>0.6474387413563446</v>
      </c>
      <c r="AW74" s="22">
        <f t="shared" si="19"/>
        <v>0.64728061173527773</v>
      </c>
      <c r="AY74" s="79"/>
    </row>
    <row r="75" spans="1:51" x14ac:dyDescent="0.25">
      <c r="A75" s="95" t="str">
        <f t="shared" si="0"/>
        <v>FS U&amp;D</v>
      </c>
      <c r="B75" s="95" t="s">
        <v>1004</v>
      </c>
      <c r="C75" s="95" t="s">
        <v>1336</v>
      </c>
      <c r="D75" t="s">
        <v>369</v>
      </c>
      <c r="E75" t="s">
        <v>55</v>
      </c>
      <c r="F75" t="s">
        <v>422</v>
      </c>
      <c r="G75" t="s">
        <v>1156</v>
      </c>
      <c r="H75" t="s">
        <v>1242</v>
      </c>
      <c r="I75" t="s">
        <v>139</v>
      </c>
      <c r="J75" t="s">
        <v>287</v>
      </c>
      <c r="K75" s="22">
        <f t="shared" si="16"/>
        <v>0.73383920392416069</v>
      </c>
      <c r="L75" s="22">
        <f t="shared" si="19"/>
        <v>0.73794174034663862</v>
      </c>
      <c r="M75" s="22">
        <f t="shared" si="19"/>
        <v>0.74376253694082328</v>
      </c>
      <c r="N75" s="22">
        <f t="shared" si="19"/>
        <v>0.74750301879518044</v>
      </c>
      <c r="O75" s="22">
        <f t="shared" si="19"/>
        <v>0.74998858609492669</v>
      </c>
      <c r="P75" s="22">
        <f t="shared" si="19"/>
        <v>0.75119477530775858</v>
      </c>
      <c r="Q75" s="22">
        <f t="shared" si="19"/>
        <v>0.7538596961765357</v>
      </c>
      <c r="R75" s="22">
        <f t="shared" si="19"/>
        <v>0.75691680802528449</v>
      </c>
      <c r="S75" s="22">
        <f t="shared" si="19"/>
        <v>0.73540931540926791</v>
      </c>
      <c r="T75" s="22">
        <f t="shared" si="19"/>
        <v>0.74806307417925111</v>
      </c>
      <c r="U75" s="22">
        <f t="shared" si="19"/>
        <v>1.2871023433755899</v>
      </c>
      <c r="V75" s="22">
        <f t="shared" si="19"/>
        <v>1.3026177613667917</v>
      </c>
      <c r="W75" s="22">
        <f t="shared" si="19"/>
        <v>1.3174526351634348</v>
      </c>
      <c r="X75" s="22">
        <f t="shared" si="19"/>
        <v>1.3313546268365786</v>
      </c>
      <c r="Y75" s="22">
        <f t="shared" si="19"/>
        <v>1.3439524804422922</v>
      </c>
      <c r="Z75" s="22">
        <f t="shared" si="19"/>
        <v>1.3551873637207013</v>
      </c>
      <c r="AA75" s="22">
        <f t="shared" si="19"/>
        <v>1.3649938275465159</v>
      </c>
      <c r="AB75" s="22">
        <f t="shared" si="19"/>
        <v>1.3733223365897391</v>
      </c>
      <c r="AC75" s="22">
        <f t="shared" si="19"/>
        <v>1.3801336058186369</v>
      </c>
      <c r="AD75" s="22">
        <f t="shared" si="19"/>
        <v>1.3853863378362978</v>
      </c>
      <c r="AE75" s="22">
        <f t="shared" si="19"/>
        <v>1.3890558095042369</v>
      </c>
      <c r="AF75" s="22">
        <f t="shared" si="19"/>
        <v>1.3911183058503465</v>
      </c>
      <c r="AG75" s="22">
        <f t="shared" si="19"/>
        <v>1.3915509152726599</v>
      </c>
      <c r="AH75" s="22">
        <f t="shared" si="19"/>
        <v>1.3903494536725116</v>
      </c>
      <c r="AI75" s="22">
        <f t="shared" si="19"/>
        <v>1.3875207610775073</v>
      </c>
      <c r="AJ75" s="22">
        <f t="shared" si="19"/>
        <v>0.43898757523499138</v>
      </c>
      <c r="AK75" s="22">
        <f t="shared" si="19"/>
        <v>0.43930802879789405</v>
      </c>
      <c r="AL75" s="22">
        <f t="shared" si="19"/>
        <v>0.43960541399775782</v>
      </c>
      <c r="AM75" s="22">
        <f t="shared" si="19"/>
        <v>0.43988174254303092</v>
      </c>
      <c r="AN75" s="22">
        <f t="shared" si="19"/>
        <v>0.44013949243691386</v>
      </c>
      <c r="AO75" s="22">
        <f t="shared" si="19"/>
        <v>0.44037057416235159</v>
      </c>
      <c r="AP75" s="22">
        <f t="shared" si="19"/>
        <v>0.44056955529723674</v>
      </c>
      <c r="AQ75" s="22">
        <f t="shared" si="19"/>
        <v>0.4407355646886586</v>
      </c>
      <c r="AR75" s="22">
        <f t="shared" si="19"/>
        <v>0.44086243848656637</v>
      </c>
      <c r="AS75" s="22">
        <f t="shared" si="19"/>
        <v>0.44094348467718814</v>
      </c>
      <c r="AT75" s="22">
        <f t="shared" si="19"/>
        <v>0.44097787670348765</v>
      </c>
      <c r="AU75" s="22">
        <f t="shared" si="19"/>
        <v>0.44096656508416521</v>
      </c>
      <c r="AV75" s="22">
        <f t="shared" si="19"/>
        <v>0.44091021269635783</v>
      </c>
      <c r="AW75" s="22">
        <f t="shared" si="19"/>
        <v>0.44080252534247472</v>
      </c>
      <c r="AY75" s="79"/>
    </row>
    <row r="76" spans="1:51" x14ac:dyDescent="0.25">
      <c r="A76" s="95" t="str">
        <f t="shared" si="0"/>
        <v>FS U&amp;D</v>
      </c>
      <c r="B76" s="95" t="s">
        <v>1004</v>
      </c>
      <c r="C76" s="95" t="s">
        <v>1336</v>
      </c>
      <c r="D76" t="s">
        <v>369</v>
      </c>
      <c r="E76" t="s">
        <v>55</v>
      </c>
      <c r="F76" t="s">
        <v>422</v>
      </c>
      <c r="G76" t="s">
        <v>1158</v>
      </c>
      <c r="H76" t="s">
        <v>1243</v>
      </c>
      <c r="I76" t="s">
        <v>139</v>
      </c>
      <c r="J76" t="s">
        <v>287</v>
      </c>
      <c r="K76" s="22">
        <f t="shared" si="16"/>
        <v>15.353527292296841</v>
      </c>
      <c r="L76" s="22">
        <f t="shared" si="19"/>
        <v>15.220371053361493</v>
      </c>
      <c r="M76" s="22">
        <f t="shared" si="19"/>
        <v>15.169682504177887</v>
      </c>
      <c r="N76" s="22">
        <f t="shared" si="19"/>
        <v>14.967111251021194</v>
      </c>
      <c r="O76" s="22">
        <f t="shared" si="19"/>
        <v>14.673074129931953</v>
      </c>
      <c r="P76" s="22">
        <f t="shared" si="19"/>
        <v>14.293651368256896</v>
      </c>
      <c r="Q76" s="22">
        <f t="shared" si="19"/>
        <v>13.994389539168758</v>
      </c>
      <c r="R76" s="22">
        <f t="shared" si="19"/>
        <v>13.711253827544137</v>
      </c>
      <c r="S76" s="22">
        <f t="shared" si="19"/>
        <v>12.262231428549004</v>
      </c>
      <c r="T76" s="22">
        <f t="shared" si="19"/>
        <v>12.73465794206464</v>
      </c>
      <c r="U76" s="22">
        <f t="shared" si="19"/>
        <v>40.135765944691244</v>
      </c>
      <c r="V76" s="22">
        <f t="shared" si="19"/>
        <v>40.329355964050443</v>
      </c>
      <c r="W76" s="22">
        <f t="shared" si="19"/>
        <v>40.453253097840147</v>
      </c>
      <c r="X76" s="22">
        <f t="shared" si="19"/>
        <v>40.507432110592688</v>
      </c>
      <c r="Y76" s="22">
        <f t="shared" si="19"/>
        <v>40.493040718668887</v>
      </c>
      <c r="Z76" s="22">
        <f t="shared" si="19"/>
        <v>40.409389107608789</v>
      </c>
      <c r="AA76" s="22">
        <f t="shared" si="19"/>
        <v>40.256272365845206</v>
      </c>
      <c r="AB76" s="22">
        <f t="shared" si="19"/>
        <v>40.033817183265413</v>
      </c>
      <c r="AC76" s="22">
        <f t="shared" si="19"/>
        <v>39.742523773077906</v>
      </c>
      <c r="AD76" s="22">
        <f t="shared" si="19"/>
        <v>39.052391122761925</v>
      </c>
      <c r="AE76" s="22">
        <f t="shared" si="19"/>
        <v>38.297252341964814</v>
      </c>
      <c r="AF76" s="22">
        <f t="shared" si="19"/>
        <v>37.480500419129982</v>
      </c>
      <c r="AG76" s="22">
        <f t="shared" si="19"/>
        <v>36.605913882693514</v>
      </c>
      <c r="AH76" s="22">
        <f t="shared" si="19"/>
        <v>35.67751529859683</v>
      </c>
      <c r="AI76" s="22">
        <f t="shared" si="19"/>
        <v>34.699588123562123</v>
      </c>
      <c r="AJ76" s="22">
        <f t="shared" si="19"/>
        <v>-2.6792659907667447</v>
      </c>
      <c r="AK76" s="22">
        <f t="shared" si="19"/>
        <v>-2.6147570082117628</v>
      </c>
      <c r="AL76" s="22">
        <f t="shared" si="19"/>
        <v>-2.5509192087001833</v>
      </c>
      <c r="AM76" s="22">
        <f t="shared" si="19"/>
        <v>-2.4877459989648312</v>
      </c>
      <c r="AN76" s="22">
        <f t="shared" si="19"/>
        <v>-2.4376070910582812</v>
      </c>
      <c r="AO76" s="22">
        <f t="shared" si="19"/>
        <v>-2.3879438055302513</v>
      </c>
      <c r="AP76" s="22">
        <f t="shared" si="19"/>
        <v>-2.3387192042216429</v>
      </c>
      <c r="AQ76" s="22">
        <f t="shared" si="19"/>
        <v>-2.2899210938883474</v>
      </c>
      <c r="AR76" s="22">
        <f t="shared" si="19"/>
        <v>-2.2415137982186422</v>
      </c>
      <c r="AS76" s="22">
        <f t="shared" si="19"/>
        <v>-2.1934623794160584</v>
      </c>
      <c r="AT76" s="22">
        <f t="shared" si="19"/>
        <v>-2.145761226265924</v>
      </c>
      <c r="AU76" s="22">
        <f t="shared" si="19"/>
        <v>-2.0984132858067897</v>
      </c>
      <c r="AV76" s="22">
        <f t="shared" si="19"/>
        <v>-2.0514203658912691</v>
      </c>
      <c r="AW76" s="22">
        <f t="shared" si="19"/>
        <v>-2.0047554755928445</v>
      </c>
      <c r="AY76" s="79"/>
    </row>
    <row r="77" spans="1:51" x14ac:dyDescent="0.25">
      <c r="A77" s="95" t="str">
        <f t="shared" si="0"/>
        <v>FS U&amp;D</v>
      </c>
      <c r="B77" s="95" t="s">
        <v>1004</v>
      </c>
      <c r="C77" s="95" t="s">
        <v>1336</v>
      </c>
      <c r="D77" t="s">
        <v>369</v>
      </c>
      <c r="E77" t="s">
        <v>55</v>
      </c>
      <c r="F77" t="s">
        <v>422</v>
      </c>
      <c r="G77" t="s">
        <v>1160</v>
      </c>
      <c r="H77" t="s">
        <v>1244</v>
      </c>
      <c r="I77" t="s">
        <v>139</v>
      </c>
      <c r="J77" t="s">
        <v>287</v>
      </c>
      <c r="K77" s="22">
        <f t="shared" si="16"/>
        <v>9.6543103644621429</v>
      </c>
      <c r="L77" s="22">
        <f t="shared" si="19"/>
        <v>9.5705816138517683</v>
      </c>
      <c r="M77" s="22">
        <f t="shared" si="19"/>
        <v>9.5387086131772989</v>
      </c>
      <c r="N77" s="22">
        <f t="shared" si="19"/>
        <v>9.4113316455488931</v>
      </c>
      <c r="O77" s="22">
        <f t="shared" si="19"/>
        <v>9.2264408662754782</v>
      </c>
      <c r="P77" s="22">
        <f t="shared" si="19"/>
        <v>8.987859527224467</v>
      </c>
      <c r="Q77" s="22">
        <f t="shared" si="19"/>
        <v>8.7996834473406569</v>
      </c>
      <c r="R77" s="22">
        <f t="shared" si="19"/>
        <v>8.6216474831450949</v>
      </c>
      <c r="S77" s="22">
        <f t="shared" si="19"/>
        <v>7.7105010280907447</v>
      </c>
      <c r="T77" s="22">
        <f t="shared" si="19"/>
        <v>8.0075632014304841</v>
      </c>
      <c r="U77" s="22">
        <f t="shared" si="19"/>
        <v>25.237402048965457</v>
      </c>
      <c r="V77" s="22">
        <f t="shared" si="19"/>
        <v>25.359131609526678</v>
      </c>
      <c r="W77" s="22">
        <f t="shared" si="19"/>
        <v>25.43703822734167</v>
      </c>
      <c r="X77" s="22">
        <f t="shared" si="19"/>
        <v>25.471106034328002</v>
      </c>
      <c r="Y77" s="22">
        <f t="shared" si="19"/>
        <v>25.462056715460484</v>
      </c>
      <c r="Z77" s="22">
        <f t="shared" si="19"/>
        <v>25.40945651484947</v>
      </c>
      <c r="AA77" s="22">
        <f t="shared" si="19"/>
        <v>25.313176583935984</v>
      </c>
      <c r="AB77" s="22">
        <f t="shared" si="19"/>
        <v>25.173296585423468</v>
      </c>
      <c r="AC77" s="22">
        <f t="shared" si="19"/>
        <v>24.9901310537815</v>
      </c>
      <c r="AD77" s="22">
        <f t="shared" si="19"/>
        <v>24.5561750857518</v>
      </c>
      <c r="AE77" s="22">
        <f t="shared" si="19"/>
        <v>24.081343210361542</v>
      </c>
      <c r="AF77" s="22">
        <f t="shared" si="19"/>
        <v>23.567768941484907</v>
      </c>
      <c r="AG77" s="22">
        <f t="shared" si="19"/>
        <v>23.017828220854938</v>
      </c>
      <c r="AH77" s="22">
        <f t="shared" si="19"/>
        <v>22.434050441185143</v>
      </c>
      <c r="AI77" s="22">
        <f t="shared" si="19"/>
        <v>21.819129043522761</v>
      </c>
      <c r="AJ77" s="22">
        <f t="shared" si="19"/>
        <v>-1.6847246193901004</v>
      </c>
      <c r="AK77" s="22">
        <f t="shared" si="19"/>
        <v>-1.644161319047128</v>
      </c>
      <c r="AL77" s="22">
        <f t="shared" si="19"/>
        <v>-1.6040200591440494</v>
      </c>
      <c r="AM77" s="22">
        <f t="shared" si="19"/>
        <v>-1.5642966938291387</v>
      </c>
      <c r="AN77" s="22">
        <f t="shared" si="19"/>
        <v>-1.5327693080337013</v>
      </c>
      <c r="AO77" s="22">
        <f t="shared" si="19"/>
        <v>-1.5015409939741007</v>
      </c>
      <c r="AP77" s="22">
        <f t="shared" si="19"/>
        <v>-1.4705885249060549</v>
      </c>
      <c r="AQ77" s="22">
        <f t="shared" si="19"/>
        <v>-1.4399042337078187</v>
      </c>
      <c r="AR77" s="22">
        <f t="shared" si="19"/>
        <v>-1.4094656870857605</v>
      </c>
      <c r="AS77" s="22">
        <f t="shared" si="19"/>
        <v>-1.3792509161252371</v>
      </c>
      <c r="AT77" s="22">
        <f t="shared" si="19"/>
        <v>-1.3492563924899292</v>
      </c>
      <c r="AU77" s="22">
        <f t="shared" si="19"/>
        <v>-1.3194839692800588</v>
      </c>
      <c r="AV77" s="22">
        <f t="shared" si="19"/>
        <v>-1.2899347832748098</v>
      </c>
      <c r="AW77" s="22">
        <f t="shared" si="19"/>
        <v>-1.2605918625577832</v>
      </c>
      <c r="AY77" s="79"/>
    </row>
    <row r="78" spans="1:51" x14ac:dyDescent="0.25">
      <c r="A78" s="95" t="str">
        <f t="shared" si="0"/>
        <v>FS U&amp;D</v>
      </c>
      <c r="B78" s="95" t="s">
        <v>1004</v>
      </c>
      <c r="C78" s="95" t="s">
        <v>1336</v>
      </c>
      <c r="D78" t="s">
        <v>369</v>
      </c>
      <c r="E78" t="s">
        <v>55</v>
      </c>
      <c r="F78" t="s">
        <v>422</v>
      </c>
      <c r="G78" t="s">
        <v>1162</v>
      </c>
      <c r="H78" t="s">
        <v>1245</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25">
      <c r="A79" s="95" t="str">
        <f t="shared" si="0"/>
        <v>FS U&amp;D</v>
      </c>
      <c r="B79" s="95" t="s">
        <v>1004</v>
      </c>
      <c r="C79" s="95" t="s">
        <v>1336</v>
      </c>
      <c r="D79" t="s">
        <v>369</v>
      </c>
      <c r="E79" t="s">
        <v>55</v>
      </c>
      <c r="F79" t="s">
        <v>422</v>
      </c>
      <c r="G79" t="s">
        <v>1164</v>
      </c>
      <c r="H79" t="s">
        <v>1246</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5.8850501739310754</v>
      </c>
      <c r="T79" s="22">
        <f t="shared" si="19"/>
        <v>5.8889669247946657</v>
      </c>
      <c r="U79" s="22">
        <f t="shared" si="19"/>
        <v>5.9656712357324011</v>
      </c>
      <c r="V79" s="22">
        <f t="shared" si="19"/>
        <v>5.9675423775316272</v>
      </c>
      <c r="W79" s="22">
        <f t="shared" si="19"/>
        <v>5.9755461389464104</v>
      </c>
      <c r="X79" s="22">
        <f t="shared" si="19"/>
        <v>5.9871157703379936</v>
      </c>
      <c r="Y79" s="22">
        <f t="shared" si="19"/>
        <v>5.9978635614207825</v>
      </c>
      <c r="Z79" s="22">
        <f t="shared" si="19"/>
        <v>6.0079225842908377</v>
      </c>
      <c r="AA79" s="22">
        <f t="shared" si="19"/>
        <v>6.0172391996362506</v>
      </c>
      <c r="AB79" s="22">
        <f t="shared" si="19"/>
        <v>6.0258973509268747</v>
      </c>
      <c r="AC79" s="22">
        <f t="shared" si="19"/>
        <v>6.0340283734996341</v>
      </c>
      <c r="AD79" s="22">
        <f t="shared" si="19"/>
        <v>6.0416246060545662</v>
      </c>
      <c r="AE79" s="22">
        <f t="shared" si="19"/>
        <v>6.0488075465649391</v>
      </c>
      <c r="AF79" s="22">
        <f t="shared" si="19"/>
        <v>6.0555945824734003</v>
      </c>
      <c r="AG79" s="22">
        <f t="shared" si="19"/>
        <v>6.0618926896286194</v>
      </c>
      <c r="AH79" s="22">
        <f t="shared" si="19"/>
        <v>6.0677594816606231</v>
      </c>
      <c r="AI79" s="22">
        <f t="shared" si="19"/>
        <v>6.0732885536184407</v>
      </c>
      <c r="AJ79" s="22">
        <f t="shared" si="19"/>
        <v>5.9400031784362666</v>
      </c>
      <c r="AK79" s="22">
        <f t="shared" si="19"/>
        <v>5.9454655494945321</v>
      </c>
      <c r="AL79" s="22">
        <f t="shared" si="19"/>
        <v>5.9505605357080302</v>
      </c>
      <c r="AM79" s="22">
        <f t="shared" si="19"/>
        <v>5.9553192750142969</v>
      </c>
      <c r="AN79" s="22">
        <f t="shared" si="19"/>
        <v>5.9597796192711163</v>
      </c>
      <c r="AO79" s="22">
        <f t="shared" si="19"/>
        <v>5.9638242432933737</v>
      </c>
      <c r="AP79" s="22">
        <f t="shared" si="19"/>
        <v>5.9673747960452372</v>
      </c>
      <c r="AQ79" s="22">
        <f t="shared" si="19"/>
        <v>5.9704198015060506</v>
      </c>
      <c r="AR79" s="22">
        <f t="shared" si="19"/>
        <v>5.9728700974873359</v>
      </c>
      <c r="AS79" s="22">
        <f t="shared" si="19"/>
        <v>5.9746287671291771</v>
      </c>
      <c r="AT79" s="22">
        <f t="shared" si="19"/>
        <v>5.9756848810921417</v>
      </c>
      <c r="AU79" s="22">
        <f t="shared" si="19"/>
        <v>5.9760535038151961</v>
      </c>
      <c r="AV79" s="22">
        <f t="shared" si="19"/>
        <v>5.9757454176187608</v>
      </c>
      <c r="AW79" s="22">
        <f t="shared" si="19"/>
        <v>5.9746694018004627</v>
      </c>
      <c r="AY79" s="79"/>
    </row>
    <row r="80" spans="1:51" x14ac:dyDescent="0.25">
      <c r="A80" s="95" t="str">
        <f t="shared" si="0"/>
        <v>FS U&amp;D</v>
      </c>
      <c r="B80" s="95" t="s">
        <v>1004</v>
      </c>
      <c r="C80" s="95" t="s">
        <v>1336</v>
      </c>
      <c r="D80" t="s">
        <v>369</v>
      </c>
      <c r="E80" t="s">
        <v>55</v>
      </c>
      <c r="F80" t="s">
        <v>422</v>
      </c>
      <c r="G80" t="s">
        <v>1166</v>
      </c>
      <c r="H80" t="s">
        <v>1247</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0.65694536678362214</v>
      </c>
      <c r="T80" s="22">
        <f t="shared" si="19"/>
        <v>0.65738259182956638</v>
      </c>
      <c r="U80" s="22">
        <f t="shared" si="19"/>
        <v>0.66594505777184321</v>
      </c>
      <c r="V80" s="22">
        <f t="shared" si="19"/>
        <v>0.66615393244568089</v>
      </c>
      <c r="W80" s="22">
        <f t="shared" si="19"/>
        <v>0.66704738854594903</v>
      </c>
      <c r="X80" s="22">
        <f t="shared" si="19"/>
        <v>0.66833890102476579</v>
      </c>
      <c r="Y80" s="22">
        <f t="shared" si="19"/>
        <v>0.66953867185871263</v>
      </c>
      <c r="Z80" s="22">
        <f t="shared" si="19"/>
        <v>0.67066155582291842</v>
      </c>
      <c r="AA80" s="22">
        <f t="shared" si="19"/>
        <v>0.67170156518637059</v>
      </c>
      <c r="AB80" s="22">
        <f t="shared" si="19"/>
        <v>0.67266807051889643</v>
      </c>
      <c r="AC80" s="22">
        <f t="shared" si="19"/>
        <v>0.67357573272202431</v>
      </c>
      <c r="AD80" s="22">
        <f t="shared" si="19"/>
        <v>0.67442369656846346</v>
      </c>
      <c r="AE80" s="22">
        <f t="shared" si="19"/>
        <v>0.67522552481949083</v>
      </c>
      <c r="AF80" s="22">
        <f t="shared" si="19"/>
        <v>0.67598315842710355</v>
      </c>
      <c r="AG80" s="22">
        <f t="shared" si="19"/>
        <v>0.676686213149297</v>
      </c>
      <c r="AH80" s="22">
        <f t="shared" si="19"/>
        <v>0.67734112036833483</v>
      </c>
      <c r="AI80" s="22">
        <f t="shared" si="19"/>
        <v>0.67795832805526179</v>
      </c>
      <c r="AJ80" s="22">
        <f t="shared" si="19"/>
        <v>0.66307974467906339</v>
      </c>
      <c r="AK80" s="22">
        <f t="shared" si="19"/>
        <v>0.66368950657612846</v>
      </c>
      <c r="AL80" s="22">
        <f t="shared" si="19"/>
        <v>0.6642582574767768</v>
      </c>
      <c r="AM80" s="22">
        <f t="shared" si="19"/>
        <v>0.66478947329424454</v>
      </c>
      <c r="AN80" s="22">
        <f t="shared" si="19"/>
        <v>0.66528737941350879</v>
      </c>
      <c r="AO80" s="22">
        <f t="shared" si="19"/>
        <v>0.66573887887965999</v>
      </c>
      <c r="AP80" s="22">
        <f t="shared" si="19"/>
        <v>0.66613522540363546</v>
      </c>
      <c r="AQ80" s="22">
        <f t="shared" si="19"/>
        <v>0.66647513792267787</v>
      </c>
      <c r="AR80" s="22">
        <f t="shared" si="19"/>
        <v>0.66674866330386928</v>
      </c>
      <c r="AS80" s="22">
        <f t="shared" si="19"/>
        <v>0.6669449827639865</v>
      </c>
      <c r="AT80" s="22">
        <f t="shared" si="19"/>
        <v>0.66706287626604011</v>
      </c>
      <c r="AU80" s="22">
        <f t="shared" si="19"/>
        <v>0.6671040254462246</v>
      </c>
      <c r="AV80" s="22">
        <f t="shared" si="19"/>
        <v>0.66706963392986762</v>
      </c>
      <c r="AW80" s="22">
        <f t="shared" si="19"/>
        <v>0.66694951879311848</v>
      </c>
      <c r="AY80" s="79"/>
    </row>
    <row r="81" spans="1:51" x14ac:dyDescent="0.25">
      <c r="A81" s="95" t="str">
        <f t="shared" si="0"/>
        <v>FS U&amp;D</v>
      </c>
      <c r="B81" s="95" t="s">
        <v>1004</v>
      </c>
      <c r="C81" s="95" t="s">
        <v>1336</v>
      </c>
      <c r="D81" t="s">
        <v>369</v>
      </c>
      <c r="E81" t="s">
        <v>55</v>
      </c>
      <c r="F81" t="s">
        <v>422</v>
      </c>
      <c r="G81" t="s">
        <v>1168</v>
      </c>
      <c r="H81" t="s">
        <v>1248</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0.73708994755228441</v>
      </c>
      <c r="R81" s="22">
        <f t="shared" si="19"/>
        <v>0.74193942345928476</v>
      </c>
      <c r="S81" s="22">
        <f t="shared" si="19"/>
        <v>0.74013020273035457</v>
      </c>
      <c r="T81" s="22">
        <f t="shared" si="19"/>
        <v>0.74134144539721225</v>
      </c>
      <c r="U81" s="22">
        <f t="shared" ref="L81:AW87" si="20">U1490</f>
        <v>0.75637233627465528</v>
      </c>
      <c r="V81" s="22">
        <f t="shared" si="20"/>
        <v>0.75705141377161567</v>
      </c>
      <c r="W81" s="22">
        <f t="shared" si="20"/>
        <v>0.7588492807776368</v>
      </c>
      <c r="X81" s="22">
        <f t="shared" si="20"/>
        <v>0.76127573486462674</v>
      </c>
      <c r="Y81" s="22">
        <f t="shared" si="20"/>
        <v>0.76350113172742184</v>
      </c>
      <c r="Z81" s="22">
        <f t="shared" si="20"/>
        <v>0.76555488722735199</v>
      </c>
      <c r="AA81" s="22">
        <f t="shared" si="20"/>
        <v>0.76743070192723151</v>
      </c>
      <c r="AB81" s="22">
        <f t="shared" si="20"/>
        <v>0.76914783818331145</v>
      </c>
      <c r="AC81" s="22">
        <f t="shared" si="20"/>
        <v>0.77073400076292786</v>
      </c>
      <c r="AD81" s="22">
        <f t="shared" si="20"/>
        <v>0.77219046763440091</v>
      </c>
      <c r="AE81" s="22">
        <f t="shared" si="20"/>
        <v>0.77354238750921345</v>
      </c>
      <c r="AF81" s="22">
        <f t="shared" si="20"/>
        <v>0.77479516156173556</v>
      </c>
      <c r="AG81" s="22">
        <f t="shared" si="20"/>
        <v>0.77593349397844169</v>
      </c>
      <c r="AH81" s="22">
        <f t="shared" si="20"/>
        <v>0.77696999137205336</v>
      </c>
      <c r="AI81" s="22">
        <f t="shared" si="20"/>
        <v>0.77792369769702041</v>
      </c>
      <c r="AJ81" s="22">
        <f t="shared" si="20"/>
        <v>0.75322819608955549</v>
      </c>
      <c r="AK81" s="22">
        <f t="shared" si="20"/>
        <v>0.7541800771600401</v>
      </c>
      <c r="AL81" s="22">
        <f t="shared" si="20"/>
        <v>0.75504675193645199</v>
      </c>
      <c r="AM81" s="22">
        <f t="shared" si="20"/>
        <v>0.75583523459809387</v>
      </c>
      <c r="AN81" s="22">
        <f t="shared" si="20"/>
        <v>0.75655364806293945</v>
      </c>
      <c r="AO81" s="22">
        <f t="shared" si="20"/>
        <v>0.75718159798131446</v>
      </c>
      <c r="AP81" s="22">
        <f t="shared" si="20"/>
        <v>0.75770589154537149</v>
      </c>
      <c r="AQ81" s="22">
        <f t="shared" si="20"/>
        <v>0.75812556559779631</v>
      </c>
      <c r="AR81" s="22">
        <f t="shared" si="20"/>
        <v>0.75842546765792429</v>
      </c>
      <c r="AS81" s="22">
        <f t="shared" si="20"/>
        <v>0.75858908792613033</v>
      </c>
      <c r="AT81" s="22">
        <f t="shared" si="20"/>
        <v>0.7586155821106717</v>
      </c>
      <c r="AU81" s="22">
        <f t="shared" si="20"/>
        <v>0.75850877673067174</v>
      </c>
      <c r="AV81" s="22">
        <f t="shared" si="20"/>
        <v>0.75827165867074431</v>
      </c>
      <c r="AW81" s="22">
        <f t="shared" si="20"/>
        <v>0.75788873758895325</v>
      </c>
      <c r="AY81" s="79"/>
    </row>
    <row r="82" spans="1:51" x14ac:dyDescent="0.25">
      <c r="A82" s="95" t="str">
        <f t="shared" si="0"/>
        <v>FS U&amp;D</v>
      </c>
      <c r="B82" s="95" t="s">
        <v>1004</v>
      </c>
      <c r="C82" s="95" t="s">
        <v>1336</v>
      </c>
      <c r="D82" t="s">
        <v>369</v>
      </c>
      <c r="E82" t="s">
        <v>55</v>
      </c>
      <c r="F82" t="s">
        <v>422</v>
      </c>
      <c r="G82" t="s">
        <v>1170</v>
      </c>
      <c r="H82" t="s">
        <v>1249</v>
      </c>
      <c r="I82" t="s">
        <v>139</v>
      </c>
      <c r="J82" t="s">
        <v>287</v>
      </c>
      <c r="K82" s="22">
        <f t="shared" si="16"/>
        <v>1.1867254191644503</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1.2198688909683484</v>
      </c>
      <c r="R82" s="22">
        <f t="shared" si="20"/>
        <v>1.2278946750888551</v>
      </c>
      <c r="S82" s="22">
        <f t="shared" si="20"/>
        <v>1.2249004515324955</v>
      </c>
      <c r="T82" s="22">
        <f t="shared" si="20"/>
        <v>1.2269050335426288</v>
      </c>
      <c r="U82" s="22">
        <f t="shared" si="20"/>
        <v>1.2517808526279679</v>
      </c>
      <c r="V82" s="22">
        <f t="shared" si="20"/>
        <v>1.2529047120915915</v>
      </c>
      <c r="W82" s="22">
        <f t="shared" si="20"/>
        <v>1.2558801454671604</v>
      </c>
      <c r="X82" s="22">
        <f t="shared" si="20"/>
        <v>1.2598958776934803</v>
      </c>
      <c r="Y82" s="22">
        <f t="shared" si="20"/>
        <v>1.2635788642977572</v>
      </c>
      <c r="Z82" s="22">
        <f t="shared" si="20"/>
        <v>1.2669777879329793</v>
      </c>
      <c r="AA82" s="22">
        <f t="shared" si="20"/>
        <v>1.270082223158562</v>
      </c>
      <c r="AB82" s="22">
        <f t="shared" si="20"/>
        <v>1.2729240487828319</v>
      </c>
      <c r="AC82" s="22">
        <f t="shared" si="20"/>
        <v>1.2755491156329737</v>
      </c>
      <c r="AD82" s="22">
        <f t="shared" si="20"/>
        <v>1.2779595387205978</v>
      </c>
      <c r="AE82" s="22">
        <f t="shared" si="20"/>
        <v>1.2801969386523735</v>
      </c>
      <c r="AF82" s="22">
        <f t="shared" si="20"/>
        <v>1.2822702542621691</v>
      </c>
      <c r="AG82" s="22">
        <f t="shared" si="20"/>
        <v>1.2841541712892999</v>
      </c>
      <c r="AH82" s="22">
        <f t="shared" si="20"/>
        <v>1.2858695534217459</v>
      </c>
      <c r="AI82" s="22">
        <f t="shared" si="20"/>
        <v>1.2874479180172889</v>
      </c>
      <c r="AJ82" s="22">
        <f t="shared" si="20"/>
        <v>1.2465773644873634</v>
      </c>
      <c r="AK82" s="22">
        <f t="shared" si="20"/>
        <v>1.2481527083238142</v>
      </c>
      <c r="AL82" s="22">
        <f t="shared" si="20"/>
        <v>1.249587037474337</v>
      </c>
      <c r="AM82" s="22">
        <f t="shared" si="20"/>
        <v>1.2508919602632027</v>
      </c>
      <c r="AN82" s="22">
        <f t="shared" si="20"/>
        <v>1.2520809199546599</v>
      </c>
      <c r="AO82" s="22">
        <f t="shared" si="20"/>
        <v>1.25312016431426</v>
      </c>
      <c r="AP82" s="22">
        <f t="shared" si="20"/>
        <v>1.2539878595129963</v>
      </c>
      <c r="AQ82" s="22">
        <f t="shared" si="20"/>
        <v>1.2546824115450788</v>
      </c>
      <c r="AR82" s="22">
        <f t="shared" si="20"/>
        <v>1.255178743362793</v>
      </c>
      <c r="AS82" s="22">
        <f t="shared" si="20"/>
        <v>1.2554495315831169</v>
      </c>
      <c r="AT82" s="22">
        <f t="shared" si="20"/>
        <v>1.2554933789203664</v>
      </c>
      <c r="AU82" s="22">
        <f t="shared" si="20"/>
        <v>1.2553166181859641</v>
      </c>
      <c r="AV82" s="22">
        <f t="shared" si="20"/>
        <v>1.2549241926132744</v>
      </c>
      <c r="AW82" s="22">
        <f t="shared" si="20"/>
        <v>1.2542904660010414</v>
      </c>
      <c r="AY82" s="79"/>
    </row>
    <row r="83" spans="1:51" x14ac:dyDescent="0.25">
      <c r="A83" s="95" t="str">
        <f t="shared" si="0"/>
        <v>FS U&amp;D</v>
      </c>
      <c r="B83" s="95" t="s">
        <v>1004</v>
      </c>
      <c r="C83" s="95" t="s">
        <v>1336</v>
      </c>
      <c r="D83" t="s">
        <v>369</v>
      </c>
      <c r="E83" t="s">
        <v>55</v>
      </c>
      <c r="F83" t="s">
        <v>422</v>
      </c>
      <c r="G83" t="s">
        <v>1172</v>
      </c>
      <c r="H83" t="s">
        <v>1250</v>
      </c>
      <c r="I83" t="s">
        <v>139</v>
      </c>
      <c r="J83" t="s">
        <v>287</v>
      </c>
      <c r="K83" s="22">
        <f t="shared" si="16"/>
        <v>0.19147730421375916</v>
      </c>
      <c r="L83" s="22">
        <f t="shared" si="20"/>
        <v>0.19240499933397137</v>
      </c>
      <c r="M83" s="22">
        <f t="shared" si="20"/>
        <v>0.19381280191845887</v>
      </c>
      <c r="N83" s="22">
        <f t="shared" si="20"/>
        <v>0.19411375969056666</v>
      </c>
      <c r="O83" s="22">
        <f t="shared" si="20"/>
        <v>0.19368291106027899</v>
      </c>
      <c r="P83" s="22">
        <f t="shared" si="20"/>
        <v>0.19253602379697465</v>
      </c>
      <c r="Q83" s="22">
        <f t="shared" si="20"/>
        <v>0.19190012409058904</v>
      </c>
      <c r="R83" s="22">
        <f t="shared" si="20"/>
        <v>0.19132863754616411</v>
      </c>
      <c r="S83" s="22">
        <f t="shared" si="20"/>
        <v>0.18281131471006393</v>
      </c>
      <c r="T83" s="22">
        <f t="shared" si="20"/>
        <v>0.18736784640695911</v>
      </c>
      <c r="U83" s="22">
        <f t="shared" si="20"/>
        <v>0.40219801863685228</v>
      </c>
      <c r="V83" s="22">
        <f t="shared" si="20"/>
        <v>0.40734903420411533</v>
      </c>
      <c r="W83" s="22">
        <f t="shared" si="20"/>
        <v>0.41149752828946928</v>
      </c>
      <c r="X83" s="22">
        <f t="shared" si="20"/>
        <v>0.41483621581205343</v>
      </c>
      <c r="Y83" s="22">
        <f t="shared" si="20"/>
        <v>0.41773635782756013</v>
      </c>
      <c r="Z83" s="22">
        <f t="shared" si="20"/>
        <v>0.42016501076041057</v>
      </c>
      <c r="AA83" s="22">
        <f t="shared" si="20"/>
        <v>0.42210855342477654</v>
      </c>
      <c r="AB83" s="22">
        <f t="shared" si="20"/>
        <v>0.42354330417098807</v>
      </c>
      <c r="AC83" s="22">
        <f t="shared" si="20"/>
        <v>0.42444389710723196</v>
      </c>
      <c r="AD83" s="22">
        <f t="shared" si="20"/>
        <v>0.42480049297226147</v>
      </c>
      <c r="AE83" s="22">
        <f t="shared" si="20"/>
        <v>0.42459446865621531</v>
      </c>
      <c r="AF83" s="22">
        <f t="shared" si="20"/>
        <v>0.42381980556219867</v>
      </c>
      <c r="AG83" s="22">
        <f t="shared" si="20"/>
        <v>0.42248350599041806</v>
      </c>
      <c r="AH83" s="22">
        <f t="shared" si="20"/>
        <v>0.42058207160696442</v>
      </c>
      <c r="AI83" s="22">
        <f t="shared" si="20"/>
        <v>0.41811210592034348</v>
      </c>
      <c r="AJ83" s="22">
        <f t="shared" si="20"/>
        <v>6.1557811520144383E-2</v>
      </c>
      <c r="AK83" s="22">
        <f t="shared" si="20"/>
        <v>6.1557811520144383E-2</v>
      </c>
      <c r="AL83" s="22">
        <f t="shared" si="20"/>
        <v>6.1557811520144383E-2</v>
      </c>
      <c r="AM83" s="22">
        <f t="shared" si="20"/>
        <v>6.1557811520144383E-2</v>
      </c>
      <c r="AN83" s="22">
        <f t="shared" si="20"/>
        <v>6.1557811520144383E-2</v>
      </c>
      <c r="AO83" s="22">
        <f t="shared" si="20"/>
        <v>6.1557811520144383E-2</v>
      </c>
      <c r="AP83" s="22">
        <f t="shared" si="20"/>
        <v>6.1557811520144383E-2</v>
      </c>
      <c r="AQ83" s="22">
        <f t="shared" si="20"/>
        <v>6.1557811520144383E-2</v>
      </c>
      <c r="AR83" s="22">
        <f t="shared" si="20"/>
        <v>6.1557811520144383E-2</v>
      </c>
      <c r="AS83" s="22">
        <f t="shared" si="20"/>
        <v>6.1557811520144383E-2</v>
      </c>
      <c r="AT83" s="22">
        <f t="shared" si="20"/>
        <v>6.1557811520144383E-2</v>
      </c>
      <c r="AU83" s="22">
        <f t="shared" si="20"/>
        <v>6.1557811520144383E-2</v>
      </c>
      <c r="AV83" s="22">
        <f t="shared" si="20"/>
        <v>6.1557811520144383E-2</v>
      </c>
      <c r="AW83" s="22">
        <f t="shared" si="20"/>
        <v>6.1557811520144383E-2</v>
      </c>
      <c r="AY83" s="79"/>
    </row>
    <row r="84" spans="1:51" x14ac:dyDescent="0.25">
      <c r="A84" s="95" t="str">
        <f t="shared" si="0"/>
        <v>FS U&amp;D</v>
      </c>
      <c r="B84" s="95" t="s">
        <v>1004</v>
      </c>
      <c r="C84" s="95" t="s">
        <v>1336</v>
      </c>
      <c r="D84" t="s">
        <v>369</v>
      </c>
      <c r="E84" t="s">
        <v>55</v>
      </c>
      <c r="F84" t="s">
        <v>422</v>
      </c>
      <c r="G84" t="s">
        <v>1174</v>
      </c>
      <c r="H84" t="s">
        <v>1251</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25">
      <c r="A85" s="95" t="str">
        <f t="shared" si="0"/>
        <v>FS U&amp;D</v>
      </c>
      <c r="B85" s="95" t="s">
        <v>1004</v>
      </c>
      <c r="C85" s="95" t="s">
        <v>1336</v>
      </c>
      <c r="D85" t="s">
        <v>369</v>
      </c>
      <c r="E85" t="s">
        <v>55</v>
      </c>
      <c r="F85" t="s">
        <v>422</v>
      </c>
      <c r="G85" t="s">
        <v>1176</v>
      </c>
      <c r="H85" t="s">
        <v>1252</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25">
      <c r="A86" s="95" t="str">
        <f t="shared" si="0"/>
        <v>FS U&amp;D</v>
      </c>
      <c r="B86" s="95" t="s">
        <v>1004</v>
      </c>
      <c r="C86" s="95" t="s">
        <v>1336</v>
      </c>
      <c r="D86" t="s">
        <v>369</v>
      </c>
      <c r="E86" t="s">
        <v>55</v>
      </c>
      <c r="F86" t="s">
        <v>422</v>
      </c>
      <c r="G86" t="s">
        <v>1178</v>
      </c>
      <c r="H86" t="s">
        <v>1253</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25">
      <c r="A87" s="95" t="str">
        <f t="shared" si="0"/>
        <v>FS U&amp;D</v>
      </c>
      <c r="B87" s="95" t="s">
        <v>1004</v>
      </c>
      <c r="C87" s="95" t="s">
        <v>1336</v>
      </c>
      <c r="D87" t="s">
        <v>369</v>
      </c>
      <c r="E87" t="s">
        <v>55</v>
      </c>
      <c r="F87" t="s">
        <v>422</v>
      </c>
      <c r="G87" t="s">
        <v>1180</v>
      </c>
      <c r="H87" t="s">
        <v>1254</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25">
      <c r="A88" s="95" t="str">
        <f t="shared" si="0"/>
        <v>FS U&amp;D</v>
      </c>
      <c r="B88" s="95" t="s">
        <v>1004</v>
      </c>
      <c r="C88" s="95" t="s">
        <v>1336</v>
      </c>
      <c r="D88" t="s">
        <v>369</v>
      </c>
      <c r="E88" t="s">
        <v>55</v>
      </c>
      <c r="F88" t="s">
        <v>422</v>
      </c>
      <c r="G88" t="s">
        <v>1182</v>
      </c>
      <c r="H88" t="s">
        <v>1255</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25">
      <c r="A89" s="95" t="str">
        <f t="shared" si="0"/>
        <v>FS FSOM</v>
      </c>
      <c r="B89" s="95" t="s">
        <v>1004</v>
      </c>
      <c r="C89" s="95" t="s">
        <v>60</v>
      </c>
      <c r="D89" t="s">
        <v>369</v>
      </c>
      <c r="E89" t="s">
        <v>55</v>
      </c>
      <c r="F89" t="s">
        <v>60</v>
      </c>
      <c r="G89" t="s">
        <v>1266</v>
      </c>
      <c r="H89" t="s">
        <v>1267</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25">
      <c r="A90" s="95" t="str">
        <f t="shared" si="0"/>
        <v>FS FSOM</v>
      </c>
      <c r="B90" s="95" t="s">
        <v>1004</v>
      </c>
      <c r="C90" s="95" t="s">
        <v>60</v>
      </c>
      <c r="D90" t="s">
        <v>369</v>
      </c>
      <c r="E90" t="s">
        <v>55</v>
      </c>
      <c r="F90" t="s">
        <v>60</v>
      </c>
      <c r="G90" t="s">
        <v>1268</v>
      </c>
      <c r="H90" t="s">
        <v>1269</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25">
      <c r="A91" s="95" t="str">
        <f t="shared" si="0"/>
        <v>FS FSOM</v>
      </c>
      <c r="B91" s="95" t="s">
        <v>1004</v>
      </c>
      <c r="C91" s="95" t="s">
        <v>60</v>
      </c>
      <c r="D91" t="s">
        <v>369</v>
      </c>
      <c r="E91" t="s">
        <v>55</v>
      </c>
      <c r="F91" t="s">
        <v>60</v>
      </c>
      <c r="G91" t="s">
        <v>1270</v>
      </c>
      <c r="H91" t="s">
        <v>1271</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25">
      <c r="A92" s="95" t="str">
        <f t="shared" si="0"/>
        <v>FS FSOM</v>
      </c>
      <c r="B92" s="95" t="s">
        <v>1004</v>
      </c>
      <c r="C92" s="95" t="s">
        <v>60</v>
      </c>
      <c r="D92" t="s">
        <v>369</v>
      </c>
      <c r="E92" t="s">
        <v>55</v>
      </c>
      <c r="F92" t="s">
        <v>60</v>
      </c>
      <c r="G92" t="s">
        <v>1272</v>
      </c>
      <c r="H92" t="s">
        <v>1273</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25">
      <c r="A93" s="95" t="str">
        <f t="shared" si="0"/>
        <v>FS FSOM</v>
      </c>
      <c r="B93" s="95" t="s">
        <v>1004</v>
      </c>
      <c r="C93" s="95" t="s">
        <v>60</v>
      </c>
      <c r="D93" t="s">
        <v>369</v>
      </c>
      <c r="E93" t="s">
        <v>55</v>
      </c>
      <c r="F93" t="s">
        <v>60</v>
      </c>
      <c r="G93" t="s">
        <v>1274</v>
      </c>
      <c r="H93" t="s">
        <v>1275</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25">
      <c r="A94" s="95" t="str">
        <f t="shared" si="0"/>
        <v>FS FSOM</v>
      </c>
      <c r="B94" s="95" t="s">
        <v>1004</v>
      </c>
      <c r="C94" s="95" t="s">
        <v>60</v>
      </c>
      <c r="D94" t="s">
        <v>369</v>
      </c>
      <c r="E94" t="s">
        <v>55</v>
      </c>
      <c r="F94" t="s">
        <v>60</v>
      </c>
      <c r="G94" t="s">
        <v>1276</v>
      </c>
      <c r="H94" t="s">
        <v>1277</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25">
      <c r="A95" s="95" t="str">
        <f t="shared" si="0"/>
        <v>FS FSOM</v>
      </c>
      <c r="B95" s="95" t="s">
        <v>1004</v>
      </c>
      <c r="C95" s="95" t="s">
        <v>60</v>
      </c>
      <c r="D95" t="s">
        <v>369</v>
      </c>
      <c r="E95" t="s">
        <v>55</v>
      </c>
      <c r="F95" t="s">
        <v>60</v>
      </c>
      <c r="G95" t="s">
        <v>1278</v>
      </c>
      <c r="H95" t="s">
        <v>1279</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25">
      <c r="A96" s="95" t="str">
        <f t="shared" si="0"/>
        <v>FS FSOM</v>
      </c>
      <c r="B96" s="95" t="s">
        <v>1004</v>
      </c>
      <c r="C96" s="95" t="s">
        <v>60</v>
      </c>
      <c r="D96" t="s">
        <v>369</v>
      </c>
      <c r="E96" t="s">
        <v>55</v>
      </c>
      <c r="F96" t="s">
        <v>60</v>
      </c>
      <c r="G96" t="s">
        <v>1280</v>
      </c>
      <c r="H96" t="s">
        <v>1281</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25">
      <c r="A97" s="95" t="str">
        <f t="shared" si="0"/>
        <v>FS FSOM</v>
      </c>
      <c r="B97" s="95" t="s">
        <v>1004</v>
      </c>
      <c r="C97" s="95" t="s">
        <v>60</v>
      </c>
      <c r="D97" t="s">
        <v>369</v>
      </c>
      <c r="E97" t="s">
        <v>55</v>
      </c>
      <c r="F97" t="s">
        <v>60</v>
      </c>
      <c r="G97" t="s">
        <v>1282</v>
      </c>
      <c r="H97" t="s">
        <v>1283</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25">
      <c r="A98" s="95" t="str">
        <f t="shared" si="0"/>
        <v>FS FSOM</v>
      </c>
      <c r="B98" s="95" t="s">
        <v>1004</v>
      </c>
      <c r="C98" s="95" t="s">
        <v>60</v>
      </c>
      <c r="D98" t="s">
        <v>369</v>
      </c>
      <c r="E98" t="s">
        <v>55</v>
      </c>
      <c r="F98" t="s">
        <v>60</v>
      </c>
      <c r="G98" t="s">
        <v>1284</v>
      </c>
      <c r="H98" t="s">
        <v>1285</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25">
      <c r="A99" s="95" t="str">
        <f t="shared" si="0"/>
        <v>FS FSOM</v>
      </c>
      <c r="B99" s="95" t="s">
        <v>1004</v>
      </c>
      <c r="C99" s="95" t="s">
        <v>60</v>
      </c>
      <c r="D99" t="s">
        <v>369</v>
      </c>
      <c r="E99" t="s">
        <v>55</v>
      </c>
      <c r="F99" t="s">
        <v>60</v>
      </c>
      <c r="G99" t="s">
        <v>1286</v>
      </c>
      <c r="H99" t="s">
        <v>1287</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25">
      <c r="A100" s="95" t="str">
        <f t="shared" si="0"/>
        <v>FS FSOM</v>
      </c>
      <c r="B100" s="95" t="s">
        <v>1004</v>
      </c>
      <c r="C100" s="95" t="s">
        <v>60</v>
      </c>
      <c r="D100" t="s">
        <v>369</v>
      </c>
      <c r="E100" t="s">
        <v>55</v>
      </c>
      <c r="F100" t="s">
        <v>60</v>
      </c>
      <c r="G100" t="s">
        <v>1288</v>
      </c>
      <c r="H100" t="s">
        <v>1289</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25">
      <c r="A101" s="95" t="str">
        <f t="shared" si="0"/>
        <v>FS Volatilisation</v>
      </c>
      <c r="B101" s="95" t="s">
        <v>1004</v>
      </c>
      <c r="C101" s="95" t="s">
        <v>62</v>
      </c>
      <c r="D101" t="s">
        <v>369</v>
      </c>
      <c r="E101" t="s">
        <v>61</v>
      </c>
      <c r="F101" t="s">
        <v>62</v>
      </c>
      <c r="G101" t="s">
        <v>435</v>
      </c>
      <c r="H101" t="s">
        <v>1184</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0.66035651430821074</v>
      </c>
      <c r="U101" s="22">
        <f t="shared" si="22"/>
        <v>0.66008394987584207</v>
      </c>
      <c r="V101" s="22">
        <f t="shared" si="22"/>
        <v>0.65354261970149441</v>
      </c>
      <c r="W101" s="22">
        <f t="shared" si="22"/>
        <v>0.65337920332710719</v>
      </c>
      <c r="X101" s="22">
        <f t="shared" si="22"/>
        <v>0.65322793572104454</v>
      </c>
      <c r="Y101" s="22">
        <f t="shared" si="22"/>
        <v>0.65308880056970553</v>
      </c>
      <c r="Z101" s="22">
        <f t="shared" ref="L101:AW108" si="23">Z1510</f>
        <v>0.65296169227266498</v>
      </c>
      <c r="AA101" s="22">
        <f t="shared" si="23"/>
        <v>0.65284672118777098</v>
      </c>
      <c r="AB101" s="22">
        <f t="shared" si="23"/>
        <v>0.65274397960506148</v>
      </c>
      <c r="AC101" s="22">
        <f t="shared" si="23"/>
        <v>0.65265355793719104</v>
      </c>
      <c r="AD101" s="22">
        <f t="shared" si="23"/>
        <v>0.65257554079256641</v>
      </c>
      <c r="AE101" s="22">
        <f t="shared" si="23"/>
        <v>0.65250999875184101</v>
      </c>
      <c r="AF101" s="22">
        <f t="shared" si="23"/>
        <v>0.65245700134470697</v>
      </c>
      <c r="AG101" s="22">
        <f t="shared" si="23"/>
        <v>0.65241660651071587</v>
      </c>
      <c r="AH101" s="22">
        <f t="shared" si="23"/>
        <v>0.65238886062718315</v>
      </c>
      <c r="AI101" s="22">
        <f t="shared" si="23"/>
        <v>0.6523738107982866</v>
      </c>
      <c r="AJ101" s="22">
        <f t="shared" si="23"/>
        <v>0.65237149971504915</v>
      </c>
      <c r="AK101" s="22">
        <f t="shared" si="23"/>
        <v>0.6717077011874647</v>
      </c>
      <c r="AL101" s="22">
        <f t="shared" si="23"/>
        <v>0.67172409254060461</v>
      </c>
      <c r="AM101" s="22">
        <f t="shared" si="23"/>
        <v>0.67174011054610017</v>
      </c>
      <c r="AN101" s="22">
        <f t="shared" si="23"/>
        <v>0.67175577706338141</v>
      </c>
      <c r="AO101" s="22">
        <f t="shared" si="23"/>
        <v>0.67177111790148203</v>
      </c>
      <c r="AP101" s="22">
        <f t="shared" si="23"/>
        <v>0.67178606782023664</v>
      </c>
      <c r="AQ101" s="22">
        <f t="shared" si="23"/>
        <v>0.67180058277133392</v>
      </c>
      <c r="AR101" s="22">
        <f t="shared" si="23"/>
        <v>0.67181465717092259</v>
      </c>
      <c r="AS101" s="22">
        <f t="shared" si="23"/>
        <v>0.67182823869267982</v>
      </c>
      <c r="AT101" s="22">
        <f t="shared" si="23"/>
        <v>0.67184126908492714</v>
      </c>
      <c r="AU101" s="22">
        <f t="shared" si="23"/>
        <v>0.67185374065365466</v>
      </c>
      <c r="AV101" s="22">
        <f t="shared" si="23"/>
        <v>0.67186566123512315</v>
      </c>
      <c r="AW101" s="22">
        <f t="shared" si="23"/>
        <v>0.67187703615819216</v>
      </c>
      <c r="AY101" s="79"/>
    </row>
    <row r="102" spans="1:51" x14ac:dyDescent="0.25">
      <c r="A102" s="95" t="str">
        <f t="shared" si="0"/>
        <v>FS Volatilisation</v>
      </c>
      <c r="B102" s="95" t="s">
        <v>1004</v>
      </c>
      <c r="C102" s="95" t="s">
        <v>62</v>
      </c>
      <c r="D102" t="s">
        <v>369</v>
      </c>
      <c r="E102" t="s">
        <v>61</v>
      </c>
      <c r="F102" t="s">
        <v>62</v>
      </c>
      <c r="G102" t="s">
        <v>436</v>
      </c>
      <c r="H102" t="s">
        <v>1185</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8.716705988868383E-3</v>
      </c>
      <c r="U102" s="22">
        <f t="shared" si="23"/>
        <v>8.7131081383611166E-3</v>
      </c>
      <c r="V102" s="22">
        <f t="shared" si="23"/>
        <v>8.6267625800597308E-3</v>
      </c>
      <c r="W102" s="22">
        <f t="shared" si="23"/>
        <v>8.624605483917816E-3</v>
      </c>
      <c r="X102" s="22">
        <f t="shared" si="23"/>
        <v>8.6226087515177911E-3</v>
      </c>
      <c r="Y102" s="22">
        <f t="shared" si="23"/>
        <v>8.6207721675201129E-3</v>
      </c>
      <c r="Z102" s="22">
        <f t="shared" si="23"/>
        <v>8.6190943379991763E-3</v>
      </c>
      <c r="AA102" s="22">
        <f t="shared" si="23"/>
        <v>8.6175767196785755E-3</v>
      </c>
      <c r="AB102" s="22">
        <f t="shared" si="23"/>
        <v>8.6162205307868112E-3</v>
      </c>
      <c r="AC102" s="22">
        <f t="shared" si="23"/>
        <v>8.6150269647709242E-3</v>
      </c>
      <c r="AD102" s="22">
        <f t="shared" si="23"/>
        <v>8.6139971384618756E-3</v>
      </c>
      <c r="AE102" s="22">
        <f t="shared" si="23"/>
        <v>8.6131319835243015E-3</v>
      </c>
      <c r="AF102" s="22">
        <f t="shared" si="23"/>
        <v>8.6124324177501328E-3</v>
      </c>
      <c r="AG102" s="22">
        <f t="shared" si="23"/>
        <v>8.6118992059414506E-3</v>
      </c>
      <c r="AH102" s="22">
        <f t="shared" si="23"/>
        <v>8.6115329602788199E-3</v>
      </c>
      <c r="AI102" s="22">
        <f t="shared" si="23"/>
        <v>8.611334302537384E-3</v>
      </c>
      <c r="AJ102" s="22">
        <f t="shared" si="23"/>
        <v>8.6113037962386486E-3</v>
      </c>
      <c r="AK102" s="22">
        <f t="shared" si="23"/>
        <v>8.8665416556745359E-3</v>
      </c>
      <c r="AL102" s="22">
        <f t="shared" si="23"/>
        <v>8.8667580215359802E-3</v>
      </c>
      <c r="AM102" s="22">
        <f t="shared" si="23"/>
        <v>8.8669694592085242E-3</v>
      </c>
      <c r="AN102" s="22">
        <f t="shared" si="23"/>
        <v>8.8671762572366322E-3</v>
      </c>
      <c r="AO102" s="22">
        <f t="shared" si="23"/>
        <v>8.8673787562995633E-3</v>
      </c>
      <c r="AP102" s="22">
        <f t="shared" si="23"/>
        <v>8.8675760952271251E-3</v>
      </c>
      <c r="AQ102" s="22">
        <f t="shared" si="23"/>
        <v>8.8677676925816105E-3</v>
      </c>
      <c r="AR102" s="22">
        <f t="shared" si="23"/>
        <v>8.867953474656182E-3</v>
      </c>
      <c r="AS102" s="22">
        <f t="shared" si="23"/>
        <v>8.8681327507433762E-3</v>
      </c>
      <c r="AT102" s="22">
        <f t="shared" si="23"/>
        <v>8.8683047519210381E-3</v>
      </c>
      <c r="AU102" s="22">
        <f t="shared" si="23"/>
        <v>8.8684693766282394E-3</v>
      </c>
      <c r="AV102" s="22">
        <f t="shared" si="23"/>
        <v>8.8686267283036267E-3</v>
      </c>
      <c r="AW102" s="22">
        <f t="shared" si="23"/>
        <v>8.8687768772881346E-3</v>
      </c>
      <c r="AY102" s="79"/>
    </row>
    <row r="103" spans="1:51" x14ac:dyDescent="0.25">
      <c r="A103" s="95" t="str">
        <f t="shared" si="0"/>
        <v>FS Volatilisation</v>
      </c>
      <c r="B103" s="95" t="s">
        <v>1004</v>
      </c>
      <c r="C103" s="95" t="s">
        <v>62</v>
      </c>
      <c r="D103" t="s">
        <v>369</v>
      </c>
      <c r="E103" t="s">
        <v>61</v>
      </c>
      <c r="F103" t="s">
        <v>62</v>
      </c>
      <c r="G103" t="s">
        <v>437</v>
      </c>
      <c r="H103" t="s">
        <v>1186</v>
      </c>
      <c r="I103" t="s">
        <v>139</v>
      </c>
      <c r="J103" t="s">
        <v>287</v>
      </c>
      <c r="K103" s="22">
        <f t="shared" si="16"/>
        <v>1.2008407282256135</v>
      </c>
      <c r="L103" s="22">
        <f t="shared" si="23"/>
        <v>1.2019035107607596</v>
      </c>
      <c r="M103" s="22">
        <f t="shared" si="23"/>
        <v>1.2088775122881088</v>
      </c>
      <c r="N103" s="22">
        <f t="shared" si="23"/>
        <v>1.2055442230548157</v>
      </c>
      <c r="O103" s="22">
        <f t="shared" si="23"/>
        <v>1.195843583832628</v>
      </c>
      <c r="P103" s="22">
        <f t="shared" si="23"/>
        <v>1.1799964998501227</v>
      </c>
      <c r="Q103" s="22">
        <f t="shared" si="23"/>
        <v>1.169776622170569</v>
      </c>
      <c r="R103" s="22">
        <f t="shared" si="23"/>
        <v>1.1606871439933113</v>
      </c>
      <c r="S103" s="22">
        <f t="shared" si="23"/>
        <v>1.0648906691667142</v>
      </c>
      <c r="T103" s="22">
        <f t="shared" si="23"/>
        <v>1.1057533797860197</v>
      </c>
      <c r="U103" s="22">
        <f t="shared" si="23"/>
        <v>3.1715891643578864</v>
      </c>
      <c r="V103" s="22">
        <f t="shared" si="23"/>
        <v>3.205817503106533</v>
      </c>
      <c r="W103" s="22">
        <f t="shared" si="23"/>
        <v>3.2352153287252081</v>
      </c>
      <c r="X103" s="22">
        <f t="shared" si="23"/>
        <v>3.2596764998420773</v>
      </c>
      <c r="Y103" s="22">
        <f t="shared" si="23"/>
        <v>3.2791703785538746</v>
      </c>
      <c r="Z103" s="22">
        <f t="shared" si="23"/>
        <v>3.2935488814957896</v>
      </c>
      <c r="AA103" s="22">
        <f t="shared" si="23"/>
        <v>3.3026965587676997</v>
      </c>
      <c r="AB103" s="22">
        <f t="shared" si="23"/>
        <v>3.3065215616671835</v>
      </c>
      <c r="AC103" s="22">
        <f t="shared" si="23"/>
        <v>3.3049591714491218</v>
      </c>
      <c r="AD103" s="22">
        <f t="shared" si="23"/>
        <v>3.2856040880514414</v>
      </c>
      <c r="AE103" s="22">
        <f t="shared" si="23"/>
        <v>3.2609006919876253</v>
      </c>
      <c r="AF103" s="22">
        <f t="shared" si="23"/>
        <v>3.2309381698250323</v>
      </c>
      <c r="AG103" s="22">
        <f t="shared" si="23"/>
        <v>3.1958369771906554</v>
      </c>
      <c r="AH103" s="22">
        <f t="shared" si="23"/>
        <v>3.1557406943377502</v>
      </c>
      <c r="AI103" s="22">
        <f t="shared" si="23"/>
        <v>3.1108181429551416</v>
      </c>
      <c r="AJ103" s="22">
        <f t="shared" si="23"/>
        <v>-7.9927190130914927E-2</v>
      </c>
      <c r="AK103" s="22">
        <f t="shared" si="23"/>
        <v>-7.7482459717295754E-2</v>
      </c>
      <c r="AL103" s="22">
        <f t="shared" si="23"/>
        <v>-7.5056648302161827E-2</v>
      </c>
      <c r="AM103" s="22">
        <f t="shared" si="23"/>
        <v>-7.2650174059267963E-2</v>
      </c>
      <c r="AN103" s="22">
        <f t="shared" si="23"/>
        <v>-7.0723117301040472E-2</v>
      </c>
      <c r="AO103" s="22">
        <f t="shared" si="23"/>
        <v>-6.8807486280089009E-2</v>
      </c>
      <c r="AP103" s="22">
        <f t="shared" si="23"/>
        <v>-6.6901375831276963E-2</v>
      </c>
      <c r="AQ103" s="22">
        <f t="shared" si="23"/>
        <v>-6.5004519075055389E-2</v>
      </c>
      <c r="AR103" s="22">
        <f t="shared" si="23"/>
        <v>-6.3114960679436297E-2</v>
      </c>
      <c r="AS103" s="22">
        <f t="shared" si="23"/>
        <v>-6.1230717258980515E-2</v>
      </c>
      <c r="AT103" s="22">
        <f t="shared" si="23"/>
        <v>-5.9351794077464999E-2</v>
      </c>
      <c r="AU103" s="22">
        <f t="shared" si="23"/>
        <v>-5.7478765169344234E-2</v>
      </c>
      <c r="AV103" s="22">
        <f t="shared" si="23"/>
        <v>-5.5612099659167281E-2</v>
      </c>
      <c r="AW103" s="22">
        <f t="shared" si="23"/>
        <v>-5.3750177084754498E-2</v>
      </c>
      <c r="AY103" s="79"/>
    </row>
    <row r="104" spans="1:51" x14ac:dyDescent="0.25">
      <c r="A104" s="95" t="str">
        <f t="shared" si="0"/>
        <v>FS Volatilisation</v>
      </c>
      <c r="B104" s="95" t="s">
        <v>1004</v>
      </c>
      <c r="C104" s="95" t="s">
        <v>62</v>
      </c>
      <c r="D104" t="s">
        <v>369</v>
      </c>
      <c r="E104" t="s">
        <v>61</v>
      </c>
      <c r="F104" t="s">
        <v>62</v>
      </c>
      <c r="G104" t="s">
        <v>438</v>
      </c>
      <c r="H104" t="s">
        <v>1265</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3.9236983289257736</v>
      </c>
      <c r="T104" s="22">
        <f t="shared" si="23"/>
        <v>4.0061959356333121</v>
      </c>
      <c r="U104" s="22">
        <f t="shared" si="23"/>
        <v>8.6703485618299432</v>
      </c>
      <c r="V104" s="22">
        <f t="shared" si="23"/>
        <v>8.7075171611639437</v>
      </c>
      <c r="W104" s="22">
        <f t="shared" si="23"/>
        <v>8.7349231997789492</v>
      </c>
      <c r="X104" s="22">
        <f t="shared" si="23"/>
        <v>8.7517078724202371</v>
      </c>
      <c r="Y104" s="22">
        <f t="shared" si="23"/>
        <v>8.7566246906771106</v>
      </c>
      <c r="Z104" s="22">
        <f t="shared" si="23"/>
        <v>8.749585391639048</v>
      </c>
      <c r="AA104" s="22">
        <f t="shared" si="23"/>
        <v>8.7305224491182276</v>
      </c>
      <c r="AB104" s="22">
        <f t="shared" si="23"/>
        <v>8.6994684257142971</v>
      </c>
      <c r="AC104" s="22">
        <f t="shared" si="23"/>
        <v>8.6565339362109501</v>
      </c>
      <c r="AD104" s="22">
        <f t="shared" si="23"/>
        <v>8.5479552025611873</v>
      </c>
      <c r="AE104" s="22">
        <f t="shared" si="23"/>
        <v>8.4281375273268431</v>
      </c>
      <c r="AF104" s="22">
        <f t="shared" si="23"/>
        <v>8.2976332368638914</v>
      </c>
      <c r="AG104" s="22">
        <f t="shared" si="23"/>
        <v>8.1570247194237986</v>
      </c>
      <c r="AH104" s="22">
        <f t="shared" si="23"/>
        <v>8.0069849414591072</v>
      </c>
      <c r="AI104" s="22">
        <f t="shared" si="23"/>
        <v>7.8482435227169196</v>
      </c>
      <c r="AJ104" s="22">
        <f t="shared" si="23"/>
        <v>1.4117786211897634</v>
      </c>
      <c r="AK104" s="22">
        <f t="shared" si="23"/>
        <v>1.4240848222590068</v>
      </c>
      <c r="AL104" s="22">
        <f t="shared" si="23"/>
        <v>1.4361490833885919</v>
      </c>
      <c r="AM104" s="22">
        <f t="shared" si="23"/>
        <v>1.4479836223342117</v>
      </c>
      <c r="AN104" s="22">
        <f t="shared" si="23"/>
        <v>1.4575869997562623</v>
      </c>
      <c r="AO104" s="22">
        <f t="shared" si="23"/>
        <v>1.4669658638055674</v>
      </c>
      <c r="AP104" s="22">
        <f t="shared" si="23"/>
        <v>1.4761004652334226</v>
      </c>
      <c r="AQ104" s="22">
        <f t="shared" si="23"/>
        <v>1.4849895121905028</v>
      </c>
      <c r="AR104" s="22">
        <f t="shared" si="23"/>
        <v>1.4936094251739955</v>
      </c>
      <c r="AS104" s="22">
        <f t="shared" si="23"/>
        <v>1.5019339292237881</v>
      </c>
      <c r="AT104" s="22">
        <f t="shared" si="23"/>
        <v>1.5099608560757101</v>
      </c>
      <c r="AU104" s="22">
        <f t="shared" si="23"/>
        <v>1.5176953414243965</v>
      </c>
      <c r="AV104" s="22">
        <f t="shared" si="23"/>
        <v>1.5251412376449351</v>
      </c>
      <c r="AW104" s="22">
        <f t="shared" si="23"/>
        <v>1.5322728813191711</v>
      </c>
      <c r="AY104" s="79"/>
    </row>
    <row r="105" spans="1:51" x14ac:dyDescent="0.25">
      <c r="A105" s="95" t="str">
        <f t="shared" si="0"/>
        <v>FS Leaching</v>
      </c>
      <c r="B105" s="95" t="s">
        <v>1004</v>
      </c>
      <c r="C105" s="95" t="s">
        <v>1190</v>
      </c>
      <c r="D105" t="s">
        <v>369</v>
      </c>
      <c r="E105" t="s">
        <v>61</v>
      </c>
      <c r="F105" t="s">
        <v>63</v>
      </c>
      <c r="G105" t="s">
        <v>435</v>
      </c>
      <c r="H105" t="s">
        <v>1187</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2.2782299743633269E-4</v>
      </c>
      <c r="U105" s="22">
        <f t="shared" si="23"/>
        <v>2.2772896270716546E-4</v>
      </c>
      <c r="V105" s="22">
        <f t="shared" si="23"/>
        <v>2.2547220379701556E-4</v>
      </c>
      <c r="W105" s="22">
        <f t="shared" si="23"/>
        <v>2.2541582514785201E-4</v>
      </c>
      <c r="X105" s="22">
        <f t="shared" si="23"/>
        <v>2.2536363782376035E-4</v>
      </c>
      <c r="Y105" s="22">
        <f t="shared" si="23"/>
        <v>2.2531563619654834E-4</v>
      </c>
      <c r="Z105" s="22">
        <f t="shared" si="23"/>
        <v>2.252717838340693E-4</v>
      </c>
      <c r="AA105" s="22">
        <f t="shared" si="23"/>
        <v>2.2523211880978096E-4</v>
      </c>
      <c r="AB105" s="22">
        <f t="shared" si="23"/>
        <v>2.2519667296374613E-4</v>
      </c>
      <c r="AC105" s="22">
        <f t="shared" si="23"/>
        <v>2.2516547748833096E-4</v>
      </c>
      <c r="AD105" s="22">
        <f t="shared" si="23"/>
        <v>2.2513856157343538E-4</v>
      </c>
      <c r="AE105" s="22">
        <f t="shared" si="23"/>
        <v>2.2511594956938508E-4</v>
      </c>
      <c r="AF105" s="22">
        <f t="shared" si="23"/>
        <v>2.2509766546392388E-4</v>
      </c>
      <c r="AG105" s="22">
        <f t="shared" si="23"/>
        <v>2.2508372924619698E-4</v>
      </c>
      <c r="AH105" s="22">
        <f t="shared" si="23"/>
        <v>2.2507415691637819E-4</v>
      </c>
      <c r="AI105" s="22">
        <f t="shared" si="23"/>
        <v>2.2506896472540883E-4</v>
      </c>
      <c r="AJ105" s="22">
        <f t="shared" si="23"/>
        <v>2.2506816740169194E-4</v>
      </c>
      <c r="AK105" s="22">
        <f t="shared" si="23"/>
        <v>2.3173915690967529E-4</v>
      </c>
      <c r="AL105" s="22">
        <f t="shared" si="23"/>
        <v>2.3174481192650851E-4</v>
      </c>
      <c r="AM105" s="22">
        <f t="shared" si="23"/>
        <v>2.3175033813840453E-4</v>
      </c>
      <c r="AN105" s="22">
        <f t="shared" si="23"/>
        <v>2.317557430868665E-4</v>
      </c>
      <c r="AO105" s="22">
        <f t="shared" si="23"/>
        <v>2.3176103567601125E-4</v>
      </c>
      <c r="AP105" s="22">
        <f t="shared" si="23"/>
        <v>2.3176619339798155E-4</v>
      </c>
      <c r="AQ105" s="22">
        <f t="shared" si="23"/>
        <v>2.3177120105611021E-4</v>
      </c>
      <c r="AR105" s="22">
        <f t="shared" si="23"/>
        <v>2.3177605672396827E-4</v>
      </c>
      <c r="AS105" s="22">
        <f t="shared" si="23"/>
        <v>2.3178074234897451E-4</v>
      </c>
      <c r="AT105" s="22">
        <f t="shared" si="23"/>
        <v>2.3178523783429981E-4</v>
      </c>
      <c r="AU105" s="22">
        <f t="shared" si="23"/>
        <v>2.3178954052551076E-4</v>
      </c>
      <c r="AV105" s="22">
        <f t="shared" si="23"/>
        <v>2.3179365312611745E-4</v>
      </c>
      <c r="AW105" s="22">
        <f t="shared" si="23"/>
        <v>2.3179757747457624E-4</v>
      </c>
      <c r="AY105" s="79"/>
    </row>
    <row r="106" spans="1:51" x14ac:dyDescent="0.25">
      <c r="A106" s="95" t="str">
        <f t="shared" si="0"/>
        <v>FS Leaching</v>
      </c>
      <c r="B106" s="95" t="s">
        <v>1004</v>
      </c>
      <c r="C106" s="95" t="s">
        <v>1190</v>
      </c>
      <c r="D106" t="s">
        <v>369</v>
      </c>
      <c r="E106" t="s">
        <v>61</v>
      </c>
      <c r="F106" t="s">
        <v>63</v>
      </c>
      <c r="G106" t="s">
        <v>436</v>
      </c>
      <c r="H106" t="s">
        <v>1188</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1.5036317830797959E-6</v>
      </c>
      <c r="U106" s="22">
        <f t="shared" si="23"/>
        <v>1.5030111538672925E-6</v>
      </c>
      <c r="V106" s="22">
        <f t="shared" si="23"/>
        <v>1.488116545060303E-6</v>
      </c>
      <c r="W106" s="22">
        <f t="shared" si="23"/>
        <v>1.487744445975823E-6</v>
      </c>
      <c r="X106" s="22">
        <f t="shared" si="23"/>
        <v>1.4874000096368187E-6</v>
      </c>
      <c r="Y106" s="22">
        <f t="shared" si="23"/>
        <v>1.4870831988972194E-6</v>
      </c>
      <c r="Z106" s="22">
        <f t="shared" si="23"/>
        <v>1.4867937733048578E-6</v>
      </c>
      <c r="AA106" s="22">
        <f t="shared" si="23"/>
        <v>1.4865319841445543E-6</v>
      </c>
      <c r="AB106" s="22">
        <f t="shared" si="23"/>
        <v>1.4862980415607246E-6</v>
      </c>
      <c r="AC106" s="22">
        <f t="shared" si="23"/>
        <v>1.4860921514229842E-6</v>
      </c>
      <c r="AD106" s="22">
        <f t="shared" si="23"/>
        <v>1.4859145063846736E-6</v>
      </c>
      <c r="AE106" s="22">
        <f t="shared" si="23"/>
        <v>1.4857652671579419E-6</v>
      </c>
      <c r="AF106" s="22">
        <f t="shared" si="23"/>
        <v>1.4856445920618978E-6</v>
      </c>
      <c r="AG106" s="22">
        <f t="shared" si="23"/>
        <v>1.4855526130249004E-6</v>
      </c>
      <c r="AH106" s="22">
        <f t="shared" si="23"/>
        <v>1.4854894356480966E-6</v>
      </c>
      <c r="AI106" s="22">
        <f t="shared" si="23"/>
        <v>1.4854551671876988E-6</v>
      </c>
      <c r="AJ106" s="22">
        <f t="shared" si="23"/>
        <v>1.4854499048511669E-6</v>
      </c>
      <c r="AK106" s="22">
        <f t="shared" si="23"/>
        <v>1.5294784356038574E-6</v>
      </c>
      <c r="AL106" s="22">
        <f t="shared" si="23"/>
        <v>1.5295157587149565E-6</v>
      </c>
      <c r="AM106" s="22">
        <f t="shared" si="23"/>
        <v>1.5295522317134702E-6</v>
      </c>
      <c r="AN106" s="22">
        <f t="shared" si="23"/>
        <v>1.5295879043733193E-6</v>
      </c>
      <c r="AO106" s="22">
        <f t="shared" si="23"/>
        <v>1.5296228354616745E-6</v>
      </c>
      <c r="AP106" s="22">
        <f t="shared" si="23"/>
        <v>1.5296568764266789E-6</v>
      </c>
      <c r="AQ106" s="22">
        <f t="shared" si="23"/>
        <v>1.5296899269703273E-6</v>
      </c>
      <c r="AR106" s="22">
        <f t="shared" si="23"/>
        <v>1.5297219743781909E-6</v>
      </c>
      <c r="AS106" s="22">
        <f t="shared" si="23"/>
        <v>1.5297528995032323E-6</v>
      </c>
      <c r="AT106" s="22">
        <f t="shared" si="23"/>
        <v>1.529782569706379E-6</v>
      </c>
      <c r="AU106" s="22">
        <f t="shared" si="23"/>
        <v>1.5298109674683716E-6</v>
      </c>
      <c r="AV106" s="22">
        <f t="shared" si="23"/>
        <v>1.5298381106323754E-6</v>
      </c>
      <c r="AW106" s="22">
        <f t="shared" si="23"/>
        <v>1.5298640113322035E-6</v>
      </c>
      <c r="AY106" s="79"/>
    </row>
    <row r="107" spans="1:51" x14ac:dyDescent="0.25">
      <c r="A107" s="95" t="str">
        <f t="shared" si="0"/>
        <v>FS Leaching</v>
      </c>
      <c r="B107" s="95" t="s">
        <v>1004</v>
      </c>
      <c r="C107" s="95" t="s">
        <v>1190</v>
      </c>
      <c r="D107" t="s">
        <v>369</v>
      </c>
      <c r="E107" t="s">
        <v>61</v>
      </c>
      <c r="F107" t="s">
        <v>63</v>
      </c>
      <c r="G107" t="s">
        <v>437</v>
      </c>
      <c r="H107" t="s">
        <v>1189</v>
      </c>
      <c r="I107" t="s">
        <v>139</v>
      </c>
      <c r="J107" t="s">
        <v>287</v>
      </c>
      <c r="K107" s="22">
        <f t="shared" si="16"/>
        <v>0.20714502561891829</v>
      </c>
      <c r="L107" s="22">
        <f t="shared" si="23"/>
        <v>0.20732835560623103</v>
      </c>
      <c r="M107" s="22">
        <f t="shared" si="23"/>
        <v>0.20853137086969875</v>
      </c>
      <c r="N107" s="22">
        <f t="shared" si="23"/>
        <v>0.20795637847695569</v>
      </c>
      <c r="O107" s="22">
        <f t="shared" si="23"/>
        <v>0.20628301821112832</v>
      </c>
      <c r="P107" s="22">
        <f t="shared" si="23"/>
        <v>0.20354939622414611</v>
      </c>
      <c r="Q107" s="22">
        <f t="shared" si="23"/>
        <v>0.20178646732442315</v>
      </c>
      <c r="R107" s="22">
        <f t="shared" si="23"/>
        <v>0.20021853233884618</v>
      </c>
      <c r="S107" s="22">
        <f t="shared" si="23"/>
        <v>0.18369364043125816</v>
      </c>
      <c r="T107" s="22">
        <f t="shared" si="23"/>
        <v>0.19074245801308834</v>
      </c>
      <c r="U107" s="22">
        <f t="shared" si="23"/>
        <v>0.54709913085173534</v>
      </c>
      <c r="V107" s="22">
        <f t="shared" si="23"/>
        <v>0.55300351928587688</v>
      </c>
      <c r="W107" s="22">
        <f t="shared" si="23"/>
        <v>0.55807464420509822</v>
      </c>
      <c r="X107" s="22">
        <f t="shared" si="23"/>
        <v>0.56229419622275822</v>
      </c>
      <c r="Y107" s="22">
        <f t="shared" si="23"/>
        <v>0.56565689030054322</v>
      </c>
      <c r="Z107" s="22">
        <f t="shared" si="23"/>
        <v>0.56813718205802377</v>
      </c>
      <c r="AA107" s="22">
        <f t="shared" si="23"/>
        <v>0.56971515638742798</v>
      </c>
      <c r="AB107" s="22">
        <f t="shared" si="23"/>
        <v>0.57037496938758903</v>
      </c>
      <c r="AC107" s="22">
        <f t="shared" si="23"/>
        <v>0.57010545707497351</v>
      </c>
      <c r="AD107" s="22">
        <f t="shared" si="23"/>
        <v>0.56676670518887351</v>
      </c>
      <c r="AE107" s="22">
        <f t="shared" si="23"/>
        <v>0.56250536936786533</v>
      </c>
      <c r="AF107" s="22">
        <f t="shared" si="23"/>
        <v>0.55733683429481795</v>
      </c>
      <c r="AG107" s="22">
        <f t="shared" si="23"/>
        <v>0.55128187856538813</v>
      </c>
      <c r="AH107" s="22">
        <f t="shared" si="23"/>
        <v>0.54436526977326183</v>
      </c>
      <c r="AI107" s="22">
        <f t="shared" si="23"/>
        <v>0.53661612965976202</v>
      </c>
      <c r="AJ107" s="22">
        <f t="shared" si="23"/>
        <v>-1.3787440297582821E-2</v>
      </c>
      <c r="AK107" s="22">
        <f t="shared" si="23"/>
        <v>-1.3365724301233515E-2</v>
      </c>
      <c r="AL107" s="22">
        <f t="shared" si="23"/>
        <v>-1.2947271832122912E-2</v>
      </c>
      <c r="AM107" s="22">
        <f t="shared" si="23"/>
        <v>-1.2532155025223722E-2</v>
      </c>
      <c r="AN107" s="22">
        <f t="shared" si="23"/>
        <v>-1.2199737734429479E-2</v>
      </c>
      <c r="AO107" s="22">
        <f t="shared" si="23"/>
        <v>-1.1869291383315354E-2</v>
      </c>
      <c r="AP107" s="22">
        <f t="shared" si="23"/>
        <v>-1.1540487330895275E-2</v>
      </c>
      <c r="AQ107" s="22">
        <f t="shared" si="23"/>
        <v>-1.1213279540447051E-2</v>
      </c>
      <c r="AR107" s="22">
        <f t="shared" si="23"/>
        <v>-1.0887330717202761E-2</v>
      </c>
      <c r="AS107" s="22">
        <f t="shared" si="23"/>
        <v>-1.0562298727174138E-2</v>
      </c>
      <c r="AT107" s="22">
        <f t="shared" si="23"/>
        <v>-1.0238184478362713E-2</v>
      </c>
      <c r="AU107" s="22">
        <f t="shared" si="23"/>
        <v>-9.9150869917118811E-3</v>
      </c>
      <c r="AV107" s="22">
        <f t="shared" si="23"/>
        <v>-9.5930871912063547E-3</v>
      </c>
      <c r="AW107" s="22">
        <f t="shared" si="23"/>
        <v>-9.27190554712015E-3</v>
      </c>
      <c r="AY107" s="79"/>
    </row>
    <row r="108" spans="1:51" x14ac:dyDescent="0.25">
      <c r="A108" s="95" t="str">
        <f t="shared" si="0"/>
        <v>FS Leaching</v>
      </c>
      <c r="B108" s="95" t="s">
        <v>1004</v>
      </c>
      <c r="C108" s="95" t="s">
        <v>1190</v>
      </c>
      <c r="D108" t="s">
        <v>369</v>
      </c>
      <c r="E108" t="s">
        <v>61</v>
      </c>
      <c r="F108" t="s">
        <v>63</v>
      </c>
      <c r="G108" t="s">
        <v>438</v>
      </c>
      <c r="H108" t="s">
        <v>1191</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25">
      <c r="A109" s="95" t="str">
        <f t="shared" si="0"/>
        <v>FS Leaching</v>
      </c>
      <c r="B109" s="95" t="s">
        <v>1004</v>
      </c>
      <c r="C109" s="95" t="s">
        <v>1190</v>
      </c>
      <c r="D109" t="s">
        <v>369</v>
      </c>
      <c r="E109" t="s">
        <v>61</v>
      </c>
      <c r="F109" t="s">
        <v>63</v>
      </c>
      <c r="G109" t="s">
        <v>439</v>
      </c>
      <c r="H109" t="s">
        <v>1192</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0.10250223308080923</v>
      </c>
      <c r="U109" s="22">
        <f t="shared" si="24"/>
        <v>0.10320425755524179</v>
      </c>
      <c r="V109" s="22">
        <f t="shared" si="24"/>
        <v>0.12005228808448951</v>
      </c>
      <c r="W109" s="22">
        <f t="shared" si="24"/>
        <v>0.12047318780844027</v>
      </c>
      <c r="X109" s="22">
        <f t="shared" si="24"/>
        <v>0.12086279682940448</v>
      </c>
      <c r="Y109" s="22">
        <f t="shared" si="24"/>
        <v>0.12122115716514245</v>
      </c>
      <c r="Z109" s="22">
        <f t="shared" si="24"/>
        <v>0.12154854080302378</v>
      </c>
      <c r="AA109" s="22">
        <f t="shared" si="24"/>
        <v>0.12184466350232884</v>
      </c>
      <c r="AB109" s="22">
        <f t="shared" si="24"/>
        <v>0.1221092875582894</v>
      </c>
      <c r="AC109" s="22">
        <f t="shared" si="24"/>
        <v>0.12234218010157646</v>
      </c>
      <c r="AD109" s="22">
        <f t="shared" si="24"/>
        <v>0.12254312321244377</v>
      </c>
      <c r="AE109" s="22">
        <f t="shared" si="24"/>
        <v>0.12271193510141119</v>
      </c>
      <c r="AF109" s="22">
        <f t="shared" si="24"/>
        <v>0.12284843668588494</v>
      </c>
      <c r="AG109" s="22">
        <f t="shared" si="24"/>
        <v>0.12295247873515695</v>
      </c>
      <c r="AH109" s="22">
        <f t="shared" si="24"/>
        <v>0.12302394179853401</v>
      </c>
      <c r="AI109" s="22">
        <f t="shared" si="24"/>
        <v>0.12306270455319578</v>
      </c>
      <c r="AJ109" s="22">
        <f t="shared" si="24"/>
        <v>0.12306865704296534</v>
      </c>
      <c r="AK109" s="22">
        <f t="shared" si="24"/>
        <v>7.3265802876620559E-2</v>
      </c>
      <c r="AL109" s="22">
        <f t="shared" si="24"/>
        <v>7.322358485509374E-2</v>
      </c>
      <c r="AM109" s="22">
        <f t="shared" si="24"/>
        <v>7.3182328438063146E-2</v>
      </c>
      <c r="AN109" s="22">
        <f t="shared" si="24"/>
        <v>7.3141977323778182E-2</v>
      </c>
      <c r="AO109" s="22">
        <f t="shared" si="24"/>
        <v>7.3102465037779299E-2</v>
      </c>
      <c r="AP109" s="22">
        <f t="shared" si="24"/>
        <v>7.3063959614436361E-2</v>
      </c>
      <c r="AQ109" s="22">
        <f t="shared" si="24"/>
        <v>7.3026574505796304E-2</v>
      </c>
      <c r="AR109" s="22">
        <f t="shared" si="24"/>
        <v>7.299032409378052E-2</v>
      </c>
      <c r="AS109" s="22">
        <f t="shared" si="24"/>
        <v>7.2955343151510282E-2</v>
      </c>
      <c r="AT109" s="22">
        <f t="shared" si="24"/>
        <v>7.2921781713616574E-2</v>
      </c>
      <c r="AU109" s="22">
        <f t="shared" si="24"/>
        <v>7.2889659597002901E-2</v>
      </c>
      <c r="AV109" s="22">
        <f t="shared" si="24"/>
        <v>7.2858956618379891E-2</v>
      </c>
      <c r="AW109" s="22">
        <f t="shared" si="24"/>
        <v>7.282965905259077E-2</v>
      </c>
      <c r="AY109" s="79"/>
    </row>
    <row r="110" spans="1:51" x14ac:dyDescent="0.25">
      <c r="A110" s="95" t="str">
        <f t="shared" si="0"/>
        <v>FS Leaching</v>
      </c>
      <c r="B110" s="95" t="s">
        <v>1004</v>
      </c>
      <c r="C110" s="95" t="s">
        <v>1190</v>
      </c>
      <c r="D110" t="s">
        <v>369</v>
      </c>
      <c r="E110" t="s">
        <v>61</v>
      </c>
      <c r="F110" t="s">
        <v>63</v>
      </c>
      <c r="G110" t="s">
        <v>1193</v>
      </c>
      <c r="H110" t="s">
        <v>1194</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25">
      <c r="A111" s="95" t="str">
        <f t="shared" si="0"/>
        <v>FS Leaching</v>
      </c>
      <c r="B111" s="95" t="s">
        <v>1004</v>
      </c>
      <c r="C111" s="95" t="s">
        <v>1190</v>
      </c>
      <c r="D111" t="s">
        <v>369</v>
      </c>
      <c r="E111" t="s">
        <v>61</v>
      </c>
      <c r="F111" t="s">
        <v>63</v>
      </c>
      <c r="G111" t="s">
        <v>1195</v>
      </c>
      <c r="H111" t="s">
        <v>1196</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25">
      <c r="A112" s="95" t="str">
        <f t="shared" si="0"/>
        <v>FS Leaching</v>
      </c>
      <c r="B112" s="95" t="s">
        <v>1004</v>
      </c>
      <c r="C112" s="95" t="s">
        <v>1190</v>
      </c>
      <c r="D112" t="s">
        <v>369</v>
      </c>
      <c r="E112" t="s">
        <v>61</v>
      </c>
      <c r="F112" t="s">
        <v>63</v>
      </c>
      <c r="G112" t="s">
        <v>1197</v>
      </c>
      <c r="H112" t="s">
        <v>1198</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25">
      <c r="A113" s="95" t="str">
        <f t="shared" si="0"/>
        <v>FS Leaching</v>
      </c>
      <c r="B113" s="95" t="s">
        <v>1004</v>
      </c>
      <c r="C113" s="95" t="s">
        <v>1190</v>
      </c>
      <c r="D113" t="s">
        <v>369</v>
      </c>
      <c r="E113" t="s">
        <v>61</v>
      </c>
      <c r="F113" t="s">
        <v>63</v>
      </c>
      <c r="G113" t="s">
        <v>1199</v>
      </c>
      <c r="H113" t="s">
        <v>1200</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25">
      <c r="A114" s="95" t="str">
        <f t="shared" si="0"/>
        <v>FS Leaching</v>
      </c>
      <c r="B114" s="95" t="s">
        <v>1004</v>
      </c>
      <c r="C114" s="95" t="s">
        <v>1190</v>
      </c>
      <c r="D114" t="s">
        <v>369</v>
      </c>
      <c r="E114" t="s">
        <v>61</v>
      </c>
      <c r="F114" t="s">
        <v>63</v>
      </c>
      <c r="G114" t="s">
        <v>1201</v>
      </c>
      <c r="H114" t="s">
        <v>1202</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25">
      <c r="A115" s="95" t="str">
        <f t="shared" si="0"/>
        <v>FS Leaching</v>
      </c>
      <c r="B115" s="95" t="s">
        <v>1004</v>
      </c>
      <c r="C115" s="95" t="s">
        <v>1190</v>
      </c>
      <c r="D115" t="s">
        <v>369</v>
      </c>
      <c r="E115" t="s">
        <v>61</v>
      </c>
      <c r="F115" t="s">
        <v>63</v>
      </c>
      <c r="G115" t="s">
        <v>1203</v>
      </c>
      <c r="H115" t="s">
        <v>1204</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25">
      <c r="A116" s="95" t="str">
        <f t="shared" si="0"/>
        <v>FS Leaching</v>
      </c>
      <c r="B116" s="95" t="s">
        <v>1004</v>
      </c>
      <c r="C116" s="95" t="s">
        <v>1190</v>
      </c>
      <c r="D116" t="s">
        <v>369</v>
      </c>
      <c r="E116" t="s">
        <v>61</v>
      </c>
      <c r="F116" t="s">
        <v>63</v>
      </c>
      <c r="G116" t="s">
        <v>1205</v>
      </c>
      <c r="H116" t="s">
        <v>1206</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25">
      <c r="A117" s="95" t="str">
        <f t="shared" si="0"/>
        <v>FS Leaching</v>
      </c>
      <c r="B117" s="95" t="s">
        <v>1004</v>
      </c>
      <c r="C117" s="95" t="s">
        <v>1190</v>
      </c>
      <c r="D117" t="s">
        <v>369</v>
      </c>
      <c r="E117" t="s">
        <v>61</v>
      </c>
      <c r="F117" t="s">
        <v>63</v>
      </c>
      <c r="G117" t="s">
        <v>1207</v>
      </c>
      <c r="H117" t="s">
        <v>1208</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25">
      <c r="A118" s="95" t="str">
        <f t="shared" si="0"/>
        <v>FS Leaching</v>
      </c>
      <c r="B118" s="95" t="s">
        <v>1004</v>
      </c>
      <c r="C118" s="95" t="s">
        <v>1190</v>
      </c>
      <c r="D118" t="s">
        <v>369</v>
      </c>
      <c r="E118" t="s">
        <v>61</v>
      </c>
      <c r="F118" t="s">
        <v>63</v>
      </c>
      <c r="G118" t="s">
        <v>1209</v>
      </c>
      <c r="H118" t="s">
        <v>1210</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25">
      <c r="A119" s="95" t="str">
        <f t="shared" si="0"/>
        <v>FS Leaching</v>
      </c>
      <c r="B119" s="95" t="s">
        <v>1004</v>
      </c>
      <c r="C119" s="95" t="s">
        <v>1190</v>
      </c>
      <c r="D119" t="s">
        <v>369</v>
      </c>
      <c r="E119" t="s">
        <v>61</v>
      </c>
      <c r="F119" t="s">
        <v>63</v>
      </c>
      <c r="G119" t="s">
        <v>1211</v>
      </c>
      <c r="H119" t="s">
        <v>1212</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25">
      <c r="A120" s="95" t="str">
        <f t="shared" si="0"/>
        <v>FS Leaching</v>
      </c>
      <c r="B120" s="95" t="s">
        <v>1004</v>
      </c>
      <c r="C120" s="95" t="s">
        <v>1190</v>
      </c>
      <c r="D120" t="s">
        <v>369</v>
      </c>
      <c r="E120" t="s">
        <v>61</v>
      </c>
      <c r="F120" t="s">
        <v>63</v>
      </c>
      <c r="G120" t="s">
        <v>1213</v>
      </c>
      <c r="H120" t="s">
        <v>1214</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25">
      <c r="A121" s="95" t="str">
        <f t="shared" si="0"/>
        <v xml:space="preserve">FS </v>
      </c>
      <c r="B121" s="95" t="s">
        <v>1004</v>
      </c>
      <c r="C121" s="95"/>
      <c r="D121" t="s">
        <v>369</v>
      </c>
      <c r="E121" t="s">
        <v>61</v>
      </c>
      <c r="F121" t="s">
        <v>63</v>
      </c>
      <c r="G121" t="s">
        <v>1215</v>
      </c>
      <c r="H121" t="s">
        <v>1216</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25">
      <c r="A122" s="95" t="str">
        <f t="shared" si="0"/>
        <v>FS MM Volatilisation</v>
      </c>
      <c r="B122" s="95" t="s">
        <v>1004</v>
      </c>
      <c r="C122" s="95" t="s">
        <v>1332</v>
      </c>
      <c r="D122" t="s">
        <v>369</v>
      </c>
      <c r="E122" t="s">
        <v>64</v>
      </c>
      <c r="F122" t="s">
        <v>62</v>
      </c>
      <c r="G122" t="s">
        <v>1152</v>
      </c>
      <c r="H122" t="s">
        <v>1290</v>
      </c>
      <c r="I122" t="s">
        <v>139</v>
      </c>
      <c r="J122" t="s">
        <v>287</v>
      </c>
      <c r="K122" s="22">
        <f t="shared" si="26"/>
        <v>0.39609736661915962</v>
      </c>
      <c r="L122" s="22">
        <f t="shared" si="27"/>
        <v>0.39831175345583053</v>
      </c>
      <c r="M122" s="22">
        <f t="shared" si="27"/>
        <v>0.40145358914715529</v>
      </c>
      <c r="N122" s="22">
        <f t="shared" si="27"/>
        <v>0.40347255325329029</v>
      </c>
      <c r="O122" s="22">
        <f t="shared" si="27"/>
        <v>0.40481416413578281</v>
      </c>
      <c r="P122" s="22">
        <f t="shared" si="27"/>
        <v>0.40546521734783819</v>
      </c>
      <c r="Q122" s="22">
        <f t="shared" si="27"/>
        <v>0.40690363619044922</v>
      </c>
      <c r="R122" s="22">
        <f t="shared" si="27"/>
        <v>0.40855374420631202</v>
      </c>
      <c r="S122" s="22">
        <f t="shared" si="27"/>
        <v>0.39694485067455443</v>
      </c>
      <c r="T122" s="22">
        <f t="shared" si="27"/>
        <v>0.40377484899001992</v>
      </c>
      <c r="U122" s="22">
        <f t="shared" si="27"/>
        <v>0.69472691845052781</v>
      </c>
      <c r="V122" s="22">
        <f t="shared" si="27"/>
        <v>0.70310152718694741</v>
      </c>
      <c r="W122" s="22">
        <f t="shared" si="27"/>
        <v>0.71110880509409102</v>
      </c>
      <c r="X122" s="22">
        <f t="shared" si="27"/>
        <v>0.718612550142118</v>
      </c>
      <c r="Y122" s="22">
        <f t="shared" si="27"/>
        <v>0.7254123730618981</v>
      </c>
      <c r="Z122" s="22">
        <f t="shared" si="27"/>
        <v>0.73147651852735551</v>
      </c>
      <c r="AA122" s="22">
        <f t="shared" si="27"/>
        <v>0.73676965969026942</v>
      </c>
      <c r="AB122" s="22">
        <f t="shared" si="27"/>
        <v>0.74126505933946241</v>
      </c>
      <c r="AC122" s="22">
        <f t="shared" si="27"/>
        <v>0.74494151296918631</v>
      </c>
      <c r="AD122" s="22">
        <f t="shared" si="27"/>
        <v>0.74777672987859323</v>
      </c>
      <c r="AE122" s="22">
        <f t="shared" si="27"/>
        <v>0.7497573654957449</v>
      </c>
      <c r="AF122" s="22">
        <f t="shared" si="27"/>
        <v>0.75087061941702216</v>
      </c>
      <c r="AG122" s="22">
        <f t="shared" si="27"/>
        <v>0.75110412486622213</v>
      </c>
      <c r="AH122" s="22">
        <f t="shared" si="27"/>
        <v>0.75045562343243666</v>
      </c>
      <c r="AI122" s="22">
        <f t="shared" si="27"/>
        <v>0.74892880709192955</v>
      </c>
      <c r="AJ122" s="22">
        <f t="shared" si="27"/>
        <v>0.2369481237841857</v>
      </c>
      <c r="AK122" s="22">
        <f t="shared" si="27"/>
        <v>0.23712109193812289</v>
      </c>
      <c r="AL122" s="22">
        <f t="shared" si="27"/>
        <v>0.23728160870243259</v>
      </c>
      <c r="AM122" s="22">
        <f t="shared" si="27"/>
        <v>0.2374307599177384</v>
      </c>
      <c r="AN122" s="22">
        <f t="shared" si="27"/>
        <v>0.2375698831121214</v>
      </c>
      <c r="AO122" s="22">
        <f t="shared" si="27"/>
        <v>0.23769461188435137</v>
      </c>
      <c r="AP122" s="22">
        <f t="shared" si="27"/>
        <v>0.2378020140279184</v>
      </c>
      <c r="AQ122" s="22">
        <f t="shared" si="27"/>
        <v>0.23789161932894973</v>
      </c>
      <c r="AR122" s="22">
        <f t="shared" si="27"/>
        <v>0.23796010078507188</v>
      </c>
      <c r="AS122" s="22">
        <f t="shared" si="27"/>
        <v>0.2380038463120322</v>
      </c>
      <c r="AT122" s="22">
        <f t="shared" si="27"/>
        <v>0.23802240976704672</v>
      </c>
      <c r="AU122" s="22">
        <f t="shared" si="27"/>
        <v>0.23801630420250081</v>
      </c>
      <c r="AV122" s="22">
        <f t="shared" si="27"/>
        <v>0.23798588741324539</v>
      </c>
      <c r="AW122" s="22">
        <f t="shared" si="27"/>
        <v>0.23792776204046176</v>
      </c>
      <c r="AY122" s="79"/>
    </row>
    <row r="123" spans="1:51" x14ac:dyDescent="0.25">
      <c r="A123" s="95" t="str">
        <f t="shared" si="0"/>
        <v>FS MM Volatilisation</v>
      </c>
      <c r="B123" s="95" t="s">
        <v>1004</v>
      </c>
      <c r="C123" s="95" t="s">
        <v>1332</v>
      </c>
      <c r="D123" t="s">
        <v>369</v>
      </c>
      <c r="E123" t="s">
        <v>64</v>
      </c>
      <c r="F123" t="s">
        <v>62</v>
      </c>
      <c r="G123" t="s">
        <v>1154</v>
      </c>
      <c r="H123" t="s">
        <v>1291</v>
      </c>
      <c r="I123" t="s">
        <v>139</v>
      </c>
      <c r="J123" t="s">
        <v>287</v>
      </c>
      <c r="K123" s="22">
        <f t="shared" si="26"/>
        <v>3.1249813656142676E-2</v>
      </c>
      <c r="L123" s="22">
        <f t="shared" si="27"/>
        <v>3.1424516095088999E-2</v>
      </c>
      <c r="M123" s="22">
        <f t="shared" si="27"/>
        <v>3.1672388936885787E-2</v>
      </c>
      <c r="N123" s="22">
        <f t="shared" si="27"/>
        <v>3.1831673641638247E-2</v>
      </c>
      <c r="O123" s="22">
        <f t="shared" si="27"/>
        <v>3.1937519056453263E-2</v>
      </c>
      <c r="P123" s="22">
        <f t="shared" si="27"/>
        <v>3.1988883426104654E-2</v>
      </c>
      <c r="Q123" s="22">
        <f t="shared" si="27"/>
        <v>3.2102366434524382E-2</v>
      </c>
      <c r="R123" s="22">
        <f t="shared" si="27"/>
        <v>3.2232550506305399E-2</v>
      </c>
      <c r="S123" s="22">
        <f t="shared" si="27"/>
        <v>3.1316675294314346E-2</v>
      </c>
      <c r="T123" s="22">
        <f t="shared" si="27"/>
        <v>3.1855523043926581E-2</v>
      </c>
      <c r="U123" s="22">
        <f t="shared" si="27"/>
        <v>5.4809974953353012E-2</v>
      </c>
      <c r="V123" s="22">
        <f t="shared" si="27"/>
        <v>5.547068361872478E-2</v>
      </c>
      <c r="W123" s="22">
        <f t="shared" si="27"/>
        <v>5.6102411985482069E-2</v>
      </c>
      <c r="X123" s="22">
        <f t="shared" si="27"/>
        <v>5.6694414493540908E-2</v>
      </c>
      <c r="Y123" s="22">
        <f t="shared" si="27"/>
        <v>5.7230881577257239E-2</v>
      </c>
      <c r="Z123" s="22">
        <f t="shared" si="27"/>
        <v>5.7709307923276061E-2</v>
      </c>
      <c r="AA123" s="22">
        <f t="shared" si="27"/>
        <v>5.812690644560041E-2</v>
      </c>
      <c r="AB123" s="22">
        <f t="shared" si="27"/>
        <v>5.8481567731400452E-2</v>
      </c>
      <c r="AC123" s="22">
        <f t="shared" si="27"/>
        <v>5.8771618866617373E-2</v>
      </c>
      <c r="AD123" s="22">
        <f t="shared" si="27"/>
        <v>5.8995301242619896E-2</v>
      </c>
      <c r="AE123" s="22">
        <f t="shared" si="27"/>
        <v>5.9151562049110484E-2</v>
      </c>
      <c r="AF123" s="22">
        <f t="shared" si="27"/>
        <v>5.9239391407555408E-2</v>
      </c>
      <c r="AG123" s="22">
        <f t="shared" si="27"/>
        <v>5.9257813650140552E-2</v>
      </c>
      <c r="AH123" s="22">
        <f t="shared" si="27"/>
        <v>5.9206650601179869E-2</v>
      </c>
      <c r="AI123" s="22">
        <f t="shared" si="27"/>
        <v>5.9086193536455466E-2</v>
      </c>
      <c r="AJ123" s="22">
        <f t="shared" si="27"/>
        <v>1.8693849892589171E-2</v>
      </c>
      <c r="AK123" s="22">
        <f t="shared" si="27"/>
        <v>1.870749608929358E-2</v>
      </c>
      <c r="AL123" s="22">
        <f t="shared" si="27"/>
        <v>1.8720159942669283E-2</v>
      </c>
      <c r="AM123" s="22">
        <f t="shared" si="27"/>
        <v>1.873192711932253E-2</v>
      </c>
      <c r="AN123" s="22">
        <f t="shared" si="27"/>
        <v>1.8742903142558495E-2</v>
      </c>
      <c r="AO123" s="22">
        <f t="shared" si="27"/>
        <v>1.8752743528327825E-2</v>
      </c>
      <c r="AP123" s="22">
        <f t="shared" si="27"/>
        <v>1.8761216942330506E-2</v>
      </c>
      <c r="AQ123" s="22">
        <f t="shared" si="27"/>
        <v>1.8768286287385059E-2</v>
      </c>
      <c r="AR123" s="22">
        <f t="shared" si="27"/>
        <v>1.8773689082058967E-2</v>
      </c>
      <c r="AS123" s="22">
        <f t="shared" si="27"/>
        <v>1.8777140353592202E-2</v>
      </c>
      <c r="AT123" s="22">
        <f t="shared" si="27"/>
        <v>1.8778604903874292E-2</v>
      </c>
      <c r="AU123" s="22">
        <f t="shared" si="27"/>
        <v>1.877812320980005E-2</v>
      </c>
      <c r="AV123" s="22">
        <f t="shared" si="27"/>
        <v>1.8775723499333995E-2</v>
      </c>
      <c r="AW123" s="22">
        <f t="shared" si="27"/>
        <v>1.8771137740323057E-2</v>
      </c>
      <c r="AY123" s="79"/>
    </row>
    <row r="124" spans="1:51" x14ac:dyDescent="0.25">
      <c r="A124" s="95" t="str">
        <f t="shared" si="0"/>
        <v>FS MM Volatilisation</v>
      </c>
      <c r="B124" s="95" t="s">
        <v>1004</v>
      </c>
      <c r="C124" s="95" t="s">
        <v>1332</v>
      </c>
      <c r="D124" t="s">
        <v>369</v>
      </c>
      <c r="E124" t="s">
        <v>64</v>
      </c>
      <c r="F124" t="s">
        <v>62</v>
      </c>
      <c r="G124" t="s">
        <v>1156</v>
      </c>
      <c r="H124" t="s">
        <v>1292</v>
      </c>
      <c r="I124" t="s">
        <v>139</v>
      </c>
      <c r="J124" t="s">
        <v>287</v>
      </c>
      <c r="K124" s="22">
        <f t="shared" si="26"/>
        <v>2.8967336997006343E-4</v>
      </c>
      <c r="L124" s="22">
        <f t="shared" si="27"/>
        <v>2.9129279224209421E-4</v>
      </c>
      <c r="M124" s="22">
        <f t="shared" si="27"/>
        <v>2.9359047510821973E-4</v>
      </c>
      <c r="N124" s="22">
        <f t="shared" si="27"/>
        <v>2.9506698110336069E-4</v>
      </c>
      <c r="O124" s="22">
        <f t="shared" si="27"/>
        <v>2.960481260901027E-4</v>
      </c>
      <c r="P124" s="22">
        <f t="shared" si="27"/>
        <v>2.9652425341095731E-4</v>
      </c>
      <c r="Q124" s="22">
        <f t="shared" si="27"/>
        <v>2.9757619585915883E-4</v>
      </c>
      <c r="R124" s="22">
        <f t="shared" si="27"/>
        <v>2.9878295053629658E-4</v>
      </c>
      <c r="S124" s="22">
        <f t="shared" si="27"/>
        <v>2.9029315081944787E-4</v>
      </c>
      <c r="T124" s="22">
        <f t="shared" si="27"/>
        <v>2.9528805559707279E-4</v>
      </c>
      <c r="U124" s="22">
        <f t="shared" si="27"/>
        <v>5.0806671449036449E-4</v>
      </c>
      <c r="V124" s="22">
        <f t="shared" si="27"/>
        <v>5.1419122159215467E-4</v>
      </c>
      <c r="W124" s="22">
        <f t="shared" si="27"/>
        <v>5.200470928276717E-4</v>
      </c>
      <c r="X124" s="22">
        <f t="shared" si="27"/>
        <v>5.2553472111970217E-4</v>
      </c>
      <c r="Y124" s="22">
        <f t="shared" si="27"/>
        <v>5.3050755806932593E-4</v>
      </c>
      <c r="Z124" s="22">
        <f t="shared" si="27"/>
        <v>5.3494238041606622E-4</v>
      </c>
      <c r="AA124" s="22">
        <f t="shared" si="27"/>
        <v>5.3881335297888784E-4</v>
      </c>
      <c r="AB124" s="22">
        <f t="shared" si="27"/>
        <v>5.42100922338055E-4</v>
      </c>
      <c r="AC124" s="22">
        <f t="shared" si="27"/>
        <v>5.4478958124419888E-4</v>
      </c>
      <c r="AD124" s="22">
        <f t="shared" si="27"/>
        <v>5.4686302809327551E-4</v>
      </c>
      <c r="AE124" s="22">
        <f t="shared" si="27"/>
        <v>5.4831150375167243E-4</v>
      </c>
      <c r="AF124" s="22">
        <f t="shared" si="27"/>
        <v>5.4912564704618944E-4</v>
      </c>
      <c r="AG124" s="22">
        <f t="shared" si="27"/>
        <v>5.4929641392341823E-4</v>
      </c>
      <c r="AH124" s="22">
        <f t="shared" si="27"/>
        <v>5.4882215276546513E-4</v>
      </c>
      <c r="AI124" s="22">
        <f t="shared" si="27"/>
        <v>5.4770556358322664E-4</v>
      </c>
      <c r="AJ124" s="22">
        <f t="shared" si="27"/>
        <v>1.7328456917170714E-4</v>
      </c>
      <c r="AK124" s="22">
        <f t="shared" si="27"/>
        <v>1.7341106399916873E-4</v>
      </c>
      <c r="AL124" s="22">
        <f t="shared" si="27"/>
        <v>1.7352845289385181E-4</v>
      </c>
      <c r="AM124" s="22">
        <f t="shared" si="27"/>
        <v>1.7363752995119643E-4</v>
      </c>
      <c r="AN124" s="22">
        <f t="shared" si="27"/>
        <v>1.7373927333036077E-4</v>
      </c>
      <c r="AO124" s="22">
        <f t="shared" si="27"/>
        <v>1.7383048980092826E-4</v>
      </c>
      <c r="AP124" s="22">
        <f t="shared" si="27"/>
        <v>1.7390903498575136E-4</v>
      </c>
      <c r="AQ124" s="22">
        <f t="shared" si="27"/>
        <v>1.7397456500868103E-4</v>
      </c>
      <c r="AR124" s="22">
        <f t="shared" si="27"/>
        <v>1.7402464677101302E-4</v>
      </c>
      <c r="AS124" s="22">
        <f t="shared" si="27"/>
        <v>1.7405663868836374E-4</v>
      </c>
      <c r="AT124" s="22">
        <f t="shared" si="27"/>
        <v>1.7407021448821884E-4</v>
      </c>
      <c r="AU124" s="22">
        <f t="shared" si="27"/>
        <v>1.7406574937532841E-4</v>
      </c>
      <c r="AV124" s="22">
        <f t="shared" si="27"/>
        <v>1.7404350501172027E-4</v>
      </c>
      <c r="AW124" s="22">
        <f t="shared" si="27"/>
        <v>1.740009968457137E-4</v>
      </c>
      <c r="AY124" s="79"/>
    </row>
    <row r="125" spans="1:51" x14ac:dyDescent="0.25">
      <c r="A125" s="95" t="str">
        <f t="shared" si="0"/>
        <v>FS MM Volatilisation</v>
      </c>
      <c r="B125" s="95" t="s">
        <v>1004</v>
      </c>
      <c r="C125" s="95" t="s">
        <v>1332</v>
      </c>
      <c r="D125" t="s">
        <v>369</v>
      </c>
      <c r="E125" t="s">
        <v>64</v>
      </c>
      <c r="F125" t="s">
        <v>62</v>
      </c>
      <c r="G125" t="s">
        <v>1158</v>
      </c>
      <c r="H125" t="s">
        <v>1293</v>
      </c>
      <c r="I125" t="s">
        <v>139</v>
      </c>
      <c r="J125" t="s">
        <v>287</v>
      </c>
      <c r="K125" s="22">
        <f t="shared" si="26"/>
        <v>3.2323215352203878E-3</v>
      </c>
      <c r="L125" s="22">
        <f t="shared" si="27"/>
        <v>3.2042886428129457E-3</v>
      </c>
      <c r="M125" s="22">
        <f t="shared" si="27"/>
        <v>3.193617369300608E-3</v>
      </c>
      <c r="N125" s="22">
        <f t="shared" si="27"/>
        <v>3.1509707896886733E-3</v>
      </c>
      <c r="O125" s="22">
        <f t="shared" si="27"/>
        <v>3.0890682378804119E-3</v>
      </c>
      <c r="P125" s="22">
        <f t="shared" si="27"/>
        <v>3.0091897617382946E-3</v>
      </c>
      <c r="Q125" s="22">
        <f t="shared" si="27"/>
        <v>2.9461872714039491E-3</v>
      </c>
      <c r="R125" s="22">
        <f t="shared" si="27"/>
        <v>2.8865797531671873E-3</v>
      </c>
      <c r="S125" s="22">
        <f t="shared" si="27"/>
        <v>2.5815224060103171E-3</v>
      </c>
      <c r="T125" s="22">
        <f t="shared" si="27"/>
        <v>2.6809806193820299E-3</v>
      </c>
      <c r="U125" s="22">
        <f t="shared" si="27"/>
        <v>8.4496349357244746E-3</v>
      </c>
      <c r="V125" s="22">
        <f t="shared" si="27"/>
        <v>8.490390729273779E-3</v>
      </c>
      <c r="W125" s="22">
        <f t="shared" si="27"/>
        <v>8.5164743363873984E-3</v>
      </c>
      <c r="X125" s="22">
        <f t="shared" si="27"/>
        <v>8.5278804443353062E-3</v>
      </c>
      <c r="Y125" s="22">
        <f t="shared" si="27"/>
        <v>8.5248506776145015E-3</v>
      </c>
      <c r="Z125" s="22">
        <f t="shared" si="27"/>
        <v>8.5072398121281648E-3</v>
      </c>
      <c r="AA125" s="22">
        <f t="shared" si="27"/>
        <v>8.4750047085989932E-3</v>
      </c>
      <c r="AB125" s="22">
        <f t="shared" si="27"/>
        <v>8.4281720385821924E-3</v>
      </c>
      <c r="AC125" s="22">
        <f t="shared" si="27"/>
        <v>8.3668471101216637E-3</v>
      </c>
      <c r="AD125" s="22">
        <f t="shared" si="27"/>
        <v>8.2215560258446178E-3</v>
      </c>
      <c r="AE125" s="22">
        <f t="shared" si="27"/>
        <v>8.0625794404136485E-3</v>
      </c>
      <c r="AF125" s="22">
        <f t="shared" si="27"/>
        <v>7.8906316671852623E-3</v>
      </c>
      <c r="AG125" s="22">
        <f t="shared" si="27"/>
        <v>7.7065081858302149E-3</v>
      </c>
      <c r="AH125" s="22">
        <f t="shared" si="27"/>
        <v>7.5110558523361756E-3</v>
      </c>
      <c r="AI125" s="22">
        <f t="shared" si="27"/>
        <v>7.3051764470657117E-3</v>
      </c>
      <c r="AJ125" s="22">
        <f t="shared" si="27"/>
        <v>-5.6405599805615676E-4</v>
      </c>
      <c r="AK125" s="22">
        <f t="shared" si="27"/>
        <v>-5.5047515962352916E-4</v>
      </c>
      <c r="AL125" s="22">
        <f t="shared" si="27"/>
        <v>-5.3703562288424922E-4</v>
      </c>
      <c r="AM125" s="22">
        <f t="shared" si="27"/>
        <v>-5.2373599978206974E-4</v>
      </c>
      <c r="AN125" s="22">
        <f t="shared" si="27"/>
        <v>-5.1318044022279606E-4</v>
      </c>
      <c r="AO125" s="22">
        <f t="shared" si="27"/>
        <v>-5.0272501169057937E-4</v>
      </c>
      <c r="AP125" s="22">
        <f t="shared" si="27"/>
        <v>-4.9236193773087231E-4</v>
      </c>
      <c r="AQ125" s="22">
        <f t="shared" si="27"/>
        <v>-4.8208865134491532E-4</v>
      </c>
      <c r="AR125" s="22">
        <f t="shared" si="27"/>
        <v>-4.7189764173024049E-4</v>
      </c>
      <c r="AS125" s="22">
        <f t="shared" si="27"/>
        <v>-4.6178155356127546E-4</v>
      </c>
      <c r="AT125" s="22">
        <f t="shared" si="27"/>
        <v>-4.5173920552966836E-4</v>
      </c>
      <c r="AU125" s="22">
        <f t="shared" si="27"/>
        <v>-4.4177121806458731E-4</v>
      </c>
      <c r="AV125" s="22">
        <f t="shared" si="27"/>
        <v>-4.31877971766583E-4</v>
      </c>
      <c r="AW125" s="22">
        <f t="shared" si="27"/>
        <v>-4.220537843353357E-4</v>
      </c>
      <c r="AY125" s="79"/>
    </row>
    <row r="126" spans="1:51" x14ac:dyDescent="0.25">
      <c r="A126" s="95" t="str">
        <f t="shared" si="0"/>
        <v>FS MM Volatilisation</v>
      </c>
      <c r="B126" s="95" t="s">
        <v>1004</v>
      </c>
      <c r="C126" s="95" t="s">
        <v>1332</v>
      </c>
      <c r="D126" t="s">
        <v>369</v>
      </c>
      <c r="E126" t="s">
        <v>64</v>
      </c>
      <c r="F126" t="s">
        <v>62</v>
      </c>
      <c r="G126" t="s">
        <v>1160</v>
      </c>
      <c r="H126" t="s">
        <v>1294</v>
      </c>
      <c r="I126" t="s">
        <v>139</v>
      </c>
      <c r="J126" t="s">
        <v>287</v>
      </c>
      <c r="K126" s="22">
        <f t="shared" si="26"/>
        <v>1.6090517274103568E-2</v>
      </c>
      <c r="L126" s="22">
        <f t="shared" si="27"/>
        <v>1.5950969356419611E-2</v>
      </c>
      <c r="M126" s="22">
        <f t="shared" si="27"/>
        <v>1.5897847688628834E-2</v>
      </c>
      <c r="N126" s="22">
        <f t="shared" si="27"/>
        <v>1.5685552742581491E-2</v>
      </c>
      <c r="O126" s="22">
        <f t="shared" si="27"/>
        <v>1.5377401443792458E-2</v>
      </c>
      <c r="P126" s="22">
        <f t="shared" si="27"/>
        <v>1.4979765878707448E-2</v>
      </c>
      <c r="Q126" s="22">
        <f t="shared" si="27"/>
        <v>1.4666139078901096E-2</v>
      </c>
      <c r="R126" s="22">
        <f t="shared" si="27"/>
        <v>1.4369412471908493E-2</v>
      </c>
      <c r="S126" s="22">
        <f t="shared" si="27"/>
        <v>1.2850835046817909E-2</v>
      </c>
      <c r="T126" s="22">
        <f t="shared" si="27"/>
        <v>1.3345938669050808E-2</v>
      </c>
      <c r="U126" s="22">
        <f t="shared" si="27"/>
        <v>4.2062336748275767E-2</v>
      </c>
      <c r="V126" s="22">
        <f t="shared" si="27"/>
        <v>4.2265219349211125E-2</v>
      </c>
      <c r="W126" s="22">
        <f t="shared" si="27"/>
        <v>4.2395063712236107E-2</v>
      </c>
      <c r="X126" s="22">
        <f t="shared" si="27"/>
        <v>4.2451843390546674E-2</v>
      </c>
      <c r="Y126" s="22">
        <f t="shared" si="27"/>
        <v>4.2436761192434141E-2</v>
      </c>
      <c r="Z126" s="22">
        <f t="shared" si="27"/>
        <v>4.234909419141579E-2</v>
      </c>
      <c r="AA126" s="22">
        <f t="shared" si="27"/>
        <v>4.2188627639893318E-2</v>
      </c>
      <c r="AB126" s="22">
        <f t="shared" si="27"/>
        <v>4.195549430903911E-2</v>
      </c>
      <c r="AC126" s="22">
        <f t="shared" si="27"/>
        <v>4.1650218422969176E-2</v>
      </c>
      <c r="AD126" s="22">
        <f t="shared" si="27"/>
        <v>4.0926958476252988E-2</v>
      </c>
      <c r="AE126" s="22">
        <f t="shared" si="27"/>
        <v>4.0135572017269229E-2</v>
      </c>
      <c r="AF126" s="22">
        <f t="shared" si="27"/>
        <v>3.9279614902474849E-2</v>
      </c>
      <c r="AG126" s="22">
        <f t="shared" si="27"/>
        <v>3.8363047034758228E-2</v>
      </c>
      <c r="AH126" s="22">
        <f t="shared" si="27"/>
        <v>3.7390084068641902E-2</v>
      </c>
      <c r="AI126" s="22">
        <f t="shared" si="27"/>
        <v>3.6365215072537933E-2</v>
      </c>
      <c r="AJ126" s="22">
        <f t="shared" si="27"/>
        <v>-2.8078743656501674E-3</v>
      </c>
      <c r="AK126" s="22">
        <f t="shared" si="27"/>
        <v>-2.7402688650785463E-3</v>
      </c>
      <c r="AL126" s="22">
        <f t="shared" si="27"/>
        <v>-2.6733667652400826E-3</v>
      </c>
      <c r="AM126" s="22">
        <f t="shared" si="27"/>
        <v>-2.6071611563818981E-3</v>
      </c>
      <c r="AN126" s="22">
        <f t="shared" si="27"/>
        <v>-2.554615513389502E-3</v>
      </c>
      <c r="AO126" s="22">
        <f t="shared" si="27"/>
        <v>-2.5025683232901678E-3</v>
      </c>
      <c r="AP126" s="22">
        <f t="shared" si="27"/>
        <v>-2.4509808748434249E-3</v>
      </c>
      <c r="AQ126" s="22">
        <f t="shared" si="27"/>
        <v>-2.3998403895130306E-3</v>
      </c>
      <c r="AR126" s="22">
        <f t="shared" si="27"/>
        <v>-2.3491094784762676E-3</v>
      </c>
      <c r="AS126" s="22">
        <f t="shared" si="27"/>
        <v>-2.2987515268753948E-3</v>
      </c>
      <c r="AT126" s="22">
        <f t="shared" si="27"/>
        <v>-2.2487606541498821E-3</v>
      </c>
      <c r="AU126" s="22">
        <f t="shared" si="27"/>
        <v>-2.1991399488000989E-3</v>
      </c>
      <c r="AV126" s="22">
        <f t="shared" si="27"/>
        <v>-2.1498913054580166E-3</v>
      </c>
      <c r="AW126" s="22">
        <f t="shared" si="27"/>
        <v>-2.1009864375963051E-3</v>
      </c>
      <c r="AY126" s="79"/>
    </row>
    <row r="127" spans="1:51" x14ac:dyDescent="0.25">
      <c r="A127" s="95" t="str">
        <f t="shared" si="0"/>
        <v>FS MM Volatilisation</v>
      </c>
      <c r="B127" s="95" t="s">
        <v>1004</v>
      </c>
      <c r="C127" s="95" t="s">
        <v>1332</v>
      </c>
      <c r="D127" t="s">
        <v>369</v>
      </c>
      <c r="E127" t="s">
        <v>64</v>
      </c>
      <c r="F127" t="s">
        <v>62</v>
      </c>
      <c r="G127" t="s">
        <v>1162</v>
      </c>
      <c r="H127" t="s">
        <v>1295</v>
      </c>
      <c r="I127" t="s">
        <v>139</v>
      </c>
      <c r="J127" t="s">
        <v>287</v>
      </c>
      <c r="K127" s="22">
        <f t="shared" si="26"/>
        <v>0.15836052531214873</v>
      </c>
      <c r="L127" s="22">
        <f t="shared" si="27"/>
        <v>0.16370016056893644</v>
      </c>
      <c r="M127" s="22">
        <f t="shared" si="27"/>
        <v>0.17003774892948584</v>
      </c>
      <c r="N127" s="22">
        <f t="shared" si="27"/>
        <v>0.17476418316081979</v>
      </c>
      <c r="O127" s="22">
        <f t="shared" si="27"/>
        <v>0.1784091501709566</v>
      </c>
      <c r="P127" s="22">
        <f t="shared" si="27"/>
        <v>0.18092055691117109</v>
      </c>
      <c r="Q127" s="22">
        <f t="shared" si="27"/>
        <v>0.18434967364231722</v>
      </c>
      <c r="R127" s="22">
        <f t="shared" si="27"/>
        <v>0.18794438918293385</v>
      </c>
      <c r="S127" s="22">
        <f t="shared" si="27"/>
        <v>0.17487533171838066</v>
      </c>
      <c r="T127" s="22">
        <f t="shared" si="27"/>
        <v>0.18598828710895501</v>
      </c>
      <c r="U127" s="22">
        <f t="shared" si="27"/>
        <v>0.60010716171461598</v>
      </c>
      <c r="V127" s="22">
        <f t="shared" si="27"/>
        <v>0.61714803501653059</v>
      </c>
      <c r="W127" s="22">
        <f t="shared" si="27"/>
        <v>0.63339573291461304</v>
      </c>
      <c r="X127" s="22">
        <f t="shared" si="27"/>
        <v>0.64878782379484634</v>
      </c>
      <c r="Y127" s="22">
        <f t="shared" si="27"/>
        <v>0.6632790614565599</v>
      </c>
      <c r="Z127" s="22">
        <f t="shared" si="27"/>
        <v>0.67679301375274348</v>
      </c>
      <c r="AA127" s="22">
        <f t="shared" si="27"/>
        <v>0.68925834109941053</v>
      </c>
      <c r="AB127" s="22">
        <f t="shared" si="27"/>
        <v>0.70060688133816351</v>
      </c>
      <c r="AC127" s="22">
        <f t="shared" si="27"/>
        <v>0.71077490529773002</v>
      </c>
      <c r="AD127" s="22">
        <f t="shared" si="27"/>
        <v>0.72159413752844115</v>
      </c>
      <c r="AE127" s="22">
        <f t="shared" si="27"/>
        <v>0.73115327204335434</v>
      </c>
      <c r="AF127" s="22">
        <f t="shared" si="27"/>
        <v>0.7393963545283444</v>
      </c>
      <c r="AG127" s="22">
        <f t="shared" si="27"/>
        <v>0.74627481362949688</v>
      </c>
      <c r="AH127" s="22">
        <f t="shared" si="27"/>
        <v>0.75174577116771069</v>
      </c>
      <c r="AI127" s="22">
        <f t="shared" si="27"/>
        <v>0.75577335036803739</v>
      </c>
      <c r="AJ127" s="22">
        <f t="shared" si="27"/>
        <v>-6.0331583230930269E-2</v>
      </c>
      <c r="AK127" s="22">
        <f t="shared" si="27"/>
        <v>-6.0883763489548361E-2</v>
      </c>
      <c r="AL127" s="22">
        <f t="shared" si="27"/>
        <v>-6.1432292472249253E-2</v>
      </c>
      <c r="AM127" s="22">
        <f t="shared" si="27"/>
        <v>-6.1977443387012172E-2</v>
      </c>
      <c r="AN127" s="22">
        <f t="shared" si="27"/>
        <v>-6.2441792261108069E-2</v>
      </c>
      <c r="AO127" s="22">
        <f t="shared" si="27"/>
        <v>-6.2901498019431304E-2</v>
      </c>
      <c r="AP127" s="22">
        <f t="shared" si="27"/>
        <v>-6.3355857064212845E-2</v>
      </c>
      <c r="AQ127" s="22">
        <f t="shared" si="27"/>
        <v>-6.3804744436236446E-2</v>
      </c>
      <c r="AR127" s="22">
        <f t="shared" si="27"/>
        <v>-6.4247322567233908E-2</v>
      </c>
      <c r="AS127" s="22">
        <f t="shared" si="27"/>
        <v>-6.4682656506044156E-2</v>
      </c>
      <c r="AT127" s="22">
        <f t="shared" si="27"/>
        <v>-6.5110575477313207E-2</v>
      </c>
      <c r="AU127" s="22">
        <f t="shared" si="27"/>
        <v>-6.5531144171927541E-2</v>
      </c>
      <c r="AV127" s="22">
        <f t="shared" si="27"/>
        <v>-6.5944388466371143E-2</v>
      </c>
      <c r="AW127" s="22">
        <f t="shared" si="27"/>
        <v>-6.6349375385408998E-2</v>
      </c>
      <c r="AY127" s="79"/>
    </row>
    <row r="128" spans="1:51" x14ac:dyDescent="0.25">
      <c r="A128" s="95" t="str">
        <f t="shared" si="0"/>
        <v>FS MM Volatilisation</v>
      </c>
      <c r="B128" s="95" t="s">
        <v>1004</v>
      </c>
      <c r="C128" s="95" t="s">
        <v>1332</v>
      </c>
      <c r="D128" t="s">
        <v>369</v>
      </c>
      <c r="E128" t="s">
        <v>64</v>
      </c>
      <c r="F128" t="s">
        <v>62</v>
      </c>
      <c r="G128" t="s">
        <v>1164</v>
      </c>
      <c r="H128" t="s">
        <v>1296</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1.188899025036581E-4</v>
      </c>
      <c r="T128" s="22">
        <f t="shared" si="27"/>
        <v>1.189690287837306E-4</v>
      </c>
      <c r="U128" s="22">
        <f t="shared" si="27"/>
        <v>1.205186108228768E-4</v>
      </c>
      <c r="V128" s="22">
        <f t="shared" si="27"/>
        <v>1.2055641166730559E-4</v>
      </c>
      <c r="W128" s="22">
        <f t="shared" si="27"/>
        <v>1.2071810381709918E-4</v>
      </c>
      <c r="X128" s="22">
        <f t="shared" si="27"/>
        <v>1.2095183374420191E-4</v>
      </c>
      <c r="Y128" s="22">
        <f t="shared" si="27"/>
        <v>1.2116896083678348E-4</v>
      </c>
      <c r="Z128" s="22">
        <f t="shared" si="27"/>
        <v>1.2137217342001694E-4</v>
      </c>
      <c r="AA128" s="22">
        <f t="shared" si="27"/>
        <v>1.2156038787143942E-4</v>
      </c>
      <c r="AB128" s="22">
        <f t="shared" si="27"/>
        <v>1.2173530001872475E-4</v>
      </c>
      <c r="AC128" s="22">
        <f t="shared" si="27"/>
        <v>1.2189956310100272E-4</v>
      </c>
      <c r="AD128" s="22">
        <f t="shared" si="27"/>
        <v>1.2205302234453671E-4</v>
      </c>
      <c r="AE128" s="22">
        <f t="shared" si="27"/>
        <v>1.2219813225383718E-4</v>
      </c>
      <c r="AF128" s="22">
        <f t="shared" si="27"/>
        <v>1.2233524409037175E-4</v>
      </c>
      <c r="AG128" s="22">
        <f t="shared" si="27"/>
        <v>1.2246247857835598E-4</v>
      </c>
      <c r="AH128" s="22">
        <f t="shared" si="27"/>
        <v>1.2258099962950754E-4</v>
      </c>
      <c r="AI128" s="22">
        <f t="shared" ref="L128:AW135" si="28">AI1537</f>
        <v>1.226926980528978E-4</v>
      </c>
      <c r="AJ128" s="22">
        <f t="shared" si="28"/>
        <v>1.2000006421083369E-4</v>
      </c>
      <c r="AK128" s="22">
        <f t="shared" si="28"/>
        <v>1.2011041514130369E-4</v>
      </c>
      <c r="AL128" s="22">
        <f t="shared" si="28"/>
        <v>1.2021334415571778E-4</v>
      </c>
      <c r="AM128" s="22">
        <f t="shared" si="28"/>
        <v>1.2030948030331916E-4</v>
      </c>
      <c r="AN128" s="22">
        <f t="shared" si="28"/>
        <v>1.2039958826810335E-4</v>
      </c>
      <c r="AO128" s="22">
        <f t="shared" si="28"/>
        <v>1.2048129784431056E-4</v>
      </c>
      <c r="AP128" s="22">
        <f t="shared" si="28"/>
        <v>1.2055302618273209E-4</v>
      </c>
      <c r="AQ128" s="22">
        <f t="shared" si="28"/>
        <v>1.2061454144456668E-4</v>
      </c>
      <c r="AR128" s="22">
        <f t="shared" si="28"/>
        <v>1.2066404237348151E-4</v>
      </c>
      <c r="AS128" s="22">
        <f t="shared" si="28"/>
        <v>1.206995710531147E-4</v>
      </c>
      <c r="AT128" s="22">
        <f t="shared" si="28"/>
        <v>1.2072090668873017E-4</v>
      </c>
      <c r="AU128" s="22">
        <f t="shared" si="28"/>
        <v>1.2072835361242823E-4</v>
      </c>
      <c r="AV128" s="22">
        <f t="shared" si="28"/>
        <v>1.2072212964886386E-4</v>
      </c>
      <c r="AW128" s="22">
        <f t="shared" si="28"/>
        <v>1.2070039195556491E-4</v>
      </c>
      <c r="AY128" s="79"/>
    </row>
    <row r="129" spans="1:51" x14ac:dyDescent="0.25">
      <c r="A129" s="95" t="str">
        <f t="shared" si="0"/>
        <v>FS MM Volatilisation</v>
      </c>
      <c r="B129" s="95" t="s">
        <v>1004</v>
      </c>
      <c r="C129" s="95" t="s">
        <v>1332</v>
      </c>
      <c r="D129" t="s">
        <v>369</v>
      </c>
      <c r="E129" t="s">
        <v>64</v>
      </c>
      <c r="F129" t="s">
        <v>62</v>
      </c>
      <c r="G129" t="s">
        <v>1166</v>
      </c>
      <c r="H129" t="s">
        <v>1297</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8.1588376197320827E-4</v>
      </c>
      <c r="T129" s="22">
        <f t="shared" si="28"/>
        <v>8.1642676727220354E-4</v>
      </c>
      <c r="U129" s="22">
        <f t="shared" si="28"/>
        <v>8.2706079755535391E-4</v>
      </c>
      <c r="V129" s="22">
        <f t="shared" si="28"/>
        <v>8.2732020642447472E-4</v>
      </c>
      <c r="W129" s="22">
        <f t="shared" si="28"/>
        <v>8.2842982125867857E-4</v>
      </c>
      <c r="X129" s="22">
        <f t="shared" si="28"/>
        <v>8.3003379643398353E-4</v>
      </c>
      <c r="Y129" s="22">
        <f t="shared" si="28"/>
        <v>8.3152383440517541E-4</v>
      </c>
      <c r="Z129" s="22">
        <f t="shared" si="28"/>
        <v>8.3291838384459249E-4</v>
      </c>
      <c r="AA129" s="22">
        <f t="shared" si="28"/>
        <v>8.342100083766216E-4</v>
      </c>
      <c r="AB129" s="22">
        <f t="shared" si="28"/>
        <v>8.3541034564443633E-4</v>
      </c>
      <c r="AC129" s="22">
        <f t="shared" si="28"/>
        <v>8.3653760354186898E-4</v>
      </c>
      <c r="AD129" s="22">
        <f t="shared" si="28"/>
        <v>8.3759071993180138E-4</v>
      </c>
      <c r="AE129" s="22">
        <f t="shared" si="28"/>
        <v>8.385865388887226E-4</v>
      </c>
      <c r="AF129" s="22">
        <f t="shared" si="28"/>
        <v>8.3952747094978998E-4</v>
      </c>
      <c r="AG129" s="22">
        <f t="shared" si="28"/>
        <v>8.404006195563853E-4</v>
      </c>
      <c r="AH129" s="22">
        <f t="shared" si="28"/>
        <v>8.4121397207035167E-4</v>
      </c>
      <c r="AI129" s="22">
        <f t="shared" si="28"/>
        <v>8.4198050419766407E-4</v>
      </c>
      <c r="AJ129" s="22">
        <f t="shared" si="28"/>
        <v>8.2350226355303057E-4</v>
      </c>
      <c r="AK129" s="22">
        <f t="shared" si="28"/>
        <v>8.2425954848970833E-4</v>
      </c>
      <c r="AL129" s="22">
        <f t="shared" si="28"/>
        <v>8.2496590041470697E-4</v>
      </c>
      <c r="AM129" s="22">
        <f t="shared" si="28"/>
        <v>8.256256361880137E-4</v>
      </c>
      <c r="AN129" s="22">
        <f t="shared" si="28"/>
        <v>8.2624400346516431E-4</v>
      </c>
      <c r="AO129" s="22">
        <f t="shared" si="28"/>
        <v>8.2680473667312636E-4</v>
      </c>
      <c r="AP129" s="22">
        <f t="shared" si="28"/>
        <v>8.2729697348516047E-4</v>
      </c>
      <c r="AQ129" s="22">
        <f t="shared" si="28"/>
        <v>8.2771912290397116E-4</v>
      </c>
      <c r="AR129" s="22">
        <f t="shared" si="28"/>
        <v>8.2805882378061209E-4</v>
      </c>
      <c r="AS129" s="22">
        <f t="shared" si="28"/>
        <v>8.2830263988430608E-4</v>
      </c>
      <c r="AT129" s="22">
        <f t="shared" si="28"/>
        <v>8.2844905600782401E-4</v>
      </c>
      <c r="AU129" s="22">
        <f t="shared" si="28"/>
        <v>8.2850016063482762E-4</v>
      </c>
      <c r="AV129" s="22">
        <f t="shared" si="28"/>
        <v>8.2845744859031962E-4</v>
      </c>
      <c r="AW129" s="22">
        <f t="shared" si="28"/>
        <v>8.2830827333984093E-4</v>
      </c>
      <c r="AY129" s="79"/>
    </row>
    <row r="130" spans="1:51" x14ac:dyDescent="0.25">
      <c r="A130" s="95" t="str">
        <f t="shared" si="0"/>
        <v>FS MM Volatilisation</v>
      </c>
      <c r="B130" s="95" t="s">
        <v>1004</v>
      </c>
      <c r="C130" s="95" t="s">
        <v>1332</v>
      </c>
      <c r="D130" t="s">
        <v>369</v>
      </c>
      <c r="E130" t="s">
        <v>64</v>
      </c>
      <c r="F130" t="s">
        <v>62</v>
      </c>
      <c r="G130" t="s">
        <v>1168</v>
      </c>
      <c r="H130" t="s">
        <v>1298</v>
      </c>
      <c r="I130" t="s">
        <v>139</v>
      </c>
      <c r="J130" t="s">
        <v>287</v>
      </c>
      <c r="K130" s="22">
        <f t="shared" si="26"/>
        <v>1.4486129996083085E-5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1.489070601115726E-5</v>
      </c>
      <c r="R130" s="22">
        <f t="shared" si="28"/>
        <v>1.4988675221399694E-5</v>
      </c>
      <c r="S130" s="22">
        <f t="shared" si="28"/>
        <v>1.4952125307683929E-5</v>
      </c>
      <c r="T130" s="22">
        <f t="shared" si="28"/>
        <v>1.497659485650934E-5</v>
      </c>
      <c r="U130" s="22">
        <f t="shared" si="28"/>
        <v>1.5280249217669806E-5</v>
      </c>
      <c r="V130" s="22">
        <f t="shared" si="28"/>
        <v>1.5293967954982136E-5</v>
      </c>
      <c r="W130" s="22">
        <f t="shared" si="28"/>
        <v>1.5330288500558316E-5</v>
      </c>
      <c r="X130" s="22">
        <f t="shared" si="28"/>
        <v>1.5379307775042966E-5</v>
      </c>
      <c r="Y130" s="22">
        <f t="shared" si="28"/>
        <v>1.5424265287422665E-5</v>
      </c>
      <c r="Z130" s="22">
        <f t="shared" si="28"/>
        <v>1.5465755297522265E-5</v>
      </c>
      <c r="AA130" s="22">
        <f t="shared" si="28"/>
        <v>1.5503650543984476E-5</v>
      </c>
      <c r="AB130" s="22">
        <f t="shared" si="28"/>
        <v>1.5538340165319424E-5</v>
      </c>
      <c r="AC130" s="22">
        <f t="shared" si="28"/>
        <v>1.5570383853796525E-5</v>
      </c>
      <c r="AD130" s="22">
        <f t="shared" si="28"/>
        <v>1.5599807426957594E-5</v>
      </c>
      <c r="AE130" s="22">
        <f t="shared" si="28"/>
        <v>1.5627118939580073E-5</v>
      </c>
      <c r="AF130" s="22">
        <f t="shared" si="28"/>
        <v>1.5652427506297688E-5</v>
      </c>
      <c r="AG130" s="22">
        <f t="shared" si="28"/>
        <v>1.56754241207766E-5</v>
      </c>
      <c r="AH130" s="22">
        <f t="shared" si="28"/>
        <v>1.5696363462061687E-5</v>
      </c>
      <c r="AI130" s="22">
        <f t="shared" si="28"/>
        <v>1.5715630256505464E-5</v>
      </c>
      <c r="AJ130" s="22">
        <f t="shared" si="28"/>
        <v>1.5216731234132435E-5</v>
      </c>
      <c r="AK130" s="22">
        <f t="shared" si="28"/>
        <v>1.5235961154748287E-5</v>
      </c>
      <c r="AL130" s="22">
        <f t="shared" si="28"/>
        <v>1.525346973608994E-5</v>
      </c>
      <c r="AM130" s="22">
        <f t="shared" si="28"/>
        <v>1.5269398678749372E-5</v>
      </c>
      <c r="AN130" s="22">
        <f t="shared" si="28"/>
        <v>1.528391208207959E-5</v>
      </c>
      <c r="AO130" s="22">
        <f t="shared" si="28"/>
        <v>1.5296597939016457E-5</v>
      </c>
      <c r="AP130" s="22">
        <f t="shared" si="28"/>
        <v>1.5307189728189323E-5</v>
      </c>
      <c r="AQ130" s="22">
        <f t="shared" si="28"/>
        <v>1.5315667991874673E-5</v>
      </c>
      <c r="AR130" s="22">
        <f t="shared" si="28"/>
        <v>1.5321726619352006E-5</v>
      </c>
      <c r="AS130" s="22">
        <f t="shared" si="28"/>
        <v>1.5325032079315766E-5</v>
      </c>
      <c r="AT130" s="22">
        <f t="shared" si="28"/>
        <v>1.5325567315367108E-5</v>
      </c>
      <c r="AU130" s="22">
        <f t="shared" si="28"/>
        <v>1.532340963092266E-5</v>
      </c>
      <c r="AV130" s="22">
        <f t="shared" si="28"/>
        <v>1.5318619367085747E-5</v>
      </c>
      <c r="AW130" s="22">
        <f t="shared" si="28"/>
        <v>1.5310883587655619E-5</v>
      </c>
      <c r="AY130" s="79"/>
    </row>
    <row r="131" spans="1:51" x14ac:dyDescent="0.25">
      <c r="A131" s="95" t="str">
        <f t="shared" si="0"/>
        <v>FS MM Volatilisation</v>
      </c>
      <c r="B131" s="95" t="s">
        <v>1004</v>
      </c>
      <c r="C131" s="95" t="s">
        <v>1332</v>
      </c>
      <c r="D131" t="s">
        <v>369</v>
      </c>
      <c r="E131" t="s">
        <v>64</v>
      </c>
      <c r="F131" t="s">
        <v>62</v>
      </c>
      <c r="G131" t="s">
        <v>1170</v>
      </c>
      <c r="H131" t="s">
        <v>1299</v>
      </c>
      <c r="I131" t="s">
        <v>139</v>
      </c>
      <c r="J131" t="s">
        <v>287</v>
      </c>
      <c r="K131" s="22">
        <f t="shared" si="26"/>
        <v>1.4738364076719787E-3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1.5149984613639169E-3</v>
      </c>
      <c r="R131" s="22">
        <f t="shared" si="28"/>
        <v>1.5249659674490626E-3</v>
      </c>
      <c r="S131" s="22">
        <f t="shared" si="28"/>
        <v>1.5212473349677769E-3</v>
      </c>
      <c r="T131" s="22">
        <f t="shared" si="28"/>
        <v>1.5237368964964909E-3</v>
      </c>
      <c r="U131" s="22">
        <f t="shared" si="28"/>
        <v>1.5546310589089282E-3</v>
      </c>
      <c r="V131" s="22">
        <f t="shared" si="28"/>
        <v>1.5560268198556864E-3</v>
      </c>
      <c r="W131" s="22">
        <f t="shared" si="28"/>
        <v>1.5597221161446995E-3</v>
      </c>
      <c r="X131" s="22">
        <f t="shared" si="28"/>
        <v>1.5647093964902903E-3</v>
      </c>
      <c r="Y131" s="22">
        <f t="shared" si="28"/>
        <v>1.5692834282407637E-3</v>
      </c>
      <c r="Z131" s="22">
        <f t="shared" si="28"/>
        <v>1.5735046721103132E-3</v>
      </c>
      <c r="AA131" s="22">
        <f t="shared" si="28"/>
        <v>1.5773601803743434E-3</v>
      </c>
      <c r="AB131" s="22">
        <f t="shared" si="28"/>
        <v>1.5808895444560981E-3</v>
      </c>
      <c r="AC131" s="22">
        <f t="shared" si="28"/>
        <v>1.5841497081248222E-3</v>
      </c>
      <c r="AD131" s="22">
        <f t="shared" si="28"/>
        <v>1.5871432980884847E-3</v>
      </c>
      <c r="AE131" s="22">
        <f t="shared" si="28"/>
        <v>1.5899220044553674E-3</v>
      </c>
      <c r="AF131" s="22">
        <f t="shared" si="28"/>
        <v>1.5924969286804358E-3</v>
      </c>
      <c r="AG131" s="22">
        <f t="shared" si="28"/>
        <v>1.5948366320850983E-3</v>
      </c>
      <c r="AH131" s="22">
        <f t="shared" si="28"/>
        <v>1.5969670260237814E-3</v>
      </c>
      <c r="AI131" s="22">
        <f t="shared" si="28"/>
        <v>1.5989272530214718E-3</v>
      </c>
      <c r="AJ131" s="22">
        <f t="shared" si="28"/>
        <v>1.54816866234721E-3</v>
      </c>
      <c r="AK131" s="22">
        <f t="shared" si="28"/>
        <v>1.5501251377569953E-3</v>
      </c>
      <c r="AL131" s="22">
        <f t="shared" si="28"/>
        <v>1.5519064820245804E-3</v>
      </c>
      <c r="AM131" s="22">
        <f t="shared" si="28"/>
        <v>1.5535271119397841E-3</v>
      </c>
      <c r="AN131" s="22">
        <f t="shared" si="28"/>
        <v>1.5550037231694973E-3</v>
      </c>
      <c r="AO131" s="22">
        <f t="shared" si="28"/>
        <v>1.5562943976160978E-3</v>
      </c>
      <c r="AP131" s="22">
        <f t="shared" si="28"/>
        <v>1.5573720190725925E-3</v>
      </c>
      <c r="AQ131" s="22">
        <f t="shared" si="28"/>
        <v>1.5582346078866301E-3</v>
      </c>
      <c r="AR131" s="22">
        <f t="shared" si="28"/>
        <v>1.5588510199828238E-3</v>
      </c>
      <c r="AS131" s="22">
        <f t="shared" si="28"/>
        <v>1.5591873214822584E-3</v>
      </c>
      <c r="AT131" s="22">
        <f t="shared" si="28"/>
        <v>1.5592417770462618E-3</v>
      </c>
      <c r="AU131" s="22">
        <f t="shared" si="28"/>
        <v>1.5590222516180525E-3</v>
      </c>
      <c r="AV131" s="22">
        <f t="shared" si="28"/>
        <v>1.5585348843745505E-3</v>
      </c>
      <c r="AW131" s="22">
        <f t="shared" si="28"/>
        <v>1.5577478368077457E-3</v>
      </c>
      <c r="AY131" s="79"/>
    </row>
    <row r="132" spans="1:51" x14ac:dyDescent="0.25">
      <c r="A132" s="95" t="str">
        <f t="shared" si="0"/>
        <v>FS MM Volatilisation</v>
      </c>
      <c r="B132" s="95" t="s">
        <v>1004</v>
      </c>
      <c r="C132" s="95" t="s">
        <v>1332</v>
      </c>
      <c r="D132" t="s">
        <v>369</v>
      </c>
      <c r="E132" t="s">
        <v>64</v>
      </c>
      <c r="F132" t="s">
        <v>62</v>
      </c>
      <c r="G132" t="s">
        <v>1172</v>
      </c>
      <c r="H132" t="s">
        <v>1300</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25">
      <c r="A133" s="95" t="str">
        <f t="shared" si="0"/>
        <v>FS MM Volatilisation</v>
      </c>
      <c r="B133" s="95" t="s">
        <v>1004</v>
      </c>
      <c r="C133" s="95" t="s">
        <v>1332</v>
      </c>
      <c r="D133" t="s">
        <v>369</v>
      </c>
      <c r="E133" t="s">
        <v>64</v>
      </c>
      <c r="F133" t="s">
        <v>62</v>
      </c>
      <c r="G133" t="s">
        <v>1174</v>
      </c>
      <c r="H133" t="s">
        <v>1301</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25">
      <c r="A134" s="95" t="str">
        <f t="shared" si="0"/>
        <v>FS MM Volatilisation</v>
      </c>
      <c r="B134" s="95" t="s">
        <v>1004</v>
      </c>
      <c r="C134" s="95" t="s">
        <v>1332</v>
      </c>
      <c r="D134" t="s">
        <v>369</v>
      </c>
      <c r="E134" t="s">
        <v>64</v>
      </c>
      <c r="F134" t="s">
        <v>62</v>
      </c>
      <c r="G134" t="s">
        <v>1176</v>
      </c>
      <c r="H134" t="s">
        <v>1302</v>
      </c>
      <c r="I134" t="s">
        <v>139</v>
      </c>
      <c r="J134" t="s">
        <v>287</v>
      </c>
      <c r="K134" s="22">
        <f t="shared" si="26"/>
        <v>0.13075625264316332</v>
      </c>
      <c r="L134" s="22">
        <f t="shared" si="28"/>
        <v>0.13004550543955865</v>
      </c>
      <c r="M134" s="22">
        <f t="shared" si="28"/>
        <v>0.13010384136507711</v>
      </c>
      <c r="N134" s="22">
        <f t="shared" si="28"/>
        <v>0.1289093884029483</v>
      </c>
      <c r="O134" s="22">
        <f t="shared" si="28"/>
        <v>0.12695857121838472</v>
      </c>
      <c r="P134" s="22">
        <f t="shared" si="28"/>
        <v>0.12428257569245393</v>
      </c>
      <c r="Q134" s="22">
        <f t="shared" si="28"/>
        <v>0.12233950618032063</v>
      </c>
      <c r="R134" s="22">
        <f t="shared" si="28"/>
        <v>0.1205683722616282</v>
      </c>
      <c r="S134" s="22">
        <f t="shared" si="28"/>
        <v>0.10847829407061217</v>
      </c>
      <c r="T134" s="22">
        <f t="shared" si="28"/>
        <v>0.1123518575177655</v>
      </c>
      <c r="U134" s="22">
        <f t="shared" si="28"/>
        <v>0.35913477358816853</v>
      </c>
      <c r="V134" s="22">
        <f t="shared" si="28"/>
        <v>0.36011925097262676</v>
      </c>
      <c r="W134" s="22">
        <f t="shared" si="28"/>
        <v>0.36048284734734032</v>
      </c>
      <c r="X134" s="22">
        <f t="shared" si="28"/>
        <v>0.36024196834078215</v>
      </c>
      <c r="Y134" s="22">
        <f t="shared" si="28"/>
        <v>0.35943295375101947</v>
      </c>
      <c r="Z134" s="22">
        <f t="shared" si="28"/>
        <v>0.35804837226792258</v>
      </c>
      <c r="AA134" s="22">
        <f t="shared" si="28"/>
        <v>0.35608623415272644</v>
      </c>
      <c r="AB134" s="22">
        <f t="shared" si="28"/>
        <v>0.35354672339575033</v>
      </c>
      <c r="AC134" s="22">
        <f t="shared" si="28"/>
        <v>0.350433097152205</v>
      </c>
      <c r="AD134" s="22">
        <f t="shared" si="28"/>
        <v>0.34675336928081568</v>
      </c>
      <c r="AE134" s="22">
        <f t="shared" si="28"/>
        <v>0.34251767477610762</v>
      </c>
      <c r="AF134" s="22">
        <f t="shared" si="28"/>
        <v>0.33774033524299119</v>
      </c>
      <c r="AG134" s="22">
        <f t="shared" si="28"/>
        <v>0.33243970303339465</v>
      </c>
      <c r="AH134" s="22">
        <f t="shared" si="28"/>
        <v>0.32663565742792322</v>
      </c>
      <c r="AI134" s="22">
        <f t="shared" si="28"/>
        <v>0.32035050647820129</v>
      </c>
      <c r="AJ134" s="22">
        <f t="shared" si="28"/>
        <v>-2.9850992029554574E-2</v>
      </c>
      <c r="AK134" s="22">
        <f t="shared" si="28"/>
        <v>-2.9527827789556205E-2</v>
      </c>
      <c r="AL134" s="22">
        <f t="shared" si="28"/>
        <v>-2.9203518600220937E-2</v>
      </c>
      <c r="AM134" s="22">
        <f t="shared" si="28"/>
        <v>-2.8878400916482732E-2</v>
      </c>
      <c r="AN134" s="22">
        <f t="shared" si="28"/>
        <v>-2.8552846585961845E-2</v>
      </c>
      <c r="AO134" s="22">
        <f t="shared" si="28"/>
        <v>-2.8225992627032188E-2</v>
      </c>
      <c r="AP134" s="22">
        <f t="shared" si="28"/>
        <v>-2.7897329553488923E-2</v>
      </c>
      <c r="AQ134" s="22">
        <f t="shared" si="28"/>
        <v>-2.756688911429131E-2</v>
      </c>
      <c r="AR134" s="22">
        <f t="shared" si="28"/>
        <v>-2.7234123713642547E-2</v>
      </c>
      <c r="AS134" s="22">
        <f t="shared" si="28"/>
        <v>-2.6898465289903917E-2</v>
      </c>
      <c r="AT134" s="22">
        <f t="shared" si="28"/>
        <v>-2.6560009108900318E-2</v>
      </c>
      <c r="AU134" s="22">
        <f t="shared" si="28"/>
        <v>-2.6219036811035483E-2</v>
      </c>
      <c r="AV134" s="22">
        <f t="shared" si="28"/>
        <v>-2.5875789307707536E-2</v>
      </c>
      <c r="AW134" s="22">
        <f t="shared" si="28"/>
        <v>-2.5529791390037318E-2</v>
      </c>
      <c r="AY134" s="79"/>
    </row>
    <row r="135" spans="1:51" x14ac:dyDescent="0.25">
      <c r="A135" s="95" t="str">
        <f t="shared" si="0"/>
        <v>FS MM Volatilisation</v>
      </c>
      <c r="B135" s="95" t="s">
        <v>1004</v>
      </c>
      <c r="C135" s="95" t="s">
        <v>1332</v>
      </c>
      <c r="D135" t="s">
        <v>369</v>
      </c>
      <c r="E135" t="s">
        <v>64</v>
      </c>
      <c r="F135" t="s">
        <v>62</v>
      </c>
      <c r="G135" t="s">
        <v>1178</v>
      </c>
      <c r="H135" t="s">
        <v>1303</v>
      </c>
      <c r="I135" t="s">
        <v>139</v>
      </c>
      <c r="J135" t="s">
        <v>287</v>
      </c>
      <c r="K135" s="22">
        <f t="shared" si="26"/>
        <v>1.2724633182830876E-2</v>
      </c>
      <c r="L135" s="22">
        <f t="shared" si="28"/>
        <v>1.2655466337890211E-2</v>
      </c>
      <c r="M135" s="22">
        <f t="shared" si="28"/>
        <v>1.2661143337946407E-2</v>
      </c>
      <c r="N135" s="22">
        <f t="shared" si="28"/>
        <v>1.2544904339887072E-2</v>
      </c>
      <c r="O135" s="22">
        <f t="shared" si="28"/>
        <v>1.2355059245839611E-2</v>
      </c>
      <c r="P135" s="22">
        <f t="shared" si="28"/>
        <v>1.2094642930917438E-2</v>
      </c>
      <c r="Q135" s="22">
        <f t="shared" si="28"/>
        <v>1.1905551806853844E-2</v>
      </c>
      <c r="R135" s="22">
        <f t="shared" si="28"/>
        <v>1.1733192711380723E-2</v>
      </c>
      <c r="S135" s="22">
        <f t="shared" si="28"/>
        <v>1.0556638573260382E-2</v>
      </c>
      <c r="T135" s="22">
        <f t="shared" si="28"/>
        <v>1.0933597020593381E-2</v>
      </c>
      <c r="U135" s="22">
        <f t="shared" si="28"/>
        <v>3.4949443447111525E-2</v>
      </c>
      <c r="V135" s="22">
        <f t="shared" si="28"/>
        <v>3.504524852978097E-2</v>
      </c>
      <c r="W135" s="22">
        <f t="shared" si="28"/>
        <v>3.5080632156959869E-2</v>
      </c>
      <c r="X135" s="22">
        <f t="shared" ref="L135:AW142" si="29">X1544</f>
        <v>3.5057190853481544E-2</v>
      </c>
      <c r="Y135" s="22">
        <f t="shared" si="29"/>
        <v>3.4978461051378834E-2</v>
      </c>
      <c r="Z135" s="22">
        <f t="shared" si="29"/>
        <v>3.484371956767917E-2</v>
      </c>
      <c r="AA135" s="22">
        <f t="shared" si="29"/>
        <v>3.465277276960857E-2</v>
      </c>
      <c r="AB135" s="22">
        <f t="shared" si="29"/>
        <v>3.4405638562309424E-2</v>
      </c>
      <c r="AC135" s="22">
        <f t="shared" si="29"/>
        <v>3.4102633918044564E-2</v>
      </c>
      <c r="AD135" s="22">
        <f t="shared" si="29"/>
        <v>3.3744538710897186E-2</v>
      </c>
      <c r="AE135" s="22">
        <f t="shared" si="29"/>
        <v>3.3332339234715881E-2</v>
      </c>
      <c r="AF135" s="22">
        <f t="shared" si="29"/>
        <v>3.2867429206171077E-2</v>
      </c>
      <c r="AG135" s="22">
        <f t="shared" si="29"/>
        <v>3.2351594596806102E-2</v>
      </c>
      <c r="AH135" s="22">
        <f t="shared" si="29"/>
        <v>3.1786769972261424E-2</v>
      </c>
      <c r="AI135" s="22">
        <f t="shared" si="29"/>
        <v>3.117512625567229E-2</v>
      </c>
      <c r="AJ135" s="22">
        <f t="shared" si="29"/>
        <v>-2.9049694836107746E-3</v>
      </c>
      <c r="AK135" s="22">
        <f t="shared" si="29"/>
        <v>-2.8735205369740911E-3</v>
      </c>
      <c r="AL135" s="22">
        <f t="shared" si="29"/>
        <v>-2.8419601688181263E-3</v>
      </c>
      <c r="AM135" s="22">
        <f t="shared" si="29"/>
        <v>-2.8103211214823929E-3</v>
      </c>
      <c r="AN135" s="22">
        <f t="shared" si="29"/>
        <v>-2.7786395815696092E-3</v>
      </c>
      <c r="AO135" s="22">
        <f t="shared" si="29"/>
        <v>-2.7468315674390254E-3</v>
      </c>
      <c r="AP135" s="22">
        <f t="shared" si="29"/>
        <v>-2.714847498095948E-3</v>
      </c>
      <c r="AQ135" s="22">
        <f t="shared" si="29"/>
        <v>-2.6826904632118271E-3</v>
      </c>
      <c r="AR135" s="22">
        <f t="shared" si="29"/>
        <v>-2.6503071731312461E-3</v>
      </c>
      <c r="AS135" s="22">
        <f t="shared" si="29"/>
        <v>-2.61764234655154E-3</v>
      </c>
      <c r="AT135" s="22">
        <f t="shared" si="29"/>
        <v>-2.5847052543309036E-3</v>
      </c>
      <c r="AU135" s="22">
        <f t="shared" si="29"/>
        <v>-2.5515233044957585E-3</v>
      </c>
      <c r="AV135" s="22">
        <f t="shared" si="29"/>
        <v>-2.5181199415017898E-3</v>
      </c>
      <c r="AW135" s="22">
        <f t="shared" si="29"/>
        <v>-2.4844489200754436E-3</v>
      </c>
      <c r="AY135" s="79"/>
    </row>
    <row r="136" spans="1:51" x14ac:dyDescent="0.25">
      <c r="A136" s="95" t="str">
        <f t="shared" si="0"/>
        <v>FS MM Volatilisation</v>
      </c>
      <c r="B136" s="95" t="s">
        <v>1004</v>
      </c>
      <c r="C136" s="95" t="s">
        <v>1332</v>
      </c>
      <c r="D136" t="s">
        <v>369</v>
      </c>
      <c r="E136" t="s">
        <v>64</v>
      </c>
      <c r="F136" t="s">
        <v>62</v>
      </c>
      <c r="G136" t="s">
        <v>1180</v>
      </c>
      <c r="H136" t="s">
        <v>1304</v>
      </c>
      <c r="I136" t="s">
        <v>139</v>
      </c>
      <c r="J136" t="s">
        <v>287</v>
      </c>
      <c r="K136" s="22">
        <f t="shared" si="26"/>
        <v>6.4453339767617121E-2</v>
      </c>
      <c r="L136" s="22">
        <f t="shared" si="29"/>
        <v>6.5763803942104557E-2</v>
      </c>
      <c r="M136" s="22">
        <f t="shared" si="29"/>
        <v>6.7295612361813625E-2</v>
      </c>
      <c r="N136" s="22">
        <f t="shared" si="29"/>
        <v>6.8471619369899747E-2</v>
      </c>
      <c r="O136" s="22">
        <f t="shared" si="29"/>
        <v>6.94156577655035E-2</v>
      </c>
      <c r="P136" s="22">
        <f t="shared" si="29"/>
        <v>7.0122113289878357E-2</v>
      </c>
      <c r="Q136" s="22">
        <f t="shared" si="29"/>
        <v>7.1027984276732931E-2</v>
      </c>
      <c r="R136" s="22">
        <f t="shared" si="29"/>
        <v>7.1969839340941866E-2</v>
      </c>
      <c r="S136" s="22">
        <f t="shared" si="29"/>
        <v>6.9132641817907584E-2</v>
      </c>
      <c r="T136" s="22">
        <f t="shared" si="29"/>
        <v>7.1668538235416565E-2</v>
      </c>
      <c r="U136" s="22">
        <f t="shared" si="29"/>
        <v>0.15927878056001546</v>
      </c>
      <c r="V136" s="22">
        <f t="shared" si="29"/>
        <v>0.16278043280676852</v>
      </c>
      <c r="W136" s="22">
        <f t="shared" si="29"/>
        <v>0.1661384841502746</v>
      </c>
      <c r="X136" s="22">
        <f t="shared" si="29"/>
        <v>0.16932327786154089</v>
      </c>
      <c r="Y136" s="22">
        <f t="shared" si="29"/>
        <v>0.17229459764803176</v>
      </c>
      <c r="Z136" s="22">
        <f t="shared" si="29"/>
        <v>0.17503945749810612</v>
      </c>
      <c r="AA136" s="22">
        <f t="shared" si="29"/>
        <v>0.17754464171079537</v>
      </c>
      <c r="AB136" s="22">
        <f t="shared" si="29"/>
        <v>0.17979875003476928</v>
      </c>
      <c r="AC136" s="22">
        <f t="shared" si="29"/>
        <v>0.18179177836428806</v>
      </c>
      <c r="AD136" s="22">
        <f t="shared" si="29"/>
        <v>0.18351408832752805</v>
      </c>
      <c r="AE136" s="22">
        <f t="shared" si="29"/>
        <v>0.18495811914653704</v>
      </c>
      <c r="AF136" s="22">
        <f t="shared" si="29"/>
        <v>0.18611704996451123</v>
      </c>
      <c r="AG136" s="22">
        <f t="shared" si="29"/>
        <v>0.18698481434150752</v>
      </c>
      <c r="AH136" s="22">
        <f t="shared" si="29"/>
        <v>0.18755776005425462</v>
      </c>
      <c r="AI136" s="22">
        <f t="shared" si="29"/>
        <v>0.18783399692655736</v>
      </c>
      <c r="AJ136" s="22">
        <f t="shared" si="29"/>
        <v>2.4486671101770791E-2</v>
      </c>
      <c r="AK136" s="22">
        <f t="shared" si="29"/>
        <v>2.4666387221284058E-2</v>
      </c>
      <c r="AL136" s="22">
        <f t="shared" si="29"/>
        <v>2.4841648409900843E-2</v>
      </c>
      <c r="AM136" s="22">
        <f t="shared" si="29"/>
        <v>2.5012718687706617E-2</v>
      </c>
      <c r="AN136" s="22">
        <f t="shared" si="29"/>
        <v>2.5179902406593305E-2</v>
      </c>
      <c r="AO136" s="22">
        <f t="shared" si="29"/>
        <v>2.5342514084649829E-2</v>
      </c>
      <c r="AP136" s="22">
        <f t="shared" si="29"/>
        <v>2.5500102306234843E-2</v>
      </c>
      <c r="AQ136" s="22">
        <f t="shared" si="29"/>
        <v>2.5652633826306989E-2</v>
      </c>
      <c r="AR136" s="22">
        <f t="shared" si="29"/>
        <v>2.5799570928013445E-2</v>
      </c>
      <c r="AS136" s="22">
        <f t="shared" si="29"/>
        <v>2.5940314994938186E-2</v>
      </c>
      <c r="AT136" s="22">
        <f t="shared" si="29"/>
        <v>2.6074813676088864E-2</v>
      </c>
      <c r="AU136" s="22">
        <f t="shared" si="29"/>
        <v>2.6203180413111957E-2</v>
      </c>
      <c r="AV136" s="22">
        <f t="shared" si="29"/>
        <v>2.6325499899042631E-2</v>
      </c>
      <c r="AW136" s="22">
        <f t="shared" si="29"/>
        <v>2.6441188397219272E-2</v>
      </c>
      <c r="AY136" s="79"/>
    </row>
    <row r="137" spans="1:51" x14ac:dyDescent="0.25">
      <c r="A137" s="95" t="str">
        <f t="shared" si="0"/>
        <v>FS MM Volatilisation</v>
      </c>
      <c r="B137" s="95" t="s">
        <v>1004</v>
      </c>
      <c r="C137" s="95" t="s">
        <v>1332</v>
      </c>
      <c r="D137" t="s">
        <v>369</v>
      </c>
      <c r="E137" t="s">
        <v>64</v>
      </c>
      <c r="F137" t="s">
        <v>62</v>
      </c>
      <c r="G137" t="s">
        <v>1182</v>
      </c>
      <c r="H137" t="s">
        <v>1305</v>
      </c>
      <c r="I137" t="s">
        <v>139</v>
      </c>
      <c r="J137" t="s">
        <v>287</v>
      </c>
      <c r="K137" s="22">
        <f t="shared" si="26"/>
        <v>0.31034319165291735</v>
      </c>
      <c r="L137" s="22">
        <f t="shared" si="29"/>
        <v>0.31442985679016994</v>
      </c>
      <c r="M137" s="22">
        <f t="shared" si="29"/>
        <v>0.32099421325528482</v>
      </c>
      <c r="N137" s="22">
        <f t="shared" si="29"/>
        <v>0.32287903178152921</v>
      </c>
      <c r="O137" s="22">
        <f t="shared" si="29"/>
        <v>0.32172327535887091</v>
      </c>
      <c r="P137" s="22">
        <f t="shared" si="29"/>
        <v>0.31753924052538912</v>
      </c>
      <c r="Q137" s="22">
        <f t="shared" si="29"/>
        <v>0.31577785743754255</v>
      </c>
      <c r="R137" s="22">
        <f t="shared" si="29"/>
        <v>0.31441607582114939</v>
      </c>
      <c r="S137" s="22">
        <f t="shared" si="29"/>
        <v>0.27420619396536416</v>
      </c>
      <c r="T137" s="22">
        <f t="shared" si="29"/>
        <v>0.29495818532939488</v>
      </c>
      <c r="U137" s="22">
        <f t="shared" si="29"/>
        <v>1.2825520746937493</v>
      </c>
      <c r="V137" s="22">
        <f t="shared" si="29"/>
        <v>1.3055461044676304</v>
      </c>
      <c r="W137" s="22">
        <f t="shared" si="29"/>
        <v>1.3259738285316456</v>
      </c>
      <c r="X137" s="22">
        <f t="shared" si="29"/>
        <v>1.3439224713343889</v>
      </c>
      <c r="Y137" s="22">
        <f t="shared" si="29"/>
        <v>1.3596359578831905</v>
      </c>
      <c r="Z137" s="22">
        <f t="shared" si="29"/>
        <v>1.3729964225138076</v>
      </c>
      <c r="AA137" s="22">
        <f t="shared" si="29"/>
        <v>1.3839133762561158</v>
      </c>
      <c r="AB137" s="22">
        <f t="shared" si="29"/>
        <v>1.392297876830487</v>
      </c>
      <c r="AC137" s="22">
        <f t="shared" si="29"/>
        <v>1.3980705991762232</v>
      </c>
      <c r="AD137" s="22">
        <f t="shared" si="29"/>
        <v>1.4011774518837516</v>
      </c>
      <c r="AE137" s="22">
        <f t="shared" si="29"/>
        <v>1.4015682854114344</v>
      </c>
      <c r="AF137" s="22">
        <f t="shared" si="29"/>
        <v>1.3992160776881843</v>
      </c>
      <c r="AG137" s="22">
        <f t="shared" si="29"/>
        <v>1.3941175452078094</v>
      </c>
      <c r="AH137" s="22">
        <f t="shared" si="29"/>
        <v>1.3862722906542229</v>
      </c>
      <c r="AI137" s="22">
        <f t="shared" si="29"/>
        <v>1.3756920657497529</v>
      </c>
      <c r="AJ137" s="22">
        <f t="shared" si="29"/>
        <v>-0.29376675967597721</v>
      </c>
      <c r="AK137" s="22">
        <f t="shared" si="29"/>
        <v>-0.29418248669382474</v>
      </c>
      <c r="AL137" s="22">
        <f t="shared" si="29"/>
        <v>-0.29455892044172599</v>
      </c>
      <c r="AM137" s="22">
        <f t="shared" si="29"/>
        <v>-0.29489926202307742</v>
      </c>
      <c r="AN137" s="22">
        <f t="shared" si="29"/>
        <v>-0.2952071711728716</v>
      </c>
      <c r="AO137" s="22">
        <f t="shared" si="29"/>
        <v>-0.29547405449445624</v>
      </c>
      <c r="AP137" s="22">
        <f t="shared" si="29"/>
        <v>-0.29569441698810944</v>
      </c>
      <c r="AQ137" s="22">
        <f t="shared" si="29"/>
        <v>-0.29586800918156786</v>
      </c>
      <c r="AR137" s="22">
        <f t="shared" si="29"/>
        <v>-0.29598849617700645</v>
      </c>
      <c r="AS137" s="22">
        <f t="shared" si="29"/>
        <v>-0.29604896826052718</v>
      </c>
      <c r="AT137" s="22">
        <f t="shared" si="29"/>
        <v>-0.29604922742667927</v>
      </c>
      <c r="AU137" s="22">
        <f t="shared" si="29"/>
        <v>-0.29599106772821226</v>
      </c>
      <c r="AV137" s="22">
        <f t="shared" si="29"/>
        <v>-0.29587591492784127</v>
      </c>
      <c r="AW137" s="22">
        <f t="shared" si="29"/>
        <v>-0.29569729144234697</v>
      </c>
      <c r="AY137" s="79"/>
    </row>
    <row r="138" spans="1:51" x14ac:dyDescent="0.25">
      <c r="A138" s="95" t="str">
        <f t="shared" si="0"/>
        <v>FS MM Leaching</v>
      </c>
      <c r="B138" s="95" t="s">
        <v>1004</v>
      </c>
      <c r="C138" s="95" t="s">
        <v>1333</v>
      </c>
      <c r="D138" t="s">
        <v>369</v>
      </c>
      <c r="E138" t="s">
        <v>64</v>
      </c>
      <c r="F138" t="s">
        <v>63</v>
      </c>
      <c r="G138" t="s">
        <v>1152</v>
      </c>
      <c r="H138" t="s">
        <v>1306</v>
      </c>
      <c r="I138" t="s">
        <v>139</v>
      </c>
      <c r="J138" t="s">
        <v>287</v>
      </c>
      <c r="K138" s="22">
        <f t="shared" si="26"/>
        <v>8.9211118607918846E-2</v>
      </c>
      <c r="L138" s="22">
        <f t="shared" si="29"/>
        <v>8.9709854381943815E-2</v>
      </c>
      <c r="M138" s="22">
        <f t="shared" si="29"/>
        <v>9.0417475033143083E-2</v>
      </c>
      <c r="N138" s="22">
        <f t="shared" si="29"/>
        <v>9.0872196678668984E-2</v>
      </c>
      <c r="O138" s="22">
        <f t="shared" si="29"/>
        <v>9.1174361291842948E-2</v>
      </c>
      <c r="P138" s="22">
        <f t="shared" si="29"/>
        <v>9.1320994898161756E-2</v>
      </c>
      <c r="Q138" s="22">
        <f t="shared" si="29"/>
        <v>9.1644963105957017E-2</v>
      </c>
      <c r="R138" s="22">
        <f t="shared" si="29"/>
        <v>9.2016609055475665E-2</v>
      </c>
      <c r="S138" s="22">
        <f t="shared" si="29"/>
        <v>8.940199339516991E-2</v>
      </c>
      <c r="T138" s="22">
        <f t="shared" si="29"/>
        <v>9.0940281304058526E-2</v>
      </c>
      <c r="U138" s="22">
        <f t="shared" si="29"/>
        <v>0.1564700266780468</v>
      </c>
      <c r="V138" s="22">
        <f t="shared" si="29"/>
        <v>0.15835619981688001</v>
      </c>
      <c r="W138" s="22">
        <f t="shared" si="29"/>
        <v>0.16015964078695746</v>
      </c>
      <c r="X138" s="22">
        <f t="shared" si="29"/>
        <v>0.161849673455432</v>
      </c>
      <c r="Y138" s="22">
        <f t="shared" si="29"/>
        <v>0.16338116510403111</v>
      </c>
      <c r="Z138" s="22">
        <f t="shared" si="29"/>
        <v>0.16474696363228722</v>
      </c>
      <c r="AA138" s="22">
        <f t="shared" si="29"/>
        <v>0.16593911254285348</v>
      </c>
      <c r="AB138" s="22">
        <f t="shared" si="29"/>
        <v>0.16695158994132034</v>
      </c>
      <c r="AC138" s="22">
        <f t="shared" si="29"/>
        <v>0.16777962003810495</v>
      </c>
      <c r="AD138" s="22">
        <f t="shared" si="29"/>
        <v>0.16841818240508855</v>
      </c>
      <c r="AE138" s="22">
        <f t="shared" si="29"/>
        <v>0.16886427150805067</v>
      </c>
      <c r="AF138" s="22">
        <f t="shared" si="29"/>
        <v>0.1691150043732032</v>
      </c>
      <c r="AG138" s="22">
        <f t="shared" si="29"/>
        <v>0.16916759569059056</v>
      </c>
      <c r="AH138" s="22">
        <f t="shared" si="29"/>
        <v>0.16902153680910736</v>
      </c>
      <c r="AI138" s="22">
        <f t="shared" si="29"/>
        <v>0.16867765925493905</v>
      </c>
      <c r="AJ138" s="22">
        <f t="shared" si="29"/>
        <v>5.3366694545987768E-2</v>
      </c>
      <c r="AK138" s="22">
        <f t="shared" si="29"/>
        <v>5.3405651337415067E-2</v>
      </c>
      <c r="AL138" s="22">
        <f t="shared" si="29"/>
        <v>5.344180376180914E-2</v>
      </c>
      <c r="AM138" s="22">
        <f t="shared" si="29"/>
        <v>5.3475396377869022E-2</v>
      </c>
      <c r="AN138" s="22">
        <f t="shared" si="29"/>
        <v>5.3506730430657977E-2</v>
      </c>
      <c r="AO138" s="22">
        <f t="shared" si="29"/>
        <v>5.353482249647553E-2</v>
      </c>
      <c r="AP138" s="22">
        <f t="shared" si="29"/>
        <v>5.3559012168450083E-2</v>
      </c>
      <c r="AQ138" s="22">
        <f t="shared" si="29"/>
        <v>5.3579193542556233E-2</v>
      </c>
      <c r="AR138" s="22">
        <f t="shared" si="29"/>
        <v>5.3594617293935103E-2</v>
      </c>
      <c r="AS138" s="22">
        <f t="shared" si="29"/>
        <v>5.3604469890097345E-2</v>
      </c>
      <c r="AT138" s="22">
        <f t="shared" si="29"/>
        <v>5.3608650848433942E-2</v>
      </c>
      <c r="AU138" s="22">
        <f t="shared" si="29"/>
        <v>5.3607275721283966E-2</v>
      </c>
      <c r="AV138" s="22">
        <f t="shared" si="29"/>
        <v>5.3600425093073278E-2</v>
      </c>
      <c r="AW138" s="22">
        <f t="shared" si="29"/>
        <v>5.3587333792896791E-2</v>
      </c>
      <c r="AY138" s="79"/>
    </row>
    <row r="139" spans="1:51" x14ac:dyDescent="0.25">
      <c r="A139" s="95" t="str">
        <f t="shared" si="0"/>
        <v>FS MM Leaching</v>
      </c>
      <c r="B139" s="95" t="s">
        <v>1004</v>
      </c>
      <c r="C139" s="95" t="s">
        <v>1333</v>
      </c>
      <c r="D139" t="s">
        <v>369</v>
      </c>
      <c r="E139" t="s">
        <v>64</v>
      </c>
      <c r="F139" t="s">
        <v>63</v>
      </c>
      <c r="G139" t="s">
        <v>1154</v>
      </c>
      <c r="H139" t="s">
        <v>1307</v>
      </c>
      <c r="I139" t="s">
        <v>139</v>
      </c>
      <c r="J139" t="s">
        <v>287</v>
      </c>
      <c r="K139" s="22">
        <f t="shared" si="26"/>
        <v>2.6939494531157477E-2</v>
      </c>
      <c r="L139" s="22">
        <f t="shared" si="29"/>
        <v>2.7090100081973278E-2</v>
      </c>
      <c r="M139" s="22">
        <f t="shared" si="29"/>
        <v>2.730378356628085E-2</v>
      </c>
      <c r="N139" s="22">
        <f t="shared" si="29"/>
        <v>2.7441097966929517E-2</v>
      </c>
      <c r="O139" s="22">
        <f t="shared" si="29"/>
        <v>2.7532344014183842E-2</v>
      </c>
      <c r="P139" s="22">
        <f t="shared" si="29"/>
        <v>2.757662364319367E-2</v>
      </c>
      <c r="Q139" s="22">
        <f t="shared" si="29"/>
        <v>2.7674453822865853E-2</v>
      </c>
      <c r="R139" s="22">
        <f t="shared" si="29"/>
        <v>2.7786681470952937E-2</v>
      </c>
      <c r="S139" s="22">
        <f t="shared" si="29"/>
        <v>2.699713387440892E-2</v>
      </c>
      <c r="T139" s="22">
        <f t="shared" si="29"/>
        <v>2.7461657796488435E-2</v>
      </c>
      <c r="U139" s="22">
        <f t="shared" si="29"/>
        <v>4.7249978408062936E-2</v>
      </c>
      <c r="V139" s="22">
        <f t="shared" si="29"/>
        <v>4.7819554843728261E-2</v>
      </c>
      <c r="W139" s="22">
        <f t="shared" si="29"/>
        <v>4.8364148263346618E-2</v>
      </c>
      <c r="X139" s="22">
        <f t="shared" si="29"/>
        <v>4.8874495253052513E-2</v>
      </c>
      <c r="Y139" s="22">
        <f t="shared" si="29"/>
        <v>4.9336966876945901E-2</v>
      </c>
      <c r="Z139" s="22">
        <f t="shared" si="29"/>
        <v>4.9749403382134544E-2</v>
      </c>
      <c r="AA139" s="22">
        <f t="shared" si="29"/>
        <v>5.0109402108276212E-2</v>
      </c>
      <c r="AB139" s="22">
        <f t="shared" si="29"/>
        <v>5.0415144596034883E-2</v>
      </c>
      <c r="AC139" s="22">
        <f t="shared" si="29"/>
        <v>5.0665188678118429E-2</v>
      </c>
      <c r="AD139" s="22">
        <f t="shared" si="29"/>
        <v>5.0858018312603365E-2</v>
      </c>
      <c r="AE139" s="22">
        <f t="shared" si="29"/>
        <v>5.0992725904405595E-2</v>
      </c>
      <c r="AF139" s="22">
        <f t="shared" si="29"/>
        <v>5.1068440868582254E-2</v>
      </c>
      <c r="AG139" s="22">
        <f t="shared" si="29"/>
        <v>5.1084322112190127E-2</v>
      </c>
      <c r="AH139" s="22">
        <f t="shared" si="29"/>
        <v>5.104021603549988E-2</v>
      </c>
      <c r="AI139" s="22">
        <f t="shared" si="29"/>
        <v>5.0936373738323673E-2</v>
      </c>
      <c r="AJ139" s="22">
        <f t="shared" si="29"/>
        <v>1.6115387838438942E-2</v>
      </c>
      <c r="AK139" s="22">
        <f t="shared" si="29"/>
        <v>1.6127151801115156E-2</v>
      </c>
      <c r="AL139" s="22">
        <f t="shared" si="29"/>
        <v>1.6138068916094209E-2</v>
      </c>
      <c r="AM139" s="22">
        <f t="shared" si="29"/>
        <v>1.6148213033898736E-2</v>
      </c>
      <c r="AN139" s="22">
        <f t="shared" si="29"/>
        <v>1.6157675122895256E-2</v>
      </c>
      <c r="AO139" s="22">
        <f t="shared" si="29"/>
        <v>1.6166158214075712E-2</v>
      </c>
      <c r="AP139" s="22">
        <f t="shared" si="29"/>
        <v>1.6173462881319406E-2</v>
      </c>
      <c r="AQ139" s="22">
        <f t="shared" si="29"/>
        <v>1.617955714429747E-2</v>
      </c>
      <c r="AR139" s="22">
        <f t="shared" si="29"/>
        <v>1.6184214725912905E-2</v>
      </c>
      <c r="AS139" s="22">
        <f t="shared" si="29"/>
        <v>1.618718995999328E-2</v>
      </c>
      <c r="AT139" s="22">
        <f t="shared" si="29"/>
        <v>1.618845250333991E-2</v>
      </c>
      <c r="AU139" s="22">
        <f t="shared" si="29"/>
        <v>1.6188037249827626E-2</v>
      </c>
      <c r="AV139" s="22">
        <f t="shared" si="29"/>
        <v>1.6185968533908621E-2</v>
      </c>
      <c r="AW139" s="22">
        <f t="shared" si="29"/>
        <v>1.6182015293381945E-2</v>
      </c>
      <c r="AY139" s="79"/>
    </row>
    <row r="140" spans="1:51" x14ac:dyDescent="0.25">
      <c r="A140" s="95" t="str">
        <f t="shared" si="0"/>
        <v>FS MM Leaching</v>
      </c>
      <c r="B140" s="95" t="s">
        <v>1004</v>
      </c>
      <c r="C140" s="95" t="s">
        <v>1333</v>
      </c>
      <c r="D140" t="s">
        <v>369</v>
      </c>
      <c r="E140" t="s">
        <v>64</v>
      </c>
      <c r="F140" t="s">
        <v>63</v>
      </c>
      <c r="G140" t="s">
        <v>1156</v>
      </c>
      <c r="H140" t="s">
        <v>1308</v>
      </c>
      <c r="I140" t="s">
        <v>139</v>
      </c>
      <c r="J140" t="s">
        <v>287</v>
      </c>
      <c r="K140" s="22">
        <f t="shared" si="26"/>
        <v>1.4483668498503175E-3</v>
      </c>
      <c r="L140" s="22">
        <f t="shared" si="29"/>
        <v>1.4564639612104711E-3</v>
      </c>
      <c r="M140" s="22">
        <f t="shared" si="29"/>
        <v>1.4679523755410987E-3</v>
      </c>
      <c r="N140" s="22">
        <f t="shared" si="29"/>
        <v>1.4753349055168039E-3</v>
      </c>
      <c r="O140" s="22">
        <f t="shared" si="29"/>
        <v>1.4802406304505133E-3</v>
      </c>
      <c r="P140" s="22">
        <f t="shared" si="29"/>
        <v>1.4826212670547866E-3</v>
      </c>
      <c r="Q140" s="22">
        <f t="shared" si="29"/>
        <v>1.4878809792957942E-3</v>
      </c>
      <c r="R140" s="22">
        <f t="shared" si="29"/>
        <v>1.4939147526814829E-3</v>
      </c>
      <c r="S140" s="22">
        <f t="shared" si="29"/>
        <v>1.4514657540972396E-3</v>
      </c>
      <c r="T140" s="22">
        <f t="shared" si="29"/>
        <v>1.476440277985364E-3</v>
      </c>
      <c r="U140" s="22">
        <f t="shared" si="29"/>
        <v>2.5403335724518226E-3</v>
      </c>
      <c r="V140" s="22">
        <f t="shared" si="29"/>
        <v>2.5709561079607732E-3</v>
      </c>
      <c r="W140" s="22">
        <f t="shared" si="29"/>
        <v>2.6002354641383586E-3</v>
      </c>
      <c r="X140" s="22">
        <f t="shared" si="29"/>
        <v>2.6276736055985106E-3</v>
      </c>
      <c r="Y140" s="22">
        <f t="shared" si="29"/>
        <v>2.6525377903466292E-3</v>
      </c>
      <c r="Z140" s="22">
        <f t="shared" si="29"/>
        <v>2.6747119020803316E-3</v>
      </c>
      <c r="AA140" s="22">
        <f t="shared" si="29"/>
        <v>2.6940667648944388E-3</v>
      </c>
      <c r="AB140" s="22">
        <f t="shared" si="29"/>
        <v>2.7105046116902751E-3</v>
      </c>
      <c r="AC140" s="22">
        <f t="shared" si="29"/>
        <v>2.7239479062209941E-3</v>
      </c>
      <c r="AD140" s="22">
        <f t="shared" si="29"/>
        <v>2.7343151404663774E-3</v>
      </c>
      <c r="AE140" s="22">
        <f t="shared" si="29"/>
        <v>2.741557518758363E-3</v>
      </c>
      <c r="AF140" s="22">
        <f t="shared" si="29"/>
        <v>2.7456282352309475E-3</v>
      </c>
      <c r="AG140" s="22">
        <f t="shared" si="29"/>
        <v>2.7464820696170918E-3</v>
      </c>
      <c r="AH140" s="22">
        <f t="shared" si="29"/>
        <v>2.7441107638273262E-3</v>
      </c>
      <c r="AI140" s="22">
        <f t="shared" si="29"/>
        <v>2.738527817916133E-3</v>
      </c>
      <c r="AJ140" s="22">
        <f t="shared" si="29"/>
        <v>8.664228458585355E-4</v>
      </c>
      <c r="AK140" s="22">
        <f t="shared" si="29"/>
        <v>8.6705531999584366E-4</v>
      </c>
      <c r="AL140" s="22">
        <f t="shared" si="29"/>
        <v>8.6764226446925895E-4</v>
      </c>
      <c r="AM140" s="22">
        <f t="shared" si="29"/>
        <v>8.6818764975598228E-4</v>
      </c>
      <c r="AN140" s="22">
        <f t="shared" si="29"/>
        <v>8.6869636665180383E-4</v>
      </c>
      <c r="AO140" s="22">
        <f t="shared" si="29"/>
        <v>8.691524490046414E-4</v>
      </c>
      <c r="AP140" s="22">
        <f t="shared" si="29"/>
        <v>8.6954517492875681E-4</v>
      </c>
      <c r="AQ140" s="22">
        <f t="shared" si="29"/>
        <v>8.6987282504340517E-4</v>
      </c>
      <c r="AR140" s="22">
        <f t="shared" si="29"/>
        <v>8.7012323385506529E-4</v>
      </c>
      <c r="AS140" s="22">
        <f t="shared" si="29"/>
        <v>8.7028319344181889E-4</v>
      </c>
      <c r="AT140" s="22">
        <f t="shared" si="29"/>
        <v>8.7035107244109425E-4</v>
      </c>
      <c r="AU140" s="22">
        <f t="shared" si="29"/>
        <v>8.7032874687664199E-4</v>
      </c>
      <c r="AV140" s="22">
        <f t="shared" si="29"/>
        <v>8.7021752505860126E-4</v>
      </c>
      <c r="AW140" s="22">
        <f t="shared" si="29"/>
        <v>8.7000498422856851E-4</v>
      </c>
      <c r="AY140" s="79"/>
    </row>
    <row r="141" spans="1:51" x14ac:dyDescent="0.25">
      <c r="A141" s="95" t="str">
        <f t="shared" si="0"/>
        <v>FS MM Leaching</v>
      </c>
      <c r="B141" s="95" t="s">
        <v>1004</v>
      </c>
      <c r="C141" s="95" t="s">
        <v>1333</v>
      </c>
      <c r="D141" t="s">
        <v>369</v>
      </c>
      <c r="E141" t="s">
        <v>64</v>
      </c>
      <c r="F141" t="s">
        <v>63</v>
      </c>
      <c r="G141" t="s">
        <v>1158</v>
      </c>
      <c r="H141" t="s">
        <v>1309</v>
      </c>
      <c r="I141" t="s">
        <v>139</v>
      </c>
      <c r="J141" t="s">
        <v>287</v>
      </c>
      <c r="K141" s="22">
        <f t="shared" si="26"/>
        <v>3.0303014392691133E-2</v>
      </c>
      <c r="L141" s="22">
        <f t="shared" si="29"/>
        <v>3.0040206026371367E-2</v>
      </c>
      <c r="M141" s="22">
        <f t="shared" si="29"/>
        <v>2.9940162837193193E-2</v>
      </c>
      <c r="N141" s="22">
        <f t="shared" si="29"/>
        <v>2.9540351153331305E-2</v>
      </c>
      <c r="O141" s="22">
        <f t="shared" si="29"/>
        <v>2.8960014730128859E-2</v>
      </c>
      <c r="P141" s="22">
        <f t="shared" si="29"/>
        <v>2.8211154016296508E-2</v>
      </c>
      <c r="Q141" s="22">
        <f t="shared" si="29"/>
        <v>2.7620505669412019E-2</v>
      </c>
      <c r="R141" s="22">
        <f t="shared" si="29"/>
        <v>2.7061685185942382E-2</v>
      </c>
      <c r="S141" s="22">
        <f t="shared" si="29"/>
        <v>2.4201772556346722E-2</v>
      </c>
      <c r="T141" s="22">
        <f t="shared" si="29"/>
        <v>2.5134193306706524E-2</v>
      </c>
      <c r="U141" s="22">
        <f t="shared" si="29"/>
        <v>7.9215327522416931E-2</v>
      </c>
      <c r="V141" s="22">
        <f t="shared" si="29"/>
        <v>7.9597413086941654E-2</v>
      </c>
      <c r="W141" s="22">
        <f t="shared" si="29"/>
        <v>7.9841946903631861E-2</v>
      </c>
      <c r="X141" s="22">
        <f t="shared" si="29"/>
        <v>7.9948879165643486E-2</v>
      </c>
      <c r="Y141" s="22">
        <f t="shared" si="29"/>
        <v>7.992047510263596E-2</v>
      </c>
      <c r="Z141" s="22">
        <f t="shared" si="29"/>
        <v>7.9755373238701549E-2</v>
      </c>
      <c r="AA141" s="22">
        <f t="shared" si="29"/>
        <v>7.9453169143115579E-2</v>
      </c>
      <c r="AB141" s="22">
        <f t="shared" si="29"/>
        <v>7.9014112861708063E-2</v>
      </c>
      <c r="AC141" s="22">
        <f t="shared" si="29"/>
        <v>7.8439191657390592E-2</v>
      </c>
      <c r="AD141" s="22">
        <f t="shared" si="29"/>
        <v>7.7077087742293285E-2</v>
      </c>
      <c r="AE141" s="22">
        <f t="shared" si="29"/>
        <v>7.5586682253877949E-2</v>
      </c>
      <c r="AF141" s="22">
        <f t="shared" si="29"/>
        <v>7.3974671879861814E-2</v>
      </c>
      <c r="AG141" s="22">
        <f t="shared" si="29"/>
        <v>7.2248514242158265E-2</v>
      </c>
      <c r="AH141" s="22">
        <f t="shared" si="29"/>
        <v>7.0416148615651625E-2</v>
      </c>
      <c r="AI141" s="22">
        <f t="shared" si="29"/>
        <v>6.8486029191241041E-2</v>
      </c>
      <c r="AJ141" s="22">
        <f t="shared" si="29"/>
        <v>-5.2880249817764688E-3</v>
      </c>
      <c r="AK141" s="22">
        <f t="shared" si="29"/>
        <v>-5.1607046214705845E-3</v>
      </c>
      <c r="AL141" s="22">
        <f t="shared" si="29"/>
        <v>-5.0347089645398375E-3</v>
      </c>
      <c r="AM141" s="22">
        <f t="shared" si="29"/>
        <v>-4.9100249979569036E-3</v>
      </c>
      <c r="AN141" s="22">
        <f t="shared" si="29"/>
        <v>-4.8110666270887118E-3</v>
      </c>
      <c r="AO141" s="22">
        <f t="shared" si="29"/>
        <v>-4.7130469845991819E-3</v>
      </c>
      <c r="AP141" s="22">
        <f t="shared" si="29"/>
        <v>-4.6158931662269266E-3</v>
      </c>
      <c r="AQ141" s="22">
        <f t="shared" si="29"/>
        <v>-4.5195811063585816E-3</v>
      </c>
      <c r="AR141" s="22">
        <f t="shared" si="29"/>
        <v>-4.424040391221005E-3</v>
      </c>
      <c r="AS141" s="22">
        <f t="shared" si="29"/>
        <v>-4.3292020646369571E-3</v>
      </c>
      <c r="AT141" s="22">
        <f t="shared" si="29"/>
        <v>-4.2350550518406409E-3</v>
      </c>
      <c r="AU141" s="22">
        <f t="shared" si="29"/>
        <v>-4.1416051693555066E-3</v>
      </c>
      <c r="AV141" s="22">
        <f t="shared" si="29"/>
        <v>-4.0488559853117164E-3</v>
      </c>
      <c r="AW141" s="22">
        <f t="shared" si="29"/>
        <v>-3.9567542281437719E-3</v>
      </c>
      <c r="AY141" s="79"/>
    </row>
    <row r="142" spans="1:51" x14ac:dyDescent="0.25">
      <c r="A142" s="95" t="str">
        <f t="shared" si="0"/>
        <v>FS MM Leaching</v>
      </c>
      <c r="B142" s="95" t="s">
        <v>1004</v>
      </c>
      <c r="C142" s="95" t="s">
        <v>1333</v>
      </c>
      <c r="D142" t="s">
        <v>369</v>
      </c>
      <c r="E142" t="s">
        <v>64</v>
      </c>
      <c r="F142" t="s">
        <v>63</v>
      </c>
      <c r="G142" t="s">
        <v>1160</v>
      </c>
      <c r="H142" t="s">
        <v>1310</v>
      </c>
      <c r="I142" t="s">
        <v>139</v>
      </c>
      <c r="J142" t="s">
        <v>287</v>
      </c>
      <c r="K142" s="22">
        <f t="shared" si="26"/>
        <v>4.0226293185258929E-2</v>
      </c>
      <c r="L142" s="22">
        <f t="shared" si="29"/>
        <v>3.9877423391049029E-2</v>
      </c>
      <c r="M142" s="22">
        <f t="shared" ref="L142:AW148" si="30">M1551</f>
        <v>3.9744619221572089E-2</v>
      </c>
      <c r="N142" s="22">
        <f t="shared" si="30"/>
        <v>3.9213881856453726E-2</v>
      </c>
      <c r="O142" s="22">
        <f t="shared" si="30"/>
        <v>3.8443503609481157E-2</v>
      </c>
      <c r="P142" s="22">
        <f t="shared" si="30"/>
        <v>3.7449414696768615E-2</v>
      </c>
      <c r="Q142" s="22">
        <f t="shared" si="30"/>
        <v>3.6665347697252743E-2</v>
      </c>
      <c r="R142" s="22">
        <f t="shared" si="30"/>
        <v>3.5923531179771234E-2</v>
      </c>
      <c r="S142" s="22">
        <f t="shared" si="30"/>
        <v>3.2127087617044768E-2</v>
      </c>
      <c r="T142" s="22">
        <f t="shared" si="30"/>
        <v>3.336484667262702E-2</v>
      </c>
      <c r="U142" s="22">
        <f t="shared" si="30"/>
        <v>0.10515584187068941</v>
      </c>
      <c r="V142" s="22">
        <f t="shared" si="30"/>
        <v>0.1056630483730278</v>
      </c>
      <c r="W142" s="22">
        <f t="shared" si="30"/>
        <v>0.10598765928059027</v>
      </c>
      <c r="X142" s="22">
        <f t="shared" si="30"/>
        <v>0.10612960847636668</v>
      </c>
      <c r="Y142" s="22">
        <f t="shared" si="30"/>
        <v>0.10609190298108537</v>
      </c>
      <c r="Z142" s="22">
        <f t="shared" si="30"/>
        <v>0.10587273547853948</v>
      </c>
      <c r="AA142" s="22">
        <f t="shared" si="30"/>
        <v>0.10547156909973328</v>
      </c>
      <c r="AB142" s="22">
        <f t="shared" si="30"/>
        <v>0.10488873577259779</v>
      </c>
      <c r="AC142" s="22">
        <f t="shared" si="30"/>
        <v>0.10412554605742294</v>
      </c>
      <c r="AD142" s="22">
        <f t="shared" si="30"/>
        <v>0.10231739619063251</v>
      </c>
      <c r="AE142" s="22">
        <f t="shared" si="30"/>
        <v>0.10033893004317308</v>
      </c>
      <c r="AF142" s="22">
        <f t="shared" si="30"/>
        <v>9.8199037256187116E-2</v>
      </c>
      <c r="AG142" s="22">
        <f t="shared" si="30"/>
        <v>9.5907617586895574E-2</v>
      </c>
      <c r="AH142" s="22">
        <f t="shared" si="30"/>
        <v>9.3475210171604761E-2</v>
      </c>
      <c r="AI142" s="22">
        <f t="shared" si="30"/>
        <v>9.091303768134483E-2</v>
      </c>
      <c r="AJ142" s="22">
        <f t="shared" si="30"/>
        <v>-7.0196859141254189E-3</v>
      </c>
      <c r="AK142" s="22">
        <f t="shared" si="30"/>
        <v>-6.8506721626963654E-3</v>
      </c>
      <c r="AL142" s="22">
        <f t="shared" si="30"/>
        <v>-6.6834169131002059E-3</v>
      </c>
      <c r="AM142" s="22">
        <f t="shared" si="30"/>
        <v>-6.5179028909547456E-3</v>
      </c>
      <c r="AN142" s="22">
        <f t="shared" si="30"/>
        <v>-6.3865387834737544E-3</v>
      </c>
      <c r="AO142" s="22">
        <f t="shared" si="30"/>
        <v>-6.2564208082254193E-3</v>
      </c>
      <c r="AP142" s="22">
        <f t="shared" si="30"/>
        <v>-6.1274521871085615E-3</v>
      </c>
      <c r="AQ142" s="22">
        <f t="shared" si="30"/>
        <v>-5.9996009737825779E-3</v>
      </c>
      <c r="AR142" s="22">
        <f t="shared" si="30"/>
        <v>-5.872773696190668E-3</v>
      </c>
      <c r="AS142" s="22">
        <f t="shared" si="30"/>
        <v>-5.7468788171884874E-3</v>
      </c>
      <c r="AT142" s="22">
        <f t="shared" si="30"/>
        <v>-5.6219016353747063E-3</v>
      </c>
      <c r="AU142" s="22">
        <f t="shared" si="30"/>
        <v>-5.4978498720002471E-3</v>
      </c>
      <c r="AV142" s="22">
        <f t="shared" si="30"/>
        <v>-5.3747282636450412E-3</v>
      </c>
      <c r="AW142" s="22">
        <f t="shared" si="30"/>
        <v>-5.2524660939907621E-3</v>
      </c>
      <c r="AY142" s="79"/>
    </row>
    <row r="143" spans="1:51" x14ac:dyDescent="0.25">
      <c r="A143" s="95" t="str">
        <f t="shared" si="0"/>
        <v>FS MM Leaching</v>
      </c>
      <c r="B143" s="95" t="s">
        <v>1004</v>
      </c>
      <c r="C143" s="95" t="s">
        <v>1333</v>
      </c>
      <c r="D143" t="s">
        <v>369</v>
      </c>
      <c r="E143" t="s">
        <v>64</v>
      </c>
      <c r="F143" t="s">
        <v>63</v>
      </c>
      <c r="G143" t="s">
        <v>1162</v>
      </c>
      <c r="H143" t="s">
        <v>1311</v>
      </c>
      <c r="I143" t="s">
        <v>139</v>
      </c>
      <c r="J143" t="s">
        <v>287</v>
      </c>
      <c r="K143" s="22">
        <f t="shared" si="26"/>
        <v>4.1968337096859203E-2</v>
      </c>
      <c r="L143" s="22">
        <f t="shared" si="30"/>
        <v>4.3383434779753476E-2</v>
      </c>
      <c r="M143" s="22">
        <f t="shared" si="30"/>
        <v>4.5063007666824861E-2</v>
      </c>
      <c r="N143" s="22">
        <f t="shared" si="30"/>
        <v>4.6315596244033509E-2</v>
      </c>
      <c r="O143" s="22">
        <f t="shared" si="30"/>
        <v>4.7281576900430194E-2</v>
      </c>
      <c r="P143" s="22">
        <f t="shared" si="30"/>
        <v>4.7947144057730852E-2</v>
      </c>
      <c r="Q143" s="22">
        <f t="shared" si="30"/>
        <v>4.8855920576585839E-2</v>
      </c>
      <c r="R143" s="22">
        <f t="shared" si="30"/>
        <v>4.9808583705724517E-2</v>
      </c>
      <c r="S143" s="22">
        <f t="shared" si="30"/>
        <v>4.6345052575542584E-2</v>
      </c>
      <c r="T143" s="22">
        <f t="shared" si="30"/>
        <v>4.9290182096012818E-2</v>
      </c>
      <c r="U143" s="22">
        <f t="shared" si="30"/>
        <v>0.1590390004544035</v>
      </c>
      <c r="V143" s="22">
        <f t="shared" si="30"/>
        <v>0.16355513295491098</v>
      </c>
      <c r="W143" s="22">
        <f t="shared" si="30"/>
        <v>0.16786105995970313</v>
      </c>
      <c r="X143" s="22">
        <f t="shared" si="30"/>
        <v>0.17194023598803351</v>
      </c>
      <c r="Y143" s="22">
        <f t="shared" si="30"/>
        <v>0.17578066999732156</v>
      </c>
      <c r="Z143" s="22">
        <f t="shared" si="30"/>
        <v>0.17936210611821823</v>
      </c>
      <c r="AA143" s="22">
        <f t="shared" si="30"/>
        <v>0.1826656381005505</v>
      </c>
      <c r="AB143" s="22">
        <f t="shared" si="30"/>
        <v>0.18567320176806454</v>
      </c>
      <c r="AC143" s="22">
        <f t="shared" si="30"/>
        <v>0.18836790776441609</v>
      </c>
      <c r="AD143" s="22">
        <f t="shared" si="30"/>
        <v>0.19123519545806747</v>
      </c>
      <c r="AE143" s="22">
        <f t="shared" si="30"/>
        <v>0.19376853499382182</v>
      </c>
      <c r="AF143" s="22">
        <f t="shared" si="30"/>
        <v>0.19595309748984396</v>
      </c>
      <c r="AG143" s="22">
        <f t="shared" si="30"/>
        <v>0.19777601067919534</v>
      </c>
      <c r="AH143" s="22">
        <f t="shared" si="30"/>
        <v>0.19922591108684914</v>
      </c>
      <c r="AI143" s="22">
        <f t="shared" si="30"/>
        <v>0.20029329073357882</v>
      </c>
      <c r="AJ143" s="22">
        <f t="shared" si="30"/>
        <v>-1.5988935485228874E-2</v>
      </c>
      <c r="AK143" s="22">
        <f t="shared" si="30"/>
        <v>-1.6135273009597623E-2</v>
      </c>
      <c r="AL143" s="22">
        <f t="shared" si="30"/>
        <v>-1.6280642881338143E-2</v>
      </c>
      <c r="AM143" s="22">
        <f t="shared" si="30"/>
        <v>-1.6425117505391919E-2</v>
      </c>
      <c r="AN143" s="22">
        <f t="shared" si="30"/>
        <v>-1.6548178161071046E-2</v>
      </c>
      <c r="AO143" s="22">
        <f t="shared" si="30"/>
        <v>-1.6670008309036564E-2</v>
      </c>
      <c r="AP143" s="22">
        <f t="shared" si="30"/>
        <v>-1.6790421483448635E-2</v>
      </c>
      <c r="AQ143" s="22">
        <f t="shared" si="30"/>
        <v>-1.6909384567907186E-2</v>
      </c>
      <c r="AR143" s="22">
        <f t="shared" si="30"/>
        <v>-1.7026675592023126E-2</v>
      </c>
      <c r="AS143" s="22">
        <f t="shared" si="30"/>
        <v>-1.7142046777220185E-2</v>
      </c>
      <c r="AT143" s="22">
        <f t="shared" si="30"/>
        <v>-1.725545286501233E-2</v>
      </c>
      <c r="AU143" s="22">
        <f t="shared" si="30"/>
        <v>-1.7366910999627443E-2</v>
      </c>
      <c r="AV143" s="22">
        <f t="shared" si="30"/>
        <v>-1.7476428038790941E-2</v>
      </c>
      <c r="AW143" s="22">
        <f t="shared" si="30"/>
        <v>-1.7583756727581886E-2</v>
      </c>
      <c r="AY143" s="79"/>
    </row>
    <row r="144" spans="1:51" x14ac:dyDescent="0.25">
      <c r="A144" s="95" t="str">
        <f t="shared" si="0"/>
        <v>FS MM Leaching</v>
      </c>
      <c r="B144" s="95" t="s">
        <v>1004</v>
      </c>
      <c r="C144" s="95" t="s">
        <v>1333</v>
      </c>
      <c r="D144" t="s">
        <v>369</v>
      </c>
      <c r="E144" t="s">
        <v>64</v>
      </c>
      <c r="F144" t="s">
        <v>63</v>
      </c>
      <c r="G144" t="s">
        <v>1164</v>
      </c>
      <c r="H144" t="s">
        <v>1312</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4.4583713438871775E-3</v>
      </c>
      <c r="T144" s="22">
        <f t="shared" si="30"/>
        <v>4.4613385793898985E-3</v>
      </c>
      <c r="U144" s="22">
        <f t="shared" si="30"/>
        <v>4.5194479058578802E-3</v>
      </c>
      <c r="V144" s="22">
        <f t="shared" si="30"/>
        <v>4.5208654375239604E-3</v>
      </c>
      <c r="W144" s="22">
        <f t="shared" si="30"/>
        <v>4.5269288931412202E-3</v>
      </c>
      <c r="X144" s="22">
        <f t="shared" si="30"/>
        <v>4.5356937654075719E-3</v>
      </c>
      <c r="Y144" s="22">
        <f t="shared" si="30"/>
        <v>4.5438360313793799E-3</v>
      </c>
      <c r="Z144" s="22">
        <f t="shared" si="30"/>
        <v>4.5514565032506353E-3</v>
      </c>
      <c r="AA144" s="22">
        <f t="shared" si="30"/>
        <v>4.5585145451789771E-3</v>
      </c>
      <c r="AB144" s="22">
        <f t="shared" si="30"/>
        <v>4.5650737507021777E-3</v>
      </c>
      <c r="AC144" s="22">
        <f t="shared" si="30"/>
        <v>4.5712336162876026E-3</v>
      </c>
      <c r="AD144" s="22">
        <f t="shared" si="30"/>
        <v>4.5769883379201265E-3</v>
      </c>
      <c r="AE144" s="22">
        <f t="shared" si="30"/>
        <v>4.5824299595188939E-3</v>
      </c>
      <c r="AF144" s="22">
        <f t="shared" si="30"/>
        <v>4.5875716533889405E-3</v>
      </c>
      <c r="AG144" s="22">
        <f t="shared" si="30"/>
        <v>4.5923429466883485E-3</v>
      </c>
      <c r="AH144" s="22">
        <f t="shared" si="30"/>
        <v>4.5967874861065324E-3</v>
      </c>
      <c r="AI144" s="22">
        <f t="shared" si="30"/>
        <v>4.6009761769836678E-3</v>
      </c>
      <c r="AJ144" s="22">
        <f t="shared" si="30"/>
        <v>4.5000024079062629E-3</v>
      </c>
      <c r="AK144" s="22">
        <f t="shared" si="30"/>
        <v>4.504140567798888E-3</v>
      </c>
      <c r="AL144" s="22">
        <f t="shared" si="30"/>
        <v>4.5080004058394166E-3</v>
      </c>
      <c r="AM144" s="22">
        <f t="shared" si="30"/>
        <v>4.5116055113744672E-3</v>
      </c>
      <c r="AN144" s="22">
        <f t="shared" si="30"/>
        <v>4.5149845600538762E-3</v>
      </c>
      <c r="AO144" s="22">
        <f t="shared" si="30"/>
        <v>4.5180486691616456E-3</v>
      </c>
      <c r="AP144" s="22">
        <f t="shared" si="30"/>
        <v>4.5207384818524527E-3</v>
      </c>
      <c r="AQ144" s="22">
        <f t="shared" si="30"/>
        <v>4.5230453041712505E-3</v>
      </c>
      <c r="AR144" s="22">
        <f t="shared" si="30"/>
        <v>4.5249015890055574E-3</v>
      </c>
      <c r="AS144" s="22">
        <f t="shared" si="30"/>
        <v>4.526233914491801E-3</v>
      </c>
      <c r="AT144" s="22">
        <f t="shared" si="30"/>
        <v>4.5270340008273808E-3</v>
      </c>
      <c r="AU144" s="22">
        <f t="shared" si="30"/>
        <v>4.5273132604660591E-3</v>
      </c>
      <c r="AV144" s="22">
        <f t="shared" si="30"/>
        <v>4.5270798618323943E-3</v>
      </c>
      <c r="AW144" s="22">
        <f t="shared" si="30"/>
        <v>4.5262646983336846E-3</v>
      </c>
      <c r="AY144" s="79"/>
    </row>
    <row r="145" spans="1:51" x14ac:dyDescent="0.25">
      <c r="A145" s="95" t="str">
        <f t="shared" si="0"/>
        <v>FS MM Leaching</v>
      </c>
      <c r="B145" s="95" t="s">
        <v>1004</v>
      </c>
      <c r="C145" s="95" t="s">
        <v>1333</v>
      </c>
      <c r="D145" t="s">
        <v>369</v>
      </c>
      <c r="E145" t="s">
        <v>64</v>
      </c>
      <c r="F145" t="s">
        <v>63</v>
      </c>
      <c r="G145" t="s">
        <v>1166</v>
      </c>
      <c r="H145" t="s">
        <v>1313</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3.7085625544236744E-3</v>
      </c>
      <c r="T145" s="22">
        <f t="shared" si="30"/>
        <v>3.7110307603281981E-3</v>
      </c>
      <c r="U145" s="22">
        <f t="shared" si="30"/>
        <v>3.7593672616152451E-3</v>
      </c>
      <c r="V145" s="22">
        <f t="shared" si="30"/>
        <v>3.7605463928385213E-3</v>
      </c>
      <c r="W145" s="22">
        <f t="shared" si="30"/>
        <v>3.7655900966303579E-3</v>
      </c>
      <c r="X145" s="22">
        <f t="shared" si="30"/>
        <v>3.7728808928817431E-3</v>
      </c>
      <c r="Y145" s="22">
        <f t="shared" si="30"/>
        <v>3.7796537927507973E-3</v>
      </c>
      <c r="Z145" s="22">
        <f t="shared" si="30"/>
        <v>3.7859926538390569E-3</v>
      </c>
      <c r="AA145" s="22">
        <f t="shared" si="30"/>
        <v>3.7918636744391884E-3</v>
      </c>
      <c r="AB145" s="22">
        <f t="shared" si="30"/>
        <v>3.7973197529292549E-3</v>
      </c>
      <c r="AC145" s="22">
        <f t="shared" si="30"/>
        <v>3.8024436524630406E-3</v>
      </c>
      <c r="AD145" s="22">
        <f t="shared" si="30"/>
        <v>3.8072305451445519E-3</v>
      </c>
      <c r="AE145" s="22">
        <f t="shared" si="30"/>
        <v>3.8117569949487401E-3</v>
      </c>
      <c r="AF145" s="22">
        <f t="shared" si="30"/>
        <v>3.8160339588626819E-3</v>
      </c>
      <c r="AG145" s="22">
        <f t="shared" si="30"/>
        <v>3.8200028161653869E-3</v>
      </c>
      <c r="AH145" s="22">
        <f t="shared" si="30"/>
        <v>3.8236998730470525E-3</v>
      </c>
      <c r="AI145" s="22">
        <f t="shared" si="30"/>
        <v>3.8271841099893822E-3</v>
      </c>
      <c r="AJ145" s="22">
        <f t="shared" si="30"/>
        <v>3.7431921070592298E-3</v>
      </c>
      <c r="AK145" s="22">
        <f t="shared" si="30"/>
        <v>3.7466343113168547E-3</v>
      </c>
      <c r="AL145" s="22">
        <f t="shared" si="30"/>
        <v>3.7498450018850307E-3</v>
      </c>
      <c r="AM145" s="22">
        <f t="shared" si="30"/>
        <v>3.7528438008546071E-3</v>
      </c>
      <c r="AN145" s="22">
        <f t="shared" si="30"/>
        <v>3.7556545612052921E-3</v>
      </c>
      <c r="AO145" s="22">
        <f t="shared" si="30"/>
        <v>3.7582033485142104E-3</v>
      </c>
      <c r="AP145" s="22">
        <f t="shared" si="30"/>
        <v>3.760440788568911E-3</v>
      </c>
      <c r="AQ145" s="22">
        <f t="shared" si="30"/>
        <v>3.7623596495635048E-3</v>
      </c>
      <c r="AR145" s="22">
        <f t="shared" si="30"/>
        <v>3.7639037444573268E-3</v>
      </c>
      <c r="AS145" s="22">
        <f t="shared" si="30"/>
        <v>3.7650119994741185E-3</v>
      </c>
      <c r="AT145" s="22">
        <f t="shared" si="30"/>
        <v>3.7656775273082915E-3</v>
      </c>
      <c r="AU145" s="22">
        <f t="shared" si="30"/>
        <v>3.7659098210673977E-3</v>
      </c>
      <c r="AV145" s="22">
        <f t="shared" si="30"/>
        <v>3.7657156754105432E-3</v>
      </c>
      <c r="AW145" s="22">
        <f t="shared" si="30"/>
        <v>3.7650376060901856E-3</v>
      </c>
      <c r="AY145" s="79"/>
    </row>
    <row r="146" spans="1:51" x14ac:dyDescent="0.25">
      <c r="A146" s="95" t="str">
        <f t="shared" si="0"/>
        <v>FS MM Leaching</v>
      </c>
      <c r="B146" s="95" t="s">
        <v>1004</v>
      </c>
      <c r="C146" s="95" t="s">
        <v>1333</v>
      </c>
      <c r="D146" t="s">
        <v>369</v>
      </c>
      <c r="E146" t="s">
        <v>64</v>
      </c>
      <c r="F146" t="s">
        <v>63</v>
      </c>
      <c r="G146" t="s">
        <v>1168</v>
      </c>
      <c r="H146" t="s">
        <v>1314</v>
      </c>
      <c r="I146" t="s">
        <v>139</v>
      </c>
      <c r="J146" t="s">
        <v>287</v>
      </c>
      <c r="K146" s="22">
        <f t="shared" si="26"/>
        <v>5.4322987485311562E-4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5.5840147541839718E-4</v>
      </c>
      <c r="R146" s="22">
        <f t="shared" si="30"/>
        <v>5.620753208024884E-4</v>
      </c>
      <c r="S146" s="22">
        <f t="shared" si="30"/>
        <v>5.6070469903814733E-4</v>
      </c>
      <c r="T146" s="22">
        <f t="shared" si="30"/>
        <v>5.6162230711910024E-4</v>
      </c>
      <c r="U146" s="22">
        <f t="shared" si="30"/>
        <v>5.7300934566261764E-4</v>
      </c>
      <c r="V146" s="22">
        <f t="shared" si="30"/>
        <v>5.735237983118301E-4</v>
      </c>
      <c r="W146" s="22">
        <f t="shared" si="30"/>
        <v>5.7488581877093682E-4</v>
      </c>
      <c r="X146" s="22">
        <f t="shared" si="30"/>
        <v>5.7672404156411123E-4</v>
      </c>
      <c r="Y146" s="22">
        <f t="shared" si="30"/>
        <v>5.7840994827834994E-4</v>
      </c>
      <c r="Z146" s="22">
        <f t="shared" si="30"/>
        <v>5.7996582365708491E-4</v>
      </c>
      <c r="AA146" s="22">
        <f t="shared" si="30"/>
        <v>5.8138689539941784E-4</v>
      </c>
      <c r="AB146" s="22">
        <f t="shared" si="30"/>
        <v>5.8268775619947839E-4</v>
      </c>
      <c r="AC146" s="22">
        <f t="shared" si="30"/>
        <v>5.838893945173696E-4</v>
      </c>
      <c r="AD146" s="22">
        <f t="shared" si="30"/>
        <v>5.8499277851090971E-4</v>
      </c>
      <c r="AE146" s="22">
        <f t="shared" si="30"/>
        <v>5.8601696023425276E-4</v>
      </c>
      <c r="AF146" s="22">
        <f t="shared" si="30"/>
        <v>5.8696603148616325E-4</v>
      </c>
      <c r="AG146" s="22">
        <f t="shared" si="30"/>
        <v>5.8782840452912231E-4</v>
      </c>
      <c r="AH146" s="22">
        <f t="shared" si="30"/>
        <v>5.8861362982731312E-4</v>
      </c>
      <c r="AI146" s="22">
        <f t="shared" si="30"/>
        <v>5.8933613461895486E-4</v>
      </c>
      <c r="AJ146" s="22">
        <f t="shared" si="30"/>
        <v>5.706274212799663E-4</v>
      </c>
      <c r="AK146" s="22">
        <f t="shared" si="30"/>
        <v>5.7134854330306069E-4</v>
      </c>
      <c r="AL146" s="22">
        <f t="shared" si="30"/>
        <v>5.7200511510337268E-4</v>
      </c>
      <c r="AM146" s="22">
        <f t="shared" si="30"/>
        <v>5.7260245045310132E-4</v>
      </c>
      <c r="AN146" s="22">
        <f t="shared" si="30"/>
        <v>5.7314670307798447E-4</v>
      </c>
      <c r="AO146" s="22">
        <f t="shared" si="30"/>
        <v>5.7362242271311709E-4</v>
      </c>
      <c r="AP146" s="22">
        <f t="shared" si="30"/>
        <v>5.7401961480709959E-4</v>
      </c>
      <c r="AQ146" s="22">
        <f t="shared" si="30"/>
        <v>5.743375496953002E-4</v>
      </c>
      <c r="AR146" s="22">
        <f t="shared" si="30"/>
        <v>5.7456474822570021E-4</v>
      </c>
      <c r="AS146" s="22">
        <f t="shared" si="30"/>
        <v>5.7468870297434124E-4</v>
      </c>
      <c r="AT146" s="22">
        <f t="shared" si="30"/>
        <v>5.7470877432626657E-4</v>
      </c>
      <c r="AU146" s="22">
        <f t="shared" si="30"/>
        <v>5.7462786115959977E-4</v>
      </c>
      <c r="AV146" s="22">
        <f t="shared" si="30"/>
        <v>5.7444822626571555E-4</v>
      </c>
      <c r="AW146" s="22">
        <f t="shared" si="30"/>
        <v>5.7415813453708586E-4</v>
      </c>
      <c r="AY146" s="79"/>
    </row>
    <row r="147" spans="1:51" x14ac:dyDescent="0.25">
      <c r="A147" s="95" t="str">
        <f t="shared" si="0"/>
        <v>FS MM Leaching</v>
      </c>
      <c r="B147" s="95" t="s">
        <v>1004</v>
      </c>
      <c r="C147" s="95" t="s">
        <v>1333</v>
      </c>
      <c r="D147" t="s">
        <v>369</v>
      </c>
      <c r="E147" t="s">
        <v>64</v>
      </c>
      <c r="F147" t="s">
        <v>63</v>
      </c>
      <c r="G147" t="s">
        <v>1170</v>
      </c>
      <c r="H147" t="s">
        <v>1315</v>
      </c>
      <c r="I147" t="s">
        <v>139</v>
      </c>
      <c r="J147" t="s">
        <v>287</v>
      </c>
      <c r="K147" s="22">
        <f t="shared" si="26"/>
        <v>6.6992563985089947E-3</v>
      </c>
      <c r="L147" s="22">
        <f t="shared" si="30"/>
        <v>6.716671231449923E-3</v>
      </c>
      <c r="M147" s="22">
        <f t="shared" si="30"/>
        <v>6.7406943780734313E-3</v>
      </c>
      <c r="N147" s="22">
        <f t="shared" si="30"/>
        <v>6.769960915195136E-3</v>
      </c>
      <c r="O147" s="22">
        <f t="shared" si="30"/>
        <v>6.8044291009834836E-3</v>
      </c>
      <c r="P147" s="22">
        <f t="shared" si="30"/>
        <v>6.8438891439814974E-3</v>
      </c>
      <c r="Q147" s="22">
        <f t="shared" si="30"/>
        <v>6.8863566425632575E-3</v>
      </c>
      <c r="R147" s="22">
        <f t="shared" si="30"/>
        <v>6.9316634884048298E-3</v>
      </c>
      <c r="S147" s="22">
        <f t="shared" si="30"/>
        <v>6.914760613489895E-3</v>
      </c>
      <c r="T147" s="22">
        <f t="shared" si="30"/>
        <v>6.9260768022567764E-3</v>
      </c>
      <c r="U147" s="22">
        <f t="shared" si="30"/>
        <v>7.0665048132223995E-3</v>
      </c>
      <c r="V147" s="22">
        <f t="shared" si="30"/>
        <v>7.0728491811622093E-3</v>
      </c>
      <c r="W147" s="22">
        <f t="shared" si="30"/>
        <v>7.0896459824759074E-3</v>
      </c>
      <c r="X147" s="22">
        <f t="shared" si="30"/>
        <v>7.1123154385922269E-3</v>
      </c>
      <c r="Y147" s="22">
        <f t="shared" si="30"/>
        <v>7.1331064920034711E-3</v>
      </c>
      <c r="Z147" s="22">
        <f t="shared" si="30"/>
        <v>7.1522939641377866E-3</v>
      </c>
      <c r="AA147" s="22">
        <f t="shared" si="30"/>
        <v>7.1698190017015617E-3</v>
      </c>
      <c r="AB147" s="22">
        <f t="shared" si="30"/>
        <v>7.1858615657095356E-3</v>
      </c>
      <c r="AC147" s="22">
        <f t="shared" si="30"/>
        <v>7.2006804914764638E-3</v>
      </c>
      <c r="AD147" s="22">
        <f t="shared" si="30"/>
        <v>7.2142877185840219E-3</v>
      </c>
      <c r="AE147" s="22">
        <f t="shared" si="30"/>
        <v>7.226918202069851E-3</v>
      </c>
      <c r="AF147" s="22">
        <f t="shared" si="30"/>
        <v>7.238622403092889E-3</v>
      </c>
      <c r="AG147" s="22">
        <f t="shared" si="30"/>
        <v>7.2492574185686288E-3</v>
      </c>
      <c r="AH147" s="22">
        <f t="shared" si="30"/>
        <v>7.2589410273808247E-3</v>
      </c>
      <c r="AI147" s="22">
        <f t="shared" si="30"/>
        <v>7.2678511500975998E-3</v>
      </c>
      <c r="AJ147" s="22">
        <f t="shared" si="30"/>
        <v>7.0371302833964079E-3</v>
      </c>
      <c r="AK147" s="22">
        <f t="shared" si="30"/>
        <v>7.046023353440887E-3</v>
      </c>
      <c r="AL147" s="22">
        <f t="shared" si="30"/>
        <v>7.0541203728390007E-3</v>
      </c>
      <c r="AM147" s="22">
        <f t="shared" si="30"/>
        <v>7.0614868724535639E-3</v>
      </c>
      <c r="AN147" s="22">
        <f t="shared" si="30"/>
        <v>7.0681987416795341E-3</v>
      </c>
      <c r="AO147" s="22">
        <f t="shared" si="30"/>
        <v>7.0740654437095336E-3</v>
      </c>
      <c r="AP147" s="22">
        <f t="shared" si="30"/>
        <v>7.0789637230572406E-3</v>
      </c>
      <c r="AQ147" s="22">
        <f t="shared" si="30"/>
        <v>7.0828845813028637E-3</v>
      </c>
      <c r="AR147" s="22">
        <f t="shared" si="30"/>
        <v>7.0856864544673794E-3</v>
      </c>
      <c r="AS147" s="22">
        <f t="shared" si="30"/>
        <v>7.0872150976466278E-3</v>
      </c>
      <c r="AT147" s="22">
        <f t="shared" si="30"/>
        <v>7.0874626229375523E-3</v>
      </c>
      <c r="AU147" s="22">
        <f t="shared" si="30"/>
        <v>7.0864647800820552E-3</v>
      </c>
      <c r="AV147" s="22">
        <f t="shared" si="30"/>
        <v>7.084249474429774E-3</v>
      </c>
      <c r="AW147" s="22">
        <f t="shared" si="30"/>
        <v>7.0806719854897525E-3</v>
      </c>
      <c r="AY147" s="79"/>
    </row>
    <row r="148" spans="1:51" x14ac:dyDescent="0.25">
      <c r="A148" s="95" t="str">
        <f t="shared" si="0"/>
        <v>FS MM Leaching</v>
      </c>
      <c r="B148" s="95" t="s">
        <v>1004</v>
      </c>
      <c r="C148" s="95" t="s">
        <v>1333</v>
      </c>
      <c r="D148" t="s">
        <v>369</v>
      </c>
      <c r="E148" t="s">
        <v>64</v>
      </c>
      <c r="F148" t="s">
        <v>63</v>
      </c>
      <c r="G148" t="s">
        <v>1172</v>
      </c>
      <c r="H148" t="s">
        <v>1316</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25">
      <c r="A149" s="95" t="str">
        <f t="shared" si="0"/>
        <v>FS MM Leaching</v>
      </c>
      <c r="B149" s="95" t="s">
        <v>1004</v>
      </c>
      <c r="C149" s="95" t="s">
        <v>1333</v>
      </c>
      <c r="D149" t="s">
        <v>369</v>
      </c>
      <c r="E149" t="s">
        <v>64</v>
      </c>
      <c r="F149" t="s">
        <v>63</v>
      </c>
      <c r="G149" t="s">
        <v>1174</v>
      </c>
      <c r="H149" t="s">
        <v>1317</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25">
      <c r="A150" s="95" t="str">
        <f t="shared" si="0"/>
        <v>FS MM Leaching</v>
      </c>
      <c r="B150" s="95" t="s">
        <v>1004</v>
      </c>
      <c r="C150" s="95" t="s">
        <v>1333</v>
      </c>
      <c r="D150" t="s">
        <v>369</v>
      </c>
      <c r="E150" t="s">
        <v>64</v>
      </c>
      <c r="F150" t="s">
        <v>63</v>
      </c>
      <c r="G150" t="s">
        <v>1176</v>
      </c>
      <c r="H150" t="s">
        <v>1318</v>
      </c>
      <c r="I150" t="s">
        <v>139</v>
      </c>
      <c r="J150" t="s">
        <v>287</v>
      </c>
      <c r="K150" s="22">
        <f t="shared" si="26"/>
        <v>2.6875086183165937E-2</v>
      </c>
      <c r="L150" s="22">
        <f t="shared" si="31"/>
        <v>2.6729002214214575E-2</v>
      </c>
      <c r="M150" s="22">
        <f t="shared" si="31"/>
        <v>2.6740992333189318E-2</v>
      </c>
      <c r="N150" s="22">
        <f t="shared" si="31"/>
        <v>2.6495489531984443E-2</v>
      </c>
      <c r="O150" s="22">
        <f t="shared" si="31"/>
        <v>2.609452683304701E-2</v>
      </c>
      <c r="P150" s="22">
        <f t="shared" si="31"/>
        <v>2.5544514050244028E-2</v>
      </c>
      <c r="Q150" s="22">
        <f t="shared" si="31"/>
        <v>2.5145143775072754E-2</v>
      </c>
      <c r="R150" s="22">
        <f t="shared" si="31"/>
        <v>2.4781112413324514E-2</v>
      </c>
      <c r="S150" s="22">
        <f t="shared" si="31"/>
        <v>2.2296168964910698E-2</v>
      </c>
      <c r="T150" s="22">
        <f t="shared" si="31"/>
        <v>2.3092324784413296E-2</v>
      </c>
      <c r="U150" s="22">
        <f t="shared" si="31"/>
        <v>7.381503978929195E-2</v>
      </c>
      <c r="V150" s="22">
        <f t="shared" si="31"/>
        <v>7.4017385099882177E-2</v>
      </c>
      <c r="W150" s="22">
        <f t="shared" si="31"/>
        <v>7.4092117158263957E-2</v>
      </c>
      <c r="X150" s="22">
        <f t="shared" si="31"/>
        <v>7.4042607907806673E-2</v>
      </c>
      <c r="Y150" s="22">
        <f t="shared" si="31"/>
        <v>7.3876326476641427E-2</v>
      </c>
      <c r="Z150" s="22">
        <f t="shared" si="31"/>
        <v>7.3591745464768973E-2</v>
      </c>
      <c r="AA150" s="22">
        <f t="shared" si="31"/>
        <v>7.3188455909713582E-2</v>
      </c>
      <c r="AB150" s="22">
        <f t="shared" si="31"/>
        <v>7.2666495628065958E-2</v>
      </c>
      <c r="AC150" s="22">
        <f t="shared" si="31"/>
        <v>7.2026534081708352E-2</v>
      </c>
      <c r="AD150" s="22">
        <f t="shared" si="31"/>
        <v>7.127021840521014E-2</v>
      </c>
      <c r="AE150" s="22">
        <f t="shared" si="31"/>
        <v>7.0399631702406332E-2</v>
      </c>
      <c r="AF150" s="22">
        <f t="shared" si="31"/>
        <v>6.9417717575292789E-2</v>
      </c>
      <c r="AG150" s="22">
        <f t="shared" si="31"/>
        <v>6.8328248088529983E-2</v>
      </c>
      <c r="AH150" s="22">
        <f t="shared" si="31"/>
        <v>6.7135309145229499E-2</v>
      </c>
      <c r="AI150" s="22">
        <f t="shared" si="31"/>
        <v>6.58434858478079E-2</v>
      </c>
      <c r="AJ150" s="22">
        <f t="shared" si="31"/>
        <v>-6.1354464297522409E-3</v>
      </c>
      <c r="AK150" s="22">
        <f t="shared" si="31"/>
        <v>-6.0690246210378601E-3</v>
      </c>
      <c r="AL150" s="22">
        <f t="shared" si="31"/>
        <v>-6.0023674842876688E-3</v>
      </c>
      <c r="AM150" s="22">
        <f t="shared" si="31"/>
        <v>-5.9355441730233076E-3</v>
      </c>
      <c r="AN150" s="22">
        <f t="shared" si="31"/>
        <v>-5.868631115229209E-3</v>
      </c>
      <c r="AO150" s="22">
        <f t="shared" si="31"/>
        <v>-5.801450937318208E-3</v>
      </c>
      <c r="AP150" s="22">
        <f t="shared" si="31"/>
        <v>-5.7338989216543417E-3</v>
      </c>
      <c r="AQ150" s="22">
        <f t="shared" si="31"/>
        <v>-5.665981593784182E-3</v>
      </c>
      <c r="AR150" s="22">
        <f t="shared" si="31"/>
        <v>-5.5975864031876984E-3</v>
      </c>
      <c r="AS150" s="22">
        <f t="shared" si="31"/>
        <v>-5.528596592882417E-3</v>
      </c>
      <c r="AT150" s="22">
        <f t="shared" si="31"/>
        <v>-5.459031743402367E-3</v>
      </c>
      <c r="AU150" s="22">
        <f t="shared" si="31"/>
        <v>-5.3889497419228856E-3</v>
      </c>
      <c r="AV150" s="22">
        <f t="shared" si="31"/>
        <v>-5.3184001043520557E-3</v>
      </c>
      <c r="AW150" s="22">
        <f t="shared" si="31"/>
        <v>-5.2472851582702085E-3</v>
      </c>
      <c r="AY150" s="79"/>
    </row>
    <row r="151" spans="1:51" x14ac:dyDescent="0.25">
      <c r="A151" s="95" t="str">
        <f t="shared" si="0"/>
        <v>FS MM Leaching</v>
      </c>
      <c r="B151" s="95" t="s">
        <v>1004</v>
      </c>
      <c r="C151" s="95" t="s">
        <v>1333</v>
      </c>
      <c r="D151" t="s">
        <v>369</v>
      </c>
      <c r="E151" t="s">
        <v>64</v>
      </c>
      <c r="F151" t="s">
        <v>63</v>
      </c>
      <c r="G151" t="s">
        <v>1178</v>
      </c>
      <c r="H151" t="s">
        <v>1319</v>
      </c>
      <c r="I151" t="s">
        <v>139</v>
      </c>
      <c r="J151" t="s">
        <v>287</v>
      </c>
      <c r="K151" s="22">
        <f t="shared" si="26"/>
        <v>4.0166140097319695E-3</v>
      </c>
      <c r="L151" s="22">
        <f t="shared" si="31"/>
        <v>3.9947810410006978E-3</v>
      </c>
      <c r="M151" s="22">
        <f t="shared" si="31"/>
        <v>3.9965730233416695E-3</v>
      </c>
      <c r="N151" s="22">
        <f t="shared" si="31"/>
        <v>3.9598814204188995E-3</v>
      </c>
      <c r="O151" s="22">
        <f t="shared" si="31"/>
        <v>3.8999555700251301E-3</v>
      </c>
      <c r="P151" s="22">
        <f t="shared" si="31"/>
        <v>3.8177534504158584E-3</v>
      </c>
      <c r="Q151" s="22">
        <f t="shared" si="31"/>
        <v>3.7580655955978047E-3</v>
      </c>
      <c r="R151" s="22">
        <f t="shared" si="31"/>
        <v>3.7036593154610871E-3</v>
      </c>
      <c r="S151" s="22">
        <f t="shared" si="31"/>
        <v>3.3322722769129989E-3</v>
      </c>
      <c r="T151" s="22">
        <f t="shared" si="31"/>
        <v>3.4512616857933645E-3</v>
      </c>
      <c r="U151" s="22">
        <f t="shared" si="31"/>
        <v>1.1032021290123588E-2</v>
      </c>
      <c r="V151" s="22">
        <f t="shared" si="31"/>
        <v>1.1062262793491467E-2</v>
      </c>
      <c r="W151" s="22">
        <f t="shared" si="31"/>
        <v>1.1073431867727232E-2</v>
      </c>
      <c r="X151" s="22">
        <f t="shared" si="31"/>
        <v>1.106603246637675E-2</v>
      </c>
      <c r="Y151" s="22">
        <f t="shared" si="31"/>
        <v>1.1041180887430186E-2</v>
      </c>
      <c r="Z151" s="22">
        <f t="shared" si="31"/>
        <v>1.0998648853434082E-2</v>
      </c>
      <c r="AA151" s="22">
        <f t="shared" si="31"/>
        <v>1.0938375242931999E-2</v>
      </c>
      <c r="AB151" s="22">
        <f t="shared" si="31"/>
        <v>1.0860365707799692E-2</v>
      </c>
      <c r="AC151" s="22">
        <f t="shared" si="31"/>
        <v>1.0764720302413055E-2</v>
      </c>
      <c r="AD151" s="22">
        <f t="shared" si="31"/>
        <v>1.0651685199146835E-2</v>
      </c>
      <c r="AE151" s="22">
        <f t="shared" si="31"/>
        <v>1.0521571728130012E-2</v>
      </c>
      <c r="AF151" s="22">
        <f t="shared" si="31"/>
        <v>1.0374819825180263E-2</v>
      </c>
      <c r="AG151" s="22">
        <f t="shared" si="31"/>
        <v>1.0211993243941318E-2</v>
      </c>
      <c r="AH151" s="22">
        <f t="shared" si="31"/>
        <v>1.0033702642759285E-2</v>
      </c>
      <c r="AI151" s="22">
        <f t="shared" si="31"/>
        <v>9.8406332877753449E-3</v>
      </c>
      <c r="AJ151" s="22">
        <f t="shared" si="31"/>
        <v>-9.1697269053370395E-4</v>
      </c>
      <c r="AK151" s="22">
        <f t="shared" si="31"/>
        <v>-9.0704562404485191E-4</v>
      </c>
      <c r="AL151" s="22">
        <f t="shared" si="31"/>
        <v>-8.970833866218835E-4</v>
      </c>
      <c r="AM151" s="22">
        <f t="shared" si="31"/>
        <v>-8.870963135992402E-4</v>
      </c>
      <c r="AN151" s="22">
        <f t="shared" si="31"/>
        <v>-8.7709582751565934E-4</v>
      </c>
      <c r="AO151" s="22">
        <f t="shared" si="31"/>
        <v>-8.6705541901484369E-4</v>
      </c>
      <c r="AP151" s="22">
        <f t="shared" si="31"/>
        <v>-8.5695943753028676E-4</v>
      </c>
      <c r="AQ151" s="22">
        <f t="shared" si="31"/>
        <v>-8.4680885833706668E-4</v>
      </c>
      <c r="AR151" s="22">
        <f t="shared" si="31"/>
        <v>-8.3658686020557013E-4</v>
      </c>
      <c r="AS151" s="22">
        <f t="shared" si="31"/>
        <v>-8.2627599322965283E-4</v>
      </c>
      <c r="AT151" s="22">
        <f t="shared" si="31"/>
        <v>-8.1587918381657311E-4</v>
      </c>
      <c r="AU151" s="22">
        <f t="shared" si="31"/>
        <v>-8.0540508348982262E-4</v>
      </c>
      <c r="AV151" s="22">
        <f t="shared" si="31"/>
        <v>-7.9486109264576715E-4</v>
      </c>
      <c r="AW151" s="22">
        <f t="shared" si="31"/>
        <v>-7.8423261366017795E-4</v>
      </c>
      <c r="AY151" s="79"/>
    </row>
    <row r="152" spans="1:51" x14ac:dyDescent="0.25">
      <c r="A152" s="95" t="str">
        <f t="shared" si="0"/>
        <v>FS MM Leaching</v>
      </c>
      <c r="B152" s="95" t="s">
        <v>1004</v>
      </c>
      <c r="C152" s="95" t="s">
        <v>1333</v>
      </c>
      <c r="D152" t="s">
        <v>369</v>
      </c>
      <c r="E152" t="s">
        <v>64</v>
      </c>
      <c r="F152" t="s">
        <v>63</v>
      </c>
      <c r="G152" t="s">
        <v>1180</v>
      </c>
      <c r="H152" t="s">
        <v>1320</v>
      </c>
      <c r="I152" t="s">
        <v>139</v>
      </c>
      <c r="J152" t="s">
        <v>287</v>
      </c>
      <c r="K152" s="22">
        <f t="shared" si="26"/>
        <v>1.6726645268412749E-2</v>
      </c>
      <c r="L152" s="22">
        <f t="shared" si="31"/>
        <v>1.7066731126843742E-2</v>
      </c>
      <c r="M152" s="22">
        <f t="shared" si="31"/>
        <v>1.7464259263446445E-2</v>
      </c>
      <c r="N152" s="22">
        <f t="shared" si="31"/>
        <v>1.77694513935726E-2</v>
      </c>
      <c r="O152" s="22">
        <f t="shared" si="31"/>
        <v>1.8014444056791569E-2</v>
      </c>
      <c r="P152" s="22">
        <f t="shared" si="31"/>
        <v>1.8197780265539368E-2</v>
      </c>
      <c r="Q152" s="22">
        <f t="shared" si="31"/>
        <v>1.8432867891885713E-2</v>
      </c>
      <c r="R152" s="22">
        <f t="shared" si="31"/>
        <v>1.8677293946611211E-2</v>
      </c>
      <c r="S152" s="22">
        <f t="shared" si="31"/>
        <v>1.7940997011567712E-2</v>
      </c>
      <c r="T152" s="22">
        <f t="shared" si="31"/>
        <v>1.8599101618187692E-2</v>
      </c>
      <c r="U152" s="22">
        <f t="shared" si="31"/>
        <v>4.1335323674744497E-2</v>
      </c>
      <c r="V152" s="22">
        <f t="shared" si="31"/>
        <v>4.2244056956773843E-2</v>
      </c>
      <c r="W152" s="22">
        <f t="shared" si="31"/>
        <v>4.3115523568410363E-2</v>
      </c>
      <c r="X152" s="22">
        <f t="shared" si="31"/>
        <v>4.3942027126697474E-2</v>
      </c>
      <c r="Y152" s="22">
        <f t="shared" si="31"/>
        <v>4.4713130877516903E-2</v>
      </c>
      <c r="Z152" s="22">
        <f t="shared" si="31"/>
        <v>4.5425464748643458E-2</v>
      </c>
      <c r="AA152" s="22">
        <f t="shared" si="31"/>
        <v>4.6075599059895E-2</v>
      </c>
      <c r="AB152" s="22">
        <f t="shared" si="31"/>
        <v>4.666057526853875E-2</v>
      </c>
      <c r="AC152" s="22">
        <f t="shared" si="31"/>
        <v>4.7177797153361963E-2</v>
      </c>
      <c r="AD152" s="22">
        <f t="shared" si="31"/>
        <v>4.762476340679795E-2</v>
      </c>
      <c r="AE152" s="22">
        <f t="shared" si="31"/>
        <v>4.7999511889239711E-2</v>
      </c>
      <c r="AF152" s="22">
        <f t="shared" si="31"/>
        <v>4.8300272482139597E-2</v>
      </c>
      <c r="AG152" s="22">
        <f t="shared" si="31"/>
        <v>4.8525470849872195E-2</v>
      </c>
      <c r="AH152" s="22">
        <f t="shared" si="31"/>
        <v>4.8674159183630092E-2</v>
      </c>
      <c r="AI152" s="22">
        <f t="shared" si="31"/>
        <v>4.8745846953258828E-2</v>
      </c>
      <c r="AJ152" s="22">
        <f t="shared" si="31"/>
        <v>6.3546724312553964E-3</v>
      </c>
      <c r="AK152" s="22">
        <f t="shared" si="31"/>
        <v>6.4013115626169702E-3</v>
      </c>
      <c r="AL152" s="22">
        <f t="shared" si="31"/>
        <v>6.446794570043473E-3</v>
      </c>
      <c r="AM152" s="22">
        <f t="shared" si="31"/>
        <v>6.4911899708581184E-3</v>
      </c>
      <c r="AN152" s="22">
        <f t="shared" si="31"/>
        <v>6.5345767491159093E-3</v>
      </c>
      <c r="AO152" s="22">
        <f t="shared" si="31"/>
        <v>6.5767770115873272E-3</v>
      </c>
      <c r="AP152" s="22">
        <f t="shared" si="31"/>
        <v>6.6176736088844742E-3</v>
      </c>
      <c r="AQ152" s="22">
        <f t="shared" si="31"/>
        <v>6.6572579134014679E-3</v>
      </c>
      <c r="AR152" s="22">
        <f t="shared" si="31"/>
        <v>6.6953903792422425E-3</v>
      </c>
      <c r="AS152" s="22">
        <f t="shared" si="31"/>
        <v>6.7319156561258262E-3</v>
      </c>
      <c r="AT152" s="22">
        <f t="shared" si="31"/>
        <v>6.7668201581545509E-3</v>
      </c>
      <c r="AU152" s="22">
        <f t="shared" si="31"/>
        <v>6.8001333252020657E-3</v>
      </c>
      <c r="AV152" s="22">
        <f t="shared" si="31"/>
        <v>6.8318771364297487E-3</v>
      </c>
      <c r="AW152" s="22">
        <f t="shared" si="31"/>
        <v>6.8619001030845884E-3</v>
      </c>
      <c r="AY152" s="79"/>
    </row>
    <row r="153" spans="1:51" x14ac:dyDescent="0.25">
      <c r="A153" s="95" t="str">
        <f t="shared" si="0"/>
        <v>FS MM Leaching</v>
      </c>
      <c r="B153" s="95" t="s">
        <v>1004</v>
      </c>
      <c r="C153" s="95" t="s">
        <v>1333</v>
      </c>
      <c r="D153" t="s">
        <v>369</v>
      </c>
      <c r="E153" t="s">
        <v>64</v>
      </c>
      <c r="F153" t="s">
        <v>63</v>
      </c>
      <c r="G153" t="s">
        <v>1182</v>
      </c>
      <c r="H153" t="s">
        <v>1321</v>
      </c>
      <c r="I153" t="s">
        <v>139</v>
      </c>
      <c r="J153" t="s">
        <v>287</v>
      </c>
      <c r="K153" s="22">
        <f t="shared" si="26"/>
        <v>7.7585797913229351E-2</v>
      </c>
      <c r="L153" s="22">
        <f t="shared" si="31"/>
        <v>7.8607464197542484E-2</v>
      </c>
      <c r="M153" s="22">
        <f t="shared" si="31"/>
        <v>8.0248553313821205E-2</v>
      </c>
      <c r="N153" s="22">
        <f t="shared" si="31"/>
        <v>8.0719757945382303E-2</v>
      </c>
      <c r="O153" s="22">
        <f t="shared" si="31"/>
        <v>8.0430818839717741E-2</v>
      </c>
      <c r="P153" s="22">
        <f t="shared" si="31"/>
        <v>7.938481013134728E-2</v>
      </c>
      <c r="Q153" s="22">
        <f t="shared" si="31"/>
        <v>7.8944464359385638E-2</v>
      </c>
      <c r="R153" s="22">
        <f t="shared" si="31"/>
        <v>7.8604018955287347E-2</v>
      </c>
      <c r="S153" s="22">
        <f t="shared" si="31"/>
        <v>6.8551548491341041E-2</v>
      </c>
      <c r="T153" s="22">
        <f t="shared" si="31"/>
        <v>7.3739546332348721E-2</v>
      </c>
      <c r="U153" s="22">
        <f t="shared" si="31"/>
        <v>0.32063801867343739</v>
      </c>
      <c r="V153" s="22">
        <f t="shared" si="31"/>
        <v>0.3263865261169076</v>
      </c>
      <c r="W153" s="22">
        <f t="shared" si="31"/>
        <v>0.3314934571329114</v>
      </c>
      <c r="X153" s="22">
        <f t="shared" si="31"/>
        <v>0.33598061783359728</v>
      </c>
      <c r="Y153" s="22">
        <f t="shared" si="31"/>
        <v>0.33990898947079762</v>
      </c>
      <c r="Z153" s="22">
        <f t="shared" si="31"/>
        <v>0.3432491056284519</v>
      </c>
      <c r="AA153" s="22">
        <f t="shared" si="31"/>
        <v>0.345978344064029</v>
      </c>
      <c r="AB153" s="22">
        <f t="shared" si="31"/>
        <v>0.34807446920762175</v>
      </c>
      <c r="AC153" s="22">
        <f t="shared" si="31"/>
        <v>0.34951764979405581</v>
      </c>
      <c r="AD153" s="22">
        <f t="shared" si="31"/>
        <v>0.35029436297093797</v>
      </c>
      <c r="AE153" s="22">
        <f t="shared" si="31"/>
        <v>0.3503920713528586</v>
      </c>
      <c r="AF153" s="22">
        <f t="shared" si="31"/>
        <v>0.34980401942204614</v>
      </c>
      <c r="AG153" s="22">
        <f t="shared" si="31"/>
        <v>0.34852938630195235</v>
      </c>
      <c r="AH153" s="22">
        <f t="shared" si="31"/>
        <v>0.34656807266355577</v>
      </c>
      <c r="AI153" s="22">
        <f t="shared" si="31"/>
        <v>0.34392301643743828</v>
      </c>
      <c r="AJ153" s="22">
        <f t="shared" si="31"/>
        <v>-7.3441689918994316E-2</v>
      </c>
      <c r="AK153" s="22">
        <f t="shared" si="31"/>
        <v>-7.3545621673456185E-2</v>
      </c>
      <c r="AL153" s="22">
        <f t="shared" si="31"/>
        <v>-7.3639730110431498E-2</v>
      </c>
      <c r="AM153" s="22">
        <f t="shared" si="31"/>
        <v>-7.3724815505769356E-2</v>
      </c>
      <c r="AN153" s="22">
        <f t="shared" si="31"/>
        <v>-7.3801792793217899E-2</v>
      </c>
      <c r="AO153" s="22">
        <f t="shared" si="31"/>
        <v>-7.386851362361406E-2</v>
      </c>
      <c r="AP153" s="22">
        <f t="shared" si="31"/>
        <v>-7.3923604247027361E-2</v>
      </c>
      <c r="AQ153" s="22">
        <f t="shared" si="31"/>
        <v>-7.3967002295391979E-2</v>
      </c>
      <c r="AR153" s="22">
        <f t="shared" si="31"/>
        <v>-7.3997124044251614E-2</v>
      </c>
      <c r="AS153" s="22">
        <f t="shared" si="31"/>
        <v>-7.4012242065131795E-2</v>
      </c>
      <c r="AT153" s="22">
        <f t="shared" si="31"/>
        <v>-7.4012306856669818E-2</v>
      </c>
      <c r="AU153" s="22">
        <f t="shared" si="31"/>
        <v>-7.3997766932053066E-2</v>
      </c>
      <c r="AV153" s="22">
        <f t="shared" si="31"/>
        <v>-7.3968978731960316E-2</v>
      </c>
      <c r="AW153" s="22">
        <f t="shared" si="31"/>
        <v>-7.3924322860586755E-2</v>
      </c>
      <c r="AY153" s="79"/>
    </row>
    <row r="154" spans="1:51" x14ac:dyDescent="0.25">
      <c r="A154" s="95"/>
      <c r="B154" s="95"/>
      <c r="C154" s="95"/>
    </row>
    <row r="155" spans="1:51" x14ac:dyDescent="0.25">
      <c r="A155" s="95"/>
      <c r="B155" s="95"/>
      <c r="C155" s="95"/>
    </row>
    <row r="156" spans="1:51" x14ac:dyDescent="0.25">
      <c r="A156" s="95"/>
      <c r="B156" s="95"/>
      <c r="C156" s="95"/>
    </row>
    <row r="157" spans="1:51" x14ac:dyDescent="0.25">
      <c r="A157" s="95" t="str">
        <f t="shared" si="0"/>
        <v>FA Cattle</v>
      </c>
      <c r="B157" s="95" t="s">
        <v>962</v>
      </c>
      <c r="C157" s="95" t="s">
        <v>1108</v>
      </c>
      <c r="D157" t="str">
        <f>D8</f>
        <v>3A Livestock</v>
      </c>
      <c r="E157" t="str">
        <f>E8</f>
        <v>3A1 Enteric fermentation (CH4)</v>
      </c>
      <c r="F157" t="s">
        <v>6</v>
      </c>
      <c r="G157" t="s">
        <v>136</v>
      </c>
      <c r="H157" t="s">
        <v>1020</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73.223011790998029</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73.83596289834658</v>
      </c>
      <c r="P157" s="93">
        <f>IF('Net zero activities &amp; levers'!$C$6="Off",('Activity data'!AI5*EF!$H4)*kgtoGg,IF('Net zero activities &amp; levers'!$C$6="On",(('Net zero supporting data'!G40*EF!$H4)+('Net zero supporting data'!G38*'Net zero supporting data'!G42))*kgtoGg,"ERROR"))</f>
        <v>73.954711561483919</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74.518042528471327</v>
      </c>
      <c r="S157" s="93">
        <f>IF('Net zero activities &amp; levers'!$C$6="Off",('Activity data'!AL5*EF!$H4)*kgtoGg,IF('Net zero activities &amp; levers'!$C$6="On",(('Net zero supporting data'!J40*EF!$H4)+('Net zero supporting data'!J38*'Net zero supporting data'!J42))*kgtoGg,"ERROR"))</f>
        <v>72.400641735612226</v>
      </c>
      <c r="T157" s="93">
        <f>IF('Net zero activities &amp; levers'!$C$6="Off",('Activity data'!AM5*EF!$H4)*kgtoGg,IF('Net zero activities &amp; levers'!$C$6="On",(('Net zero supporting data'!K40*EF!$H4)+('Net zero supporting data'!K38*'Net zero supporting data'!K42))*kgtoGg,"ERROR"))</f>
        <v>73.646397311613569</v>
      </c>
      <c r="U157" s="93">
        <f>IF('Net zero activities &amp; levers'!$C$6="Off",('Activity data'!AN5*EF!$H4)*kgtoGg,IF('Net zero activities &amp; levers'!$C$6="On",(('Net zero supporting data'!L40*EF!$H4)+('Net zero supporting data'!L38*'Net zero supporting data'!L42))*kgtoGg,"ERROR"))</f>
        <v>126.71451623908638</v>
      </c>
      <c r="V157" s="93">
        <f>IF('Net zero activities &amp; levers'!$C$6="Off",('Activity data'!AO5*EF!$H4)*kgtoGg,IF('Net zero activities &amp; levers'!$C$6="On",(('Net zero supporting data'!M40*EF!$H4)+('Net zero supporting data'!M38*'Net zero supporting data'!M42))*kgtoGg,"ERROR"))</f>
        <v>128.24200058803578</v>
      </c>
      <c r="W157" s="93">
        <f>IF('Net zero activities &amp; levers'!$C$6="Off",('Activity data'!AP5*EF!$H4)*kgtoGg,IF('Net zero activities &amp; levers'!$C$6="On",(('Net zero supporting data'!N40*EF!$H4)+('Net zero supporting data'!N38*'Net zero supporting data'!N42))*kgtoGg,"ERROR"))</f>
        <v>129.70248573615504</v>
      </c>
      <c r="X157" s="93">
        <f>IF('Net zero activities &amp; levers'!$C$6="Off",('Activity data'!AQ5*EF!$H4)*kgtoGg,IF('Net zero activities &amp; levers'!$C$6="On",(('Net zero supporting data'!O40*EF!$H4)+('Net zero supporting data'!O38*'Net zero supporting data'!O42))*kgtoGg,"ERROR"))</f>
        <v>131.07112915343163</v>
      </c>
      <c r="Y157" s="93">
        <f>IF('Net zero activities &amp; levers'!$C$6="Off",('Activity data'!AR5*EF!$H4)*kgtoGg,IF('Net zero activities &amp; levers'!$C$6="On",(('Net zero supporting data'!P40*EF!$H4)+('Net zero supporting data'!P38*'Net zero supporting data'!P42))*kgtoGg,"ERROR"))</f>
        <v>132.31138089682617</v>
      </c>
      <c r="Z157" s="93">
        <f>IF('Net zero activities &amp; levers'!$C$6="Off",('Activity data'!AS5*EF!$H4)*kgtoGg,IF('Net zero activities &amp; levers'!$C$6="On",(('Net zero supporting data'!Q40*EF!$H4)+('Net zero supporting data'!Q38*'Net zero supporting data'!Q42))*kgtoGg,"ERROR"))</f>
        <v>133.41744896278323</v>
      </c>
      <c r="AA157" s="93">
        <f>IF('Net zero activities &amp; levers'!$C$6="Off",('Activity data'!AT5*EF!$H4)*kgtoGg,IF('Net zero activities &amp; levers'!$C$6="On",(('Net zero supporting data'!R40*EF!$H4)+('Net zero supporting data'!R38*'Net zero supporting data'!R42))*kgtoGg,"ERROR"))</f>
        <v>134.38288992099422</v>
      </c>
      <c r="AB157" s="93">
        <f>IF('Net zero activities &amp; levers'!$C$6="Off",('Activity data'!AU5*EF!$H4)*kgtoGg,IF('Net zero activities &amp; levers'!$C$6="On",(('Net zero supporting data'!S40*EF!$H4)+('Net zero supporting data'!S38*'Net zero supporting data'!S42))*kgtoGg,"ERROR"))</f>
        <v>135.20282704552554</v>
      </c>
      <c r="AC157" s="93">
        <f>IF('Net zero activities &amp; levers'!$C$6="Off",('Activity data'!AV5*EF!$H4)*kgtoGg,IF('Net zero activities &amp; levers'!$C$6="On",(('Net zero supporting data'!T40*EF!$H4)+('Net zero supporting data'!T38*'Net zero supporting data'!T42))*kgtoGg,"ERROR"))</f>
        <v>135.87339274665732</v>
      </c>
      <c r="AD157" s="93">
        <f>IF('Net zero activities &amp; levers'!$C$6="Off",('Activity data'!AW5*EF!$H4)*kgtoGg,IF('Net zero activities &amp; levers'!$C$6="On",(('Net zero supporting data'!U40*EF!$H4)+('Net zero supporting data'!U38*'Net zero supporting data'!U42))*kgtoGg,"ERROR"))</f>
        <v>136.39052131842715</v>
      </c>
      <c r="AE157" s="93">
        <f>IF('Net zero activities &amp; levers'!$C$6="Off",('Activity data'!AX5*EF!$H4)*kgtoGg,IF('Net zero activities &amp; levers'!$C$6="On",(('Net zero supporting data'!V40*EF!$H4)+('Net zero supporting data'!V38*'Net zero supporting data'!V42))*kgtoGg,"ERROR"))</f>
        <v>136.75177878147903</v>
      </c>
      <c r="AF157" s="93">
        <f>IF('Net zero activities &amp; levers'!$C$6="Off",('Activity data'!AY5*EF!$H4)*kgtoGg,IF('Net zero activities &amp; levers'!$C$6="On",(('Net zero supporting data'!W40*EF!$H4)+('Net zero supporting data'!W38*'Net zero supporting data'!W42))*kgtoGg,"ERROR"))</f>
        <v>136.95483040988077</v>
      </c>
      <c r="AG157" s="93">
        <f>IF('Net zero activities &amp; levers'!$C$6="Off",('Activity data'!AZ5*EF!$H4)*kgtoGg,IF('Net zero activities &amp; levers'!$C$6="On",(('Net zero supporting data'!X40*EF!$H4)+('Net zero supporting data'!X38*'Net zero supporting data'!X42))*kgtoGg,"ERROR"))</f>
        <v>136.99742056904799</v>
      </c>
      <c r="AH157" s="93">
        <f>IF('Net zero activities &amp; levers'!$C$6="Off",('Activity data'!BA5*EF!$H4)*kgtoGg,IF('Net zero activities &amp; levers'!$C$6="On",(('Net zero supporting data'!Y40*EF!$H4)+('Net zero supporting data'!Y38*'Net zero supporting data'!Y42))*kgtoGg,"ERROR"))</f>
        <v>136.87913733677345</v>
      </c>
      <c r="AI157" s="93">
        <f>IF('Net zero activities &amp; levers'!$C$6="Off",('Activity data'!BB5*EF!$H4)*kgtoGg,IF('Net zero activities &amp; levers'!$C$6="On",(('Net zero supporting data'!Z40*EF!$H4)+('Net zero supporting data'!Z38*'Net zero supporting data'!Z42))*kgtoGg,"ERROR"))</f>
        <v>136.60065411000454</v>
      </c>
      <c r="AJ157" s="93">
        <f>IF('Net zero activities &amp; levers'!$C$6="Off",('Activity data'!BC5*EF!$H4)*kgtoGg,IF('Net zero activities &amp; levers'!$C$6="On",(('Net zero supporting data'!AA40*EF!$H4)+('Net zero supporting data'!AA38*'Net zero supporting data'!AA42))*kgtoGg,"ERROR"))</f>
        <v>43.218084806671186</v>
      </c>
      <c r="AK157" s="93">
        <f>IF('Net zero activities &amp; levers'!$C$6="Off",('Activity data'!BD5*EF!$H4)*kgtoGg,IF('Net zero activities &amp; levers'!$C$6="On",(('Net zero supporting data'!AB40*EF!$H4)+('Net zero supporting data'!AB38*'Net zero supporting data'!AB42))*kgtoGg,"ERROR"))</f>
        <v>43.249633283301115</v>
      </c>
      <c r="AL157" s="93">
        <f>IF('Net zero activities &amp; levers'!$C$6="Off",('Activity data'!BE5*EF!$H4)*kgtoGg,IF('Net zero activities &amp; levers'!$C$6="On",(('Net zero supporting data'!AC40*EF!$H4)+('Net zero supporting data'!AC38*'Net zero supporting data'!AC42))*kgtoGg,"ERROR"))</f>
        <v>43.278910692305409</v>
      </c>
      <c r="AM157" s="93">
        <f>IF('Net zero activities &amp; levers'!$C$6="Off",('Activity data'!BF5*EF!$H4)*kgtoGg,IF('Net zero activities &amp; levers'!$C$6="On",(('Net zero supporting data'!AD40*EF!$H4)+('Net zero supporting data'!AD38*'Net zero supporting data'!AD42))*kgtoGg,"ERROR"))</f>
        <v>43.306115085271941</v>
      </c>
      <c r="AN157" s="93">
        <f>IF('Net zero activities &amp; levers'!$C$6="Off",('Activity data'!BG5*EF!$H4)*kgtoGg,IF('Net zero activities &amp; levers'!$C$6="On",(('Net zero supporting data'!AE40*EF!$H4)+('Net zero supporting data'!AE38*'Net zero supporting data'!AE42))*kgtoGg,"ERROR"))</f>
        <v>43.331490420249878</v>
      </c>
      <c r="AO157" s="93">
        <f>IF('Net zero activities &amp; levers'!$C$6="Off",('Activity data'!BH5*EF!$H4)*kgtoGg,IF('Net zero activities &amp; levers'!$C$6="On",(('Net zero supporting data'!AF40*EF!$H4)+('Net zero supporting data'!AF38*'Net zero supporting data'!AF42))*kgtoGg,"ERROR"))</f>
        <v>43.354240288744201</v>
      </c>
      <c r="AP157" s="93">
        <f>IF('Net zero activities &amp; levers'!$C$6="Off",('Activity data'!BI5*EF!$H4)*kgtoGg,IF('Net zero activities &amp; levers'!$C$6="On",(('Net zero supporting data'!AG40*EF!$H4)+('Net zero supporting data'!AG38*'Net zero supporting data'!AG42))*kgtoGg,"ERROR"))</f>
        <v>43.373829871792871</v>
      </c>
      <c r="AQ157" s="93">
        <f>IF('Net zero activities &amp; levers'!$C$6="Off",('Activity data'!BJ5*EF!$H4)*kgtoGg,IF('Net zero activities &amp; levers'!$C$6="On",(('Net zero supporting data'!AH40*EF!$H4)+('Net zero supporting data'!AH38*'Net zero supporting data'!AH42))*kgtoGg,"ERROR"))</f>
        <v>43.390173404871973</v>
      </c>
      <c r="AR157" s="93">
        <f>IF('Net zero activities &amp; levers'!$C$6="Off",('Activity data'!BK5*EF!$H4)*kgtoGg,IF('Net zero activities &amp; levers'!$C$6="On",(('Net zero supporting data'!AI40*EF!$H4)+('Net zero supporting data'!AI38*'Net zero supporting data'!AI42))*kgtoGg,"ERROR"))</f>
        <v>43.402664060341642</v>
      </c>
      <c r="AS157" s="93">
        <f>IF('Net zero activities &amp; levers'!$C$6="Off",('Activity data'!BL5*EF!$H4)*kgtoGg,IF('Net zero activities &amp; levers'!$C$6="On",(('Net zero supporting data'!AJ40*EF!$H4)+('Net zero supporting data'!AJ38*'Net zero supporting data'!AJ42))*kgtoGg,"ERROR"))</f>
        <v>43.410643013134724</v>
      </c>
      <c r="AT157" s="93">
        <f>IF('Net zero activities &amp; levers'!$C$6="Off",('Activity data'!BM5*EF!$H4)*kgtoGg,IF('Net zero activities &amp; levers'!$C$6="On",(('Net zero supporting data'!AK40*EF!$H4)+('Net zero supporting data'!AK38*'Net zero supporting data'!AK42))*kgtoGg,"ERROR"))</f>
        <v>43.414028889166616</v>
      </c>
      <c r="AU157" s="93">
        <f>IF('Net zero activities &amp; levers'!$C$6="Off",('Activity data'!BN5*EF!$H4)*kgtoGg,IF('Net zero activities &amp; levers'!$C$6="On",(('Net zero supporting data'!AL40*EF!$H4)+('Net zero supporting data'!AL38*'Net zero supporting data'!AL42))*kgtoGg,"ERROR"))</f>
        <v>43.412915266479416</v>
      </c>
      <c r="AV157" s="93">
        <f>IF('Net zero activities &amp; levers'!$C$6="Off",('Activity data'!BO5*EF!$H4)*kgtoGg,IF('Net zero activities &amp; levers'!$C$6="On",(('Net zero supporting data'!AM40*EF!$H4)+('Net zero supporting data'!AM38*'Net zero supporting data'!AM42))*kgtoGg,"ERROR"))</f>
        <v>43.407367404961896</v>
      </c>
      <c r="AW157" s="93">
        <f>IF('Net zero activities &amp; levers'!$C$6="Off",('Activity data'!BP5*EF!$H4)*kgtoGg,IF('Net zero activities &amp; levers'!$C$6="On",(('Net zero supporting data'!AN40*EF!$H4)+('Net zero supporting data'!AN38*'Net zero supporting data'!AN42))*kgtoGg,"ERROR"))</f>
        <v>43.396765644330657</v>
      </c>
      <c r="AY157" s="79"/>
    </row>
    <row r="158" spans="1:51" x14ac:dyDescent="0.25">
      <c r="A158" s="95" t="str">
        <f t="shared" si="0"/>
        <v>FA Cattle</v>
      </c>
      <c r="B158" s="95" t="s">
        <v>962</v>
      </c>
      <c r="C158" s="95" t="s">
        <v>1108</v>
      </c>
      <c r="D158" t="str">
        <f>D9</f>
        <v>3A Livestock</v>
      </c>
      <c r="E158" t="str">
        <f>E9</f>
        <v>3A1 Enteric fermentation (CH4)</v>
      </c>
      <c r="F158" t="s">
        <v>6</v>
      </c>
      <c r="G158" t="s">
        <v>137</v>
      </c>
      <c r="H158" t="s">
        <v>1020</v>
      </c>
      <c r="I158" t="str">
        <f t="shared" ref="I158:J158" si="32">I157</f>
        <v>CH4</v>
      </c>
      <c r="J158" t="str">
        <f t="shared" si="32"/>
        <v>Gg CH4</v>
      </c>
      <c r="K158" s="27">
        <f t="shared" ref="K158:Z161" si="33">K1380</f>
        <v>57.783598896292567</v>
      </c>
      <c r="L158" s="27">
        <f t="shared" si="33"/>
        <v>58.1066387636453</v>
      </c>
      <c r="M158" s="27">
        <f t="shared" si="33"/>
        <v>58.564977012483297</v>
      </c>
      <c r="N158" s="27">
        <f t="shared" si="33"/>
        <v>58.859508160444918</v>
      </c>
      <c r="O158" s="27">
        <f t="shared" si="33"/>
        <v>59.055225455337663</v>
      </c>
      <c r="P158" s="27">
        <f t="shared" si="33"/>
        <v>59.150202601958618</v>
      </c>
      <c r="Q158" s="27">
        <f t="shared" si="33"/>
        <v>59.360042465716688</v>
      </c>
      <c r="R158" s="27">
        <f t="shared" si="33"/>
        <v>59.600764035107616</v>
      </c>
      <c r="S158" s="27">
        <f t="shared" si="33"/>
        <v>57.907231828129312</v>
      </c>
      <c r="T158" s="27">
        <f t="shared" si="33"/>
        <v>58.903607760874827</v>
      </c>
      <c r="U158" s="27">
        <f t="shared" si="33"/>
        <v>101.34836780371782</v>
      </c>
      <c r="V158" s="27">
        <f t="shared" si="33"/>
        <v>102.57007507299116</v>
      </c>
      <c r="W158" s="27">
        <f t="shared" si="33"/>
        <v>103.73819527229158</v>
      </c>
      <c r="X158" s="27">
        <f t="shared" si="33"/>
        <v>104.83285893485541</v>
      </c>
      <c r="Y158" s="27">
        <f t="shared" si="33"/>
        <v>105.82483281116795</v>
      </c>
      <c r="Z158" s="27">
        <f t="shared" si="33"/>
        <v>106.70948436090084</v>
      </c>
      <c r="AA158" s="27">
        <f t="shared" ref="L158:AW161" si="34">AA1380</f>
        <v>107.48166002182452</v>
      </c>
      <c r="AB158" s="27">
        <f t="shared" si="34"/>
        <v>108.13745930780478</v>
      </c>
      <c r="AC158" s="27">
        <f t="shared" si="34"/>
        <v>108.67378885655694</v>
      </c>
      <c r="AD158" s="27">
        <f t="shared" si="34"/>
        <v>109.087396849146</v>
      </c>
      <c r="AE158" s="27">
        <f t="shared" si="34"/>
        <v>109.37633654858924</v>
      </c>
      <c r="AF158" s="27">
        <f t="shared" si="34"/>
        <v>109.5387406024356</v>
      </c>
      <c r="AG158" s="27">
        <f t="shared" si="34"/>
        <v>109.57280491680314</v>
      </c>
      <c r="AH158" s="27">
        <f t="shared" si="34"/>
        <v>109.47820002949129</v>
      </c>
      <c r="AI158" s="27">
        <f t="shared" si="34"/>
        <v>109.25546453452645</v>
      </c>
      <c r="AJ158" s="27">
        <f t="shared" si="34"/>
        <v>34.566539689062871</v>
      </c>
      <c r="AK158" s="27">
        <f t="shared" si="34"/>
        <v>34.591772682945773</v>
      </c>
      <c r="AL158" s="27">
        <f t="shared" si="34"/>
        <v>34.61518923934495</v>
      </c>
      <c r="AM158" s="27">
        <f t="shared" si="34"/>
        <v>34.636947763199053</v>
      </c>
      <c r="AN158" s="27">
        <f t="shared" si="34"/>
        <v>34.657243376194444</v>
      </c>
      <c r="AO158" s="27">
        <f t="shared" si="34"/>
        <v>34.675439097632541</v>
      </c>
      <c r="AP158" s="27">
        <f t="shared" si="34"/>
        <v>34.691107170453741</v>
      </c>
      <c r="AQ158" s="27">
        <f t="shared" si="34"/>
        <v>34.704178998772043</v>
      </c>
      <c r="AR158" s="27">
        <f t="shared" si="34"/>
        <v>34.714169231795225</v>
      </c>
      <c r="AS158" s="27">
        <f t="shared" si="34"/>
        <v>34.720550930327988</v>
      </c>
      <c r="AT158" s="27">
        <f t="shared" si="34"/>
        <v>34.723259010030318</v>
      </c>
      <c r="AU158" s="27">
        <f t="shared" si="34"/>
        <v>34.722368316169444</v>
      </c>
      <c r="AV158" s="27">
        <f t="shared" si="34"/>
        <v>34.717931044684789</v>
      </c>
      <c r="AW158" s="27">
        <f t="shared" si="34"/>
        <v>34.709451581023373</v>
      </c>
      <c r="AY158" s="79"/>
    </row>
    <row r="159" spans="1:51" x14ac:dyDescent="0.25">
      <c r="A159" s="95" t="str">
        <f t="shared" si="0"/>
        <v>FA Cattle</v>
      </c>
      <c r="B159" s="95" t="s">
        <v>962</v>
      </c>
      <c r="C159" s="95" t="s">
        <v>1108</v>
      </c>
      <c r="D159" t="str">
        <f t="shared" ref="D159:E159" si="35">D157</f>
        <v>3A Livestock</v>
      </c>
      <c r="E159" t="str">
        <f t="shared" si="35"/>
        <v>3A1 Enteric fermentation (CH4)</v>
      </c>
      <c r="F159" t="s">
        <v>67</v>
      </c>
      <c r="G159" t="s">
        <v>307</v>
      </c>
      <c r="H159" t="s">
        <v>1020</v>
      </c>
      <c r="I159" t="str">
        <f t="shared" ref="I159:J160" si="36">I158</f>
        <v>CH4</v>
      </c>
      <c r="J159" t="str">
        <f t="shared" si="36"/>
        <v>Gg CH4</v>
      </c>
      <c r="K159" s="27">
        <f t="shared" si="33"/>
        <v>26.126191807126649</v>
      </c>
      <c r="L159" s="27">
        <f t="shared" si="34"/>
        <v>26.272250579806308</v>
      </c>
      <c r="M159" s="27">
        <f t="shared" si="34"/>
        <v>26.479482964607669</v>
      </c>
      <c r="N159" s="27">
        <f t="shared" si="34"/>
        <v>26.61265184663991</v>
      </c>
      <c r="O159" s="27">
        <f t="shared" si="34"/>
        <v>26.701143177813606</v>
      </c>
      <c r="P159" s="27">
        <f t="shared" si="34"/>
        <v>26.744086005835896</v>
      </c>
      <c r="Q159" s="27">
        <f t="shared" si="34"/>
        <v>26.838962694620271</v>
      </c>
      <c r="R159" s="27">
        <f t="shared" si="34"/>
        <v>26.947802192577253</v>
      </c>
      <c r="S159" s="27">
        <f t="shared" si="34"/>
        <v>26.182091019923025</v>
      </c>
      <c r="T159" s="27">
        <f t="shared" si="34"/>
        <v>26.632590975414445</v>
      </c>
      <c r="U159" s="27">
        <f t="shared" si="34"/>
        <v>45.823502640107073</v>
      </c>
      <c r="V159" s="27">
        <f t="shared" si="34"/>
        <v>46.375883576200764</v>
      </c>
      <c r="W159" s="27">
        <f t="shared" si="34"/>
        <v>46.904035732930822</v>
      </c>
      <c r="X159" s="27">
        <f t="shared" si="34"/>
        <v>47.398975358684552</v>
      </c>
      <c r="Y159" s="27">
        <f t="shared" si="34"/>
        <v>47.847484974825178</v>
      </c>
      <c r="Z159" s="27">
        <f t="shared" si="34"/>
        <v>48.2474700313509</v>
      </c>
      <c r="AA159" s="27">
        <f t="shared" si="34"/>
        <v>48.5966004041803</v>
      </c>
      <c r="AB159" s="27">
        <f t="shared" si="34"/>
        <v>48.893112533223132</v>
      </c>
      <c r="AC159" s="27">
        <f t="shared" si="34"/>
        <v>49.135607790184835</v>
      </c>
      <c r="AD159" s="27">
        <f t="shared" si="34"/>
        <v>49.322615902412963</v>
      </c>
      <c r="AE159" s="27">
        <f t="shared" si="34"/>
        <v>49.453256675098231</v>
      </c>
      <c r="AF159" s="27">
        <f t="shared" si="34"/>
        <v>49.526685806237325</v>
      </c>
      <c r="AG159" s="27">
        <f t="shared" si="34"/>
        <v>49.542087595463748</v>
      </c>
      <c r="AH159" s="27">
        <f t="shared" si="34"/>
        <v>49.499313080220467</v>
      </c>
      <c r="AI159" s="27">
        <f t="shared" si="34"/>
        <v>49.398605779622059</v>
      </c>
      <c r="AJ159" s="27">
        <f t="shared" si="34"/>
        <v>15.628864648010964</v>
      </c>
      <c r="AK159" s="27">
        <f t="shared" si="34"/>
        <v>15.640273456922923</v>
      </c>
      <c r="AL159" s="27">
        <f t="shared" si="34"/>
        <v>15.650860984450333</v>
      </c>
      <c r="AM159" s="27">
        <f t="shared" si="34"/>
        <v>15.660698851570245</v>
      </c>
      <c r="AN159" s="27">
        <f t="shared" si="34"/>
        <v>15.669875280316276</v>
      </c>
      <c r="AO159" s="27">
        <f t="shared" si="34"/>
        <v>15.678102267167921</v>
      </c>
      <c r="AP159" s="27">
        <f t="shared" si="34"/>
        <v>15.685186406674521</v>
      </c>
      <c r="AQ159" s="27">
        <f t="shared" si="34"/>
        <v>15.691096683992601</v>
      </c>
      <c r="AR159" s="27">
        <f t="shared" si="34"/>
        <v>15.695613653325545</v>
      </c>
      <c r="AS159" s="27">
        <f t="shared" si="34"/>
        <v>15.698499065157048</v>
      </c>
      <c r="AT159" s="27">
        <f t="shared" si="34"/>
        <v>15.699723492348907</v>
      </c>
      <c r="AU159" s="27">
        <f t="shared" si="34"/>
        <v>15.699320775330669</v>
      </c>
      <c r="AV159" s="27">
        <f t="shared" si="34"/>
        <v>15.697314513897963</v>
      </c>
      <c r="AW159" s="27">
        <f t="shared" si="34"/>
        <v>15.693480621612418</v>
      </c>
      <c r="AY159" s="79"/>
    </row>
    <row r="160" spans="1:51" x14ac:dyDescent="0.25">
      <c r="A160" s="95" t="str">
        <f t="shared" si="0"/>
        <v>FA Cattle</v>
      </c>
      <c r="B160" s="95" t="s">
        <v>962</v>
      </c>
      <c r="C160" s="95" t="s">
        <v>1108</v>
      </c>
      <c r="D160" t="str">
        <f t="shared" ref="D160:E160" si="37">D158</f>
        <v>3A Livestock</v>
      </c>
      <c r="E160" t="str">
        <f t="shared" si="37"/>
        <v>3A1 Enteric fermentation (CH4)</v>
      </c>
      <c r="F160" t="s">
        <v>67</v>
      </c>
      <c r="G160" t="s">
        <v>122</v>
      </c>
      <c r="H160" t="s">
        <v>1020</v>
      </c>
      <c r="I160" t="str">
        <f t="shared" si="36"/>
        <v>CH4</v>
      </c>
      <c r="J160" t="str">
        <f t="shared" si="36"/>
        <v>Gg CH4</v>
      </c>
      <c r="K160" s="27">
        <f t="shared" si="33"/>
        <v>463.23498593143177</v>
      </c>
      <c r="L160" s="27">
        <f t="shared" si="34"/>
        <v>459.21749683621613</v>
      </c>
      <c r="M160" s="27">
        <f t="shared" si="34"/>
        <v>457.68816035731243</v>
      </c>
      <c r="N160" s="27">
        <f t="shared" si="34"/>
        <v>451.57633407663542</v>
      </c>
      <c r="O160" s="27">
        <f t="shared" si="34"/>
        <v>442.70486896910717</v>
      </c>
      <c r="P160" s="27">
        <f t="shared" si="34"/>
        <v>431.25721304480419</v>
      </c>
      <c r="Q160" s="27">
        <f t="shared" si="34"/>
        <v>422.22811200839209</v>
      </c>
      <c r="R160" s="27">
        <f t="shared" si="34"/>
        <v>413.6855559628558</v>
      </c>
      <c r="S160" s="27">
        <f t="shared" si="34"/>
        <v>369.96675064639845</v>
      </c>
      <c r="T160" s="27">
        <f t="shared" si="34"/>
        <v>384.22044526495358</v>
      </c>
      <c r="U160" s="27">
        <f t="shared" si="34"/>
        <v>1210.9459030996998</v>
      </c>
      <c r="V160" s="27">
        <f t="shared" si="34"/>
        <v>1216.7867544029255</v>
      </c>
      <c r="W160" s="27">
        <f t="shared" si="34"/>
        <v>1220.5248847970281</v>
      </c>
      <c r="X160" s="27">
        <f t="shared" si="34"/>
        <v>1222.1595328966084</v>
      </c>
      <c r="Y160" s="27">
        <f t="shared" si="34"/>
        <v>1221.7253267296187</v>
      </c>
      <c r="Z160" s="27">
        <f t="shared" si="34"/>
        <v>1219.2014537371233</v>
      </c>
      <c r="AA160" s="27">
        <f t="shared" si="34"/>
        <v>1214.5817314826613</v>
      </c>
      <c r="AB160" s="27">
        <f t="shared" si="34"/>
        <v>1207.8699823574666</v>
      </c>
      <c r="AC160" s="27">
        <f t="shared" si="34"/>
        <v>1199.081298415254</v>
      </c>
      <c r="AD160" s="27">
        <f t="shared" si="34"/>
        <v>1178.2591392805034</v>
      </c>
      <c r="AE160" s="27">
        <f t="shared" si="34"/>
        <v>1155.4756644581196</v>
      </c>
      <c r="AF160" s="27">
        <f t="shared" si="34"/>
        <v>1130.8332446231877</v>
      </c>
      <c r="AG160" s="27">
        <f t="shared" si="34"/>
        <v>1104.4458826711734</v>
      </c>
      <c r="AH160" s="27">
        <f t="shared" si="34"/>
        <v>1076.4349444121476</v>
      </c>
      <c r="AI160" s="27">
        <f t="shared" si="34"/>
        <v>1046.9296670550386</v>
      </c>
      <c r="AJ160" s="27">
        <f t="shared" si="34"/>
        <v>-80.836782317903939</v>
      </c>
      <c r="AK160" s="27">
        <f t="shared" si="34"/>
        <v>-78.890466200610106</v>
      </c>
      <c r="AL160" s="27">
        <f t="shared" si="34"/>
        <v>-76.96440050927697</v>
      </c>
      <c r="AM160" s="27">
        <f t="shared" si="34"/>
        <v>-75.058386316845628</v>
      </c>
      <c r="AN160" s="27">
        <f t="shared" si="34"/>
        <v>-73.545633197869449</v>
      </c>
      <c r="AO160" s="27">
        <f t="shared" si="34"/>
        <v>-72.047230196727966</v>
      </c>
      <c r="AP160" s="27">
        <f t="shared" si="34"/>
        <v>-70.562062843287677</v>
      </c>
      <c r="AQ160" s="27">
        <f t="shared" si="34"/>
        <v>-69.089763252231094</v>
      </c>
      <c r="AR160" s="27">
        <f t="shared" si="34"/>
        <v>-67.629255024927176</v>
      </c>
      <c r="AS160" s="27">
        <f t="shared" si="34"/>
        <v>-66.179484044667291</v>
      </c>
      <c r="AT160" s="27">
        <f t="shared" si="34"/>
        <v>-64.740281014136201</v>
      </c>
      <c r="AU160" s="27">
        <f t="shared" si="34"/>
        <v>-63.311734849146887</v>
      </c>
      <c r="AV160" s="27">
        <f t="shared" si="34"/>
        <v>-61.893900094857884</v>
      </c>
      <c r="AW160" s="27">
        <f t="shared" si="34"/>
        <v>-60.485962401496174</v>
      </c>
      <c r="AY160" s="79"/>
    </row>
    <row r="161" spans="1:51" x14ac:dyDescent="0.25">
      <c r="A161" s="95" t="str">
        <f t="shared" si="0"/>
        <v>FA Cattle</v>
      </c>
      <c r="B161" s="95" t="s">
        <v>962</v>
      </c>
      <c r="C161" s="95" t="s">
        <v>1108</v>
      </c>
      <c r="D161" t="str">
        <f t="shared" ref="D161:E161" si="38">D159</f>
        <v>3A Livestock</v>
      </c>
      <c r="E161" t="str">
        <f t="shared" si="38"/>
        <v>3A1 Enteric fermentation (CH4)</v>
      </c>
      <c r="F161" t="s">
        <v>67</v>
      </c>
      <c r="G161" t="s">
        <v>123</v>
      </c>
      <c r="H161" t="s">
        <v>1020</v>
      </c>
      <c r="I161" t="str">
        <f t="shared" ref="I161:J161" si="39">I160</f>
        <v>CH4</v>
      </c>
      <c r="J161" t="str">
        <f t="shared" si="39"/>
        <v>Gg CH4</v>
      </c>
      <c r="K161" s="27">
        <f t="shared" si="33"/>
        <v>326.20040935577731</v>
      </c>
      <c r="L161" s="27">
        <f t="shared" si="34"/>
        <v>323.37137738012325</v>
      </c>
      <c r="M161" s="27">
        <f t="shared" si="34"/>
        <v>322.29445054900742</v>
      </c>
      <c r="N161" s="27">
        <f t="shared" si="34"/>
        <v>317.99063003627231</v>
      </c>
      <c r="O161" s="27">
        <f t="shared" si="34"/>
        <v>311.74352945546792</v>
      </c>
      <c r="P161" s="27">
        <f t="shared" si="34"/>
        <v>303.68232906672068</v>
      </c>
      <c r="Q161" s="27">
        <f t="shared" si="34"/>
        <v>297.32422455466593</v>
      </c>
      <c r="R161" s="27">
        <f t="shared" si="34"/>
        <v>291.30873487096767</v>
      </c>
      <c r="S161" s="27">
        <f t="shared" si="34"/>
        <v>260.52286458075423</v>
      </c>
      <c r="T161" s="27">
        <f t="shared" si="34"/>
        <v>270.56001885582697</v>
      </c>
      <c r="U161" s="27">
        <f t="shared" si="34"/>
        <v>852.72283246173731</v>
      </c>
      <c r="V161" s="27">
        <f t="shared" si="34"/>
        <v>856.83583805061244</v>
      </c>
      <c r="W161" s="27">
        <f t="shared" si="34"/>
        <v>859.46815145917253</v>
      </c>
      <c r="X161" s="27">
        <f t="shared" si="34"/>
        <v>860.61923653571034</v>
      </c>
      <c r="Y161" s="27">
        <f t="shared" si="34"/>
        <v>860.31347761482039</v>
      </c>
      <c r="Z161" s="27">
        <f t="shared" si="34"/>
        <v>858.53621892685965</v>
      </c>
      <c r="AA161" s="27">
        <f t="shared" si="34"/>
        <v>855.28310692910031</v>
      </c>
      <c r="AB161" s="27">
        <f t="shared" si="34"/>
        <v>850.55683326967551</v>
      </c>
      <c r="AC161" s="27">
        <f t="shared" si="34"/>
        <v>844.36802545783894</v>
      </c>
      <c r="AD161" s="27">
        <f t="shared" si="34"/>
        <v>829.70549555464197</v>
      </c>
      <c r="AE161" s="27">
        <f t="shared" si="34"/>
        <v>813.66184807696902</v>
      </c>
      <c r="AF161" s="27">
        <f t="shared" si="34"/>
        <v>796.30917031773436</v>
      </c>
      <c r="AG161" s="27">
        <f t="shared" si="34"/>
        <v>777.72774073667881</v>
      </c>
      <c r="AH161" s="27">
        <f t="shared" si="34"/>
        <v>758.0030226043441</v>
      </c>
      <c r="AI161" s="27">
        <f t="shared" si="34"/>
        <v>737.22602206606996</v>
      </c>
      <c r="AJ161" s="27">
        <f t="shared" si="34"/>
        <v>-56.923575040610757</v>
      </c>
      <c r="AK161" s="27">
        <f t="shared" si="34"/>
        <v>-55.553019850526375</v>
      </c>
      <c r="AL161" s="27">
        <f t="shared" si="34"/>
        <v>-54.19672458777611</v>
      </c>
      <c r="AM161" s="27">
        <f t="shared" si="34"/>
        <v>-52.854549172076716</v>
      </c>
      <c r="AN161" s="27">
        <f t="shared" si="34"/>
        <v>-51.78929999692631</v>
      </c>
      <c r="AO161" s="27">
        <f t="shared" si="34"/>
        <v>-50.734155875267454</v>
      </c>
      <c r="AP161" s="27">
        <f t="shared" si="34"/>
        <v>-49.688332020491153</v>
      </c>
      <c r="AQ161" s="27">
        <f t="shared" si="34"/>
        <v>-48.651569375434605</v>
      </c>
      <c r="AR161" s="27">
        <f t="shared" si="34"/>
        <v>-47.623109962646353</v>
      </c>
      <c r="AS161" s="27">
        <f t="shared" si="34"/>
        <v>-46.60221149513962</v>
      </c>
      <c r="AT161" s="27">
        <f t="shared" si="34"/>
        <v>-45.588754757278259</v>
      </c>
      <c r="AU161" s="27">
        <f t="shared" si="34"/>
        <v>-44.582802361722123</v>
      </c>
      <c r="AV161" s="27">
        <f t="shared" si="34"/>
        <v>-43.584392718033477</v>
      </c>
      <c r="AW161" s="27">
        <f t="shared" si="34"/>
        <v>-42.59295237809765</v>
      </c>
      <c r="AY161" s="79"/>
    </row>
    <row r="162" spans="1:51" x14ac:dyDescent="0.25">
      <c r="A162" s="95" t="str">
        <f t="shared" si="0"/>
        <v>FA Cattle</v>
      </c>
      <c r="B162" s="95" t="s">
        <v>962</v>
      </c>
      <c r="C162" s="95" t="s">
        <v>1108</v>
      </c>
      <c r="D162" t="str">
        <f t="shared" ref="D162:E162" si="40">D160</f>
        <v>3A Livestock</v>
      </c>
      <c r="E162" t="str">
        <f t="shared" si="40"/>
        <v>3A1 Enteric fermentation (CH4)</v>
      </c>
      <c r="F162" t="s">
        <v>67</v>
      </c>
      <c r="G162" t="s">
        <v>135</v>
      </c>
      <c r="H162" t="s">
        <v>1020</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32.967337371253549</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35.195504797614667</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36.435327957872921</v>
      </c>
      <c r="Q162" s="93">
        <f>IF('Net zero activities &amp; levers'!$C$6="Off",('Activity data'!AJ10*EF!$H9)*kgtoGg,IF('Net zero activities &amp; levers'!$C$6="On",(('Net zero supporting data'!H41*EF!$H9)+('Net zero supporting data'!H39*'Net zero supporting data'!H43))*kgtoGg,"ERROR"))</f>
        <v>37.125912791560353</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35.21788884404873</v>
      </c>
      <c r="T162" s="93">
        <f>IF('Net zero activities &amp; levers'!$C$6="Off",('Activity data'!AM10*EF!$H9)*kgtoGg,IF('Net zero activities &amp; levers'!$C$6="On",(('Net zero supporting data'!K41*EF!$H9)+('Net zero supporting data'!K39*'Net zero supporting data'!K43))*kgtoGg,"ERROR"))</f>
        <v>37.455910775606171</v>
      </c>
      <c r="U162" s="93">
        <f>IF('Net zero activities &amp; levers'!$C$6="Off",('Activity data'!AN10*EF!$H9)*kgtoGg,IF('Net zero activities &amp; levers'!$C$6="On",(('Net zero supporting data'!L41*EF!$H9)+('Net zero supporting data'!L39*'Net zero supporting data'!L43))*kgtoGg,"ERROR"))</f>
        <v>120.85470894098397</v>
      </c>
      <c r="V162" s="93">
        <f>IF('Net zero activities &amp; levers'!$C$6="Off",('Activity data'!AO10*EF!$H9)*kgtoGg,IF('Net zero activities &amp; levers'!$C$6="On",(('Net zero supporting data'!M41*EF!$H9)+('Net zero supporting data'!M39*'Net zero supporting data'!M43))*kgtoGg,"ERROR"))</f>
        <v>124.28654564348025</v>
      </c>
      <c r="W162" s="93">
        <f>IF('Net zero activities &amp; levers'!$C$6="Off",('Activity data'!AP10*EF!$H9)*kgtoGg,IF('Net zero activities &amp; levers'!$C$6="On",(('Net zero supporting data'!N41*EF!$H9)+('Net zero supporting data'!N39*'Net zero supporting data'!N43))*kgtoGg,"ERROR"))</f>
        <v>127.55864590441264</v>
      </c>
      <c r="X162" s="93">
        <f>IF('Net zero activities &amp; levers'!$C$6="Off",('Activity data'!AQ10*EF!$H9)*kgtoGg,IF('Net zero activities &amp; levers'!$C$6="On",(('Net zero supporting data'!O41*EF!$H9)+('Net zero supporting data'!O39*'Net zero supporting data'!O43))*kgtoGg,"ERROR"))</f>
        <v>130.65843671178916</v>
      </c>
      <c r="Y162" s="93">
        <f>IF('Net zero activities &amp; levers'!$C$6="Off",('Activity data'!AR10*EF!$H9)*kgtoGg,IF('Net zero activities &amp; levers'!$C$6="On",(('Net zero supporting data'!P41*EF!$H9)+('Net zero supporting data'!P39*'Net zero supporting data'!P43))*kgtoGg,"ERROR"))</f>
        <v>133.57680599902966</v>
      </c>
      <c r="Z162" s="93">
        <f>IF('Net zero activities &amp; levers'!$C$6="Off",('Activity data'!AS10*EF!$H9)*kgtoGg,IF('Net zero activities &amp; levers'!$C$6="On",(('Net zero supporting data'!Q41*EF!$H9)+('Net zero supporting data'!Q39*'Net zero supporting data'!Q43))*kgtoGg,"ERROR"))</f>
        <v>136.29836120715478</v>
      </c>
      <c r="AA162" s="93">
        <f>IF('Net zero activities &amp; levers'!$C$6="Off",('Activity data'!AT10*EF!$H9)*kgtoGg,IF('Net zero activities &amp; levers'!$C$6="On",(('Net zero supporting data'!R41*EF!$H9)+('Net zero supporting data'!R39*'Net zero supporting data'!R43))*kgtoGg,"ERROR"))</f>
        <v>138.8087353610496</v>
      </c>
      <c r="AB162" s="93">
        <f>IF('Net zero activities &amp; levers'!$C$6="Off",('Activity data'!AU10*EF!$H9)*kgtoGg,IF('Net zero activities &amp; levers'!$C$6="On",(('Net zero supporting data'!S41*EF!$H9)+('Net zero supporting data'!S39*'Net zero supporting data'!S43))*kgtoGg,"ERROR"))</f>
        <v>141.09420138271955</v>
      </c>
      <c r="AC162" s="93">
        <f>IF('Net zero activities &amp; levers'!$C$6="Off",('Activity data'!AV10*EF!$H9)*kgtoGg,IF('Net zero activities &amp; levers'!$C$6="On",(('Net zero supporting data'!T41*EF!$H9)+('Net zero supporting data'!T39*'Net zero supporting data'!T43))*kgtoGg,"ERROR"))</f>
        <v>143.14192494700313</v>
      </c>
      <c r="AD162" s="93">
        <f>IF('Net zero activities &amp; levers'!$C$6="Off",('Activity data'!AW10*EF!$H9)*kgtoGg,IF('Net zero activities &amp; levers'!$C$6="On",(('Net zero supporting data'!U41*EF!$H9)+('Net zero supporting data'!U39*'Net zero supporting data'!U43))*kgtoGg,"ERROR"))</f>
        <v>145.32079439837173</v>
      </c>
      <c r="AE162" s="93">
        <f>IF('Net zero activities &amp; levers'!$C$6="Off",('Activity data'!AX10*EF!$H9)*kgtoGg,IF('Net zero activities &amp; levers'!$C$6="On",(('Net zero supporting data'!V41*EF!$H9)+('Net zero supporting data'!V39*'Net zero supporting data'!V43))*kgtoGg,"ERROR"))</f>
        <v>147.24589460251983</v>
      </c>
      <c r="AF162" s="93">
        <f>IF('Net zero activities &amp; levers'!$C$6="Off",('Activity data'!AY10*EF!$H9)*kgtoGg,IF('Net zero activities &amp; levers'!$C$6="On",(('Net zero supporting data'!W41*EF!$H9)+('Net zero supporting data'!W39*'Net zero supporting data'!W43))*kgtoGg,"ERROR"))</f>
        <v>148.90595700146477</v>
      </c>
      <c r="AG162" s="93">
        <f>IF('Net zero activities &amp; levers'!$C$6="Off",('Activity data'!AZ10*EF!$H9)*kgtoGg,IF('Net zero activities &amp; levers'!$C$6="On",(('Net zero supporting data'!X41*EF!$H9)+('Net zero supporting data'!X39*'Net zero supporting data'!X43))*kgtoGg,"ERROR"))</f>
        <v>150.29119988084832</v>
      </c>
      <c r="AH162" s="93">
        <f>IF('Net zero activities &amp; levers'!$C$6="Off",('Activity data'!BA10*EF!$H9)*kgtoGg,IF('Net zero activities &amp; levers'!$C$6="On",(('Net zero supporting data'!Y41*EF!$H9)+('Net zero supporting data'!Y39*'Net zero supporting data'!Y43))*kgtoGg,"ERROR"))</f>
        <v>151.39298806651198</v>
      </c>
      <c r="AI162" s="93">
        <f>IF('Net zero activities &amp; levers'!$C$6="Off",('Activity data'!BB10*EF!$H9)*kgtoGg,IF('Net zero activities &amp; levers'!$C$6="On",(('Net zero supporting data'!Z41*EF!$H9)+('Net zero supporting data'!Z39*'Net zero supporting data'!Z43))*kgtoGg,"ERROR"))</f>
        <v>152.2040963869018</v>
      </c>
      <c r="AJ162" s="93">
        <f>IF('Net zero activities &amp; levers'!$C$6="Off",('Activity data'!BC10*EF!$H9)*kgtoGg,IF('Net zero activities &amp; levers'!$C$6="On",(('Net zero supporting data'!AA41*EF!$H9)+('Net zero supporting data'!AA39*'Net zero supporting data'!AA43))*kgtoGg,"ERROR"))</f>
        <v>-12.150089844770541</v>
      </c>
      <c r="AK162" s="93">
        <f>IF('Net zero activities &amp; levers'!$C$6="Off",('Activity data'!BD10*EF!$H9)*kgtoGg,IF('Net zero activities &amp; levers'!$C$6="On",(('Net zero supporting data'!AB41*EF!$H9)+('Net zero supporting data'!AB39*'Net zero supporting data'!AB43))*kgtoGg,"ERROR"))</f>
        <v>-12.261292624366734</v>
      </c>
      <c r="AL162" s="93">
        <f>IF('Net zero activities &amp; levers'!$C$6="Off",('Activity data'!BE10*EF!$H9)*kgtoGg,IF('Net zero activities &amp; levers'!$C$6="On",(('Net zero supporting data'!AC41*EF!$H9)+('Net zero supporting data'!AC39*'Net zero supporting data'!AC43))*kgtoGg,"ERROR"))</f>
        <v>-12.371760078813706</v>
      </c>
      <c r="AM162" s="93">
        <f>IF('Net zero activities &amp; levers'!$C$6="Off",('Activity data'!BF10*EF!$H9)*kgtoGg,IF('Net zero activities &amp; levers'!$C$6="On",(('Net zero supporting data'!AD41*EF!$H9)+('Net zero supporting data'!AD39*'Net zero supporting data'!AD43))*kgtoGg,"ERROR"))</f>
        <v>-12.481547229069234</v>
      </c>
      <c r="AN162" s="93">
        <f>IF('Net zero activities &amp; levers'!$C$6="Off",('Activity data'!BG10*EF!$H9)*kgtoGg,IF('Net zero activities &amp; levers'!$C$6="On",(('Net zero supporting data'!AE41*EF!$H9)+('Net zero supporting data'!AE39*'Net zero supporting data'!AE43))*kgtoGg,"ERROR"))</f>
        <v>-12.575061773814197</v>
      </c>
      <c r="AO162" s="93">
        <f>IF('Net zero activities &amp; levers'!$C$6="Off",('Activity data'!BH10*EF!$H9)*kgtoGg,IF('Net zero activities &amp; levers'!$C$6="On",(('Net zero supporting data'!AF41*EF!$H9)+('Net zero supporting data'!AF39*'Net zero supporting data'!AF43))*kgtoGg,"ERROR"))</f>
        <v>-12.667641248223251</v>
      </c>
      <c r="AP162" s="93">
        <f>IF('Net zero activities &amp; levers'!$C$6="Off",('Activity data'!BI10*EF!$H9)*kgtoGg,IF('Net zero activities &amp; levers'!$C$6="On",(('Net zero supporting data'!AG41*EF!$H9)+('Net zero supporting data'!AG39*'Net zero supporting data'!AG43))*kgtoGg,"ERROR"))</f>
        <v>-12.759143955764493</v>
      </c>
      <c r="AQ162" s="93">
        <f>IF('Net zero activities &amp; levers'!$C$6="Off",('Activity data'!BJ10*EF!$H9)*kgtoGg,IF('Net zero activities &amp; levers'!$C$6="On",(('Net zero supporting data'!AH41*EF!$H9)+('Net zero supporting data'!AH39*'Net zero supporting data'!AH43))*kgtoGg,"ERROR"))</f>
        <v>-12.849544731083009</v>
      </c>
      <c r="AR162" s="93">
        <f>IF('Net zero activities &amp; levers'!$C$6="Off",('Activity data'!BK10*EF!$H9)*kgtoGg,IF('Net zero activities &amp; levers'!$C$6="On",(('Net zero supporting data'!AI41*EF!$H9)+('Net zero supporting data'!AI39*'Net zero supporting data'!AI43))*kgtoGg,"ERROR"))</f>
        <v>-12.938674897522816</v>
      </c>
      <c r="AS162" s="93">
        <f>IF('Net zero activities &amp; levers'!$C$6="Off",('Activity data'!BL10*EF!$H9)*kgtoGg,IF('Net zero activities &amp; levers'!$C$6="On",(('Net zero supporting data'!AJ41*EF!$H9)+('Net zero supporting data'!AJ39*'Net zero supporting data'!AJ43))*kgtoGg,"ERROR"))</f>
        <v>-13.02634616662869</v>
      </c>
      <c r="AT162" s="93">
        <f>IF('Net zero activities &amp; levers'!$C$6="Off",('Activity data'!BM10*EF!$H9)*kgtoGg,IF('Net zero activities &amp; levers'!$C$6="On",(('Net zero supporting data'!AK41*EF!$H9)+('Net zero supporting data'!AK39*'Net zero supporting data'!AK43))*kgtoGg,"ERROR"))</f>
        <v>-13.112524146200343</v>
      </c>
      <c r="AU162" s="93">
        <f>IF('Net zero activities &amp; levers'!$C$6="Off",('Activity data'!BN10*EF!$H9)*kgtoGg,IF('Net zero activities &amp; levers'!$C$6="On",(('Net zero supporting data'!AL41*EF!$H9)+('Net zero supporting data'!AL39*'Net zero supporting data'!AL43))*kgtoGg,"ERROR"))</f>
        <v>-13.197221864241371</v>
      </c>
      <c r="AV162" s="93">
        <f>IF('Net zero activities &amp; levers'!$C$6="Off",('Activity data'!BO10*EF!$H9)*kgtoGg,IF('Net zero activities &amp; levers'!$C$6="On",(('Net zero supporting data'!AM41*EF!$H9)+('Net zero supporting data'!AM39*'Net zero supporting data'!AM43))*kgtoGg,"ERROR"))</f>
        <v>-13.28044453197926</v>
      </c>
      <c r="AW162" s="93">
        <f>IF('Net zero activities &amp; levers'!$C$6="Off",('Activity data'!BP10*EF!$H9)*kgtoGg,IF('Net zero activities &amp; levers'!$C$6="On",(('Net zero supporting data'!AN41*EF!$H9)+('Net zero supporting data'!AN39*'Net zero supporting data'!AN43))*kgtoGg,"ERROR"))</f>
        <v>-13.362004258887673</v>
      </c>
      <c r="AY162" s="79"/>
    </row>
    <row r="163" spans="1:51" x14ac:dyDescent="0.25">
      <c r="A163" s="95" t="str">
        <f t="shared" si="0"/>
        <v>FA Sheep</v>
      </c>
      <c r="B163" s="95" t="s">
        <v>962</v>
      </c>
      <c r="C163" s="95" t="s">
        <v>152</v>
      </c>
      <c r="D163" t="str">
        <f t="shared" ref="D163:E163" si="41">D162</f>
        <v>3A Livestock</v>
      </c>
      <c r="E163" t="str">
        <f t="shared" si="41"/>
        <v>3A1 Enteric fermentation (CH4)</v>
      </c>
      <c r="F163" t="s">
        <v>18</v>
      </c>
      <c r="G163" t="s">
        <v>122</v>
      </c>
      <c r="H163" t="s">
        <v>1020</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134.51556530099631</v>
      </c>
      <c r="T163" s="27">
        <f t="shared" si="42"/>
        <v>134.60509112337468</v>
      </c>
      <c r="U163" s="27">
        <f t="shared" si="42"/>
        <v>136.35833424652054</v>
      </c>
      <c r="V163" s="27">
        <f t="shared" si="42"/>
        <v>136.40110324414033</v>
      </c>
      <c r="W163" s="27">
        <f t="shared" si="42"/>
        <v>136.58404654274005</v>
      </c>
      <c r="X163" s="27">
        <f t="shared" si="42"/>
        <v>136.84849552124783</v>
      </c>
      <c r="Y163" s="27">
        <f t="shared" si="42"/>
        <v>137.09415955987274</v>
      </c>
      <c r="Z163" s="27">
        <f t="shared" si="42"/>
        <v>137.32408030952666</v>
      </c>
      <c r="AA163" s="27">
        <f t="shared" ref="L163:AW164" si="43">AA1385</f>
        <v>137.53703172758449</v>
      </c>
      <c r="AB163" s="27">
        <f t="shared" si="43"/>
        <v>137.73493252382224</v>
      </c>
      <c r="AC163" s="27">
        <f t="shared" si="43"/>
        <v>137.92078465176073</v>
      </c>
      <c r="AD163" s="27">
        <f t="shared" si="43"/>
        <v>138.09441299579947</v>
      </c>
      <c r="AE163" s="27">
        <f t="shared" si="43"/>
        <v>138.25859465521103</v>
      </c>
      <c r="AF163" s="27">
        <f t="shared" si="43"/>
        <v>138.41372705764812</v>
      </c>
      <c r="AG163" s="27">
        <f t="shared" si="43"/>
        <v>138.55768393469623</v>
      </c>
      <c r="AH163" s="27">
        <f t="shared" si="43"/>
        <v>138.69178217062699</v>
      </c>
      <c r="AI163" s="27">
        <f t="shared" si="43"/>
        <v>138.81816108295814</v>
      </c>
      <c r="AJ163" s="27">
        <f t="shared" si="43"/>
        <v>135.77163521502163</v>
      </c>
      <c r="AK163" s="27">
        <f t="shared" si="43"/>
        <v>135.89648953385836</v>
      </c>
      <c r="AL163" s="27">
        <f t="shared" si="43"/>
        <v>136.01294647652736</v>
      </c>
      <c r="AM163" s="27">
        <f t="shared" si="43"/>
        <v>136.12171776801748</v>
      </c>
      <c r="AN163" s="27">
        <f t="shared" si="43"/>
        <v>136.22366859450332</v>
      </c>
      <c r="AO163" s="27">
        <f t="shared" si="43"/>
        <v>136.31611723482146</v>
      </c>
      <c r="AP163" s="27">
        <f t="shared" si="43"/>
        <v>136.39727280638544</v>
      </c>
      <c r="AQ163" s="27">
        <f t="shared" si="43"/>
        <v>136.46687299989276</v>
      </c>
      <c r="AR163" s="27">
        <f t="shared" si="43"/>
        <v>136.52287982045266</v>
      </c>
      <c r="AS163" s="27">
        <f t="shared" si="43"/>
        <v>136.56307802336653</v>
      </c>
      <c r="AT163" s="27">
        <f t="shared" si="43"/>
        <v>136.58721779491506</v>
      </c>
      <c r="AU163" s="27">
        <f t="shared" si="43"/>
        <v>136.59564346547165</v>
      </c>
      <c r="AV163" s="27">
        <f t="shared" si="43"/>
        <v>136.58860148831764</v>
      </c>
      <c r="AW163" s="27">
        <f t="shared" si="43"/>
        <v>136.56400681676968</v>
      </c>
      <c r="AY163" s="79"/>
    </row>
    <row r="164" spans="1:51" x14ac:dyDescent="0.25">
      <c r="A164" s="95" t="str">
        <f t="shared" si="0"/>
        <v>FA Sheep</v>
      </c>
      <c r="B164" s="95" t="s">
        <v>962</v>
      </c>
      <c r="C164" s="95" t="s">
        <v>152</v>
      </c>
      <c r="D164" t="str">
        <f t="shared" ref="D164:E164" si="44">D163</f>
        <v>3A Livestock</v>
      </c>
      <c r="E164" t="str">
        <f t="shared" si="44"/>
        <v>3A1 Enteric fermentation (CH4)</v>
      </c>
      <c r="F164" t="s">
        <v>18</v>
      </c>
      <c r="G164" t="s">
        <v>123</v>
      </c>
      <c r="H164" t="s">
        <v>1020</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14.577965145623706</v>
      </c>
      <c r="T164" s="27">
        <f t="shared" si="43"/>
        <v>14.587667400640397</v>
      </c>
      <c r="U164" s="27">
        <f t="shared" si="43"/>
        <v>14.777673048565481</v>
      </c>
      <c r="V164" s="27">
        <f t="shared" si="43"/>
        <v>14.782308088051206</v>
      </c>
      <c r="W164" s="27">
        <f t="shared" si="43"/>
        <v>14.802134351462762</v>
      </c>
      <c r="X164" s="27">
        <f t="shared" si="43"/>
        <v>14.830793696445298</v>
      </c>
      <c r="Y164" s="27">
        <f t="shared" si="43"/>
        <v>14.857417245806248</v>
      </c>
      <c r="Z164" s="27">
        <f t="shared" si="43"/>
        <v>14.882334634862383</v>
      </c>
      <c r="AA164" s="27">
        <f t="shared" si="43"/>
        <v>14.905412992695631</v>
      </c>
      <c r="AB164" s="27">
        <f t="shared" si="43"/>
        <v>14.926860257206538</v>
      </c>
      <c r="AC164" s="27">
        <f t="shared" si="43"/>
        <v>14.947001761554121</v>
      </c>
      <c r="AD164" s="27">
        <f t="shared" si="43"/>
        <v>14.965818527792479</v>
      </c>
      <c r="AE164" s="27">
        <f t="shared" si="43"/>
        <v>14.983611520767653</v>
      </c>
      <c r="AF164" s="27">
        <f t="shared" si="43"/>
        <v>15.000423811231022</v>
      </c>
      <c r="AG164" s="27">
        <f t="shared" si="43"/>
        <v>15.016024967360309</v>
      </c>
      <c r="AH164" s="27">
        <f t="shared" si="43"/>
        <v>15.030557704929484</v>
      </c>
      <c r="AI164" s="27">
        <f t="shared" si="43"/>
        <v>15.044253869941933</v>
      </c>
      <c r="AJ164" s="27">
        <f t="shared" si="43"/>
        <v>14.714090235580054</v>
      </c>
      <c r="AK164" s="27">
        <f t="shared" si="43"/>
        <v>14.727621174577411</v>
      </c>
      <c r="AL164" s="27">
        <f t="shared" si="43"/>
        <v>14.740242057873667</v>
      </c>
      <c r="AM164" s="27">
        <f t="shared" si="43"/>
        <v>14.752030017821943</v>
      </c>
      <c r="AN164" s="27">
        <f t="shared" si="43"/>
        <v>14.763078817949665</v>
      </c>
      <c r="AO164" s="27">
        <f t="shared" si="43"/>
        <v>14.773097829900454</v>
      </c>
      <c r="AP164" s="27">
        <f t="shared" si="43"/>
        <v>14.781892968894116</v>
      </c>
      <c r="AQ164" s="27">
        <f t="shared" si="43"/>
        <v>14.789435807470511</v>
      </c>
      <c r="AR164" s="27">
        <f t="shared" si="43"/>
        <v>14.795505480346009</v>
      </c>
      <c r="AS164" s="27">
        <f t="shared" si="43"/>
        <v>14.799861912998866</v>
      </c>
      <c r="AT164" s="27">
        <f t="shared" si="43"/>
        <v>14.802478032162998</v>
      </c>
      <c r="AU164" s="27">
        <f t="shared" si="43"/>
        <v>14.803391154234989</v>
      </c>
      <c r="AV164" s="27">
        <f t="shared" si="43"/>
        <v>14.802627988297443</v>
      </c>
      <c r="AW164" s="27">
        <f t="shared" si="43"/>
        <v>14.799962569884396</v>
      </c>
      <c r="AY164" s="79"/>
    </row>
    <row r="165" spans="1:51" x14ac:dyDescent="0.25">
      <c r="A165" s="95" t="str">
        <f t="shared" ref="A165:A306" si="45">B165&amp;" "&amp;C165</f>
        <v>FA Goats</v>
      </c>
      <c r="B165" s="95" t="s">
        <v>962</v>
      </c>
      <c r="C165" s="95" t="s">
        <v>153</v>
      </c>
      <c r="D165" t="s">
        <v>15</v>
      </c>
      <c r="E165" t="s">
        <v>16</v>
      </c>
      <c r="F165" t="s">
        <v>19</v>
      </c>
      <c r="G165" t="s">
        <v>122</v>
      </c>
      <c r="H165" t="s">
        <v>1020</v>
      </c>
      <c r="I165" t="s">
        <v>121</v>
      </c>
      <c r="J165" t="s">
        <v>286</v>
      </c>
      <c r="K165" s="27">
        <f>K1387</f>
        <v>15.123414197798359</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15.545788610572222</v>
      </c>
      <c r="R165" s="27">
        <f t="shared" si="46"/>
        <v>15.648067752449878</v>
      </c>
      <c r="S165" s="27">
        <f t="shared" si="46"/>
        <v>15.609909908763072</v>
      </c>
      <c r="T165" s="27">
        <f t="shared" si="46"/>
        <v>15.635455939498677</v>
      </c>
      <c r="U165" s="27">
        <f t="shared" si="46"/>
        <v>15.95246888070791</v>
      </c>
      <c r="V165" s="27">
        <f t="shared" si="46"/>
        <v>15.966791142533616</v>
      </c>
      <c r="W165" s="27">
        <f t="shared" si="46"/>
        <v>16.004709527553434</v>
      </c>
      <c r="X165" s="27">
        <f t="shared" si="46"/>
        <v>16.055885293055152</v>
      </c>
      <c r="Y165" s="27">
        <f t="shared" si="46"/>
        <v>16.102820608505493</v>
      </c>
      <c r="Z165" s="27">
        <f t="shared" si="46"/>
        <v>16.146135876832972</v>
      </c>
      <c r="AA165" s="27">
        <f t="shared" si="46"/>
        <v>16.185698238107559</v>
      </c>
      <c r="AB165" s="27">
        <f t="shared" si="46"/>
        <v>16.22191395009931</v>
      </c>
      <c r="AC165" s="27">
        <f t="shared" si="46"/>
        <v>16.25536732746065</v>
      </c>
      <c r="AD165" s="27">
        <f t="shared" si="46"/>
        <v>16.286085323517181</v>
      </c>
      <c r="AE165" s="27">
        <f t="shared" si="46"/>
        <v>16.31459834375584</v>
      </c>
      <c r="AF165" s="27">
        <f t="shared" si="46"/>
        <v>16.341020303059434</v>
      </c>
      <c r="AG165" s="27">
        <f t="shared" si="46"/>
        <v>16.365028601066268</v>
      </c>
      <c r="AH165" s="27">
        <f t="shared" si="46"/>
        <v>16.386889120844085</v>
      </c>
      <c r="AI165" s="27">
        <f t="shared" si="46"/>
        <v>16.407003513902541</v>
      </c>
      <c r="AJ165" s="27">
        <f t="shared" si="46"/>
        <v>15.886156568564889</v>
      </c>
      <c r="AK165" s="27">
        <f t="shared" si="46"/>
        <v>15.906232465615583</v>
      </c>
      <c r="AL165" s="27">
        <f t="shared" si="46"/>
        <v>15.924511297002383</v>
      </c>
      <c r="AM165" s="27">
        <f t="shared" si="46"/>
        <v>15.941140997111155</v>
      </c>
      <c r="AN165" s="27">
        <f t="shared" si="46"/>
        <v>15.956292884471127</v>
      </c>
      <c r="AO165" s="27">
        <f t="shared" si="46"/>
        <v>15.969536826708435</v>
      </c>
      <c r="AP165" s="27">
        <f t="shared" si="46"/>
        <v>15.980594577453482</v>
      </c>
      <c r="AQ165" s="27">
        <f t="shared" si="46"/>
        <v>15.989445822984647</v>
      </c>
      <c r="AR165" s="27">
        <f t="shared" si="46"/>
        <v>15.995770985939464</v>
      </c>
      <c r="AS165" s="27">
        <f t="shared" si="46"/>
        <v>15.999221862064399</v>
      </c>
      <c r="AT165" s="27">
        <f t="shared" si="46"/>
        <v>15.999780644603296</v>
      </c>
      <c r="AU165" s="27">
        <f t="shared" si="46"/>
        <v>15.99752803776004</v>
      </c>
      <c r="AV165" s="27">
        <f t="shared" si="46"/>
        <v>15.992527037206958</v>
      </c>
      <c r="AW165" s="27">
        <f t="shared" si="46"/>
        <v>15.984450939829935</v>
      </c>
      <c r="AY165" s="79"/>
    </row>
    <row r="166" spans="1:51" x14ac:dyDescent="0.25">
      <c r="A166" s="95" t="str">
        <f t="shared" si="45"/>
        <v>FA Goats</v>
      </c>
      <c r="B166" s="95" t="s">
        <v>962</v>
      </c>
      <c r="C166" s="95" t="s">
        <v>153</v>
      </c>
      <c r="D166" t="s">
        <v>15</v>
      </c>
      <c r="E166" t="s">
        <v>16</v>
      </c>
      <c r="F166" t="s">
        <v>19</v>
      </c>
      <c r="G166" t="s">
        <v>123</v>
      </c>
      <c r="H166" t="s">
        <v>1020</v>
      </c>
      <c r="I166" t="s">
        <v>121</v>
      </c>
      <c r="J166" t="s">
        <v>286</v>
      </c>
      <c r="K166" s="27">
        <f t="shared" ref="K166:Z206" si="47">K1388</f>
        <v>22.381101687842744</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23.101065436464115</v>
      </c>
      <c r="T166" s="27">
        <f t="shared" si="47"/>
        <v>23.138870941499981</v>
      </c>
      <c r="U166" s="27">
        <f t="shared" si="47"/>
        <v>23.608017576034321</v>
      </c>
      <c r="V166" s="27">
        <f t="shared" si="47"/>
        <v>23.62921305439183</v>
      </c>
      <c r="W166" s="27">
        <f t="shared" si="47"/>
        <v>23.685328374640804</v>
      </c>
      <c r="X166" s="27">
        <f t="shared" si="47"/>
        <v>23.761063258091507</v>
      </c>
      <c r="Y166" s="27">
        <f t="shared" si="47"/>
        <v>23.830522710441766</v>
      </c>
      <c r="Z166" s="27">
        <f t="shared" si="47"/>
        <v>23.894624864386248</v>
      </c>
      <c r="AA166" s="27">
        <f t="shared" si="46"/>
        <v>23.953173100856997</v>
      </c>
      <c r="AB166" s="27">
        <f t="shared" si="46"/>
        <v>24.006768639680701</v>
      </c>
      <c r="AC166" s="27">
        <f t="shared" si="46"/>
        <v>24.0562762066053</v>
      </c>
      <c r="AD166" s="27">
        <f t="shared" si="46"/>
        <v>24.101735689787876</v>
      </c>
      <c r="AE166" s="27">
        <f t="shared" si="46"/>
        <v>24.143932034941329</v>
      </c>
      <c r="AF166" s="27">
        <f t="shared" si="46"/>
        <v>24.183033824407083</v>
      </c>
      <c r="AG166" s="27">
        <f t="shared" si="46"/>
        <v>24.218563642741437</v>
      </c>
      <c r="AH166" s="27">
        <f t="shared" si="46"/>
        <v>24.250914969610982</v>
      </c>
      <c r="AI166" s="27">
        <f t="shared" si="46"/>
        <v>24.280682208049512</v>
      </c>
      <c r="AJ166" s="27">
        <f t="shared" si="46"/>
        <v>23.509882156226475</v>
      </c>
      <c r="AK166" s="27">
        <f t="shared" si="46"/>
        <v>23.53959242452235</v>
      </c>
      <c r="AL166" s="27">
        <f t="shared" si="46"/>
        <v>23.566643219974505</v>
      </c>
      <c r="AM166" s="27">
        <f t="shared" si="46"/>
        <v>23.591253470299264</v>
      </c>
      <c r="AN166" s="27">
        <f t="shared" si="46"/>
        <v>23.613676709346407</v>
      </c>
      <c r="AO166" s="27">
        <f t="shared" si="46"/>
        <v>23.633276385324617</v>
      </c>
      <c r="AP166" s="27">
        <f t="shared" si="46"/>
        <v>23.649640722148757</v>
      </c>
      <c r="AQ166" s="27">
        <f t="shared" si="46"/>
        <v>23.662739657594557</v>
      </c>
      <c r="AR166" s="27">
        <f t="shared" si="46"/>
        <v>23.672100249947082</v>
      </c>
      <c r="AS166" s="27">
        <f t="shared" si="46"/>
        <v>23.67720719262908</v>
      </c>
      <c r="AT166" s="27">
        <f t="shared" si="46"/>
        <v>23.678034133468028</v>
      </c>
      <c r="AU166" s="27">
        <f t="shared" si="46"/>
        <v>23.674700506407216</v>
      </c>
      <c r="AV166" s="27">
        <f t="shared" si="46"/>
        <v>23.667299538579741</v>
      </c>
      <c r="AW166" s="27">
        <f t="shared" si="46"/>
        <v>23.655347742889163</v>
      </c>
      <c r="AY166" s="79"/>
    </row>
    <row r="167" spans="1:51" x14ac:dyDescent="0.25">
      <c r="A167" s="95" t="str">
        <f t="shared" si="45"/>
        <v>FA Horses</v>
      </c>
      <c r="B167" s="95" t="s">
        <v>962</v>
      </c>
      <c r="C167" s="95" t="s">
        <v>3</v>
      </c>
      <c r="D167" t="s">
        <v>15</v>
      </c>
      <c r="E167" t="s">
        <v>16</v>
      </c>
      <c r="F167" t="s">
        <v>20</v>
      </c>
      <c r="G167" t="s">
        <v>3</v>
      </c>
      <c r="H167" t="s">
        <v>1020</v>
      </c>
      <c r="I167" t="s">
        <v>121</v>
      </c>
      <c r="J167" t="s">
        <v>286</v>
      </c>
      <c r="K167" s="27">
        <f t="shared" si="47"/>
        <v>5.5526214800767901</v>
      </c>
      <c r="L167" s="27">
        <f t="shared" si="46"/>
        <v>5.5795235710196529</v>
      </c>
      <c r="M167" s="27">
        <f t="shared" si="46"/>
        <v>5.6203482259438022</v>
      </c>
      <c r="N167" s="27">
        <f t="shared" si="46"/>
        <v>5.6290756550083767</v>
      </c>
      <c r="O167" s="27">
        <f t="shared" si="46"/>
        <v>5.6165815405282284</v>
      </c>
      <c r="P167" s="27">
        <f t="shared" si="46"/>
        <v>5.5833231296706112</v>
      </c>
      <c r="Q167" s="27">
        <f t="shared" si="46"/>
        <v>5.5648827699457364</v>
      </c>
      <c r="R167" s="27">
        <f t="shared" si="46"/>
        <v>5.5483103177944031</v>
      </c>
      <c r="S167" s="27">
        <f t="shared" si="46"/>
        <v>5.301317756839599</v>
      </c>
      <c r="T167" s="27">
        <f t="shared" si="46"/>
        <v>5.4334519326298842</v>
      </c>
      <c r="U167" s="27">
        <f t="shared" si="46"/>
        <v>11.663279711908721</v>
      </c>
      <c r="V167" s="27">
        <f t="shared" si="46"/>
        <v>11.812653235838557</v>
      </c>
      <c r="W167" s="27">
        <f t="shared" si="46"/>
        <v>11.932954790442608</v>
      </c>
      <c r="X167" s="27">
        <f t="shared" si="46"/>
        <v>12.029772886609605</v>
      </c>
      <c r="Y167" s="27">
        <f t="shared" si="46"/>
        <v>12.113873667726716</v>
      </c>
      <c r="Z167" s="27">
        <f t="shared" si="46"/>
        <v>12.184301808011908</v>
      </c>
      <c r="AA167" s="27">
        <f t="shared" si="46"/>
        <v>12.240662308750712</v>
      </c>
      <c r="AB167" s="27">
        <f t="shared" si="46"/>
        <v>12.282268429354316</v>
      </c>
      <c r="AC167" s="27">
        <f t="shared" si="46"/>
        <v>12.308384588149881</v>
      </c>
      <c r="AD167" s="27">
        <f t="shared" si="46"/>
        <v>12.31872545788376</v>
      </c>
      <c r="AE167" s="27">
        <f t="shared" si="46"/>
        <v>12.312750989800492</v>
      </c>
      <c r="AF167" s="27">
        <f t="shared" si="46"/>
        <v>12.290286651516004</v>
      </c>
      <c r="AG167" s="27">
        <f t="shared" si="46"/>
        <v>12.251535501678408</v>
      </c>
      <c r="AH167" s="27">
        <f t="shared" si="46"/>
        <v>12.196396092630039</v>
      </c>
      <c r="AI167" s="27">
        <f t="shared" si="46"/>
        <v>12.124769930026071</v>
      </c>
      <c r="AJ167" s="27">
        <f t="shared" si="46"/>
        <v>1.7851056965565462</v>
      </c>
      <c r="AK167" s="27">
        <f t="shared" si="46"/>
        <v>1.7851056965565462</v>
      </c>
      <c r="AL167" s="27">
        <f t="shared" si="46"/>
        <v>1.7851056965565462</v>
      </c>
      <c r="AM167" s="27">
        <f t="shared" si="46"/>
        <v>1.7851056965565462</v>
      </c>
      <c r="AN167" s="27">
        <f t="shared" si="46"/>
        <v>1.7851056965565462</v>
      </c>
      <c r="AO167" s="27">
        <f t="shared" si="46"/>
        <v>1.7851056965565462</v>
      </c>
      <c r="AP167" s="27">
        <f t="shared" si="46"/>
        <v>1.7851056965565462</v>
      </c>
      <c r="AQ167" s="27">
        <f t="shared" si="46"/>
        <v>1.7851056965565462</v>
      </c>
      <c r="AR167" s="27">
        <f t="shared" si="46"/>
        <v>1.7851056965565462</v>
      </c>
      <c r="AS167" s="27">
        <f t="shared" si="46"/>
        <v>1.7851056965565462</v>
      </c>
      <c r="AT167" s="27">
        <f t="shared" si="46"/>
        <v>1.7851056965565462</v>
      </c>
      <c r="AU167" s="27">
        <f t="shared" si="46"/>
        <v>1.7851056965565462</v>
      </c>
      <c r="AV167" s="27">
        <f t="shared" si="46"/>
        <v>1.7851056965565462</v>
      </c>
      <c r="AW167" s="27">
        <f t="shared" si="46"/>
        <v>1.7851056965565462</v>
      </c>
      <c r="AY167" s="79"/>
    </row>
    <row r="168" spans="1:51" x14ac:dyDescent="0.25">
      <c r="A168" s="95" t="str">
        <f t="shared" si="45"/>
        <v>FA Mules&amp;Asses</v>
      </c>
      <c r="B168" s="95" t="s">
        <v>962</v>
      </c>
      <c r="C168" s="95" t="s">
        <v>1323</v>
      </c>
      <c r="D168" t="s">
        <v>15</v>
      </c>
      <c r="E168" t="s">
        <v>16</v>
      </c>
      <c r="F168" t="s">
        <v>140</v>
      </c>
      <c r="G168" t="s">
        <v>124</v>
      </c>
      <c r="H168" t="s">
        <v>1020</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25">
      <c r="A169" s="95" t="str">
        <f t="shared" si="45"/>
        <v>FA Swine</v>
      </c>
      <c r="B169" s="95" t="s">
        <v>962</v>
      </c>
      <c r="C169" s="95" t="s">
        <v>155</v>
      </c>
      <c r="D169" t="s">
        <v>15</v>
      </c>
      <c r="E169" t="s">
        <v>16</v>
      </c>
      <c r="F169" t="s">
        <v>21</v>
      </c>
      <c r="G169" t="s">
        <v>122</v>
      </c>
      <c r="H169" t="s">
        <v>1020</v>
      </c>
      <c r="I169" t="s">
        <v>121</v>
      </c>
      <c r="J169" t="s">
        <v>286</v>
      </c>
      <c r="K169" s="27">
        <f t="shared" si="47"/>
        <v>1.8400999552016302</v>
      </c>
      <c r="L169" s="27">
        <f t="shared" si="46"/>
        <v>1.8300977880312248</v>
      </c>
      <c r="M169" s="27">
        <f t="shared" si="46"/>
        <v>1.8309187348828151</v>
      </c>
      <c r="N169" s="27">
        <f t="shared" si="46"/>
        <v>1.8141094978660448</v>
      </c>
      <c r="O169" s="27">
        <f t="shared" si="46"/>
        <v>1.7866561368117295</v>
      </c>
      <c r="P169" s="27">
        <f t="shared" si="46"/>
        <v>1.7489975228040082</v>
      </c>
      <c r="Q169" s="27">
        <f t="shared" si="46"/>
        <v>1.721653192801009</v>
      </c>
      <c r="R169" s="27">
        <f t="shared" si="46"/>
        <v>1.6967284692901872</v>
      </c>
      <c r="S169" s="27">
        <f t="shared" si="46"/>
        <v>1.5265878305982445</v>
      </c>
      <c r="T169" s="27">
        <f t="shared" si="46"/>
        <v>1.5810995176609606</v>
      </c>
      <c r="U169" s="27">
        <f t="shared" si="46"/>
        <v>5.0540136125986557</v>
      </c>
      <c r="V169" s="27">
        <f t="shared" si="46"/>
        <v>5.0678679159640359</v>
      </c>
      <c r="W169" s="27">
        <f t="shared" si="46"/>
        <v>5.0729847165704873</v>
      </c>
      <c r="X169" s="27">
        <f t="shared" si="46"/>
        <v>5.0695948867136602</v>
      </c>
      <c r="Y169" s="27">
        <f t="shared" si="46"/>
        <v>5.0582098272592386</v>
      </c>
      <c r="Z169" s="27">
        <f t="shared" si="46"/>
        <v>5.0387249592432335</v>
      </c>
      <c r="AA169" s="27">
        <f t="shared" si="46"/>
        <v>5.0111122815709459</v>
      </c>
      <c r="AB169" s="27">
        <f t="shared" si="46"/>
        <v>4.9753743834920021</v>
      </c>
      <c r="AC169" s="27">
        <f t="shared" si="46"/>
        <v>4.9315571021349269</v>
      </c>
      <c r="AD169" s="27">
        <f t="shared" si="46"/>
        <v>4.8797732145240138</v>
      </c>
      <c r="AE169" s="27">
        <f t="shared" si="46"/>
        <v>4.8201653478957827</v>
      </c>
      <c r="AF169" s="27">
        <f t="shared" si="46"/>
        <v>4.7529350466048701</v>
      </c>
      <c r="AG169" s="27">
        <f t="shared" si="46"/>
        <v>4.6783405786979539</v>
      </c>
      <c r="AH169" s="27">
        <f t="shared" si="46"/>
        <v>4.5966617003060959</v>
      </c>
      <c r="AI169" s="27">
        <f t="shared" si="46"/>
        <v>4.5082123470458679</v>
      </c>
      <c r="AJ169" s="27">
        <f t="shared" si="46"/>
        <v>-0.42008552544106242</v>
      </c>
      <c r="AK169" s="27">
        <f t="shared" si="46"/>
        <v>-0.41553771612775497</v>
      </c>
      <c r="AL169" s="27">
        <f t="shared" si="46"/>
        <v>-0.41097379422953517</v>
      </c>
      <c r="AM169" s="27">
        <f t="shared" si="46"/>
        <v>-0.40639849459231969</v>
      </c>
      <c r="AN169" s="27">
        <f t="shared" si="46"/>
        <v>-0.40181705013442426</v>
      </c>
      <c r="AO169" s="27">
        <f t="shared" si="46"/>
        <v>-0.39721731633182522</v>
      </c>
      <c r="AP169" s="27">
        <f t="shared" si="46"/>
        <v>-0.39259212331291987</v>
      </c>
      <c r="AQ169" s="27">
        <f t="shared" si="46"/>
        <v>-0.38794191787285037</v>
      </c>
      <c r="AR169" s="27">
        <f t="shared" si="46"/>
        <v>-0.38325899383328277</v>
      </c>
      <c r="AS169" s="27">
        <f t="shared" si="46"/>
        <v>-0.37853535700522173</v>
      </c>
      <c r="AT169" s="27">
        <f t="shared" si="46"/>
        <v>-0.37377234804073223</v>
      </c>
      <c r="AU169" s="27">
        <f t="shared" si="46"/>
        <v>-0.36897393039459231</v>
      </c>
      <c r="AV169" s="27">
        <f t="shared" si="46"/>
        <v>-0.36414349435249727</v>
      </c>
      <c r="AW169" s="27">
        <f t="shared" si="46"/>
        <v>-0.35927435241905337</v>
      </c>
      <c r="AY169" s="79"/>
    </row>
    <row r="170" spans="1:51" x14ac:dyDescent="0.25">
      <c r="A170" s="95" t="str">
        <f t="shared" si="45"/>
        <v>FA Swine</v>
      </c>
      <c r="B170" s="95" t="s">
        <v>962</v>
      </c>
      <c r="C170" s="95" t="s">
        <v>155</v>
      </c>
      <c r="D170" t="s">
        <v>15</v>
      </c>
      <c r="E170" t="s">
        <v>16</v>
      </c>
      <c r="F170" t="s">
        <v>21</v>
      </c>
      <c r="G170" t="s">
        <v>123</v>
      </c>
      <c r="H170" t="s">
        <v>1020</v>
      </c>
      <c r="I170" t="s">
        <v>121</v>
      </c>
      <c r="J170" t="s">
        <v>286</v>
      </c>
      <c r="K170" s="27">
        <f t="shared" si="47"/>
        <v>0.25496723934882604</v>
      </c>
      <c r="L170" s="27">
        <f t="shared" si="46"/>
        <v>0.25358132281546891</v>
      </c>
      <c r="M170" s="27">
        <f t="shared" si="46"/>
        <v>0.25369507454499335</v>
      </c>
      <c r="N170" s="27">
        <f t="shared" si="46"/>
        <v>0.25136595935447842</v>
      </c>
      <c r="O170" s="27">
        <f t="shared" si="46"/>
        <v>0.247561977044127</v>
      </c>
      <c r="P170" s="27">
        <f t="shared" si="46"/>
        <v>0.24234393830437845</v>
      </c>
      <c r="Q170" s="27">
        <f t="shared" si="46"/>
        <v>0.23855506351363695</v>
      </c>
      <c r="R170" s="27">
        <f t="shared" si="46"/>
        <v>0.23510145332951485</v>
      </c>
      <c r="S170" s="27">
        <f t="shared" si="46"/>
        <v>0.21152649000988519</v>
      </c>
      <c r="T170" s="27">
        <f t="shared" si="46"/>
        <v>0.21907971793282416</v>
      </c>
      <c r="U170" s="27">
        <f t="shared" si="46"/>
        <v>0.70029233726842122</v>
      </c>
      <c r="V170" s="27">
        <f t="shared" si="46"/>
        <v>0.70221201205140604</v>
      </c>
      <c r="W170" s="27">
        <f t="shared" si="46"/>
        <v>0.7029210042565508</v>
      </c>
      <c r="X170" s="27">
        <f t="shared" si="46"/>
        <v>0.70245130392423227</v>
      </c>
      <c r="Y170" s="27">
        <f t="shared" si="46"/>
        <v>0.70087377158925745</v>
      </c>
      <c r="Z170" s="27">
        <f t="shared" si="46"/>
        <v>0.6981739166204699</v>
      </c>
      <c r="AA170" s="27">
        <f t="shared" si="46"/>
        <v>0.69434785914069519</v>
      </c>
      <c r="AB170" s="27">
        <f t="shared" si="46"/>
        <v>0.68939595792056851</v>
      </c>
      <c r="AC170" s="27">
        <f t="shared" si="46"/>
        <v>0.68332456422708854</v>
      </c>
      <c r="AD170" s="27">
        <f t="shared" si="46"/>
        <v>0.67614930462796652</v>
      </c>
      <c r="AE170" s="27">
        <f t="shared" si="46"/>
        <v>0.66788994178481698</v>
      </c>
      <c r="AF170" s="27">
        <f t="shared" si="46"/>
        <v>0.65857440201086193</v>
      </c>
      <c r="AG170" s="27">
        <f t="shared" si="46"/>
        <v>0.64823847134624946</v>
      </c>
      <c r="AH170" s="27">
        <f t="shared" si="46"/>
        <v>0.63692091325501032</v>
      </c>
      <c r="AI170" s="27">
        <f t="shared" si="46"/>
        <v>0.62466522716621964</v>
      </c>
      <c r="AJ170" s="27">
        <f t="shared" si="46"/>
        <v>-5.8207732905668316E-2</v>
      </c>
      <c r="AK170" s="27">
        <f t="shared" si="46"/>
        <v>-5.7577581058524868E-2</v>
      </c>
      <c r="AL170" s="27">
        <f t="shared" si="46"/>
        <v>-5.6945196625438323E-2</v>
      </c>
      <c r="AM170" s="27">
        <f t="shared" si="46"/>
        <v>-5.6311235674351458E-2</v>
      </c>
      <c r="AN170" s="27">
        <f t="shared" si="46"/>
        <v>-5.5676423286927873E-2</v>
      </c>
      <c r="AO170" s="27">
        <f t="shared" si="46"/>
        <v>-5.5039076698188007E-2</v>
      </c>
      <c r="AP170" s="27">
        <f t="shared" si="46"/>
        <v>-5.4398202439073888E-2</v>
      </c>
      <c r="AQ170" s="27">
        <f t="shared" si="46"/>
        <v>-5.3753862418246326E-2</v>
      </c>
      <c r="AR170" s="27">
        <f t="shared" si="46"/>
        <v>-5.3104988855115366E-2</v>
      </c>
      <c r="AS170" s="27">
        <f t="shared" si="46"/>
        <v>-5.2450474061865898E-2</v>
      </c>
      <c r="AT170" s="27">
        <f t="shared" si="46"/>
        <v>-5.1790503801426135E-2</v>
      </c>
      <c r="AU170" s="27">
        <f t="shared" si="46"/>
        <v>-5.1125627256529457E-2</v>
      </c>
      <c r="AV170" s="27">
        <f t="shared" si="46"/>
        <v>-5.0456314190669899E-2</v>
      </c>
      <c r="AW170" s="27">
        <f t="shared" si="46"/>
        <v>-4.9781637973620729E-2</v>
      </c>
      <c r="AY170" s="79"/>
    </row>
    <row r="171" spans="1:51" x14ac:dyDescent="0.25">
      <c r="A171" s="95" t="str">
        <f t="shared" si="45"/>
        <v>FA Cattle MMCH4</v>
      </c>
      <c r="B171" s="95" t="s">
        <v>962</v>
      </c>
      <c r="C171" s="95" t="s">
        <v>1229</v>
      </c>
      <c r="D171" t="s">
        <v>15</v>
      </c>
      <c r="E171" t="s">
        <v>22</v>
      </c>
      <c r="F171" t="s">
        <v>6</v>
      </c>
      <c r="G171" t="s">
        <v>136</v>
      </c>
      <c r="H171" t="s">
        <v>1227</v>
      </c>
      <c r="I171" t="s">
        <v>121</v>
      </c>
      <c r="J171" t="s">
        <v>286</v>
      </c>
      <c r="K171" s="27">
        <f t="shared" si="47"/>
        <v>7.351330651107908</v>
      </c>
      <c r="L171" s="27">
        <f t="shared" si="46"/>
        <v>7.3924283487896005</v>
      </c>
      <c r="M171" s="27">
        <f t="shared" si="46"/>
        <v>7.4507389435191715</v>
      </c>
      <c r="N171" s="27">
        <f t="shared" si="46"/>
        <v>7.4882097119910753</v>
      </c>
      <c r="O171" s="27">
        <f t="shared" si="46"/>
        <v>7.5131092090175455</v>
      </c>
      <c r="P171" s="27">
        <f t="shared" si="46"/>
        <v>7.5251923679492423</v>
      </c>
      <c r="Q171" s="27">
        <f t="shared" si="46"/>
        <v>7.5518885629203734</v>
      </c>
      <c r="R171" s="27">
        <f t="shared" si="46"/>
        <v>7.5825135825669054</v>
      </c>
      <c r="S171" s="27">
        <f t="shared" si="46"/>
        <v>7.3670594492211752</v>
      </c>
      <c r="T171" s="27">
        <f t="shared" si="46"/>
        <v>7.4938201403917679</v>
      </c>
      <c r="U171" s="27">
        <f t="shared" si="46"/>
        <v>12.893716848831154</v>
      </c>
      <c r="V171" s="27">
        <f t="shared" si="46"/>
        <v>13.049144587269693</v>
      </c>
      <c r="W171" s="27">
        <f t="shared" si="46"/>
        <v>13.19775488481636</v>
      </c>
      <c r="X171" s="27">
        <f t="shared" si="46"/>
        <v>13.337019913111025</v>
      </c>
      <c r="Y171" s="27">
        <f t="shared" si="46"/>
        <v>13.463220566952655</v>
      </c>
      <c r="Z171" s="27">
        <f t="shared" si="46"/>
        <v>13.575767486447466</v>
      </c>
      <c r="AA171" s="27">
        <f t="shared" si="46"/>
        <v>13.674005026382902</v>
      </c>
      <c r="AB171" s="27">
        <f t="shared" si="46"/>
        <v>13.757436960081838</v>
      </c>
      <c r="AC171" s="27">
        <f t="shared" si="46"/>
        <v>13.825669744576842</v>
      </c>
      <c r="AD171" s="27">
        <f t="shared" si="46"/>
        <v>13.878289677767924</v>
      </c>
      <c r="AE171" s="27">
        <f t="shared" si="46"/>
        <v>13.915049092366717</v>
      </c>
      <c r="AF171" s="27">
        <f t="shared" si="46"/>
        <v>13.935710420523995</v>
      </c>
      <c r="AG171" s="27">
        <f t="shared" si="46"/>
        <v>13.940044142256493</v>
      </c>
      <c r="AH171" s="27">
        <f t="shared" si="46"/>
        <v>13.928008342806061</v>
      </c>
      <c r="AI171" s="27">
        <f t="shared" si="46"/>
        <v>13.899671543047996</v>
      </c>
      <c r="AJ171" s="27">
        <f t="shared" si="46"/>
        <v>4.3976157174808597</v>
      </c>
      <c r="AK171" s="27">
        <f t="shared" si="46"/>
        <v>4.4008259031545416</v>
      </c>
      <c r="AL171" s="27">
        <f t="shared" si="46"/>
        <v>4.403804998470318</v>
      </c>
      <c r="AM171" s="27">
        <f t="shared" si="46"/>
        <v>4.4065731559819081</v>
      </c>
      <c r="AN171" s="27">
        <f t="shared" si="46"/>
        <v>4.4091551994119804</v>
      </c>
      <c r="AO171" s="27">
        <f t="shared" si="46"/>
        <v>4.4114700909604787</v>
      </c>
      <c r="AP171" s="27">
        <f t="shared" si="46"/>
        <v>4.4134634106251305</v>
      </c>
      <c r="AQ171" s="27">
        <f t="shared" si="46"/>
        <v>4.4151264315171801</v>
      </c>
      <c r="AR171" s="27">
        <f t="shared" si="46"/>
        <v>4.4163974064588221</v>
      </c>
      <c r="AS171" s="27">
        <f t="shared" si="46"/>
        <v>4.4172092973227706</v>
      </c>
      <c r="AT171" s="27">
        <f t="shared" si="46"/>
        <v>4.4175538239653074</v>
      </c>
      <c r="AU171" s="27">
        <f t="shared" si="46"/>
        <v>4.4174405083324073</v>
      </c>
      <c r="AV171" s="27">
        <f t="shared" si="46"/>
        <v>4.4168759908828958</v>
      </c>
      <c r="AW171" s="27">
        <f t="shared" si="46"/>
        <v>4.4157972186653511</v>
      </c>
      <c r="AY171" s="79"/>
    </row>
    <row r="172" spans="1:51" x14ac:dyDescent="0.25">
      <c r="A172" s="95" t="str">
        <f t="shared" si="45"/>
        <v>FA Cattle MMCH4</v>
      </c>
      <c r="B172" s="95" t="s">
        <v>962</v>
      </c>
      <c r="C172" s="95" t="s">
        <v>1229</v>
      </c>
      <c r="D172" t="s">
        <v>15</v>
      </c>
      <c r="E172" t="s">
        <v>22</v>
      </c>
      <c r="F172" t="s">
        <v>6</v>
      </c>
      <c r="G172" t="s">
        <v>137</v>
      </c>
      <c r="H172" t="s">
        <v>1227</v>
      </c>
      <c r="I172" t="s">
        <v>121</v>
      </c>
      <c r="J172" t="s">
        <v>286</v>
      </c>
      <c r="K172" s="27">
        <f t="shared" si="47"/>
        <v>2.0944490884992821</v>
      </c>
      <c r="L172" s="27">
        <f t="shared" si="46"/>
        <v>2.1061581299686476</v>
      </c>
      <c r="M172" s="27">
        <f t="shared" si="46"/>
        <v>2.1227712545548472</v>
      </c>
      <c r="N172" s="27">
        <f t="shared" si="46"/>
        <v>2.1334469567638776</v>
      </c>
      <c r="O172" s="27">
        <f t="shared" si="46"/>
        <v>2.1405410097083362</v>
      </c>
      <c r="P172" s="27">
        <f t="shared" ref="L172:AW178" si="48">P1394</f>
        <v>2.1439835920667925</v>
      </c>
      <c r="Q172" s="27">
        <f t="shared" si="48"/>
        <v>2.151589537694508</v>
      </c>
      <c r="R172" s="27">
        <f t="shared" si="48"/>
        <v>2.1603148348588097</v>
      </c>
      <c r="S172" s="27">
        <f t="shared" si="48"/>
        <v>2.0989303407289799</v>
      </c>
      <c r="T172" s="27">
        <f t="shared" si="48"/>
        <v>2.1350454097797478</v>
      </c>
      <c r="U172" s="27">
        <f t="shared" si="48"/>
        <v>3.6735163718057389</v>
      </c>
      <c r="V172" s="27">
        <f t="shared" si="48"/>
        <v>3.7177988970450366</v>
      </c>
      <c r="W172" s="27">
        <f t="shared" si="48"/>
        <v>3.7601390823815941</v>
      </c>
      <c r="X172" s="27">
        <f t="shared" si="48"/>
        <v>3.7998167306081263</v>
      </c>
      <c r="Y172" s="27">
        <f t="shared" si="48"/>
        <v>3.8357722408349422</v>
      </c>
      <c r="Z172" s="27">
        <f t="shared" si="48"/>
        <v>3.8678377000200475</v>
      </c>
      <c r="AA172" s="27">
        <f t="shared" si="48"/>
        <v>3.8958263099383315</v>
      </c>
      <c r="AB172" s="27">
        <f t="shared" si="48"/>
        <v>3.919596691897838</v>
      </c>
      <c r="AC172" s="27">
        <f t="shared" si="48"/>
        <v>3.9390367225635514</v>
      </c>
      <c r="AD172" s="27">
        <f t="shared" si="48"/>
        <v>3.9540285351128004</v>
      </c>
      <c r="AE172" s="27">
        <f t="shared" si="48"/>
        <v>3.9645015672826429</v>
      </c>
      <c r="AF172" s="27">
        <f t="shared" si="48"/>
        <v>3.9703881342158924</v>
      </c>
      <c r="AG172" s="27">
        <f t="shared" si="48"/>
        <v>3.9716228439525687</v>
      </c>
      <c r="AH172" s="27">
        <f t="shared" si="48"/>
        <v>3.9681937546645596</v>
      </c>
      <c r="AI172" s="27">
        <f t="shared" si="48"/>
        <v>3.9601203884617591</v>
      </c>
      <c r="AJ172" s="27">
        <f t="shared" si="48"/>
        <v>1.2529136109065901</v>
      </c>
      <c r="AK172" s="27">
        <f t="shared" si="48"/>
        <v>1.2538282168163573</v>
      </c>
      <c r="AL172" s="27">
        <f t="shared" si="48"/>
        <v>1.2546769833546632</v>
      </c>
      <c r="AM172" s="27">
        <f t="shared" si="48"/>
        <v>1.2554656521347973</v>
      </c>
      <c r="AN172" s="27">
        <f t="shared" si="48"/>
        <v>1.2562012956210231</v>
      </c>
      <c r="AO172" s="27">
        <f t="shared" si="48"/>
        <v>1.2568608255379636</v>
      </c>
      <c r="AP172" s="27">
        <f t="shared" si="48"/>
        <v>1.2574287372199238</v>
      </c>
      <c r="AQ172" s="27">
        <f t="shared" si="48"/>
        <v>1.257902544311023</v>
      </c>
      <c r="AR172" s="27">
        <f t="shared" si="48"/>
        <v>1.2582646545784513</v>
      </c>
      <c r="AS172" s="27">
        <f t="shared" si="48"/>
        <v>1.2584959683583183</v>
      </c>
      <c r="AT172" s="27">
        <f t="shared" si="48"/>
        <v>1.2585941265757443</v>
      </c>
      <c r="AU172" s="27">
        <f t="shared" si="48"/>
        <v>1.2585618421043605</v>
      </c>
      <c r="AV172" s="27">
        <f t="shared" si="48"/>
        <v>1.2584010068605544</v>
      </c>
      <c r="AW172" s="27">
        <f t="shared" si="48"/>
        <v>1.2580936565868464</v>
      </c>
      <c r="AY172" s="79"/>
    </row>
    <row r="173" spans="1:51" x14ac:dyDescent="0.25">
      <c r="A173" s="95" t="str">
        <f t="shared" si="45"/>
        <v>FA Cattle MMCH4</v>
      </c>
      <c r="B173" s="95" t="s">
        <v>962</v>
      </c>
      <c r="C173" s="95" t="s">
        <v>1229</v>
      </c>
      <c r="D173" t="s">
        <v>15</v>
      </c>
      <c r="E173" t="s">
        <v>22</v>
      </c>
      <c r="F173" t="s">
        <v>67</v>
      </c>
      <c r="G173" t="s">
        <v>307</v>
      </c>
      <c r="H173" t="s">
        <v>1227</v>
      </c>
      <c r="I173" t="s">
        <v>121</v>
      </c>
      <c r="J173" t="s">
        <v>286</v>
      </c>
      <c r="K173" s="27">
        <f t="shared" si="47"/>
        <v>0.43258377187145641</v>
      </c>
      <c r="L173" s="27">
        <f t="shared" si="48"/>
        <v>0.43500213637199753</v>
      </c>
      <c r="M173" s="27">
        <f t="shared" si="48"/>
        <v>0.43843338143569016</v>
      </c>
      <c r="N173" s="27">
        <f t="shared" si="48"/>
        <v>0.44063832189202168</v>
      </c>
      <c r="O173" s="27">
        <f t="shared" si="48"/>
        <v>0.44210351490980404</v>
      </c>
      <c r="P173" s="27">
        <f t="shared" si="48"/>
        <v>0.44281453971808249</v>
      </c>
      <c r="Q173" s="27">
        <f t="shared" si="48"/>
        <v>0.44438545813589125</v>
      </c>
      <c r="R173" s="27">
        <f t="shared" si="48"/>
        <v>0.44618756541973903</v>
      </c>
      <c r="S173" s="27">
        <f t="shared" si="48"/>
        <v>0.43350932169879508</v>
      </c>
      <c r="T173" s="27">
        <f t="shared" si="48"/>
        <v>0.44096846352141772</v>
      </c>
      <c r="U173" s="27">
        <f t="shared" si="48"/>
        <v>0.75872150670699801</v>
      </c>
      <c r="V173" s="27">
        <f t="shared" si="48"/>
        <v>0.76786754033521754</v>
      </c>
      <c r="W173" s="27">
        <f t="shared" si="48"/>
        <v>0.77661240655096708</v>
      </c>
      <c r="X173" s="27">
        <f t="shared" si="48"/>
        <v>0.78480735711007588</v>
      </c>
      <c r="Y173" s="27">
        <f t="shared" si="48"/>
        <v>0.79223354393833789</v>
      </c>
      <c r="Z173" s="27">
        <f t="shared" si="48"/>
        <v>0.79885628657612706</v>
      </c>
      <c r="AA173" s="27">
        <f t="shared" si="48"/>
        <v>0.80463700405184546</v>
      </c>
      <c r="AB173" s="27">
        <f t="shared" si="48"/>
        <v>0.80954649626310582</v>
      </c>
      <c r="AC173" s="27">
        <f t="shared" si="48"/>
        <v>0.81356160545666301</v>
      </c>
      <c r="AD173" s="27">
        <f t="shared" si="48"/>
        <v>0.81665798762959563</v>
      </c>
      <c r="AE173" s="27">
        <f t="shared" si="48"/>
        <v>0.81882106897821283</v>
      </c>
      <c r="AF173" s="27">
        <f t="shared" si="48"/>
        <v>0.82003686999306757</v>
      </c>
      <c r="AG173" s="27">
        <f t="shared" si="48"/>
        <v>0.82029188473560344</v>
      </c>
      <c r="AH173" s="27">
        <f t="shared" si="48"/>
        <v>0.81958364676198259</v>
      </c>
      <c r="AI173" s="27">
        <f t="shared" si="48"/>
        <v>0.81791618813389544</v>
      </c>
      <c r="AJ173" s="27">
        <f t="shared" si="48"/>
        <v>0.2587745381881813</v>
      </c>
      <c r="AK173" s="27">
        <f t="shared" si="48"/>
        <v>0.25896343925834608</v>
      </c>
      <c r="AL173" s="27">
        <f t="shared" si="48"/>
        <v>0.25913874198238679</v>
      </c>
      <c r="AM173" s="27">
        <f t="shared" si="48"/>
        <v>0.25930163222285196</v>
      </c>
      <c r="AN173" s="27">
        <f t="shared" si="48"/>
        <v>0.25945357071387171</v>
      </c>
      <c r="AO173" s="27">
        <f t="shared" si="48"/>
        <v>0.25958978884430933</v>
      </c>
      <c r="AP173" s="27">
        <f t="shared" si="48"/>
        <v>0.25970708430821976</v>
      </c>
      <c r="AQ173" s="27">
        <f t="shared" si="48"/>
        <v>0.25980494357810247</v>
      </c>
      <c r="AR173" s="27">
        <f t="shared" si="48"/>
        <v>0.25987973318563101</v>
      </c>
      <c r="AS173" s="27">
        <f t="shared" si="48"/>
        <v>0.25992750832035744</v>
      </c>
      <c r="AT173" s="27">
        <f t="shared" si="48"/>
        <v>0.2599477817431719</v>
      </c>
      <c r="AU173" s="27">
        <f t="shared" si="48"/>
        <v>0.25994111376614593</v>
      </c>
      <c r="AV173" s="27">
        <f t="shared" si="48"/>
        <v>0.25990789514230944</v>
      </c>
      <c r="AW173" s="27">
        <f t="shared" si="48"/>
        <v>0.2598444155660255</v>
      </c>
      <c r="AY173" s="79"/>
    </row>
    <row r="174" spans="1:51" x14ac:dyDescent="0.25">
      <c r="A174" s="95" t="str">
        <f t="shared" si="45"/>
        <v>FA Cattle MMCH4</v>
      </c>
      <c r="B174" s="95" t="s">
        <v>962</v>
      </c>
      <c r="C174" s="95" t="s">
        <v>1229</v>
      </c>
      <c r="D174" t="s">
        <v>15</v>
      </c>
      <c r="E174" t="s">
        <v>22</v>
      </c>
      <c r="F174" t="s">
        <v>67</v>
      </c>
      <c r="G174" t="s">
        <v>122</v>
      </c>
      <c r="H174" t="s">
        <v>1227</v>
      </c>
      <c r="I174" t="s">
        <v>121</v>
      </c>
      <c r="J174" t="s">
        <v>286</v>
      </c>
      <c r="K174" s="27">
        <f t="shared" si="47"/>
        <v>9.4871637196006525E-2</v>
      </c>
      <c r="L174" s="27">
        <f t="shared" si="48"/>
        <v>9.4048845784615531E-2</v>
      </c>
      <c r="M174" s="27">
        <f t="shared" si="48"/>
        <v>9.3735634002294232E-2</v>
      </c>
      <c r="N174" s="27">
        <f t="shared" si="48"/>
        <v>9.2483917307495112E-2</v>
      </c>
      <c r="O174" s="27">
        <f t="shared" si="48"/>
        <v>9.0667019955957343E-2</v>
      </c>
      <c r="P174" s="27">
        <f t="shared" si="48"/>
        <v>8.8322512540543879E-2</v>
      </c>
      <c r="Q174" s="27">
        <f t="shared" si="48"/>
        <v>8.6473330972337878E-2</v>
      </c>
      <c r="R174" s="27">
        <f t="shared" si="48"/>
        <v>8.4723794986300269E-2</v>
      </c>
      <c r="S174" s="27">
        <f t="shared" si="48"/>
        <v>7.5770078702790261E-2</v>
      </c>
      <c r="T174" s="27">
        <f t="shared" si="48"/>
        <v>7.8689269579177143E-2</v>
      </c>
      <c r="U174" s="27">
        <f t="shared" si="48"/>
        <v>0.24800462804394147</v>
      </c>
      <c r="V174" s="27">
        <f t="shared" si="48"/>
        <v>0.24920084841283532</v>
      </c>
      <c r="W174" s="27">
        <f t="shared" si="48"/>
        <v>0.24996642649158854</v>
      </c>
      <c r="X174" s="27">
        <f t="shared" si="48"/>
        <v>0.2503012063466436</v>
      </c>
      <c r="Y174" s="27">
        <f t="shared" si="48"/>
        <v>0.25021227988125561</v>
      </c>
      <c r="Z174" s="27">
        <f t="shared" si="48"/>
        <v>0.2496953846333905</v>
      </c>
      <c r="AA174" s="27">
        <f t="shared" si="48"/>
        <v>0.24874925442521903</v>
      </c>
      <c r="AB174" s="27">
        <f t="shared" si="48"/>
        <v>0.24737467209164213</v>
      </c>
      <c r="AC174" s="27">
        <f t="shared" si="48"/>
        <v>0.24557472852149176</v>
      </c>
      <c r="AD174" s="27">
        <f t="shared" si="48"/>
        <v>0.24131030034343104</v>
      </c>
      <c r="AE174" s="27">
        <f t="shared" si="48"/>
        <v>0.23664419000405892</v>
      </c>
      <c r="AF174" s="27">
        <f t="shared" si="48"/>
        <v>0.23159736326339173</v>
      </c>
      <c r="AG174" s="27">
        <f t="shared" si="48"/>
        <v>0.22619316818810492</v>
      </c>
      <c r="AH174" s="27">
        <f t="shared" si="48"/>
        <v>0.22045646078746098</v>
      </c>
      <c r="AI174" s="27">
        <f t="shared" si="48"/>
        <v>0.21441370915210514</v>
      </c>
      <c r="AJ174" s="27">
        <f t="shared" si="48"/>
        <v>-1.6555567081653722E-2</v>
      </c>
      <c r="AK174" s="27">
        <f t="shared" si="48"/>
        <v>-1.6156956868356984E-2</v>
      </c>
      <c r="AL174" s="27">
        <f t="shared" si="48"/>
        <v>-1.5762493990911713E-2</v>
      </c>
      <c r="AM174" s="27">
        <f t="shared" si="48"/>
        <v>-1.5372137708578686E-2</v>
      </c>
      <c r="AN174" s="27">
        <f t="shared" si="48"/>
        <v>-1.5062322238181812E-2</v>
      </c>
      <c r="AO174" s="27">
        <f t="shared" si="48"/>
        <v>-1.4755445706367474E-2</v>
      </c>
      <c r="AP174" s="27">
        <f t="shared" si="48"/>
        <v>-1.4451279866976845E-2</v>
      </c>
      <c r="AQ174" s="27">
        <f t="shared" si="48"/>
        <v>-1.4149749376213728E-2</v>
      </c>
      <c r="AR174" s="27">
        <f t="shared" si="48"/>
        <v>-1.3850633785054411E-2</v>
      </c>
      <c r="AS174" s="27">
        <f t="shared" si="48"/>
        <v>-1.3553717207866358E-2</v>
      </c>
      <c r="AT174" s="27">
        <f t="shared" si="48"/>
        <v>-1.3258964972152997E-2</v>
      </c>
      <c r="AU174" s="27">
        <f t="shared" si="48"/>
        <v>-1.296639528808627E-2</v>
      </c>
      <c r="AV174" s="27">
        <f t="shared" si="48"/>
        <v>-1.26760193266456E-2</v>
      </c>
      <c r="AW174" s="27">
        <f t="shared" si="48"/>
        <v>-1.2387670307042478E-2</v>
      </c>
      <c r="AY174" s="79"/>
    </row>
    <row r="175" spans="1:51" x14ac:dyDescent="0.25">
      <c r="A175" s="95" t="str">
        <f t="shared" si="45"/>
        <v>FA Cattle MMCH4</v>
      </c>
      <c r="B175" s="95" t="s">
        <v>962</v>
      </c>
      <c r="C175" s="95" t="s">
        <v>1229</v>
      </c>
      <c r="D175" t="s">
        <v>15</v>
      </c>
      <c r="E175" t="s">
        <v>22</v>
      </c>
      <c r="F175" t="s">
        <v>67</v>
      </c>
      <c r="G175" t="s">
        <v>123</v>
      </c>
      <c r="H175" t="s">
        <v>1227</v>
      </c>
      <c r="I175" t="s">
        <v>121</v>
      </c>
      <c r="J175" t="s">
        <v>286</v>
      </c>
      <c r="K175" s="27">
        <f t="shared" si="47"/>
        <v>6.968944973410629E-2</v>
      </c>
      <c r="L175" s="27">
        <f t="shared" si="48"/>
        <v>6.908505539244103E-2</v>
      </c>
      <c r="M175" s="27">
        <f t="shared" si="48"/>
        <v>6.8854980763127779E-2</v>
      </c>
      <c r="N175" s="27">
        <f t="shared" si="48"/>
        <v>6.7935512624264296E-2</v>
      </c>
      <c r="O175" s="27">
        <f t="shared" si="48"/>
        <v>6.660088216573827E-2</v>
      </c>
      <c r="P175" s="27">
        <f t="shared" si="48"/>
        <v>6.487868745605771E-2</v>
      </c>
      <c r="Q175" s="27">
        <f t="shared" si="48"/>
        <v>6.3520342119606055E-2</v>
      </c>
      <c r="R175" s="27">
        <f t="shared" si="48"/>
        <v>6.2235193009075984E-2</v>
      </c>
      <c r="S175" s="27">
        <f t="shared" si="48"/>
        <v>5.5658100220174651E-2</v>
      </c>
      <c r="T175" s="27">
        <f t="shared" si="48"/>
        <v>5.7802437683476982E-2</v>
      </c>
      <c r="U175" s="27">
        <f t="shared" si="48"/>
        <v>0.182175690972702</v>
      </c>
      <c r="V175" s="27">
        <f t="shared" si="48"/>
        <v>0.18305439341457844</v>
      </c>
      <c r="W175" s="27">
        <f t="shared" si="48"/>
        <v>0.18361676080501965</v>
      </c>
      <c r="X175" s="27">
        <f t="shared" si="48"/>
        <v>0.18386267860058431</v>
      </c>
      <c r="Y175" s="27">
        <f t="shared" si="48"/>
        <v>0.18379735627008756</v>
      </c>
      <c r="Z175" s="27">
        <f t="shared" si="48"/>
        <v>0.18341766275515989</v>
      </c>
      <c r="AA175" s="27">
        <f t="shared" si="48"/>
        <v>0.18272266796500922</v>
      </c>
      <c r="AB175" s="27">
        <f t="shared" si="48"/>
        <v>0.18171294694329559</v>
      </c>
      <c r="AC175" s="27">
        <f t="shared" si="48"/>
        <v>0.1803907701509096</v>
      </c>
      <c r="AD175" s="27">
        <f t="shared" si="48"/>
        <v>0.17725826751953122</v>
      </c>
      <c r="AE175" s="27">
        <f t="shared" si="48"/>
        <v>0.17383070295376282</v>
      </c>
      <c r="AF175" s="27">
        <f t="shared" si="48"/>
        <v>0.17012347718159837</v>
      </c>
      <c r="AG175" s="27">
        <f t="shared" si="48"/>
        <v>0.16615374089176904</v>
      </c>
      <c r="AH175" s="27">
        <f t="shared" si="48"/>
        <v>0.16193975245589462</v>
      </c>
      <c r="AI175" s="27">
        <f t="shared" si="48"/>
        <v>0.1575009544252694</v>
      </c>
      <c r="AJ175" s="27">
        <f t="shared" si="48"/>
        <v>-1.2161151573392443E-2</v>
      </c>
      <c r="AK175" s="27">
        <f t="shared" si="48"/>
        <v>-1.1868346186618603E-2</v>
      </c>
      <c r="AL175" s="27">
        <f t="shared" si="48"/>
        <v>-1.1578587290470338E-2</v>
      </c>
      <c r="AM175" s="27">
        <f t="shared" si="48"/>
        <v>-1.1291844958198401E-2</v>
      </c>
      <c r="AN175" s="27">
        <f t="shared" si="48"/>
        <v>-1.1064265143100825E-2</v>
      </c>
      <c r="AO175" s="27">
        <f t="shared" si="48"/>
        <v>-1.0838844171453966E-2</v>
      </c>
      <c r="AP175" s="27">
        <f t="shared" si="48"/>
        <v>-1.0615414381460443E-2</v>
      </c>
      <c r="AQ175" s="27">
        <f t="shared" si="48"/>
        <v>-1.039392042815254E-2</v>
      </c>
      <c r="AR175" s="27">
        <f t="shared" si="48"/>
        <v>-1.017420037724082E-2</v>
      </c>
      <c r="AS175" s="27">
        <f t="shared" si="48"/>
        <v>-9.956095646546443E-3</v>
      </c>
      <c r="AT175" s="27">
        <f t="shared" si="48"/>
        <v>-9.739580766843E-3</v>
      </c>
      <c r="AU175" s="27">
        <f t="shared" si="48"/>
        <v>-9.5246691146980388E-3</v>
      </c>
      <c r="AV175" s="27">
        <f t="shared" si="48"/>
        <v>-9.3113688959297666E-3</v>
      </c>
      <c r="AW175" s="27">
        <f t="shared" si="48"/>
        <v>-9.0995575990930264E-3</v>
      </c>
      <c r="AY175" s="79"/>
    </row>
    <row r="176" spans="1:51" x14ac:dyDescent="0.25">
      <c r="A176" s="95" t="str">
        <f t="shared" si="45"/>
        <v>FA Cattle MMCH4</v>
      </c>
      <c r="B176" s="95" t="s">
        <v>962</v>
      </c>
      <c r="C176" s="95" t="s">
        <v>1229</v>
      </c>
      <c r="D176" t="s">
        <v>15</v>
      </c>
      <c r="E176" t="s">
        <v>22</v>
      </c>
      <c r="F176" t="s">
        <v>67</v>
      </c>
      <c r="G176" t="s">
        <v>135</v>
      </c>
      <c r="H176" t="s">
        <v>1227</v>
      </c>
      <c r="I176" t="s">
        <v>121</v>
      </c>
      <c r="J176" t="s">
        <v>286</v>
      </c>
      <c r="K176" s="27">
        <f t="shared" si="47"/>
        <v>0.47107022937833831</v>
      </c>
      <c r="L176" s="27">
        <f t="shared" si="48"/>
        <v>0.48695387967725956</v>
      </c>
      <c r="M176" s="27">
        <f t="shared" si="48"/>
        <v>0.50580611066616787</v>
      </c>
      <c r="N176" s="27">
        <f t="shared" si="48"/>
        <v>0.51986569055899423</v>
      </c>
      <c r="O176" s="27">
        <f t="shared" si="48"/>
        <v>0.5307082628613855</v>
      </c>
      <c r="P176" s="27">
        <f t="shared" si="48"/>
        <v>0.53817886796858139</v>
      </c>
      <c r="Q176" s="27">
        <f t="shared" si="48"/>
        <v>0.54837935702304763</v>
      </c>
      <c r="R176" s="27">
        <f t="shared" si="48"/>
        <v>0.55907244781022658</v>
      </c>
      <c r="S176" s="27">
        <f t="shared" si="48"/>
        <v>0.52019632078645839</v>
      </c>
      <c r="T176" s="27">
        <f t="shared" si="48"/>
        <v>0.55325369057346974</v>
      </c>
      <c r="U176" s="27">
        <f t="shared" si="48"/>
        <v>1.7851204886019707</v>
      </c>
      <c r="V176" s="27">
        <f t="shared" si="48"/>
        <v>1.8358114551753451</v>
      </c>
      <c r="W176" s="27">
        <f t="shared" si="48"/>
        <v>1.8841429870431068</v>
      </c>
      <c r="X176" s="27">
        <f t="shared" si="48"/>
        <v>1.9299293707853407</v>
      </c>
      <c r="Y176" s="27">
        <f t="shared" si="48"/>
        <v>1.9730360139075687</v>
      </c>
      <c r="Z176" s="27">
        <f t="shared" si="48"/>
        <v>2.0132355560309785</v>
      </c>
      <c r="AA176" s="27">
        <f t="shared" si="48"/>
        <v>2.0503157854688139</v>
      </c>
      <c r="AB176" s="27">
        <f t="shared" si="48"/>
        <v>2.0840739423253991</v>
      </c>
      <c r="AC176" s="27">
        <f t="shared" si="48"/>
        <v>2.1143204533767861</v>
      </c>
      <c r="AD176" s="27">
        <f t="shared" si="48"/>
        <v>2.1465040938299391</v>
      </c>
      <c r="AE176" s="27">
        <f t="shared" si="48"/>
        <v>2.1749393600032643</v>
      </c>
      <c r="AF176" s="27">
        <f t="shared" si="48"/>
        <v>2.1994598063034698</v>
      </c>
      <c r="AG176" s="27">
        <f t="shared" si="48"/>
        <v>2.2199209490040412</v>
      </c>
      <c r="AH176" s="27">
        <f t="shared" si="48"/>
        <v>2.2361952396921123</v>
      </c>
      <c r="AI176" s="27">
        <f t="shared" si="48"/>
        <v>2.2481759568184136</v>
      </c>
      <c r="AJ176" s="27">
        <f t="shared" si="48"/>
        <v>-0.17946652232513363</v>
      </c>
      <c r="AK176" s="27">
        <f t="shared" si="48"/>
        <v>-0.18110907611543389</v>
      </c>
      <c r="AL176" s="27">
        <f t="shared" si="48"/>
        <v>-0.18274076856651822</v>
      </c>
      <c r="AM176" s="27">
        <f t="shared" si="48"/>
        <v>-0.18436241238183759</v>
      </c>
      <c r="AN176" s="27">
        <f t="shared" si="48"/>
        <v>-0.18574369682883446</v>
      </c>
      <c r="AO176" s="27">
        <f t="shared" si="48"/>
        <v>-0.18711116954081883</v>
      </c>
      <c r="AP176" s="27">
        <f t="shared" si="48"/>
        <v>-0.18846273754694579</v>
      </c>
      <c r="AQ176" s="27">
        <f t="shared" si="48"/>
        <v>-0.18979802913484242</v>
      </c>
      <c r="AR176" s="27">
        <f t="shared" si="48"/>
        <v>-0.19111455281570203</v>
      </c>
      <c r="AS176" s="27">
        <f t="shared" si="48"/>
        <v>-0.19240952741879389</v>
      </c>
      <c r="AT176" s="27">
        <f t="shared" si="48"/>
        <v>-0.19368244494387601</v>
      </c>
      <c r="AU176" s="27">
        <f t="shared" si="48"/>
        <v>-0.19493349782495742</v>
      </c>
      <c r="AV176" s="27">
        <f t="shared" si="48"/>
        <v>-0.19616276303602645</v>
      </c>
      <c r="AW176" s="27">
        <f t="shared" si="48"/>
        <v>-0.19736746528407936</v>
      </c>
      <c r="AY176" s="79"/>
    </row>
    <row r="177" spans="1:51" x14ac:dyDescent="0.25">
      <c r="A177" s="95" t="str">
        <f t="shared" si="45"/>
        <v>FA Sheep MMCH4</v>
      </c>
      <c r="B177" s="95" t="s">
        <v>962</v>
      </c>
      <c r="C177" s="95" t="s">
        <v>1324</v>
      </c>
      <c r="D177" t="s">
        <v>15</v>
      </c>
      <c r="E177" t="s">
        <v>22</v>
      </c>
      <c r="F177" t="s">
        <v>18</v>
      </c>
      <c r="G177" t="s">
        <v>122</v>
      </c>
      <c r="H177" t="s">
        <v>1227</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3.6578192116978575E-2</v>
      </c>
      <c r="T177" s="27">
        <f t="shared" si="48"/>
        <v>3.6602536457524273E-2</v>
      </c>
      <c r="U177" s="27">
        <f t="shared" si="48"/>
        <v>3.7079287706665597E-2</v>
      </c>
      <c r="V177" s="27">
        <f t="shared" si="48"/>
        <v>3.7090917681294085E-2</v>
      </c>
      <c r="W177" s="27">
        <f t="shared" si="48"/>
        <v>3.7140664601717173E-2</v>
      </c>
      <c r="X177" s="27">
        <f t="shared" si="48"/>
        <v>3.7212574982641126E-2</v>
      </c>
      <c r="Y177" s="27">
        <f t="shared" si="48"/>
        <v>3.7279377262220796E-2</v>
      </c>
      <c r="Z177" s="27">
        <f t="shared" si="48"/>
        <v>3.7341898542443672E-2</v>
      </c>
      <c r="AA177" s="27">
        <f t="shared" si="48"/>
        <v>3.7399805431240309E-2</v>
      </c>
      <c r="AB177" s="27">
        <f t="shared" si="48"/>
        <v>3.7453619674437284E-2</v>
      </c>
      <c r="AC177" s="27">
        <f t="shared" si="48"/>
        <v>3.7504157579295157E-2</v>
      </c>
      <c r="AD177" s="27">
        <f t="shared" si="48"/>
        <v>3.755137152744302E-2</v>
      </c>
      <c r="AE177" s="27">
        <f t="shared" si="48"/>
        <v>3.7596016682571363E-2</v>
      </c>
      <c r="AF177" s="27">
        <f t="shared" si="48"/>
        <v>3.7638201115333593E-2</v>
      </c>
      <c r="AG177" s="27">
        <f t="shared" si="48"/>
        <v>3.7677346639447794E-2</v>
      </c>
      <c r="AH177" s="27">
        <f t="shared" si="48"/>
        <v>3.7713811349129885E-2</v>
      </c>
      <c r="AI177" s="27">
        <f t="shared" si="48"/>
        <v>3.7748176979043722E-2</v>
      </c>
      <c r="AJ177" s="27">
        <f t="shared" si="48"/>
        <v>3.6919749367433322E-2</v>
      </c>
      <c r="AK177" s="27">
        <f t="shared" si="48"/>
        <v>3.6953700421728228E-2</v>
      </c>
      <c r="AL177" s="27">
        <f t="shared" si="48"/>
        <v>3.6985368016573254E-2</v>
      </c>
      <c r="AM177" s="27">
        <f t="shared" si="48"/>
        <v>3.7014945688034803E-2</v>
      </c>
      <c r="AN177" s="27">
        <f t="shared" si="48"/>
        <v>3.7042668702165847E-2</v>
      </c>
      <c r="AO177" s="27">
        <f t="shared" si="48"/>
        <v>3.7067807831001554E-2</v>
      </c>
      <c r="AP177" s="27">
        <f t="shared" si="48"/>
        <v>3.7089876088168584E-2</v>
      </c>
      <c r="AQ177" s="27">
        <f t="shared" si="48"/>
        <v>3.710880214511815E-2</v>
      </c>
      <c r="AR177" s="27">
        <f t="shared" si="48"/>
        <v>3.7124031819377158E-2</v>
      </c>
      <c r="AS177" s="27">
        <f t="shared" si="48"/>
        <v>3.7134962729756575E-2</v>
      </c>
      <c r="AT177" s="27">
        <f t="shared" si="48"/>
        <v>3.7141526945573433E-2</v>
      </c>
      <c r="AU177" s="27">
        <f t="shared" si="48"/>
        <v>3.7143818098984892E-2</v>
      </c>
      <c r="AV177" s="27">
        <f t="shared" si="48"/>
        <v>3.7141903206885624E-2</v>
      </c>
      <c r="AW177" s="27">
        <f t="shared" si="48"/>
        <v>3.7135215292227401E-2</v>
      </c>
      <c r="AY177" s="79"/>
    </row>
    <row r="178" spans="1:51" x14ac:dyDescent="0.25">
      <c r="A178" s="95" t="str">
        <f t="shared" si="45"/>
        <v>FA Sheep MMCH4</v>
      </c>
      <c r="B178" s="95" t="s">
        <v>962</v>
      </c>
      <c r="C178" s="95" t="s">
        <v>1324</v>
      </c>
      <c r="D178" t="s">
        <v>15</v>
      </c>
      <c r="E178" t="s">
        <v>22</v>
      </c>
      <c r="F178" t="s">
        <v>18</v>
      </c>
      <c r="G178" t="s">
        <v>123</v>
      </c>
      <c r="H178" t="s">
        <v>1227</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4.1774038907199012E-3</v>
      </c>
      <c r="T178" s="27">
        <f t="shared" si="48"/>
        <v>4.1801841304481904E-3</v>
      </c>
      <c r="U178" s="27">
        <f t="shared" si="48"/>
        <v>4.2346313955480986E-3</v>
      </c>
      <c r="V178" s="27">
        <f t="shared" si="48"/>
        <v>4.2359595940852672E-3</v>
      </c>
      <c r="W178" s="27">
        <f t="shared" si="48"/>
        <v>4.24164092951765E-3</v>
      </c>
      <c r="X178" s="27">
        <f t="shared" si="48"/>
        <v>4.2498534377819787E-3</v>
      </c>
      <c r="Y178" s="27">
        <f t="shared" si="48"/>
        <v>4.2574825765248842E-3</v>
      </c>
      <c r="Z178" s="27">
        <f t="shared" si="48"/>
        <v>4.2646228047357425E-3</v>
      </c>
      <c r="AA178" s="27">
        <f t="shared" si="48"/>
        <v>4.2712360474510998E-3</v>
      </c>
      <c r="AB178" s="27">
        <f t="shared" si="48"/>
        <v>4.2773818905312679E-3</v>
      </c>
      <c r="AC178" s="27">
        <f t="shared" si="48"/>
        <v>4.2831535601563532E-3</v>
      </c>
      <c r="AD178" s="27">
        <f t="shared" si="48"/>
        <v>4.2885456180814241E-3</v>
      </c>
      <c r="AE178" s="27">
        <f t="shared" si="48"/>
        <v>4.2936443075994434E-3</v>
      </c>
      <c r="AF178" s="27">
        <f t="shared" si="48"/>
        <v>4.2984619708941515E-3</v>
      </c>
      <c r="AG178" s="27">
        <f t="shared" si="48"/>
        <v>4.3029325763362138E-3</v>
      </c>
      <c r="AH178" s="27">
        <f t="shared" si="48"/>
        <v>4.3070970199919519E-3</v>
      </c>
      <c r="AI178" s="27">
        <f t="shared" si="48"/>
        <v>4.3110217387328335E-3</v>
      </c>
      <c r="AJ178" s="27">
        <f t="shared" si="48"/>
        <v>4.2164113567638812E-3</v>
      </c>
      <c r="AK178" s="27">
        <f t="shared" si="48"/>
        <v>4.2202887289929962E-3</v>
      </c>
      <c r="AL178" s="27">
        <f t="shared" si="48"/>
        <v>4.2239053192687616E-3</v>
      </c>
      <c r="AM178" s="27">
        <f t="shared" si="48"/>
        <v>4.2272832303324572E-3</v>
      </c>
      <c r="AN178" s="27">
        <f t="shared" si="48"/>
        <v>4.2304493306887332E-3</v>
      </c>
      <c r="AO178" s="27">
        <f t="shared" si="48"/>
        <v>4.2333203390281212E-3</v>
      </c>
      <c r="AP178" s="27">
        <f t="shared" si="48"/>
        <v>4.235840639185552E-3</v>
      </c>
      <c r="AQ178" s="27">
        <f t="shared" ref="L178:AW185" si="49">AQ1400</f>
        <v>4.2380020851007644E-3</v>
      </c>
      <c r="AR178" s="27">
        <f t="shared" si="49"/>
        <v>4.2397413864938057E-3</v>
      </c>
      <c r="AS178" s="27">
        <f t="shared" si="49"/>
        <v>4.2409897485616204E-3</v>
      </c>
      <c r="AT178" s="27">
        <f t="shared" si="49"/>
        <v>4.241739413296421E-3</v>
      </c>
      <c r="AU178" s="27">
        <f t="shared" si="49"/>
        <v>4.2420010739368554E-3</v>
      </c>
      <c r="AV178" s="27">
        <f t="shared" si="49"/>
        <v>4.2417823841317337E-3</v>
      </c>
      <c r="AW178" s="27">
        <f t="shared" si="49"/>
        <v>4.2410185923996346E-3</v>
      </c>
      <c r="AY178" s="79"/>
    </row>
    <row r="179" spans="1:51" x14ac:dyDescent="0.25">
      <c r="A179" s="95" t="str">
        <f t="shared" si="45"/>
        <v>FA Goats MMCH4</v>
      </c>
      <c r="B179" s="95" t="s">
        <v>962</v>
      </c>
      <c r="C179" s="95" t="s">
        <v>1325</v>
      </c>
      <c r="D179" t="s">
        <v>15</v>
      </c>
      <c r="E179" t="s">
        <v>22</v>
      </c>
      <c r="F179" t="s">
        <v>19</v>
      </c>
      <c r="G179" t="s">
        <v>122</v>
      </c>
      <c r="H179" t="s">
        <v>1227</v>
      </c>
      <c r="I179" t="s">
        <v>121</v>
      </c>
      <c r="J179" t="s">
        <v>286</v>
      </c>
      <c r="K179" s="27">
        <f t="shared" si="47"/>
        <v>1.5789672763163301E-2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1.6230654784419023E-2</v>
      </c>
      <c r="R179" s="27">
        <f t="shared" si="49"/>
        <v>1.6337439810579345E-2</v>
      </c>
      <c r="S179" s="27">
        <f t="shared" si="49"/>
        <v>1.6297600931786334E-2</v>
      </c>
      <c r="T179" s="27">
        <f t="shared" si="49"/>
        <v>1.6324272387083224E-2</v>
      </c>
      <c r="U179" s="27">
        <f t="shared" si="49"/>
        <v>1.6655251261159847E-2</v>
      </c>
      <c r="V179" s="27">
        <f t="shared" si="49"/>
        <v>1.6670204486965774E-2</v>
      </c>
      <c r="W179" s="27">
        <f t="shared" si="49"/>
        <v>1.6709793357794805E-2</v>
      </c>
      <c r="X179" s="27">
        <f t="shared" si="49"/>
        <v>1.6763223659981074E-2</v>
      </c>
      <c r="Y179" s="27">
        <f t="shared" si="49"/>
        <v>1.6812226700055496E-2</v>
      </c>
      <c r="Z179" s="27">
        <f t="shared" si="49"/>
        <v>1.6857450212656173E-2</v>
      </c>
      <c r="AA179" s="27">
        <f t="shared" si="49"/>
        <v>1.6898755484739163E-2</v>
      </c>
      <c r="AB179" s="27">
        <f t="shared" si="49"/>
        <v>1.6936566671667971E-2</v>
      </c>
      <c r="AC179" s="27">
        <f t="shared" si="49"/>
        <v>1.697149382994385E-2</v>
      </c>
      <c r="AD179" s="27">
        <f t="shared" si="49"/>
        <v>1.7003565100315018E-2</v>
      </c>
      <c r="AE179" s="27">
        <f t="shared" si="49"/>
        <v>1.7033334255161247E-2</v>
      </c>
      <c r="AF179" s="27">
        <f t="shared" si="49"/>
        <v>1.7060920227859537E-2</v>
      </c>
      <c r="AG179" s="27">
        <f t="shared" si="49"/>
        <v>1.7085986205962782E-2</v>
      </c>
      <c r="AH179" s="27">
        <f t="shared" si="49"/>
        <v>1.7108809785956688E-2</v>
      </c>
      <c r="AI179" s="27">
        <f t="shared" si="49"/>
        <v>1.712981031401661E-2</v>
      </c>
      <c r="AJ179" s="27">
        <f t="shared" si="49"/>
        <v>1.6586017575220102E-2</v>
      </c>
      <c r="AK179" s="27">
        <f t="shared" si="49"/>
        <v>1.6606977911339412E-2</v>
      </c>
      <c r="AL179" s="27">
        <f t="shared" si="49"/>
        <v>1.6626062012476617E-2</v>
      </c>
      <c r="AM179" s="27">
        <f t="shared" si="49"/>
        <v>1.664342433023323E-2</v>
      </c>
      <c r="AN179" s="27">
        <f t="shared" si="49"/>
        <v>1.6659243730537236E-2</v>
      </c>
      <c r="AO179" s="27">
        <f t="shared" si="49"/>
        <v>1.6673071131631082E-2</v>
      </c>
      <c r="AP179" s="27">
        <f t="shared" si="49"/>
        <v>1.6684616029064781E-2</v>
      </c>
      <c r="AQ179" s="27">
        <f t="shared" si="49"/>
        <v>1.6693857214200334E-2</v>
      </c>
      <c r="AR179" s="27">
        <f t="shared" si="49"/>
        <v>1.6700461030767416E-2</v>
      </c>
      <c r="AS179" s="27">
        <f t="shared" si="49"/>
        <v>1.6704063934453468E-2</v>
      </c>
      <c r="AT179" s="27">
        <f t="shared" si="49"/>
        <v>1.6704647334029751E-2</v>
      </c>
      <c r="AU179" s="27">
        <f t="shared" si="49"/>
        <v>1.6702295489105456E-2</v>
      </c>
      <c r="AV179" s="27">
        <f t="shared" si="49"/>
        <v>1.6697074170612902E-2</v>
      </c>
      <c r="AW179" s="27">
        <f t="shared" si="49"/>
        <v>1.668864228260674E-2</v>
      </c>
      <c r="AY179" s="79"/>
    </row>
    <row r="180" spans="1:51" x14ac:dyDescent="0.25">
      <c r="A180" s="95" t="str">
        <f t="shared" si="45"/>
        <v>FA Goats MMCH4</v>
      </c>
      <c r="B180" s="95" t="s">
        <v>962</v>
      </c>
      <c r="C180" s="95" t="s">
        <v>1325</v>
      </c>
      <c r="D180" t="s">
        <v>15</v>
      </c>
      <c r="E180" t="s">
        <v>22</v>
      </c>
      <c r="F180" t="s">
        <v>19</v>
      </c>
      <c r="G180" t="s">
        <v>123</v>
      </c>
      <c r="H180" t="s">
        <v>1227</v>
      </c>
      <c r="I180" t="s">
        <v>121</v>
      </c>
      <c r="J180" t="s">
        <v>286</v>
      </c>
      <c r="K180" s="27">
        <f t="shared" si="47"/>
        <v>2.6592218800664803E-2</v>
      </c>
      <c r="L180" s="27">
        <f t="shared" si="49"/>
        <v>2.6661345733624896E-2</v>
      </c>
      <c r="M180" s="27">
        <f t="shared" si="49"/>
        <v>2.6756703894783639E-2</v>
      </c>
      <c r="N180" s="27">
        <f t="shared" si="49"/>
        <v>2.6872875319249701E-2</v>
      </c>
      <c r="O180" s="27">
        <f t="shared" si="49"/>
        <v>2.7009694315810229E-2</v>
      </c>
      <c r="P180" s="27">
        <f t="shared" si="49"/>
        <v>2.7166328132291764E-2</v>
      </c>
      <c r="Q180" s="27">
        <f t="shared" si="49"/>
        <v>2.7334899828466052E-2</v>
      </c>
      <c r="R180" s="27">
        <f t="shared" si="49"/>
        <v>2.7514742110372921E-2</v>
      </c>
      <c r="S180" s="27">
        <f t="shared" si="49"/>
        <v>2.7447647358155608E-2</v>
      </c>
      <c r="T180" s="27">
        <f t="shared" si="49"/>
        <v>2.7492566159553547E-2</v>
      </c>
      <c r="U180" s="27">
        <f t="shared" si="49"/>
        <v>2.8049985098492974E-2</v>
      </c>
      <c r="V180" s="27">
        <f t="shared" si="49"/>
        <v>2.80751686129566E-2</v>
      </c>
      <c r="W180" s="27">
        <f t="shared" si="49"/>
        <v>2.81418423136056E-2</v>
      </c>
      <c r="X180" s="27">
        <f t="shared" si="49"/>
        <v>2.8231827097181202E-2</v>
      </c>
      <c r="Y180" s="27">
        <f t="shared" si="49"/>
        <v>2.8314355695658353E-2</v>
      </c>
      <c r="Z180" s="27">
        <f t="shared" si="49"/>
        <v>2.8390518993026845E-2</v>
      </c>
      <c r="AA180" s="27">
        <f t="shared" si="49"/>
        <v>2.8460083375349849E-2</v>
      </c>
      <c r="AB180" s="27">
        <f t="shared" si="49"/>
        <v>2.8523763184995402E-2</v>
      </c>
      <c r="AC180" s="27">
        <f t="shared" si="49"/>
        <v>2.8582585850220259E-2</v>
      </c>
      <c r="AD180" s="27">
        <f t="shared" si="49"/>
        <v>2.8636598764339351E-2</v>
      </c>
      <c r="AE180" s="27">
        <f t="shared" si="49"/>
        <v>2.8686734564558631E-2</v>
      </c>
      <c r="AF180" s="27">
        <f t="shared" si="49"/>
        <v>2.873319355283693E-2</v>
      </c>
      <c r="AG180" s="27">
        <f t="shared" si="49"/>
        <v>2.8775408485608011E-2</v>
      </c>
      <c r="AH180" s="27">
        <f t="shared" si="49"/>
        <v>2.8813846877721389E-2</v>
      </c>
      <c r="AI180" s="27">
        <f t="shared" si="49"/>
        <v>2.884921497213825E-2</v>
      </c>
      <c r="AJ180" s="27">
        <f t="shared" si="49"/>
        <v>2.7933385004716402E-2</v>
      </c>
      <c r="AK180" s="27">
        <f t="shared" si="49"/>
        <v>2.7968685409771071E-2</v>
      </c>
      <c r="AL180" s="27">
        <f t="shared" si="49"/>
        <v>2.8000825948759214E-2</v>
      </c>
      <c r="AM180" s="27">
        <f t="shared" si="49"/>
        <v>2.8030066741750678E-2</v>
      </c>
      <c r="AN180" s="27">
        <f t="shared" si="49"/>
        <v>2.8056709026267227E-2</v>
      </c>
      <c r="AO180" s="27">
        <f t="shared" si="49"/>
        <v>2.8079996480088933E-2</v>
      </c>
      <c r="AP180" s="27">
        <f t="shared" si="49"/>
        <v>2.8099439849384365E-2</v>
      </c>
      <c r="AQ180" s="27">
        <f t="shared" si="49"/>
        <v>2.8115003415570192E-2</v>
      </c>
      <c r="AR180" s="27">
        <f t="shared" si="49"/>
        <v>2.8126125250563565E-2</v>
      </c>
      <c r="AS180" s="27">
        <f t="shared" si="49"/>
        <v>2.8132193090256906E-2</v>
      </c>
      <c r="AT180" s="27">
        <f t="shared" si="49"/>
        <v>2.8133175624183573E-2</v>
      </c>
      <c r="AU180" s="27">
        <f t="shared" si="49"/>
        <v>2.8129214758385396E-2</v>
      </c>
      <c r="AV180" s="27">
        <f t="shared" si="49"/>
        <v>2.8120421261150549E-2</v>
      </c>
      <c r="AW180" s="27">
        <f t="shared" si="49"/>
        <v>2.8106220674847984E-2</v>
      </c>
      <c r="AY180" s="79"/>
    </row>
    <row r="181" spans="1:51" x14ac:dyDescent="0.25">
      <c r="A181" s="95" t="str">
        <f t="shared" si="45"/>
        <v>FA Horses MMCH4</v>
      </c>
      <c r="B181" s="95" t="s">
        <v>962</v>
      </c>
      <c r="C181" s="95" t="s">
        <v>1326</v>
      </c>
      <c r="D181" t="s">
        <v>15</v>
      </c>
      <c r="E181" t="s">
        <v>22</v>
      </c>
      <c r="F181" t="s">
        <v>20</v>
      </c>
      <c r="G181" t="s">
        <v>3</v>
      </c>
      <c r="H181" t="s">
        <v>1227</v>
      </c>
      <c r="I181" t="s">
        <v>121</v>
      </c>
      <c r="J181" t="s">
        <v>286</v>
      </c>
      <c r="K181" s="27">
        <f t="shared" si="47"/>
        <v>4.1336182129460552E-3</v>
      </c>
      <c r="L181" s="27">
        <f t="shared" si="49"/>
        <v>4.1536453250924088E-3</v>
      </c>
      <c r="M181" s="27">
        <f t="shared" si="49"/>
        <v>4.1840370126470534E-3</v>
      </c>
      <c r="N181" s="27">
        <f t="shared" si="49"/>
        <v>4.1905340987284578E-3</v>
      </c>
      <c r="O181" s="27">
        <f t="shared" si="49"/>
        <v>4.1812329246154597E-3</v>
      </c>
      <c r="P181" s="27">
        <f t="shared" si="49"/>
        <v>4.1564738854214557E-3</v>
      </c>
      <c r="Q181" s="27">
        <f t="shared" si="49"/>
        <v>4.142746062070715E-3</v>
      </c>
      <c r="R181" s="27">
        <f t="shared" si="49"/>
        <v>4.130408792135833E-3</v>
      </c>
      <c r="S181" s="27">
        <f t="shared" si="49"/>
        <v>3.9465365523139234E-3</v>
      </c>
      <c r="T181" s="27">
        <f t="shared" si="49"/>
        <v>4.0449031054022467E-3</v>
      </c>
      <c r="U181" s="27">
        <f t="shared" si="49"/>
        <v>8.6826637855320493E-3</v>
      </c>
      <c r="V181" s="27">
        <f t="shared" si="49"/>
        <v>8.7938640755687025E-3</v>
      </c>
      <c r="W181" s="27">
        <f t="shared" si="49"/>
        <v>8.8834218995517203E-3</v>
      </c>
      <c r="X181" s="27">
        <f t="shared" si="49"/>
        <v>8.9554975933649264E-3</v>
      </c>
      <c r="Y181" s="27">
        <f t="shared" si="49"/>
        <v>9.018105952641001E-3</v>
      </c>
      <c r="Z181" s="27">
        <f t="shared" si="49"/>
        <v>9.0705357904088645E-3</v>
      </c>
      <c r="AA181" s="27">
        <f t="shared" si="49"/>
        <v>9.1124930520699761E-3</v>
      </c>
      <c r="AB181" s="27">
        <f t="shared" si="49"/>
        <v>9.143466497408213E-3</v>
      </c>
      <c r="AC181" s="27">
        <f t="shared" si="49"/>
        <v>9.1629085267338015E-3</v>
      </c>
      <c r="AD181" s="27">
        <f t="shared" si="49"/>
        <v>9.1706067297579116E-3</v>
      </c>
      <c r="AE181" s="27">
        <f t="shared" si="49"/>
        <v>9.1661590701848112E-3</v>
      </c>
      <c r="AF181" s="27">
        <f t="shared" si="49"/>
        <v>9.149435618350802E-3</v>
      </c>
      <c r="AG181" s="27">
        <f t="shared" si="49"/>
        <v>9.120587540138371E-3</v>
      </c>
      <c r="AH181" s="27">
        <f t="shared" si="49"/>
        <v>9.0795393134023624E-3</v>
      </c>
      <c r="AI181" s="27">
        <f t="shared" si="49"/>
        <v>9.0262176145749634E-3</v>
      </c>
      <c r="AJ181" s="27">
        <f t="shared" si="49"/>
        <v>1.3289120185476511E-3</v>
      </c>
      <c r="AK181" s="27">
        <f t="shared" si="49"/>
        <v>1.3289120185476511E-3</v>
      </c>
      <c r="AL181" s="27">
        <f t="shared" si="49"/>
        <v>1.3289120185476511E-3</v>
      </c>
      <c r="AM181" s="27">
        <f t="shared" si="49"/>
        <v>1.3289120185476511E-3</v>
      </c>
      <c r="AN181" s="27">
        <f t="shared" si="49"/>
        <v>1.3289120185476511E-3</v>
      </c>
      <c r="AO181" s="27">
        <f t="shared" si="49"/>
        <v>1.3289120185476511E-3</v>
      </c>
      <c r="AP181" s="27">
        <f t="shared" si="49"/>
        <v>1.3289120185476511E-3</v>
      </c>
      <c r="AQ181" s="27">
        <f t="shared" si="49"/>
        <v>1.3289120185476511E-3</v>
      </c>
      <c r="AR181" s="27">
        <f t="shared" si="49"/>
        <v>1.3289120185476511E-3</v>
      </c>
      <c r="AS181" s="27">
        <f t="shared" si="49"/>
        <v>1.3289120185476511E-3</v>
      </c>
      <c r="AT181" s="27">
        <f t="shared" si="49"/>
        <v>1.3289120185476511E-3</v>
      </c>
      <c r="AU181" s="27">
        <f t="shared" si="49"/>
        <v>1.3289120185476511E-3</v>
      </c>
      <c r="AV181" s="27">
        <f t="shared" si="49"/>
        <v>1.3289120185476511E-3</v>
      </c>
      <c r="AW181" s="27">
        <f t="shared" si="49"/>
        <v>1.3289120185476511E-3</v>
      </c>
      <c r="AY181" s="79"/>
    </row>
    <row r="182" spans="1:51" x14ac:dyDescent="0.25">
      <c r="A182" s="95" t="str">
        <f t="shared" si="45"/>
        <v>FA Mules MMCH4</v>
      </c>
      <c r="B182" s="95" t="s">
        <v>962</v>
      </c>
      <c r="C182" s="95" t="s">
        <v>1327</v>
      </c>
      <c r="D182" t="s">
        <v>15</v>
      </c>
      <c r="E182" t="s">
        <v>22</v>
      </c>
      <c r="F182" t="s">
        <v>140</v>
      </c>
      <c r="G182" t="s">
        <v>124</v>
      </c>
      <c r="H182" t="s">
        <v>1227</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25">
      <c r="A183" s="95" t="str">
        <f t="shared" si="45"/>
        <v>FA Swine MMCH4</v>
      </c>
      <c r="B183" s="95" t="s">
        <v>962</v>
      </c>
      <c r="C183" s="95" t="s">
        <v>1230</v>
      </c>
      <c r="D183" t="s">
        <v>15</v>
      </c>
      <c r="E183" t="s">
        <v>22</v>
      </c>
      <c r="F183" t="s">
        <v>21</v>
      </c>
      <c r="G183" t="s">
        <v>122</v>
      </c>
      <c r="H183" t="s">
        <v>1227</v>
      </c>
      <c r="I183" t="s">
        <v>121</v>
      </c>
      <c r="J183" t="s">
        <v>286</v>
      </c>
      <c r="K183" s="27">
        <f t="shared" si="47"/>
        <v>23.279067868377393</v>
      </c>
      <c r="L183" s="27">
        <f t="shared" si="49"/>
        <v>23.152530650802596</v>
      </c>
      <c r="M183" s="27">
        <f t="shared" si="49"/>
        <v>23.162916433064304</v>
      </c>
      <c r="N183" s="27">
        <f t="shared" si="49"/>
        <v>22.950263110497293</v>
      </c>
      <c r="O183" s="27">
        <f t="shared" si="49"/>
        <v>22.602951186820601</v>
      </c>
      <c r="P183" s="27">
        <f t="shared" si="49"/>
        <v>22.12653281137495</v>
      </c>
      <c r="Q183" s="27">
        <f t="shared" si="49"/>
        <v>21.780600237355962</v>
      </c>
      <c r="R183" s="27">
        <f t="shared" si="49"/>
        <v>21.465278056857681</v>
      </c>
      <c r="S183" s="27">
        <f t="shared" si="49"/>
        <v>19.312832226900145</v>
      </c>
      <c r="T183" s="27">
        <f t="shared" si="49"/>
        <v>20.002458493758922</v>
      </c>
      <c r="U183" s="27">
        <f t="shared" si="49"/>
        <v>63.938225509328625</v>
      </c>
      <c r="V183" s="27">
        <f t="shared" si="49"/>
        <v>64.113496025150383</v>
      </c>
      <c r="W183" s="27">
        <f t="shared" si="49"/>
        <v>64.178228567667873</v>
      </c>
      <c r="X183" s="27">
        <f t="shared" si="49"/>
        <v>64.135343897693133</v>
      </c>
      <c r="Y183" s="27">
        <f t="shared" si="49"/>
        <v>63.991311737388052</v>
      </c>
      <c r="Z183" s="27">
        <f t="shared" si="49"/>
        <v>63.744809060362954</v>
      </c>
      <c r="AA183" s="27">
        <f t="shared" si="49"/>
        <v>63.395481625326759</v>
      </c>
      <c r="AB183" s="27">
        <f t="shared" si="49"/>
        <v>62.943362188824892</v>
      </c>
      <c r="AC183" s="27">
        <f t="shared" si="49"/>
        <v>62.389030635456976</v>
      </c>
      <c r="AD183" s="27">
        <f t="shared" si="49"/>
        <v>61.733913705110233</v>
      </c>
      <c r="AE183" s="27">
        <f t="shared" si="49"/>
        <v>60.979815772111941</v>
      </c>
      <c r="AF183" s="27">
        <f t="shared" si="49"/>
        <v>60.129286570076758</v>
      </c>
      <c r="AG183" s="27">
        <f t="shared" si="49"/>
        <v>59.185593442917096</v>
      </c>
      <c r="AH183" s="27">
        <f t="shared" si="49"/>
        <v>58.152275579872715</v>
      </c>
      <c r="AI183" s="27">
        <f t="shared" si="49"/>
        <v>57.033304574173563</v>
      </c>
      <c r="AJ183" s="27">
        <f t="shared" si="49"/>
        <v>-5.3144936119483299</v>
      </c>
      <c r="AK183" s="27">
        <f t="shared" si="49"/>
        <v>-5.2569593669429695</v>
      </c>
      <c r="AL183" s="27">
        <f t="shared" si="49"/>
        <v>-5.1992212819469339</v>
      </c>
      <c r="AM183" s="27">
        <f t="shared" si="49"/>
        <v>-5.1413392574015706</v>
      </c>
      <c r="AN183" s="27">
        <f t="shared" si="49"/>
        <v>-5.0833794948522248</v>
      </c>
      <c r="AO183" s="27">
        <f t="shared" si="49"/>
        <v>-5.0251883541674571</v>
      </c>
      <c r="AP183" s="27">
        <f t="shared" si="49"/>
        <v>-4.9666751294444857</v>
      </c>
      <c r="AQ183" s="27">
        <f t="shared" si="49"/>
        <v>-4.9078454730797514</v>
      </c>
      <c r="AR183" s="27">
        <f t="shared" si="49"/>
        <v>-4.8486018943647</v>
      </c>
      <c r="AS183" s="27">
        <f t="shared" si="49"/>
        <v>-4.7888432589736398</v>
      </c>
      <c r="AT183" s="27">
        <f t="shared" si="49"/>
        <v>-4.7285865274691332</v>
      </c>
      <c r="AU183" s="27">
        <f t="shared" si="49"/>
        <v>-4.667881841438601</v>
      </c>
      <c r="AV183" s="27">
        <f t="shared" si="49"/>
        <v>-4.6067720913188221</v>
      </c>
      <c r="AW183" s="27">
        <f t="shared" si="49"/>
        <v>-4.5451726737388229</v>
      </c>
      <c r="AY183" s="79"/>
    </row>
    <row r="184" spans="1:51" x14ac:dyDescent="0.25">
      <c r="A184" s="95" t="str">
        <f t="shared" si="45"/>
        <v>FA Swine MMCH4</v>
      </c>
      <c r="B184" s="95" t="s">
        <v>962</v>
      </c>
      <c r="C184" s="95" t="s">
        <v>1230</v>
      </c>
      <c r="D184" t="s">
        <v>15</v>
      </c>
      <c r="E184" t="s">
        <v>22</v>
      </c>
      <c r="F184" t="s">
        <v>21</v>
      </c>
      <c r="G184" t="s">
        <v>123</v>
      </c>
      <c r="H184" t="s">
        <v>1227</v>
      </c>
      <c r="I184" t="s">
        <v>121</v>
      </c>
      <c r="J184" t="s">
        <v>286</v>
      </c>
      <c r="K184" s="27">
        <f t="shared" si="47"/>
        <v>7.7932061732677776E-2</v>
      </c>
      <c r="L184" s="27">
        <f t="shared" si="49"/>
        <v>7.7508449141861113E-2</v>
      </c>
      <c r="M184" s="27">
        <f t="shared" si="49"/>
        <v>7.7543217949140597E-2</v>
      </c>
      <c r="N184" s="27">
        <f t="shared" si="49"/>
        <v>7.6831311787104617E-2</v>
      </c>
      <c r="O184" s="27">
        <f t="shared" si="49"/>
        <v>7.5668604825232008E-2</v>
      </c>
      <c r="P184" s="27">
        <f t="shared" si="49"/>
        <v>7.4073684167079393E-2</v>
      </c>
      <c r="Q184" s="27">
        <f t="shared" si="49"/>
        <v>7.2915594897087016E-2</v>
      </c>
      <c r="R184" s="27">
        <f t="shared" si="49"/>
        <v>7.1859980996426681E-2</v>
      </c>
      <c r="S184" s="27">
        <f t="shared" si="49"/>
        <v>6.4654170942306688E-2</v>
      </c>
      <c r="T184" s="27">
        <f t="shared" si="49"/>
        <v>6.6962854309922146E-2</v>
      </c>
      <c r="U184" s="27">
        <f t="shared" si="49"/>
        <v>0.21404799219815959</v>
      </c>
      <c r="V184" s="27">
        <f t="shared" si="49"/>
        <v>0.21463475077183489</v>
      </c>
      <c r="W184" s="27">
        <f t="shared" si="49"/>
        <v>0.21485145792386132</v>
      </c>
      <c r="X184" s="27">
        <f t="shared" si="49"/>
        <v>0.21470789157632744</v>
      </c>
      <c r="Y184" s="27">
        <f t="shared" si="49"/>
        <v>0.21422571061994838</v>
      </c>
      <c r="Z184" s="27">
        <f t="shared" si="49"/>
        <v>0.21340048591800548</v>
      </c>
      <c r="AA184" s="27">
        <f t="shared" si="49"/>
        <v>0.21223103156587736</v>
      </c>
      <c r="AB184" s="27">
        <f t="shared" si="49"/>
        <v>0.21071745722367313</v>
      </c>
      <c r="AC184" s="27">
        <f t="shared" si="49"/>
        <v>0.20886170418915742</v>
      </c>
      <c r="AD184" s="27">
        <f t="shared" si="49"/>
        <v>0.20666854880396013</v>
      </c>
      <c r="AE184" s="27">
        <f t="shared" si="49"/>
        <v>0.20414403162830727</v>
      </c>
      <c r="AF184" s="27">
        <f t="shared" si="49"/>
        <v>0.20129668848496379</v>
      </c>
      <c r="AG184" s="27">
        <f t="shared" si="49"/>
        <v>0.19813745756307569</v>
      </c>
      <c r="AH184" s="27">
        <f t="shared" si="49"/>
        <v>0.19467818711687174</v>
      </c>
      <c r="AI184" s="27">
        <f t="shared" si="49"/>
        <v>0.19093217297290849</v>
      </c>
      <c r="AJ184" s="27">
        <f t="shared" si="49"/>
        <v>-1.7791496059294212E-2</v>
      </c>
      <c r="AK184" s="27">
        <f t="shared" si="49"/>
        <v>-1.759888687241214E-2</v>
      </c>
      <c r="AL184" s="27">
        <f t="shared" si="49"/>
        <v>-1.7405595284034153E-2</v>
      </c>
      <c r="AM184" s="27">
        <f t="shared" si="49"/>
        <v>-1.7211821824736444E-2</v>
      </c>
      <c r="AN184" s="27">
        <f t="shared" si="49"/>
        <v>-1.7017788119497636E-2</v>
      </c>
      <c r="AO184" s="27">
        <f t="shared" si="49"/>
        <v>-1.6822979822456646E-2</v>
      </c>
      <c r="AP184" s="27">
        <f t="shared" si="49"/>
        <v>-1.6627093274633003E-2</v>
      </c>
      <c r="AQ184" s="27">
        <f t="shared" si="49"/>
        <v>-1.6430147398730621E-2</v>
      </c>
      <c r="AR184" s="27">
        <f t="shared" si="49"/>
        <v>-1.6231815822063071E-2</v>
      </c>
      <c r="AS184" s="27">
        <f t="shared" si="49"/>
        <v>-1.6031759974093191E-2</v>
      </c>
      <c r="AT184" s="27">
        <f t="shared" si="49"/>
        <v>-1.5830036634225372E-2</v>
      </c>
      <c r="AU184" s="27">
        <f t="shared" si="49"/>
        <v>-1.5626813663016086E-2</v>
      </c>
      <c r="AV184" s="27">
        <f t="shared" si="49"/>
        <v>-1.5422234646118577E-2</v>
      </c>
      <c r="AW184" s="27">
        <f t="shared" si="49"/>
        <v>-1.5216016354188486E-2</v>
      </c>
      <c r="AY184" s="79"/>
    </row>
    <row r="185" spans="1:51" x14ac:dyDescent="0.25">
      <c r="A185" s="95" t="str">
        <f t="shared" si="45"/>
        <v>FA Poultry MMCH4</v>
      </c>
      <c r="B185" s="95" t="s">
        <v>962</v>
      </c>
      <c r="C185" s="95" t="s">
        <v>1231</v>
      </c>
      <c r="D185" t="s">
        <v>15</v>
      </c>
      <c r="E185" t="s">
        <v>22</v>
      </c>
      <c r="F185" t="s">
        <v>28</v>
      </c>
      <c r="G185" t="s">
        <v>131</v>
      </c>
      <c r="H185" t="s">
        <v>1227</v>
      </c>
      <c r="I185" t="s">
        <v>121</v>
      </c>
      <c r="J185" t="s">
        <v>286</v>
      </c>
      <c r="K185" s="27">
        <f t="shared" si="47"/>
        <v>0.55586528215230246</v>
      </c>
      <c r="L185" s="27">
        <f t="shared" si="49"/>
        <v>0.56716712532642333</v>
      </c>
      <c r="M185" s="27">
        <f t="shared" si="49"/>
        <v>0.58037790885594753</v>
      </c>
      <c r="N185" s="27">
        <f t="shared" si="49"/>
        <v>0.59052015237226141</v>
      </c>
      <c r="O185" s="27">
        <f t="shared" si="49"/>
        <v>0.5986618277459016</v>
      </c>
      <c r="P185" s="27">
        <f t="shared" si="49"/>
        <v>0.60475451589519713</v>
      </c>
      <c r="Q185" s="27">
        <f t="shared" si="49"/>
        <v>0.61256702388185857</v>
      </c>
      <c r="R185" s="27">
        <f t="shared" si="49"/>
        <v>0.62068986953889782</v>
      </c>
      <c r="S185" s="27">
        <f t="shared" si="49"/>
        <v>0.59622101179856346</v>
      </c>
      <c r="T185" s="27">
        <f t="shared" si="49"/>
        <v>0.61809135680643945</v>
      </c>
      <c r="U185" s="27">
        <f t="shared" si="49"/>
        <v>1.373668837271812</v>
      </c>
      <c r="V185" s="27">
        <f t="shared" si="49"/>
        <v>1.4038681554321815</v>
      </c>
      <c r="W185" s="27">
        <f t="shared" si="49"/>
        <v>1.4328290155562637</v>
      </c>
      <c r="X185" s="27">
        <f t="shared" si="49"/>
        <v>1.460295648957926</v>
      </c>
      <c r="Y185" s="27">
        <f t="shared" si="49"/>
        <v>1.4859212180508141</v>
      </c>
      <c r="Z185" s="27">
        <f t="shared" si="49"/>
        <v>1.5095937275054243</v>
      </c>
      <c r="AA185" s="27">
        <f t="shared" si="49"/>
        <v>1.5311992010813591</v>
      </c>
      <c r="AB185" s="27">
        <f t="shared" si="49"/>
        <v>1.5506393195302268</v>
      </c>
      <c r="AC185" s="27">
        <f t="shared" si="49"/>
        <v>1.5678278043895033</v>
      </c>
      <c r="AD185" s="27">
        <f t="shared" si="49"/>
        <v>1.5826815313976288</v>
      </c>
      <c r="AE185" s="27">
        <f t="shared" si="49"/>
        <v>1.5951352940969563</v>
      </c>
      <c r="AF185" s="27">
        <f t="shared" ref="L185:AW192" si="50">AF1407</f>
        <v>1.6051302673357504</v>
      </c>
      <c r="AG185" s="27">
        <f t="shared" si="50"/>
        <v>1.6126141322836316</v>
      </c>
      <c r="AH185" s="27">
        <f t="shared" si="50"/>
        <v>1.6175553910519496</v>
      </c>
      <c r="AI185" s="27">
        <f t="shared" si="50"/>
        <v>1.6199377421840562</v>
      </c>
      <c r="AJ185" s="27">
        <f t="shared" si="50"/>
        <v>0.21118052827101272</v>
      </c>
      <c r="AK185" s="27">
        <f t="shared" si="50"/>
        <v>0.21273045495969528</v>
      </c>
      <c r="AL185" s="27">
        <f t="shared" si="50"/>
        <v>0.21424196096407097</v>
      </c>
      <c r="AM185" s="27">
        <f t="shared" si="50"/>
        <v>0.21571732327397183</v>
      </c>
      <c r="AN185" s="27">
        <f t="shared" si="50"/>
        <v>0.21715916671304386</v>
      </c>
      <c r="AO185" s="27">
        <f t="shared" si="50"/>
        <v>0.2185615794759829</v>
      </c>
      <c r="AP185" s="27">
        <f t="shared" si="50"/>
        <v>0.21992066841646388</v>
      </c>
      <c r="AQ185" s="27">
        <f t="shared" si="50"/>
        <v>0.22123614681909931</v>
      </c>
      <c r="AR185" s="27">
        <f t="shared" si="50"/>
        <v>0.22250337724956543</v>
      </c>
      <c r="AS185" s="27">
        <f t="shared" si="50"/>
        <v>0.22371719705711082</v>
      </c>
      <c r="AT185" s="27">
        <f t="shared" si="50"/>
        <v>0.22487715475079265</v>
      </c>
      <c r="AU185" s="27">
        <f t="shared" si="50"/>
        <v>0.22598422868600801</v>
      </c>
      <c r="AV185" s="27">
        <f t="shared" si="50"/>
        <v>0.22703914928135227</v>
      </c>
      <c r="AW185" s="27">
        <f t="shared" si="50"/>
        <v>0.22803688221361912</v>
      </c>
      <c r="AY185" s="79"/>
    </row>
    <row r="186" spans="1:51" x14ac:dyDescent="0.25">
      <c r="A186" s="95" t="str">
        <f t="shared" si="45"/>
        <v>FA Poultry MMCH4</v>
      </c>
      <c r="B186" s="95" t="s">
        <v>962</v>
      </c>
      <c r="C186" s="95" t="s">
        <v>1231</v>
      </c>
      <c r="D186" t="s">
        <v>15</v>
      </c>
      <c r="E186" t="s">
        <v>22</v>
      </c>
      <c r="F186" t="s">
        <v>28</v>
      </c>
      <c r="G186" t="s">
        <v>132</v>
      </c>
      <c r="H186" t="s">
        <v>1227</v>
      </c>
      <c r="I186" t="s">
        <v>121</v>
      </c>
      <c r="J186" t="s">
        <v>286</v>
      </c>
      <c r="K186" s="27">
        <f t="shared" si="47"/>
        <v>2.2100196981344116</v>
      </c>
      <c r="L186" s="27">
        <f t="shared" si="50"/>
        <v>2.2391217074451495</v>
      </c>
      <c r="M186" s="27">
        <f t="shared" si="50"/>
        <v>2.2858678822724832</v>
      </c>
      <c r="N186" s="27">
        <f t="shared" si="50"/>
        <v>2.29929007480786</v>
      </c>
      <c r="O186" s="27">
        <f t="shared" si="50"/>
        <v>2.2910596881616572</v>
      </c>
      <c r="P186" s="27">
        <f t="shared" si="50"/>
        <v>2.2612642885898926</v>
      </c>
      <c r="Q186" s="27">
        <f t="shared" si="50"/>
        <v>2.2487211059946213</v>
      </c>
      <c r="R186" s="27">
        <f t="shared" si="50"/>
        <v>2.2390235702415184</v>
      </c>
      <c r="S186" s="27">
        <f t="shared" si="50"/>
        <v>1.9526804721775937</v>
      </c>
      <c r="T186" s="27">
        <f t="shared" si="50"/>
        <v>2.100459804618418</v>
      </c>
      <c r="U186" s="27">
        <f t="shared" si="50"/>
        <v>9.1333253803948828</v>
      </c>
      <c r="V186" s="27">
        <f t="shared" si="50"/>
        <v>9.2970707439361586</v>
      </c>
      <c r="W186" s="27">
        <f t="shared" si="50"/>
        <v>9.4425409001496003</v>
      </c>
      <c r="X186" s="27">
        <f t="shared" si="50"/>
        <v>9.5703569928358032</v>
      </c>
      <c r="Y186" s="27">
        <f t="shared" si="50"/>
        <v>9.6822560637136306</v>
      </c>
      <c r="Z186" s="27">
        <f t="shared" si="50"/>
        <v>9.7773987663862059</v>
      </c>
      <c r="AA186" s="27">
        <f t="shared" si="50"/>
        <v>9.8551407097026438</v>
      </c>
      <c r="AB186" s="27">
        <f t="shared" si="50"/>
        <v>9.9148485168231666</v>
      </c>
      <c r="AC186" s="27">
        <f t="shared" si="50"/>
        <v>9.9559572971640158</v>
      </c>
      <c r="AD186" s="27">
        <f t="shared" si="50"/>
        <v>9.9780818543236887</v>
      </c>
      <c r="AE186" s="27">
        <f t="shared" si="50"/>
        <v>9.9808650627783955</v>
      </c>
      <c r="AF186" s="27">
        <f t="shared" si="50"/>
        <v>9.9641144926279814</v>
      </c>
      <c r="AG186" s="27">
        <f t="shared" si="50"/>
        <v>9.9278067613283412</v>
      </c>
      <c r="AH186" s="27">
        <f t="shared" si="50"/>
        <v>9.8719390395073479</v>
      </c>
      <c r="AI186" s="27">
        <f t="shared" si="50"/>
        <v>9.7965950136724871</v>
      </c>
      <c r="AJ186" s="27">
        <f t="shared" si="50"/>
        <v>-2.0919754098137773</v>
      </c>
      <c r="AK186" s="27">
        <f t="shared" si="50"/>
        <v>-2.0949358900923882</v>
      </c>
      <c r="AL186" s="27">
        <f t="shared" si="50"/>
        <v>-2.0976165546607759</v>
      </c>
      <c r="AM186" s="27">
        <f t="shared" si="50"/>
        <v>-2.1000401992552491</v>
      </c>
      <c r="AN186" s="27">
        <f t="shared" si="50"/>
        <v>-2.1022328856249954</v>
      </c>
      <c r="AO186" s="27">
        <f t="shared" si="50"/>
        <v>-2.1041334183696132</v>
      </c>
      <c r="AP186" s="27">
        <f t="shared" si="50"/>
        <v>-2.1057026664304765</v>
      </c>
      <c r="AQ186" s="27">
        <f t="shared" si="50"/>
        <v>-2.1069388532626809</v>
      </c>
      <c r="AR186" s="27">
        <f t="shared" si="50"/>
        <v>-2.107796866715046</v>
      </c>
      <c r="AS186" s="27">
        <f t="shared" si="50"/>
        <v>-2.1082275012492091</v>
      </c>
      <c r="AT186" s="27">
        <f t="shared" si="50"/>
        <v>-2.1082293468263522</v>
      </c>
      <c r="AU186" s="27">
        <f t="shared" si="50"/>
        <v>-2.1078151792766633</v>
      </c>
      <c r="AV186" s="27">
        <f t="shared" si="50"/>
        <v>-2.1069951517588699</v>
      </c>
      <c r="AW186" s="27">
        <f t="shared" si="50"/>
        <v>-2.1057231360288351</v>
      </c>
      <c r="AY186" s="79"/>
    </row>
    <row r="187" spans="1:51" x14ac:dyDescent="0.25">
      <c r="A187" s="95" t="str">
        <f t="shared" si="45"/>
        <v>FA Poultry MMCH4</v>
      </c>
      <c r="B187" s="95" t="s">
        <v>962</v>
      </c>
      <c r="C187" s="95" t="s">
        <v>1231</v>
      </c>
      <c r="D187" t="s">
        <v>15</v>
      </c>
      <c r="E187" t="s">
        <v>22</v>
      </c>
      <c r="F187" t="s">
        <v>28</v>
      </c>
      <c r="G187" t="s">
        <v>134</v>
      </c>
      <c r="H187" t="s">
        <v>1227</v>
      </c>
      <c r="I187" t="s">
        <v>121</v>
      </c>
      <c r="J187" t="s">
        <v>286</v>
      </c>
      <c r="K187" s="27">
        <f t="shared" si="47"/>
        <v>2.3161053423012629E-2</v>
      </c>
      <c r="L187" s="27">
        <f t="shared" si="50"/>
        <v>2.3631963555267661E-2</v>
      </c>
      <c r="M187" s="27">
        <f t="shared" si="50"/>
        <v>2.4182412868997839E-2</v>
      </c>
      <c r="N187" s="27">
        <f t="shared" si="50"/>
        <v>2.4605006348844244E-2</v>
      </c>
      <c r="O187" s="27">
        <f t="shared" si="50"/>
        <v>2.4944242822745925E-2</v>
      </c>
      <c r="P187" s="27">
        <f t="shared" si="50"/>
        <v>2.5198104828966571E-2</v>
      </c>
      <c r="Q187" s="27">
        <f t="shared" si="50"/>
        <v>2.5523625995077459E-2</v>
      </c>
      <c r="R187" s="27">
        <f t="shared" si="50"/>
        <v>2.5862077897454101E-2</v>
      </c>
      <c r="S187" s="27">
        <f t="shared" si="50"/>
        <v>2.4842542158273501E-2</v>
      </c>
      <c r="T187" s="27">
        <f t="shared" si="50"/>
        <v>2.5753806533601667E-2</v>
      </c>
      <c r="U187" s="27">
        <f t="shared" si="50"/>
        <v>5.7236201552992215E-2</v>
      </c>
      <c r="V187" s="27">
        <f t="shared" si="50"/>
        <v>5.8494506476340941E-2</v>
      </c>
      <c r="W187" s="27">
        <f t="shared" si="50"/>
        <v>5.9701208981511052E-2</v>
      </c>
      <c r="X187" s="27">
        <f t="shared" si="50"/>
        <v>6.0845652039913642E-2</v>
      </c>
      <c r="Y187" s="27">
        <f t="shared" si="50"/>
        <v>6.1913384085450655E-2</v>
      </c>
      <c r="Z187" s="27">
        <f t="shared" si="50"/>
        <v>6.2899738646059397E-2</v>
      </c>
      <c r="AA187" s="27">
        <f t="shared" si="50"/>
        <v>6.3799966711723347E-2</v>
      </c>
      <c r="AB187" s="27">
        <f t="shared" si="50"/>
        <v>6.4609971647092854E-2</v>
      </c>
      <c r="AC187" s="27">
        <f t="shared" si="50"/>
        <v>6.5326158516229374E-2</v>
      </c>
      <c r="AD187" s="27">
        <f t="shared" si="50"/>
        <v>6.5945063808234589E-2</v>
      </c>
      <c r="AE187" s="27">
        <f t="shared" si="50"/>
        <v>6.6463970587373244E-2</v>
      </c>
      <c r="AF187" s="27">
        <f t="shared" si="50"/>
        <v>6.6880427805656326E-2</v>
      </c>
      <c r="AG187" s="27">
        <f t="shared" si="50"/>
        <v>6.7192255511818053E-2</v>
      </c>
      <c r="AH187" s="27">
        <f t="shared" si="50"/>
        <v>6.7398141293831301E-2</v>
      </c>
      <c r="AI187" s="27">
        <f t="shared" si="50"/>
        <v>6.7497405924335729E-2</v>
      </c>
      <c r="AJ187" s="27">
        <f t="shared" si="50"/>
        <v>8.7991886779588708E-3</v>
      </c>
      <c r="AK187" s="27">
        <f t="shared" si="50"/>
        <v>8.8637689566539793E-3</v>
      </c>
      <c r="AL187" s="27">
        <f t="shared" si="50"/>
        <v>8.9267483735029646E-3</v>
      </c>
      <c r="AM187" s="27">
        <f t="shared" si="50"/>
        <v>8.9882218030821696E-3</v>
      </c>
      <c r="AN187" s="27">
        <f t="shared" si="50"/>
        <v>9.0482986130435011E-3</v>
      </c>
      <c r="AO187" s="27">
        <f t="shared" si="50"/>
        <v>9.1067324781659627E-3</v>
      </c>
      <c r="AP187" s="27">
        <f t="shared" si="50"/>
        <v>9.1633611840193346E-3</v>
      </c>
      <c r="AQ187" s="27">
        <f t="shared" si="50"/>
        <v>9.2181727841291489E-3</v>
      </c>
      <c r="AR187" s="27">
        <f t="shared" si="50"/>
        <v>9.2709740520652353E-3</v>
      </c>
      <c r="AS187" s="27">
        <f t="shared" si="50"/>
        <v>9.3215498773796274E-3</v>
      </c>
      <c r="AT187" s="27">
        <f t="shared" si="50"/>
        <v>9.3698814479497017E-3</v>
      </c>
      <c r="AU187" s="27">
        <f t="shared" si="50"/>
        <v>9.4160095285836763E-3</v>
      </c>
      <c r="AV187" s="27">
        <f t="shared" si="50"/>
        <v>9.4599645533896878E-3</v>
      </c>
      <c r="AW187" s="27">
        <f t="shared" si="50"/>
        <v>9.5015367589008064E-3</v>
      </c>
      <c r="AY187" s="79"/>
    </row>
    <row r="188" spans="1:51" x14ac:dyDescent="0.25">
      <c r="A188" s="95" t="str">
        <f t="shared" si="45"/>
        <v>FA Poultry MMCH4</v>
      </c>
      <c r="B188" s="95" t="s">
        <v>962</v>
      </c>
      <c r="C188" s="95" t="s">
        <v>1231</v>
      </c>
      <c r="D188" t="s">
        <v>15</v>
      </c>
      <c r="E188" t="s">
        <v>22</v>
      </c>
      <c r="F188" t="s">
        <v>28</v>
      </c>
      <c r="G188" t="s">
        <v>133</v>
      </c>
      <c r="H188" t="s">
        <v>1227</v>
      </c>
      <c r="I188" t="s">
        <v>121</v>
      </c>
      <c r="J188" t="s">
        <v>286</v>
      </c>
      <c r="K188" s="27">
        <f t="shared" si="47"/>
        <v>9.2084154088933889E-2</v>
      </c>
      <c r="L188" s="27">
        <f t="shared" si="50"/>
        <v>9.3296737810214664E-2</v>
      </c>
      <c r="M188" s="27">
        <f t="shared" si="50"/>
        <v>9.5244495094686882E-2</v>
      </c>
      <c r="N188" s="27">
        <f t="shared" si="50"/>
        <v>9.5803753116994267E-2</v>
      </c>
      <c r="O188" s="27">
        <f t="shared" si="50"/>
        <v>9.5460820340069155E-2</v>
      </c>
      <c r="P188" s="27">
        <f t="shared" si="50"/>
        <v>9.4219345357912279E-2</v>
      </c>
      <c r="Q188" s="27">
        <f t="shared" si="50"/>
        <v>9.3696712749775993E-2</v>
      </c>
      <c r="R188" s="27">
        <f t="shared" si="50"/>
        <v>9.3292648760063338E-2</v>
      </c>
      <c r="S188" s="27">
        <f t="shared" si="50"/>
        <v>8.1361686340733153E-2</v>
      </c>
      <c r="T188" s="27">
        <f t="shared" si="50"/>
        <v>8.7519158525767499E-2</v>
      </c>
      <c r="U188" s="27">
        <f t="shared" si="50"/>
        <v>0.38055522418312043</v>
      </c>
      <c r="V188" s="27">
        <f t="shared" si="50"/>
        <v>0.38737794766400691</v>
      </c>
      <c r="W188" s="27">
        <f t="shared" si="50"/>
        <v>0.39343920417290035</v>
      </c>
      <c r="X188" s="27">
        <f t="shared" si="50"/>
        <v>0.39876487470149208</v>
      </c>
      <c r="Y188" s="27">
        <f t="shared" si="50"/>
        <v>0.40342733598806829</v>
      </c>
      <c r="Z188" s="27">
        <f t="shared" si="50"/>
        <v>0.40739161526609236</v>
      </c>
      <c r="AA188" s="27">
        <f t="shared" si="50"/>
        <v>0.41063086290427719</v>
      </c>
      <c r="AB188" s="27">
        <f t="shared" si="50"/>
        <v>0.41311868820096576</v>
      </c>
      <c r="AC188" s="27">
        <f t="shared" si="50"/>
        <v>0.41483155404850092</v>
      </c>
      <c r="AD188" s="27">
        <f t="shared" si="50"/>
        <v>0.4157534105968208</v>
      </c>
      <c r="AE188" s="27">
        <f t="shared" si="50"/>
        <v>0.41586937761576692</v>
      </c>
      <c r="AF188" s="27">
        <f t="shared" si="50"/>
        <v>0.41517143719283295</v>
      </c>
      <c r="AG188" s="27">
        <f t="shared" si="50"/>
        <v>0.41365861505534796</v>
      </c>
      <c r="AH188" s="27">
        <f t="shared" si="50"/>
        <v>0.41133079331280648</v>
      </c>
      <c r="AI188" s="27">
        <f t="shared" si="50"/>
        <v>0.40819145890302061</v>
      </c>
      <c r="AJ188" s="27">
        <f t="shared" si="50"/>
        <v>-8.7165642075574146E-2</v>
      </c>
      <c r="AK188" s="27">
        <f t="shared" si="50"/>
        <v>-8.7288995420516255E-2</v>
      </c>
      <c r="AL188" s="27">
        <f t="shared" si="50"/>
        <v>-8.7400689777532417E-2</v>
      </c>
      <c r="AM188" s="27">
        <f t="shared" si="50"/>
        <v>-8.7501674968968782E-2</v>
      </c>
      <c r="AN188" s="27">
        <f t="shared" si="50"/>
        <v>-8.759303690104156E-2</v>
      </c>
      <c r="AO188" s="27">
        <f t="shared" si="50"/>
        <v>-8.7672225765400638E-2</v>
      </c>
      <c r="AP188" s="27">
        <f t="shared" si="50"/>
        <v>-8.773761110126993E-2</v>
      </c>
      <c r="AQ188" s="27">
        <f t="shared" si="50"/>
        <v>-8.7789118885945122E-2</v>
      </c>
      <c r="AR188" s="27">
        <f t="shared" si="50"/>
        <v>-8.7824869446460341E-2</v>
      </c>
      <c r="AS188" s="27">
        <f t="shared" si="50"/>
        <v>-8.7842812552050467E-2</v>
      </c>
      <c r="AT188" s="27">
        <f t="shared" si="50"/>
        <v>-8.7842889451098083E-2</v>
      </c>
      <c r="AU188" s="27">
        <f t="shared" si="50"/>
        <v>-8.7825632469861054E-2</v>
      </c>
      <c r="AV188" s="27">
        <f t="shared" si="50"/>
        <v>-8.7791464656619661E-2</v>
      </c>
      <c r="AW188" s="27">
        <f t="shared" si="50"/>
        <v>-8.7738464001201541E-2</v>
      </c>
      <c r="AY188" s="79"/>
    </row>
    <row r="189" spans="1:51" x14ac:dyDescent="0.25">
      <c r="A189" s="95" t="str">
        <f t="shared" si="45"/>
        <v>FA Cattle MMN2O</v>
      </c>
      <c r="B189" s="95" t="s">
        <v>962</v>
      </c>
      <c r="C189" s="95" t="s">
        <v>1232</v>
      </c>
      <c r="D189" t="s">
        <v>15</v>
      </c>
      <c r="E189" t="s">
        <v>657</v>
      </c>
      <c r="F189" t="s">
        <v>6</v>
      </c>
      <c r="G189" t="s">
        <v>136</v>
      </c>
      <c r="H189" t="s">
        <v>1227</v>
      </c>
      <c r="I189" t="s">
        <v>139</v>
      </c>
      <c r="J189" t="s">
        <v>287</v>
      </c>
      <c r="K189" s="27">
        <f t="shared" si="47"/>
        <v>5.9474079071945893E-2</v>
      </c>
      <c r="L189" s="27">
        <f t="shared" si="50"/>
        <v>5.9806569587962537E-2</v>
      </c>
      <c r="M189" s="27">
        <f t="shared" si="50"/>
        <v>6.0278316688762053E-2</v>
      </c>
      <c r="N189" s="27">
        <f t="shared" si="50"/>
        <v>6.0581464452445992E-2</v>
      </c>
      <c r="O189" s="27">
        <f t="shared" si="50"/>
        <v>6.0782907527895308E-2</v>
      </c>
      <c r="P189" s="27">
        <f t="shared" si="50"/>
        <v>6.0880663265441164E-2</v>
      </c>
      <c r="Q189" s="27">
        <f t="shared" si="50"/>
        <v>6.1096642070638009E-2</v>
      </c>
      <c r="R189" s="27">
        <f t="shared" si="50"/>
        <v>6.1344406036983781E-2</v>
      </c>
      <c r="S189" s="27">
        <f t="shared" si="50"/>
        <v>5.9601328930113273E-2</v>
      </c>
      <c r="T189" s="27">
        <f t="shared" si="50"/>
        <v>6.0626854202705693E-2</v>
      </c>
      <c r="U189" s="27">
        <f t="shared" si="50"/>
        <v>0.10431335111869787</v>
      </c>
      <c r="V189" s="27">
        <f t="shared" si="50"/>
        <v>0.10557079987792001</v>
      </c>
      <c r="W189" s="27">
        <f t="shared" si="50"/>
        <v>0.10677309385797164</v>
      </c>
      <c r="X189" s="27">
        <f t="shared" si="50"/>
        <v>0.10789978230362134</v>
      </c>
      <c r="Y189" s="27">
        <f t="shared" si="50"/>
        <v>0.10892077673602073</v>
      </c>
      <c r="Z189" s="27">
        <f t="shared" si="50"/>
        <v>0.10983130908819148</v>
      </c>
      <c r="AA189" s="27">
        <f t="shared" si="50"/>
        <v>0.11062607502856897</v>
      </c>
      <c r="AB189" s="27">
        <f t="shared" si="50"/>
        <v>0.11130105996088024</v>
      </c>
      <c r="AC189" s="27">
        <f t="shared" si="50"/>
        <v>0.11185308002540331</v>
      </c>
      <c r="AD189" s="27">
        <f t="shared" si="50"/>
        <v>0.11227878827005904</v>
      </c>
      <c r="AE189" s="27">
        <f t="shared" si="50"/>
        <v>0.11257618100536711</v>
      </c>
      <c r="AF189" s="27">
        <f t="shared" si="50"/>
        <v>0.11274333624880213</v>
      </c>
      <c r="AG189" s="27">
        <f t="shared" si="50"/>
        <v>0.11277839712706036</v>
      </c>
      <c r="AH189" s="27">
        <f t="shared" si="50"/>
        <v>0.11268102453940491</v>
      </c>
      <c r="AI189" s="27">
        <f t="shared" si="50"/>
        <v>0.11245177283662604</v>
      </c>
      <c r="AJ189" s="27">
        <f t="shared" si="50"/>
        <v>3.5577796363991845E-2</v>
      </c>
      <c r="AK189" s="27">
        <f t="shared" si="50"/>
        <v>3.5603767558276704E-2</v>
      </c>
      <c r="AL189" s="27">
        <f t="shared" si="50"/>
        <v>3.5627869174539424E-2</v>
      </c>
      <c r="AM189" s="27">
        <f t="shared" si="50"/>
        <v>3.5650264251912672E-2</v>
      </c>
      <c r="AN189" s="27">
        <f t="shared" si="50"/>
        <v>3.5671153620438649E-2</v>
      </c>
      <c r="AO189" s="27">
        <f t="shared" si="50"/>
        <v>3.5689881664317018E-2</v>
      </c>
      <c r="AP189" s="27">
        <f t="shared" si="50"/>
        <v>3.5706008112300056E-2</v>
      </c>
      <c r="AQ189" s="27">
        <f t="shared" si="50"/>
        <v>3.5719462361704167E-2</v>
      </c>
      <c r="AR189" s="27">
        <f t="shared" si="50"/>
        <v>3.5729744862623404E-2</v>
      </c>
      <c r="AS189" s="27">
        <f t="shared" si="50"/>
        <v>3.5736313260064892E-2</v>
      </c>
      <c r="AT189" s="27">
        <f t="shared" si="50"/>
        <v>3.5739100565622635E-2</v>
      </c>
      <c r="AU189" s="27">
        <f t="shared" si="50"/>
        <v>3.5738183814189306E-2</v>
      </c>
      <c r="AV189" s="27">
        <f t="shared" si="50"/>
        <v>3.5733616728715514E-2</v>
      </c>
      <c r="AW189" s="27">
        <f t="shared" si="50"/>
        <v>3.5724889195264529E-2</v>
      </c>
      <c r="AY189" s="79"/>
    </row>
    <row r="190" spans="1:51" x14ac:dyDescent="0.25">
      <c r="A190" s="95" t="str">
        <f t="shared" si="45"/>
        <v>FA Cattle MMN2O</v>
      </c>
      <c r="B190" s="95" t="s">
        <v>962</v>
      </c>
      <c r="C190" s="95" t="s">
        <v>1232</v>
      </c>
      <c r="D190" t="s">
        <v>15</v>
      </c>
      <c r="E190" t="s">
        <v>657</v>
      </c>
      <c r="F190" t="s">
        <v>6</v>
      </c>
      <c r="G190" t="s">
        <v>137</v>
      </c>
      <c r="H190" t="s">
        <v>1227</v>
      </c>
      <c r="I190" t="s">
        <v>139</v>
      </c>
      <c r="J190" t="s">
        <v>287</v>
      </c>
      <c r="K190" s="27">
        <f t="shared" si="47"/>
        <v>0.26041511380118898</v>
      </c>
      <c r="L190" s="27">
        <f t="shared" si="50"/>
        <v>0.26187096745907495</v>
      </c>
      <c r="M190" s="27">
        <f t="shared" si="50"/>
        <v>0.26393657447404822</v>
      </c>
      <c r="N190" s="27">
        <f t="shared" si="50"/>
        <v>0.26526394701365208</v>
      </c>
      <c r="O190" s="27">
        <f t="shared" si="50"/>
        <v>0.26614599213711054</v>
      </c>
      <c r="P190" s="27">
        <f t="shared" si="50"/>
        <v>0.26657402855087214</v>
      </c>
      <c r="Q190" s="27">
        <f t="shared" si="50"/>
        <v>0.26751972028770321</v>
      </c>
      <c r="R190" s="27">
        <f t="shared" si="50"/>
        <v>0.26860458755254507</v>
      </c>
      <c r="S190" s="27">
        <f t="shared" si="50"/>
        <v>0.26097229411928624</v>
      </c>
      <c r="T190" s="27">
        <f t="shared" si="50"/>
        <v>0.26546269203272144</v>
      </c>
      <c r="U190" s="27">
        <f t="shared" si="50"/>
        <v>0.45674979127794169</v>
      </c>
      <c r="V190" s="27">
        <f t="shared" si="50"/>
        <v>0.46225569682270645</v>
      </c>
      <c r="W190" s="27">
        <f t="shared" si="50"/>
        <v>0.46752009987901733</v>
      </c>
      <c r="X190" s="27">
        <f t="shared" si="50"/>
        <v>0.47245345411284095</v>
      </c>
      <c r="Y190" s="27">
        <f t="shared" si="50"/>
        <v>0.47692401314381044</v>
      </c>
      <c r="Z190" s="27">
        <f t="shared" si="50"/>
        <v>0.48091089936063391</v>
      </c>
      <c r="AA190" s="27">
        <f t="shared" si="50"/>
        <v>0.48439088704666999</v>
      </c>
      <c r="AB190" s="27">
        <f t="shared" si="50"/>
        <v>0.48734639776167055</v>
      </c>
      <c r="AC190" s="27">
        <f t="shared" si="50"/>
        <v>0.48976349055514479</v>
      </c>
      <c r="AD190" s="27">
        <f t="shared" si="50"/>
        <v>0.49162751035516583</v>
      </c>
      <c r="AE190" s="27">
        <f t="shared" si="50"/>
        <v>0.49292968374258739</v>
      </c>
      <c r="AF190" s="27">
        <f t="shared" si="50"/>
        <v>0.49366159506296176</v>
      </c>
      <c r="AG190" s="27">
        <f t="shared" si="50"/>
        <v>0.49381511375117121</v>
      </c>
      <c r="AH190" s="27">
        <f t="shared" si="50"/>
        <v>0.4933887550098322</v>
      </c>
      <c r="AI190" s="27">
        <f t="shared" si="50"/>
        <v>0.49238494613712885</v>
      </c>
      <c r="AJ190" s="27">
        <f t="shared" si="50"/>
        <v>0.15578208243824307</v>
      </c>
      <c r="AK190" s="27">
        <f t="shared" si="50"/>
        <v>0.15589580074411316</v>
      </c>
      <c r="AL190" s="27">
        <f t="shared" si="50"/>
        <v>0.15600133285557738</v>
      </c>
      <c r="AM190" s="27">
        <f t="shared" si="50"/>
        <v>0.1560993926610211</v>
      </c>
      <c r="AN190" s="27">
        <f t="shared" si="50"/>
        <v>0.15619085952132081</v>
      </c>
      <c r="AO190" s="27">
        <f t="shared" si="50"/>
        <v>0.15627286273606522</v>
      </c>
      <c r="AP190" s="27">
        <f t="shared" si="50"/>
        <v>0.15634347451942091</v>
      </c>
      <c r="AQ190" s="27">
        <f t="shared" si="50"/>
        <v>0.15640238572820886</v>
      </c>
      <c r="AR190" s="27">
        <f t="shared" si="50"/>
        <v>0.15644740901715809</v>
      </c>
      <c r="AS190" s="27">
        <f t="shared" si="50"/>
        <v>0.15647616961326835</v>
      </c>
      <c r="AT190" s="27">
        <f t="shared" si="50"/>
        <v>0.15648837419895245</v>
      </c>
      <c r="AU190" s="27">
        <f t="shared" si="50"/>
        <v>0.15648436008166708</v>
      </c>
      <c r="AV190" s="27">
        <f t="shared" si="50"/>
        <v>0.15646436249445</v>
      </c>
      <c r="AW190" s="27">
        <f t="shared" si="50"/>
        <v>0.15642614783602549</v>
      </c>
      <c r="AY190" s="79"/>
    </row>
    <row r="191" spans="1:51" x14ac:dyDescent="0.25">
      <c r="A191" s="95" t="str">
        <f t="shared" si="45"/>
        <v>FA Cattle MMN2O</v>
      </c>
      <c r="B191" s="95" t="s">
        <v>962</v>
      </c>
      <c r="C191" s="95" t="s">
        <v>1232</v>
      </c>
      <c r="D191" t="s">
        <v>15</v>
      </c>
      <c r="E191" t="s">
        <v>657</v>
      </c>
      <c r="F191" t="s">
        <v>67</v>
      </c>
      <c r="G191" t="s">
        <v>307</v>
      </c>
      <c r="H191" t="s">
        <v>1227</v>
      </c>
      <c r="I191" t="s">
        <v>139</v>
      </c>
      <c r="J191" t="s">
        <v>287</v>
      </c>
      <c r="K191" s="27">
        <f t="shared" si="47"/>
        <v>1.1586934798802538E-2</v>
      </c>
      <c r="L191" s="27">
        <f t="shared" si="50"/>
        <v>1.1651711689683767E-2</v>
      </c>
      <c r="M191" s="27">
        <f t="shared" si="50"/>
        <v>1.1743619004328788E-2</v>
      </c>
      <c r="N191" s="27">
        <f t="shared" si="50"/>
        <v>1.1802679244134426E-2</v>
      </c>
      <c r="O191" s="27">
        <f t="shared" si="50"/>
        <v>1.1841925043604104E-2</v>
      </c>
      <c r="P191" s="27">
        <f t="shared" si="50"/>
        <v>1.186097013643829E-2</v>
      </c>
      <c r="Q191" s="27">
        <f t="shared" si="50"/>
        <v>1.1903047834366352E-2</v>
      </c>
      <c r="R191" s="27">
        <f t="shared" si="50"/>
        <v>1.1951318021451862E-2</v>
      </c>
      <c r="S191" s="27">
        <f t="shared" si="50"/>
        <v>1.1611726032777913E-2</v>
      </c>
      <c r="T191" s="27">
        <f t="shared" si="50"/>
        <v>1.1811522223882912E-2</v>
      </c>
      <c r="U191" s="27">
        <f t="shared" si="50"/>
        <v>2.0322668579614574E-2</v>
      </c>
      <c r="V191" s="27">
        <f t="shared" si="50"/>
        <v>2.0567648863686182E-2</v>
      </c>
      <c r="W191" s="27">
        <f t="shared" si="50"/>
        <v>2.0801883713106869E-2</v>
      </c>
      <c r="X191" s="27">
        <f t="shared" si="50"/>
        <v>2.1021388844788085E-2</v>
      </c>
      <c r="Y191" s="27">
        <f t="shared" si="50"/>
        <v>2.1220302322773034E-2</v>
      </c>
      <c r="Z191" s="27">
        <f t="shared" si="50"/>
        <v>2.1397695216642653E-2</v>
      </c>
      <c r="AA191" s="27">
        <f t="shared" si="50"/>
        <v>2.1552534119155507E-2</v>
      </c>
      <c r="AB191" s="27">
        <f t="shared" si="50"/>
        <v>2.1684036893522194E-2</v>
      </c>
      <c r="AC191" s="27">
        <f t="shared" si="50"/>
        <v>2.1791583249767946E-2</v>
      </c>
      <c r="AD191" s="27">
        <f t="shared" si="50"/>
        <v>2.1874521123731019E-2</v>
      </c>
      <c r="AE191" s="27">
        <f t="shared" si="50"/>
        <v>2.1932460150066901E-2</v>
      </c>
      <c r="AF191" s="27">
        <f t="shared" si="50"/>
        <v>2.1965025881847573E-2</v>
      </c>
      <c r="AG191" s="27">
        <f t="shared" si="50"/>
        <v>2.1971856556936734E-2</v>
      </c>
      <c r="AH191" s="27">
        <f t="shared" si="50"/>
        <v>2.1952886110618599E-2</v>
      </c>
      <c r="AI191" s="27">
        <f t="shared" si="50"/>
        <v>2.190822254332906E-2</v>
      </c>
      <c r="AJ191" s="27">
        <f t="shared" si="50"/>
        <v>6.931382766868284E-3</v>
      </c>
      <c r="AK191" s="27">
        <f t="shared" si="50"/>
        <v>6.9364425599667493E-3</v>
      </c>
      <c r="AL191" s="27">
        <f t="shared" si="50"/>
        <v>6.9411381157540699E-3</v>
      </c>
      <c r="AM191" s="27">
        <f t="shared" si="50"/>
        <v>6.9455011980478565E-3</v>
      </c>
      <c r="AN191" s="27">
        <f t="shared" si="50"/>
        <v>6.9495709332144289E-3</v>
      </c>
      <c r="AO191" s="27">
        <f t="shared" si="50"/>
        <v>6.9532195920371295E-3</v>
      </c>
      <c r="AP191" s="27">
        <f t="shared" si="50"/>
        <v>6.9563613994300545E-3</v>
      </c>
      <c r="AQ191" s="27">
        <f t="shared" si="50"/>
        <v>6.9589826003472414E-3</v>
      </c>
      <c r="AR191" s="27">
        <f t="shared" si="50"/>
        <v>6.9609858708405197E-3</v>
      </c>
      <c r="AS191" s="27">
        <f t="shared" si="50"/>
        <v>6.9622655475345486E-3</v>
      </c>
      <c r="AT191" s="27">
        <f t="shared" si="50"/>
        <v>6.9628085795287523E-3</v>
      </c>
      <c r="AU191" s="27">
        <f t="shared" si="50"/>
        <v>6.9626299750131342E-3</v>
      </c>
      <c r="AV191" s="27">
        <f t="shared" si="50"/>
        <v>6.9617402004688092E-3</v>
      </c>
      <c r="AW191" s="27">
        <f t="shared" si="50"/>
        <v>6.960039873828548E-3</v>
      </c>
      <c r="AY191" s="79"/>
    </row>
    <row r="192" spans="1:51" x14ac:dyDescent="0.25">
      <c r="A192" s="95" t="str">
        <f t="shared" si="45"/>
        <v>FA Cattle MMN2O</v>
      </c>
      <c r="B192" s="95" t="s">
        <v>962</v>
      </c>
      <c r="C192" s="95" t="s">
        <v>1232</v>
      </c>
      <c r="D192" t="s">
        <v>15</v>
      </c>
      <c r="E192" t="s">
        <v>657</v>
      </c>
      <c r="F192" t="s">
        <v>67</v>
      </c>
      <c r="G192" t="s">
        <v>122</v>
      </c>
      <c r="H192" t="s">
        <v>1227</v>
      </c>
      <c r="I192" t="s">
        <v>139</v>
      </c>
      <c r="J192" t="s">
        <v>287</v>
      </c>
      <c r="K192" s="27">
        <f t="shared" si="47"/>
        <v>0.52525224947331295</v>
      </c>
      <c r="L192" s="27">
        <f t="shared" si="50"/>
        <v>0.5206969044571037</v>
      </c>
      <c r="M192" s="27">
        <f t="shared" si="50"/>
        <v>0.51896282251134873</v>
      </c>
      <c r="N192" s="27">
        <f t="shared" si="50"/>
        <v>0.51203275332440923</v>
      </c>
      <c r="O192" s="27">
        <f t="shared" si="50"/>
        <v>0.50197358865556674</v>
      </c>
      <c r="P192" s="27">
        <f t="shared" si="50"/>
        <v>0.48899333628247277</v>
      </c>
      <c r="Q192" s="27">
        <f t="shared" si="50"/>
        <v>0.47875543160314166</v>
      </c>
      <c r="R192" s="27">
        <f t="shared" si="50"/>
        <v>0.46906920988966783</v>
      </c>
      <c r="S192" s="27">
        <f t="shared" si="50"/>
        <v>0.41949739097667643</v>
      </c>
      <c r="T192" s="27">
        <f t="shared" si="50"/>
        <v>0.43565935064957972</v>
      </c>
      <c r="U192" s="27">
        <f t="shared" ref="L192:AW198" si="51">U1414</f>
        <v>1.3730656770552265</v>
      </c>
      <c r="V192" s="27">
        <f t="shared" si="51"/>
        <v>1.3796884935069886</v>
      </c>
      <c r="W192" s="27">
        <f t="shared" si="51"/>
        <v>1.3839270796629521</v>
      </c>
      <c r="X192" s="27">
        <f t="shared" si="51"/>
        <v>1.3857805722044871</v>
      </c>
      <c r="Y192" s="27">
        <f t="shared" si="51"/>
        <v>1.3852882351123565</v>
      </c>
      <c r="Z192" s="27">
        <f t="shared" si="51"/>
        <v>1.3824264694708266</v>
      </c>
      <c r="AA192" s="27">
        <f t="shared" si="51"/>
        <v>1.3771882651473364</v>
      </c>
      <c r="AB192" s="27">
        <f t="shared" si="51"/>
        <v>1.3695779562696064</v>
      </c>
      <c r="AC192" s="27">
        <f t="shared" si="51"/>
        <v>1.3596126553947701</v>
      </c>
      <c r="AD192" s="27">
        <f t="shared" si="51"/>
        <v>1.33600285419975</v>
      </c>
      <c r="AE192" s="27">
        <f t="shared" si="51"/>
        <v>1.3101691590672178</v>
      </c>
      <c r="AF192" s="27">
        <f t="shared" si="51"/>
        <v>1.2822276459176047</v>
      </c>
      <c r="AG192" s="27">
        <f t="shared" si="51"/>
        <v>1.2523075801974097</v>
      </c>
      <c r="AH192" s="27">
        <f t="shared" si="51"/>
        <v>1.2205465760046283</v>
      </c>
      <c r="AI192" s="27">
        <f t="shared" si="51"/>
        <v>1.1870911726481781</v>
      </c>
      <c r="AJ192" s="27">
        <f t="shared" si="51"/>
        <v>-9.1659099684125458E-2</v>
      </c>
      <c r="AK192" s="27">
        <f t="shared" si="51"/>
        <v>-8.9452213438823466E-2</v>
      </c>
      <c r="AL192" s="27">
        <f t="shared" si="51"/>
        <v>-8.7268288718690495E-2</v>
      </c>
      <c r="AM192" s="27">
        <f t="shared" si="51"/>
        <v>-8.5107099964586319E-2</v>
      </c>
      <c r="AN192" s="27">
        <f t="shared" si="51"/>
        <v>-8.3391821536204336E-2</v>
      </c>
      <c r="AO192" s="27">
        <f t="shared" si="51"/>
        <v>-8.1692814399719135E-2</v>
      </c>
      <c r="AP192" s="27">
        <f t="shared" si="51"/>
        <v>-8.0008814881266738E-2</v>
      </c>
      <c r="AQ192" s="27">
        <f t="shared" si="51"/>
        <v>-7.8339405843548718E-2</v>
      </c>
      <c r="AR192" s="27">
        <f t="shared" si="51"/>
        <v>-7.6683366781164067E-2</v>
      </c>
      <c r="AS192" s="27">
        <f t="shared" si="51"/>
        <v>-7.5039502453707246E-2</v>
      </c>
      <c r="AT192" s="27">
        <f t="shared" si="51"/>
        <v>-7.3407620898571099E-2</v>
      </c>
      <c r="AU192" s="27">
        <f t="shared" si="51"/>
        <v>-7.1787822935495418E-2</v>
      </c>
      <c r="AV192" s="27">
        <f t="shared" si="51"/>
        <v>-7.0180170412069726E-2</v>
      </c>
      <c r="AW192" s="27">
        <f t="shared" si="51"/>
        <v>-6.8583739954492046E-2</v>
      </c>
      <c r="AY192" s="79"/>
    </row>
    <row r="193" spans="1:51" x14ac:dyDescent="0.25">
      <c r="A193" s="95" t="str">
        <f t="shared" si="45"/>
        <v>FA Cattle MMN2O</v>
      </c>
      <c r="B193" s="95" t="s">
        <v>962</v>
      </c>
      <c r="C193" s="95" t="s">
        <v>1232</v>
      </c>
      <c r="D193" t="s">
        <v>15</v>
      </c>
      <c r="E193" t="s">
        <v>657</v>
      </c>
      <c r="F193" t="s">
        <v>67</v>
      </c>
      <c r="G193" t="s">
        <v>123</v>
      </c>
      <c r="H193" t="s">
        <v>1227</v>
      </c>
      <c r="I193" t="s">
        <v>139</v>
      </c>
      <c r="J193" t="s">
        <v>287</v>
      </c>
      <c r="K193" s="27">
        <f t="shared" si="47"/>
        <v>0.80452586370517853</v>
      </c>
      <c r="L193" s="27">
        <f t="shared" si="51"/>
        <v>0.79754846782098077</v>
      </c>
      <c r="M193" s="27">
        <f t="shared" si="51"/>
        <v>0.79489238443144161</v>
      </c>
      <c r="N193" s="27">
        <f t="shared" si="51"/>
        <v>0.78427763712907461</v>
      </c>
      <c r="O193" s="27">
        <f t="shared" si="51"/>
        <v>0.76887007218962322</v>
      </c>
      <c r="P193" s="27">
        <f t="shared" si="51"/>
        <v>0.74898829393537247</v>
      </c>
      <c r="Q193" s="27">
        <f t="shared" si="51"/>
        <v>0.73330695394505496</v>
      </c>
      <c r="R193" s="27">
        <f t="shared" si="51"/>
        <v>0.71847062359542468</v>
      </c>
      <c r="S193" s="27">
        <f t="shared" si="51"/>
        <v>0.64254175234089539</v>
      </c>
      <c r="T193" s="27">
        <f t="shared" si="51"/>
        <v>0.66729693345254038</v>
      </c>
      <c r="U193" s="27">
        <f t="shared" si="51"/>
        <v>2.1031168374137881</v>
      </c>
      <c r="V193" s="27">
        <f t="shared" si="51"/>
        <v>2.1132609674605565</v>
      </c>
      <c r="W193" s="27">
        <f t="shared" si="51"/>
        <v>2.1197531856118057</v>
      </c>
      <c r="X193" s="27">
        <f t="shared" si="51"/>
        <v>2.1225921695273335</v>
      </c>
      <c r="Y193" s="27">
        <f t="shared" si="51"/>
        <v>2.1218380596217075</v>
      </c>
      <c r="Z193" s="27">
        <f t="shared" si="51"/>
        <v>2.1174547095707896</v>
      </c>
      <c r="AA193" s="27">
        <f t="shared" si="51"/>
        <v>2.1094313819946655</v>
      </c>
      <c r="AB193" s="27">
        <f t="shared" si="51"/>
        <v>2.0977747154519557</v>
      </c>
      <c r="AC193" s="27">
        <f t="shared" si="51"/>
        <v>2.0825109211484589</v>
      </c>
      <c r="AD193" s="27">
        <f t="shared" si="51"/>
        <v>2.0463479238126498</v>
      </c>
      <c r="AE193" s="27">
        <f t="shared" si="51"/>
        <v>2.0067786008634618</v>
      </c>
      <c r="AF193" s="27">
        <f t="shared" si="51"/>
        <v>1.9639807451237425</v>
      </c>
      <c r="AG193" s="27">
        <f t="shared" si="51"/>
        <v>1.9181523517379118</v>
      </c>
      <c r="AH193" s="27">
        <f t="shared" si="51"/>
        <v>1.8695042034320957</v>
      </c>
      <c r="AI193" s="27">
        <f t="shared" si="51"/>
        <v>1.8182607536268967</v>
      </c>
      <c r="AJ193" s="27">
        <f t="shared" si="51"/>
        <v>-0.14039371828250841</v>
      </c>
      <c r="AK193" s="27">
        <f t="shared" si="51"/>
        <v>-0.13701344325392734</v>
      </c>
      <c r="AL193" s="27">
        <f t="shared" si="51"/>
        <v>-0.13366833826200414</v>
      </c>
      <c r="AM193" s="27">
        <f t="shared" si="51"/>
        <v>-0.13035805781909493</v>
      </c>
      <c r="AN193" s="27">
        <f t="shared" si="51"/>
        <v>-0.12773077566947513</v>
      </c>
      <c r="AO193" s="27">
        <f t="shared" si="51"/>
        <v>-0.12512841616450843</v>
      </c>
      <c r="AP193" s="27">
        <f t="shared" si="51"/>
        <v>-0.12254904374217125</v>
      </c>
      <c r="AQ193" s="27">
        <f t="shared" si="51"/>
        <v>-0.11999201947565157</v>
      </c>
      <c r="AR193" s="27">
        <f t="shared" si="51"/>
        <v>-0.11745547392381339</v>
      </c>
      <c r="AS193" s="27">
        <f t="shared" si="51"/>
        <v>-0.11493757634376978</v>
      </c>
      <c r="AT193" s="27">
        <f t="shared" si="51"/>
        <v>-0.11243803270749411</v>
      </c>
      <c r="AU193" s="27">
        <f t="shared" si="51"/>
        <v>-0.10995699744000494</v>
      </c>
      <c r="AV193" s="27">
        <f t="shared" si="51"/>
        <v>-0.10749456527290084</v>
      </c>
      <c r="AW193" s="27">
        <f t="shared" si="51"/>
        <v>-0.10504932187981528</v>
      </c>
      <c r="AY193" s="79"/>
    </row>
    <row r="194" spans="1:51" x14ac:dyDescent="0.25">
      <c r="A194" s="95" t="str">
        <f t="shared" si="45"/>
        <v>FA Cattle MMN2O</v>
      </c>
      <c r="B194" s="95" t="s">
        <v>962</v>
      </c>
      <c r="C194" s="95" t="s">
        <v>1232</v>
      </c>
      <c r="D194" t="s">
        <v>15</v>
      </c>
      <c r="E194" t="s">
        <v>657</v>
      </c>
      <c r="F194" t="s">
        <v>67</v>
      </c>
      <c r="G194" t="s">
        <v>135</v>
      </c>
      <c r="H194" t="s">
        <v>1227</v>
      </c>
      <c r="I194" t="s">
        <v>139</v>
      </c>
      <c r="J194" t="s">
        <v>287</v>
      </c>
      <c r="K194" s="27">
        <f t="shared" si="47"/>
        <v>0.97926119892671493</v>
      </c>
      <c r="L194" s="27">
        <f t="shared" si="51"/>
        <v>1.0122801448609147</v>
      </c>
      <c r="M194" s="27">
        <f t="shared" si="51"/>
        <v>1.0514701788925804</v>
      </c>
      <c r="N194" s="27">
        <f t="shared" si="51"/>
        <v>1.0806972456941155</v>
      </c>
      <c r="O194" s="27">
        <f t="shared" si="51"/>
        <v>1.1032367943433714</v>
      </c>
      <c r="P194" s="27">
        <f t="shared" si="51"/>
        <v>1.1187666946803869</v>
      </c>
      <c r="Q194" s="27">
        <f t="shared" si="51"/>
        <v>1.1399714801203364</v>
      </c>
      <c r="R194" s="27">
        <f t="shared" si="51"/>
        <v>1.1622002864669057</v>
      </c>
      <c r="S194" s="27">
        <f t="shared" si="51"/>
        <v>1.0813845600959935</v>
      </c>
      <c r="T194" s="27">
        <f t="shared" si="51"/>
        <v>1.1501042489069657</v>
      </c>
      <c r="U194" s="27">
        <f t="shared" si="51"/>
        <v>3.7109100106027491</v>
      </c>
      <c r="V194" s="27">
        <f t="shared" si="51"/>
        <v>3.81628643561459</v>
      </c>
      <c r="W194" s="27">
        <f t="shared" si="51"/>
        <v>3.9167580657264067</v>
      </c>
      <c r="X194" s="27">
        <f t="shared" si="51"/>
        <v>4.0119388397207816</v>
      </c>
      <c r="Y194" s="27">
        <f t="shared" si="51"/>
        <v>4.1015489666041693</v>
      </c>
      <c r="Z194" s="27">
        <f t="shared" si="51"/>
        <v>4.185115809425092</v>
      </c>
      <c r="AA194" s="27">
        <f t="shared" si="51"/>
        <v>4.2621982223461794</v>
      </c>
      <c r="AB194" s="27">
        <f t="shared" si="51"/>
        <v>4.332374707921506</v>
      </c>
      <c r="AC194" s="27">
        <f t="shared" si="51"/>
        <v>4.3952511811697104</v>
      </c>
      <c r="AD194" s="27">
        <f t="shared" si="51"/>
        <v>4.4621545606882416</v>
      </c>
      <c r="AE194" s="27">
        <f t="shared" si="51"/>
        <v>4.5212658165225097</v>
      </c>
      <c r="AF194" s="27">
        <f t="shared" si="51"/>
        <v>4.572238941429692</v>
      </c>
      <c r="AG194" s="27">
        <f t="shared" si="51"/>
        <v>4.6147735825145579</v>
      </c>
      <c r="AH194" s="27">
        <f t="shared" si="51"/>
        <v>4.6486045920264791</v>
      </c>
      <c r="AI194" s="27">
        <f t="shared" si="51"/>
        <v>4.6735101171168392</v>
      </c>
      <c r="AJ194" s="27">
        <f t="shared" si="51"/>
        <v>-0.37307516132200708</v>
      </c>
      <c r="AK194" s="27">
        <f t="shared" si="51"/>
        <v>-0.37648970355727795</v>
      </c>
      <c r="AL194" s="27">
        <f t="shared" si="51"/>
        <v>-0.37988166723122341</v>
      </c>
      <c r="AM194" s="27">
        <f t="shared" si="51"/>
        <v>-0.38325274179247815</v>
      </c>
      <c r="AN194" s="27">
        <f t="shared" si="51"/>
        <v>-0.3861241570916577</v>
      </c>
      <c r="AO194" s="27">
        <f t="shared" si="51"/>
        <v>-0.38896686054418655</v>
      </c>
      <c r="AP194" s="27">
        <f t="shared" si="51"/>
        <v>-0.39177650128046815</v>
      </c>
      <c r="AQ194" s="27">
        <f t="shared" si="51"/>
        <v>-0.39455230658450102</v>
      </c>
      <c r="AR194" s="27">
        <f t="shared" si="51"/>
        <v>-0.39728909714720628</v>
      </c>
      <c r="AS194" s="27">
        <f t="shared" si="51"/>
        <v>-0.39998109146847105</v>
      </c>
      <c r="AT194" s="27">
        <f t="shared" si="51"/>
        <v>-0.40262723351695445</v>
      </c>
      <c r="AU194" s="27">
        <f t="shared" si="51"/>
        <v>-0.4052279233246403</v>
      </c>
      <c r="AV194" s="27">
        <f t="shared" si="51"/>
        <v>-0.40778332090512204</v>
      </c>
      <c r="AW194" s="27">
        <f t="shared" si="51"/>
        <v>-0.41028765697691083</v>
      </c>
      <c r="AY194" s="79"/>
    </row>
    <row r="195" spans="1:51" x14ac:dyDescent="0.25">
      <c r="A195" s="95" t="str">
        <f t="shared" si="45"/>
        <v>FA Sheep MMN2O</v>
      </c>
      <c r="B195" s="95" t="s">
        <v>962</v>
      </c>
      <c r="C195" s="95" t="s">
        <v>1328</v>
      </c>
      <c r="D195" t="s">
        <v>15</v>
      </c>
      <c r="E195" t="s">
        <v>657</v>
      </c>
      <c r="F195" t="s">
        <v>18</v>
      </c>
      <c r="G195" t="s">
        <v>122</v>
      </c>
      <c r="H195" t="s">
        <v>1227</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0.11888990250365807</v>
      </c>
      <c r="T195" s="27">
        <f t="shared" si="51"/>
        <v>0.1189690287837306</v>
      </c>
      <c r="U195" s="27">
        <f t="shared" si="51"/>
        <v>0.12051861082287679</v>
      </c>
      <c r="V195" s="27">
        <f t="shared" si="51"/>
        <v>0.1205564116673056</v>
      </c>
      <c r="W195" s="27">
        <f t="shared" si="51"/>
        <v>0.1207181038170992</v>
      </c>
      <c r="X195" s="27">
        <f t="shared" si="51"/>
        <v>0.1209518337442019</v>
      </c>
      <c r="Y195" s="27">
        <f t="shared" si="51"/>
        <v>0.12116896083678347</v>
      </c>
      <c r="Z195" s="27">
        <f t="shared" si="51"/>
        <v>0.12137217342001694</v>
      </c>
      <c r="AA195" s="27">
        <f t="shared" si="51"/>
        <v>0.1215603878714394</v>
      </c>
      <c r="AB195" s="27">
        <f t="shared" si="51"/>
        <v>0.12173530001872475</v>
      </c>
      <c r="AC195" s="27">
        <f t="shared" si="51"/>
        <v>0.12189956310100271</v>
      </c>
      <c r="AD195" s="27">
        <f t="shared" si="51"/>
        <v>0.12205302234453672</v>
      </c>
      <c r="AE195" s="27">
        <f t="shared" si="51"/>
        <v>0.12219813225383717</v>
      </c>
      <c r="AF195" s="27">
        <f t="shared" si="51"/>
        <v>0.12233524409037175</v>
      </c>
      <c r="AG195" s="27">
        <f t="shared" si="51"/>
        <v>0.12246247857835596</v>
      </c>
      <c r="AH195" s="27">
        <f t="shared" si="51"/>
        <v>0.12258099962950754</v>
      </c>
      <c r="AI195" s="27">
        <f t="shared" si="51"/>
        <v>0.1226926980528978</v>
      </c>
      <c r="AJ195" s="27">
        <f t="shared" si="51"/>
        <v>0.12000006421083369</v>
      </c>
      <c r="AK195" s="27">
        <f t="shared" si="51"/>
        <v>0.12011041514130365</v>
      </c>
      <c r="AL195" s="27">
        <f t="shared" si="51"/>
        <v>0.12021334415571779</v>
      </c>
      <c r="AM195" s="27">
        <f t="shared" si="51"/>
        <v>0.12030948030331916</v>
      </c>
      <c r="AN195" s="27">
        <f t="shared" si="51"/>
        <v>0.12039958826810335</v>
      </c>
      <c r="AO195" s="27">
        <f t="shared" si="51"/>
        <v>0.12048129784431058</v>
      </c>
      <c r="AP195" s="27">
        <f t="shared" si="51"/>
        <v>0.12055302618273207</v>
      </c>
      <c r="AQ195" s="27">
        <f t="shared" si="51"/>
        <v>0.12061454144456668</v>
      </c>
      <c r="AR195" s="27">
        <f t="shared" si="51"/>
        <v>0.12066404237348154</v>
      </c>
      <c r="AS195" s="27">
        <f t="shared" si="51"/>
        <v>0.12069957105311468</v>
      </c>
      <c r="AT195" s="27">
        <f t="shared" si="51"/>
        <v>0.12072090668873016</v>
      </c>
      <c r="AU195" s="27">
        <f t="shared" si="51"/>
        <v>0.12072835361242823</v>
      </c>
      <c r="AV195" s="27">
        <f t="shared" si="51"/>
        <v>0.12072212964886384</v>
      </c>
      <c r="AW195" s="27">
        <f t="shared" si="51"/>
        <v>0.12070039195556491</v>
      </c>
      <c r="AY195" s="79"/>
    </row>
    <row r="196" spans="1:51" x14ac:dyDescent="0.25">
      <c r="A196" s="95" t="str">
        <f t="shared" si="45"/>
        <v>FA Sheep MMN2O</v>
      </c>
      <c r="B196" s="95" t="s">
        <v>962</v>
      </c>
      <c r="C196" s="95" t="s">
        <v>1328</v>
      </c>
      <c r="D196" t="s">
        <v>15</v>
      </c>
      <c r="E196" t="s">
        <v>657</v>
      </c>
      <c r="F196" t="s">
        <v>18</v>
      </c>
      <c r="G196" t="s">
        <v>123</v>
      </c>
      <c r="H196" t="s">
        <v>1227</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6.3575358075834407E-2</v>
      </c>
      <c r="T196" s="27">
        <f t="shared" si="51"/>
        <v>6.3617670177054816E-2</v>
      </c>
      <c r="U196" s="27">
        <f t="shared" si="51"/>
        <v>6.4446295913404186E-2</v>
      </c>
      <c r="V196" s="27">
        <f t="shared" si="51"/>
        <v>6.4466509591517507E-2</v>
      </c>
      <c r="W196" s="27">
        <f t="shared" si="51"/>
        <v>6.4552973085091836E-2</v>
      </c>
      <c r="X196" s="27">
        <f t="shared" si="51"/>
        <v>6.4677958163687016E-2</v>
      </c>
      <c r="Y196" s="27">
        <f t="shared" si="51"/>
        <v>6.479406501858509E-2</v>
      </c>
      <c r="Z196" s="27">
        <f t="shared" si="51"/>
        <v>6.4902731208669517E-2</v>
      </c>
      <c r="AA196" s="27">
        <f t="shared" si="51"/>
        <v>6.500337727610038E-2</v>
      </c>
      <c r="AB196" s="27">
        <f t="shared" si="51"/>
        <v>6.5096910050215798E-2</v>
      </c>
      <c r="AC196" s="27">
        <f t="shared" si="51"/>
        <v>6.518474832793783E-2</v>
      </c>
      <c r="AD196" s="27">
        <f t="shared" si="51"/>
        <v>6.5266809345335172E-2</v>
      </c>
      <c r="AE196" s="27">
        <f t="shared" si="51"/>
        <v>6.5344405627692656E-2</v>
      </c>
      <c r="AF196" s="27">
        <f t="shared" si="51"/>
        <v>6.5417725009074529E-2</v>
      </c>
      <c r="AG196" s="27">
        <f t="shared" si="51"/>
        <v>6.5485762562835198E-2</v>
      </c>
      <c r="AH196" s="27">
        <f t="shared" si="51"/>
        <v>6.5549140680806597E-2</v>
      </c>
      <c r="AI196" s="27">
        <f t="shared" si="51"/>
        <v>6.560887045696083E-2</v>
      </c>
      <c r="AJ196" s="27">
        <f t="shared" si="51"/>
        <v>6.4169007549586779E-2</v>
      </c>
      <c r="AK196" s="27">
        <f t="shared" si="51"/>
        <v>6.42280167654318E-2</v>
      </c>
      <c r="AL196" s="27">
        <f t="shared" si="51"/>
        <v>6.4283057175171951E-2</v>
      </c>
      <c r="AM196" s="27">
        <f t="shared" si="51"/>
        <v>6.4334465157507542E-2</v>
      </c>
      <c r="AN196" s="27">
        <f t="shared" si="51"/>
        <v>6.4382649620662147E-2</v>
      </c>
      <c r="AO196" s="27">
        <f t="shared" si="51"/>
        <v>6.4426343117386445E-2</v>
      </c>
      <c r="AP196" s="27">
        <f t="shared" si="51"/>
        <v>6.4464699232609876E-2</v>
      </c>
      <c r="AQ196" s="27">
        <f t="shared" si="51"/>
        <v>6.4497593992517213E-2</v>
      </c>
      <c r="AR196" s="27">
        <f t="shared" si="51"/>
        <v>6.452406419069702E-2</v>
      </c>
      <c r="AS196" s="27">
        <f t="shared" si="51"/>
        <v>6.4543062848127733E-2</v>
      </c>
      <c r="AT196" s="27">
        <f t="shared" si="51"/>
        <v>6.4554471896713567E-2</v>
      </c>
      <c r="AU196" s="27">
        <f t="shared" si="51"/>
        <v>6.4558454075441099E-2</v>
      </c>
      <c r="AV196" s="27">
        <f t="shared" si="51"/>
        <v>6.4555125864180746E-2</v>
      </c>
      <c r="AW196" s="27">
        <f t="shared" si="51"/>
        <v>6.4543501818688898E-2</v>
      </c>
      <c r="AY196" s="79"/>
    </row>
    <row r="197" spans="1:51" x14ac:dyDescent="0.25">
      <c r="A197" s="95" t="str">
        <f t="shared" si="45"/>
        <v>FA Goats MMN2O</v>
      </c>
      <c r="B197" s="95" t="s">
        <v>962</v>
      </c>
      <c r="C197" s="95" t="s">
        <v>1329</v>
      </c>
      <c r="D197" t="s">
        <v>15</v>
      </c>
      <c r="E197" t="s">
        <v>657</v>
      </c>
      <c r="F197" t="s">
        <v>19</v>
      </c>
      <c r="G197" t="s">
        <v>122</v>
      </c>
      <c r="H197" t="s">
        <v>1227</v>
      </c>
      <c r="I197" t="s">
        <v>139</v>
      </c>
      <c r="J197" t="s">
        <v>287</v>
      </c>
      <c r="K197" s="27">
        <f t="shared" si="47"/>
        <v>1.4486129996083084E-2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1.4890706011157261E-2</v>
      </c>
      <c r="R197" s="27">
        <f t="shared" si="51"/>
        <v>1.4988675221399694E-2</v>
      </c>
      <c r="S197" s="27">
        <f t="shared" si="51"/>
        <v>1.4952125307683931E-2</v>
      </c>
      <c r="T197" s="27">
        <f t="shared" si="51"/>
        <v>1.497659485650934E-2</v>
      </c>
      <c r="U197" s="27">
        <f t="shared" si="51"/>
        <v>1.5280249217669807E-2</v>
      </c>
      <c r="V197" s="27">
        <f t="shared" si="51"/>
        <v>1.5293967954982137E-2</v>
      </c>
      <c r="W197" s="27">
        <f t="shared" si="51"/>
        <v>1.5330288500558316E-2</v>
      </c>
      <c r="X197" s="27">
        <f t="shared" si="51"/>
        <v>1.5379307775042967E-2</v>
      </c>
      <c r="Y197" s="27">
        <f t="shared" si="51"/>
        <v>1.5424265287422665E-2</v>
      </c>
      <c r="Z197" s="27">
        <f t="shared" si="51"/>
        <v>1.5465755297522263E-2</v>
      </c>
      <c r="AA197" s="27">
        <f t="shared" si="51"/>
        <v>1.5503650543984475E-2</v>
      </c>
      <c r="AB197" s="27">
        <f t="shared" si="51"/>
        <v>1.5538340165319426E-2</v>
      </c>
      <c r="AC197" s="27">
        <f t="shared" si="51"/>
        <v>1.5570383853796523E-2</v>
      </c>
      <c r="AD197" s="27">
        <f t="shared" si="51"/>
        <v>1.5599807426957595E-2</v>
      </c>
      <c r="AE197" s="27">
        <f t="shared" si="51"/>
        <v>1.5627118939580072E-2</v>
      </c>
      <c r="AF197" s="27">
        <f t="shared" si="51"/>
        <v>1.5652427506297684E-2</v>
      </c>
      <c r="AG197" s="27">
        <f t="shared" si="51"/>
        <v>1.5675424120776597E-2</v>
      </c>
      <c r="AH197" s="27">
        <f t="shared" si="51"/>
        <v>1.5696363462061685E-2</v>
      </c>
      <c r="AI197" s="27">
        <f t="shared" si="51"/>
        <v>1.5715630256505467E-2</v>
      </c>
      <c r="AJ197" s="27">
        <f t="shared" si="51"/>
        <v>1.5216731234132433E-2</v>
      </c>
      <c r="AK197" s="27">
        <f t="shared" si="51"/>
        <v>1.5235961154748286E-2</v>
      </c>
      <c r="AL197" s="27">
        <f t="shared" si="51"/>
        <v>1.5253469736089939E-2</v>
      </c>
      <c r="AM197" s="27">
        <f t="shared" si="51"/>
        <v>1.5269398678749371E-2</v>
      </c>
      <c r="AN197" s="27">
        <f t="shared" si="51"/>
        <v>1.5283912082079585E-2</v>
      </c>
      <c r="AO197" s="27">
        <f t="shared" si="51"/>
        <v>1.5296597939016455E-2</v>
      </c>
      <c r="AP197" s="27">
        <f t="shared" si="51"/>
        <v>1.530718972818932E-2</v>
      </c>
      <c r="AQ197" s="27">
        <f t="shared" si="51"/>
        <v>1.5315667991874672E-2</v>
      </c>
      <c r="AR197" s="27">
        <f t="shared" si="51"/>
        <v>1.5321726619352006E-2</v>
      </c>
      <c r="AS197" s="27">
        <f t="shared" si="51"/>
        <v>1.5325032079315765E-2</v>
      </c>
      <c r="AT197" s="27">
        <f t="shared" si="51"/>
        <v>1.5325567315367106E-2</v>
      </c>
      <c r="AU197" s="27">
        <f t="shared" si="51"/>
        <v>1.5323409630922659E-2</v>
      </c>
      <c r="AV197" s="27">
        <f t="shared" si="51"/>
        <v>1.5318619367085746E-2</v>
      </c>
      <c r="AW197" s="27">
        <f t="shared" si="51"/>
        <v>1.5310883587655623E-2</v>
      </c>
      <c r="AY197" s="79"/>
    </row>
    <row r="198" spans="1:51" x14ac:dyDescent="0.25">
      <c r="A198" s="95" t="str">
        <f t="shared" si="45"/>
        <v>FA Goats MMN2O</v>
      </c>
      <c r="B198" s="95" t="s">
        <v>962</v>
      </c>
      <c r="C198" s="95" t="s">
        <v>1329</v>
      </c>
      <c r="D198" t="s">
        <v>15</v>
      </c>
      <c r="E198" t="s">
        <v>657</v>
      </c>
      <c r="F198" t="s">
        <v>19</v>
      </c>
      <c r="G198" t="s">
        <v>123</v>
      </c>
      <c r="H198" t="s">
        <v>1227</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0.11664735601685972</v>
      </c>
      <c r="P198" s="27">
        <f t="shared" si="51"/>
        <v>0.11732381389682567</v>
      </c>
      <c r="Q198" s="27">
        <f t="shared" si="51"/>
        <v>0.11805182815822728</v>
      </c>
      <c r="R198" s="27">
        <f t="shared" si="51"/>
        <v>0.11882851694408277</v>
      </c>
      <c r="S198" s="27">
        <f t="shared" si="51"/>
        <v>0.11853875337411246</v>
      </c>
      <c r="T198" s="27">
        <f t="shared" si="51"/>
        <v>0.11873274518154472</v>
      </c>
      <c r="U198" s="27">
        <f t="shared" si="51"/>
        <v>0.12114008251238399</v>
      </c>
      <c r="V198" s="27">
        <f t="shared" si="51"/>
        <v>0.12124884310563787</v>
      </c>
      <c r="W198" s="27">
        <f t="shared" si="51"/>
        <v>0.12153678827101554</v>
      </c>
      <c r="X198" s="27">
        <f t="shared" si="51"/>
        <v>0.12192540751872388</v>
      </c>
      <c r="Y198" s="27">
        <f t="shared" si="51"/>
        <v>0.12228182557720234</v>
      </c>
      <c r="Z198" s="27">
        <f t="shared" si="51"/>
        <v>0.12261075367093349</v>
      </c>
      <c r="AA198" s="27">
        <f t="shared" si="51"/>
        <v>0.12291118288631245</v>
      </c>
      <c r="AB198" s="27">
        <f t="shared" si="51"/>
        <v>0.12318619826930632</v>
      </c>
      <c r="AC198" s="27">
        <f t="shared" si="51"/>
        <v>0.12344023699673938</v>
      </c>
      <c r="AD198" s="27">
        <f t="shared" si="51"/>
        <v>0.12367350374715462</v>
      </c>
      <c r="AE198" s="27">
        <f t="shared" si="51"/>
        <v>0.12389002632119744</v>
      </c>
      <c r="AF198" s="27">
        <f t="shared" si="51"/>
        <v>0.12409066976730669</v>
      </c>
      <c r="AG198" s="27">
        <f t="shared" si="51"/>
        <v>0.12427298431831933</v>
      </c>
      <c r="AH198" s="27">
        <f t="shared" si="51"/>
        <v>0.12443898904081413</v>
      </c>
      <c r="AI198" s="27">
        <f t="shared" si="51"/>
        <v>0.12459173400167312</v>
      </c>
      <c r="AJ198" s="27">
        <f t="shared" si="51"/>
        <v>0.12063651914393841</v>
      </c>
      <c r="AK198" s="27">
        <f t="shared" si="51"/>
        <v>0.12078897177327232</v>
      </c>
      <c r="AL198" s="27">
        <f t="shared" si="51"/>
        <v>0.12092777782009714</v>
      </c>
      <c r="AM198" s="27">
        <f t="shared" si="51"/>
        <v>0.12105406067063253</v>
      </c>
      <c r="AN198" s="27">
        <f t="shared" si="51"/>
        <v>0.12116912128593484</v>
      </c>
      <c r="AO198" s="27">
        <f t="shared" si="51"/>
        <v>0.12126969332073484</v>
      </c>
      <c r="AP198" s="27">
        <f t="shared" si="51"/>
        <v>0.12135366382383837</v>
      </c>
      <c r="AQ198" s="27">
        <f t="shared" si="51"/>
        <v>0.12142087853662052</v>
      </c>
      <c r="AR198" s="27">
        <f t="shared" si="51"/>
        <v>0.12146891064801223</v>
      </c>
      <c r="AS198" s="27">
        <f t="shared" si="51"/>
        <v>0.12149511595965648</v>
      </c>
      <c r="AT198" s="27">
        <f t="shared" si="51"/>
        <v>0.12149935925035804</v>
      </c>
      <c r="AU198" s="27">
        <f t="shared" si="51"/>
        <v>0.12148225337283523</v>
      </c>
      <c r="AV198" s="27">
        <f t="shared" ref="L198:AW205" si="52">AV1420</f>
        <v>0.12144427670451041</v>
      </c>
      <c r="AW198" s="27">
        <f t="shared" si="52"/>
        <v>0.12138294832268144</v>
      </c>
      <c r="AY198" s="79"/>
    </row>
    <row r="199" spans="1:51" x14ac:dyDescent="0.25">
      <c r="A199" s="95" t="str">
        <f t="shared" si="45"/>
        <v>FA Horses MMN2O</v>
      </c>
      <c r="B199" s="95" t="s">
        <v>962</v>
      </c>
      <c r="C199" s="95" t="s">
        <v>1330</v>
      </c>
      <c r="D199" t="s">
        <v>15</v>
      </c>
      <c r="E199" t="s">
        <v>657</v>
      </c>
      <c r="F199" t="s">
        <v>20</v>
      </c>
      <c r="G199" t="s">
        <v>3</v>
      </c>
      <c r="H199" t="s">
        <v>1227</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25">
      <c r="A200" s="95" t="str">
        <f t="shared" si="45"/>
        <v>FA Mules MMN2O</v>
      </c>
      <c r="B200" s="95" t="s">
        <v>962</v>
      </c>
      <c r="C200" s="95" t="s">
        <v>1331</v>
      </c>
      <c r="D200" t="s">
        <v>15</v>
      </c>
      <c r="E200" t="s">
        <v>657</v>
      </c>
      <c r="F200" t="s">
        <v>140</v>
      </c>
      <c r="G200" t="s">
        <v>124</v>
      </c>
      <c r="H200" t="s">
        <v>1227</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25">
      <c r="A201" s="95" t="str">
        <f t="shared" si="45"/>
        <v>FA Swine MMN2O</v>
      </c>
      <c r="B201" s="95" t="s">
        <v>962</v>
      </c>
      <c r="C201" s="95" t="s">
        <v>1233</v>
      </c>
      <c r="D201" t="s">
        <v>15</v>
      </c>
      <c r="E201" t="s">
        <v>657</v>
      </c>
      <c r="F201" t="s">
        <v>21</v>
      </c>
      <c r="G201" t="s">
        <v>122</v>
      </c>
      <c r="H201" t="s">
        <v>1227</v>
      </c>
      <c r="I201" t="s">
        <v>139</v>
      </c>
      <c r="J201" t="s">
        <v>287</v>
      </c>
      <c r="K201" s="27">
        <f t="shared" si="47"/>
        <v>9.7466979224281824E-2</v>
      </c>
      <c r="L201" s="27">
        <f t="shared" si="52"/>
        <v>9.6937181363551519E-2</v>
      </c>
      <c r="M201" s="27">
        <f t="shared" si="52"/>
        <v>9.6980665528366608E-2</v>
      </c>
      <c r="N201" s="27">
        <f t="shared" si="52"/>
        <v>9.6090308702663593E-2</v>
      </c>
      <c r="O201" s="27">
        <f t="shared" si="52"/>
        <v>9.4636150647850484E-2</v>
      </c>
      <c r="P201" s="27">
        <f t="shared" si="52"/>
        <v>9.2641437622218339E-2</v>
      </c>
      <c r="Q201" s="27">
        <f t="shared" si="52"/>
        <v>9.1193054757597189E-2</v>
      </c>
      <c r="R201" s="27">
        <f t="shared" si="52"/>
        <v>8.9872834352323558E-2</v>
      </c>
      <c r="S201" s="27">
        <f t="shared" si="52"/>
        <v>8.0860772779409465E-2</v>
      </c>
      <c r="T201" s="27">
        <f t="shared" si="52"/>
        <v>8.3748164551472229E-2</v>
      </c>
      <c r="U201" s="27">
        <f t="shared" si="52"/>
        <v>0.26770254430249885</v>
      </c>
      <c r="V201" s="27">
        <f t="shared" si="52"/>
        <v>0.26843638329557273</v>
      </c>
      <c r="W201" s="27">
        <f t="shared" si="52"/>
        <v>0.26870741156063732</v>
      </c>
      <c r="X201" s="27">
        <f t="shared" si="52"/>
        <v>0.26852785801231227</v>
      </c>
      <c r="Y201" s="27">
        <f t="shared" si="52"/>
        <v>0.26792481068861962</v>
      </c>
      <c r="Z201" s="27">
        <f t="shared" si="52"/>
        <v>0.26689273021889548</v>
      </c>
      <c r="AA201" s="27">
        <f t="shared" si="52"/>
        <v>0.26543013343256128</v>
      </c>
      <c r="AB201" s="27">
        <f t="shared" si="52"/>
        <v>0.26353715747778594</v>
      </c>
      <c r="AC201" s="27">
        <f t="shared" si="52"/>
        <v>0.26121623026966229</v>
      </c>
      <c r="AD201" s="27">
        <f t="shared" si="52"/>
        <v>0.25847332541622875</v>
      </c>
      <c r="AE201" s="27">
        <f t="shared" si="52"/>
        <v>0.25531599764072704</v>
      </c>
      <c r="AF201" s="27">
        <f t="shared" si="52"/>
        <v>0.25175492240639524</v>
      </c>
      <c r="AG201" s="27">
        <f t="shared" si="52"/>
        <v>0.2478037797344021</v>
      </c>
      <c r="AH201" s="27">
        <f t="shared" si="52"/>
        <v>0.24347738783336567</v>
      </c>
      <c r="AI201" s="27">
        <f t="shared" si="52"/>
        <v>0.23879237534138331</v>
      </c>
      <c r="AJ201" s="27">
        <f t="shared" si="52"/>
        <v>-2.2251219051901461E-2</v>
      </c>
      <c r="AK201" s="27">
        <f t="shared" si="52"/>
        <v>-2.2010329292297307E-2</v>
      </c>
      <c r="AL201" s="27">
        <f t="shared" si="52"/>
        <v>-2.1768586076349947E-2</v>
      </c>
      <c r="AM201" s="27">
        <f t="shared" si="52"/>
        <v>-2.1526240200831197E-2</v>
      </c>
      <c r="AN201" s="27">
        <f t="shared" si="52"/>
        <v>-2.1283568844564598E-2</v>
      </c>
      <c r="AO201" s="27">
        <f t="shared" si="52"/>
        <v>-2.1039928732674035E-2</v>
      </c>
      <c r="AP201" s="27">
        <f t="shared" si="52"/>
        <v>-2.0794940089199746E-2</v>
      </c>
      <c r="AQ201" s="27">
        <f t="shared" si="52"/>
        <v>-2.054862658012397E-2</v>
      </c>
      <c r="AR201" s="27">
        <f t="shared" si="52"/>
        <v>-2.0300580022227385E-2</v>
      </c>
      <c r="AS201" s="27">
        <f t="shared" si="52"/>
        <v>-2.0050376976853562E-2</v>
      </c>
      <c r="AT201" s="27">
        <f t="shared" si="52"/>
        <v>-1.9798088456072588E-2</v>
      </c>
      <c r="AU201" s="27">
        <f t="shared" si="52"/>
        <v>-1.9543924397373666E-2</v>
      </c>
      <c r="AV201" s="27">
        <f t="shared" si="52"/>
        <v>-1.9288064378450123E-2</v>
      </c>
      <c r="AW201" s="27">
        <f t="shared" si="52"/>
        <v>-1.9030154173993289E-2</v>
      </c>
      <c r="AY201" s="79"/>
    </row>
    <row r="202" spans="1:51" x14ac:dyDescent="0.25">
      <c r="A202" s="95" t="str">
        <f t="shared" si="45"/>
        <v>FA Swine MMN2O</v>
      </c>
      <c r="B202" s="95" t="s">
        <v>962</v>
      </c>
      <c r="C202" s="95" t="s">
        <v>1233</v>
      </c>
      <c r="D202" t="s">
        <v>15</v>
      </c>
      <c r="E202" t="s">
        <v>657</v>
      </c>
      <c r="F202" t="s">
        <v>21</v>
      </c>
      <c r="G202" t="s">
        <v>123</v>
      </c>
      <c r="H202" t="s">
        <v>1227</v>
      </c>
      <c r="I202" t="s">
        <v>139</v>
      </c>
      <c r="J202" t="s">
        <v>287</v>
      </c>
      <c r="K202" s="27">
        <f t="shared" si="47"/>
        <v>3.8131055665722169E-2</v>
      </c>
      <c r="L202" s="27">
        <f t="shared" si="52"/>
        <v>3.7923788015899962E-2</v>
      </c>
      <c r="M202" s="27">
        <f t="shared" si="52"/>
        <v>3.7940799901590251E-2</v>
      </c>
      <c r="N202" s="27">
        <f t="shared" si="52"/>
        <v>3.759247428451009E-2</v>
      </c>
      <c r="O202" s="27">
        <f t="shared" si="52"/>
        <v>3.7023578211438569E-2</v>
      </c>
      <c r="P202" s="27">
        <f t="shared" si="52"/>
        <v>3.6243206089281214E-2</v>
      </c>
      <c r="Q202" s="27">
        <f t="shared" si="52"/>
        <v>3.567656938754183E-2</v>
      </c>
      <c r="R202" s="27">
        <f t="shared" si="52"/>
        <v>3.5160072434777256E-2</v>
      </c>
      <c r="S202" s="27">
        <f t="shared" si="52"/>
        <v>3.1634371482160743E-2</v>
      </c>
      <c r="T202" s="27">
        <f t="shared" si="52"/>
        <v>3.2763977603798337E-2</v>
      </c>
      <c r="U202" s="27">
        <f t="shared" si="52"/>
        <v>0.10473065544757326</v>
      </c>
      <c r="V202" s="27">
        <f t="shared" si="52"/>
        <v>0.10501774811954566</v>
      </c>
      <c r="W202" s="27">
        <f t="shared" si="52"/>
        <v>0.10512377986429053</v>
      </c>
      <c r="X202" s="27">
        <f t="shared" si="52"/>
        <v>0.10505353488080327</v>
      </c>
      <c r="Y202" s="27">
        <f t="shared" si="52"/>
        <v>0.10481761055800391</v>
      </c>
      <c r="Z202" s="27">
        <f t="shared" si="52"/>
        <v>0.10441383978193423</v>
      </c>
      <c r="AA202" s="27">
        <f t="shared" si="52"/>
        <v>0.10384164230623445</v>
      </c>
      <c r="AB202" s="27">
        <f t="shared" si="52"/>
        <v>0.10310107178604509</v>
      </c>
      <c r="AC202" s="27">
        <f t="shared" si="52"/>
        <v>0.10219307807090795</v>
      </c>
      <c r="AD202" s="27">
        <f t="shared" si="52"/>
        <v>0.10111999815723396</v>
      </c>
      <c r="AE202" s="27">
        <f t="shared" si="52"/>
        <v>9.9884787605714245E-2</v>
      </c>
      <c r="AF202" s="27">
        <f t="shared" si="52"/>
        <v>9.8491622873711313E-2</v>
      </c>
      <c r="AG202" s="27">
        <f t="shared" si="52"/>
        <v>9.6945855862482944E-2</v>
      </c>
      <c r="AH202" s="27">
        <f t="shared" si="52"/>
        <v>9.5253283755261486E-2</v>
      </c>
      <c r="AI202" s="27">
        <f t="shared" si="52"/>
        <v>9.3420412011947257E-2</v>
      </c>
      <c r="AJ202" s="27">
        <f t="shared" si="52"/>
        <v>-8.7051274087999644E-3</v>
      </c>
      <c r="AK202" s="27">
        <f t="shared" si="52"/>
        <v>-8.6108864575991286E-3</v>
      </c>
      <c r="AL202" s="27">
        <f t="shared" si="52"/>
        <v>-8.5163116169970788E-3</v>
      </c>
      <c r="AM202" s="27">
        <f t="shared" si="52"/>
        <v>-8.4215010037687853E-3</v>
      </c>
      <c r="AN202" s="27">
        <f t="shared" si="52"/>
        <v>-8.3265630558819938E-3</v>
      </c>
      <c r="AO202" s="27">
        <f t="shared" si="52"/>
        <v>-8.2312461111809163E-3</v>
      </c>
      <c r="AP202" s="27">
        <f t="shared" si="52"/>
        <v>-8.135401593620856E-3</v>
      </c>
      <c r="AQ202" s="27">
        <f t="shared" si="52"/>
        <v>-8.0390387618132202E-3</v>
      </c>
      <c r="AR202" s="27">
        <f t="shared" si="52"/>
        <v>-7.9419979262182108E-3</v>
      </c>
      <c r="AS202" s="27">
        <f t="shared" si="52"/>
        <v>-7.8441134290601709E-3</v>
      </c>
      <c r="AT202" s="27">
        <f t="shared" si="52"/>
        <v>-7.7454130516986675E-3</v>
      </c>
      <c r="AU202" s="27">
        <f t="shared" si="52"/>
        <v>-7.6459789259300508E-3</v>
      </c>
      <c r="AV202" s="27">
        <f t="shared" si="52"/>
        <v>-7.5458813061838152E-3</v>
      </c>
      <c r="AW202" s="27">
        <f t="shared" si="52"/>
        <v>-7.444981612347289E-3</v>
      </c>
      <c r="AY202" s="79"/>
    </row>
    <row r="203" spans="1:51" x14ac:dyDescent="0.25">
      <c r="A203" s="95" t="str">
        <f t="shared" si="45"/>
        <v>FA Poultry MMN2O</v>
      </c>
      <c r="B203" s="95" t="s">
        <v>962</v>
      </c>
      <c r="C203" s="95" t="s">
        <v>1234</v>
      </c>
      <c r="D203" t="s">
        <v>15</v>
      </c>
      <c r="E203" t="s">
        <v>657</v>
      </c>
      <c r="F203" t="s">
        <v>28</v>
      </c>
      <c r="G203" t="s">
        <v>131</v>
      </c>
      <c r="H203" t="s">
        <v>1227</v>
      </c>
      <c r="I203" t="s">
        <v>139</v>
      </c>
      <c r="J203" t="s">
        <v>287</v>
      </c>
      <c r="K203" s="27">
        <f t="shared" si="47"/>
        <v>0.3278422472608899</v>
      </c>
      <c r="L203" s="27">
        <f t="shared" si="52"/>
        <v>0.33450793008613738</v>
      </c>
      <c r="M203" s="27">
        <f t="shared" si="52"/>
        <v>0.34229948156355033</v>
      </c>
      <c r="N203" s="27">
        <f t="shared" si="52"/>
        <v>0.34828124731402305</v>
      </c>
      <c r="O203" s="27">
        <f t="shared" si="52"/>
        <v>0.35308310351311478</v>
      </c>
      <c r="P203" s="27">
        <f t="shared" si="52"/>
        <v>0.35667649320457162</v>
      </c>
      <c r="Q203" s="27">
        <f t="shared" si="52"/>
        <v>0.36128421068096001</v>
      </c>
      <c r="R203" s="27">
        <f t="shared" si="52"/>
        <v>0.36607496135357975</v>
      </c>
      <c r="S203" s="27">
        <f t="shared" si="52"/>
        <v>0.35164354142672727</v>
      </c>
      <c r="T203" s="27">
        <f t="shared" si="52"/>
        <v>0.36454239171647873</v>
      </c>
      <c r="U203" s="27">
        <f t="shared" si="52"/>
        <v>0.81017234402499216</v>
      </c>
      <c r="V203" s="27">
        <f t="shared" si="52"/>
        <v>0.82798351635276735</v>
      </c>
      <c r="W203" s="27">
        <f t="shared" si="52"/>
        <v>0.84506426194084328</v>
      </c>
      <c r="X203" s="27">
        <f t="shared" si="52"/>
        <v>0.86126373168327053</v>
      </c>
      <c r="Y203" s="27">
        <f t="shared" si="52"/>
        <v>0.8763773651993314</v>
      </c>
      <c r="Z203" s="27">
        <f t="shared" si="52"/>
        <v>0.89033910907341196</v>
      </c>
      <c r="AA203" s="27">
        <f t="shared" si="52"/>
        <v>0.90308174157394194</v>
      </c>
      <c r="AB203" s="27">
        <f t="shared" si="52"/>
        <v>0.91454727526335933</v>
      </c>
      <c r="AC203" s="27">
        <f t="shared" si="52"/>
        <v>0.92468482420589437</v>
      </c>
      <c r="AD203" s="27">
        <f t="shared" si="52"/>
        <v>0.93344536277323964</v>
      </c>
      <c r="AE203" s="27">
        <f t="shared" si="52"/>
        <v>0.94079043302909848</v>
      </c>
      <c r="AF203" s="27">
        <f t="shared" si="52"/>
        <v>0.94668534064993604</v>
      </c>
      <c r="AG203" s="27">
        <f t="shared" si="52"/>
        <v>0.95109922865749519</v>
      </c>
      <c r="AH203" s="27">
        <f t="shared" si="52"/>
        <v>0.95401351999914974</v>
      </c>
      <c r="AI203" s="27">
        <f t="shared" si="52"/>
        <v>0.95541860028387315</v>
      </c>
      <c r="AJ203" s="27">
        <f t="shared" si="52"/>
        <v>0.12455157965260578</v>
      </c>
      <c r="AK203" s="27">
        <f t="shared" si="52"/>
        <v>0.12546570662729262</v>
      </c>
      <c r="AL203" s="27">
        <f t="shared" si="52"/>
        <v>0.12635717357285206</v>
      </c>
      <c r="AM203" s="27">
        <f t="shared" si="52"/>
        <v>0.12722732342881915</v>
      </c>
      <c r="AN203" s="27">
        <f t="shared" si="52"/>
        <v>0.12807770428267184</v>
      </c>
      <c r="AO203" s="27">
        <f t="shared" si="52"/>
        <v>0.12890482942711159</v>
      </c>
      <c r="AP203" s="27">
        <f t="shared" si="52"/>
        <v>0.12970640273413572</v>
      </c>
      <c r="AQ203" s="27">
        <f t="shared" si="52"/>
        <v>0.13048225510266878</v>
      </c>
      <c r="AR203" s="27">
        <f t="shared" si="52"/>
        <v>0.13122965143314799</v>
      </c>
      <c r="AS203" s="27">
        <f t="shared" si="52"/>
        <v>0.13194554686006624</v>
      </c>
      <c r="AT203" s="27">
        <f t="shared" si="52"/>
        <v>0.1326296750998292</v>
      </c>
      <c r="AU203" s="27">
        <f t="shared" si="52"/>
        <v>0.13328261317396048</v>
      </c>
      <c r="AV203" s="27">
        <f t="shared" si="52"/>
        <v>0.1339047918740231</v>
      </c>
      <c r="AW203" s="27">
        <f t="shared" si="52"/>
        <v>0.13449324202045793</v>
      </c>
      <c r="AY203" s="79"/>
    </row>
    <row r="204" spans="1:51" x14ac:dyDescent="0.25">
      <c r="A204" s="95" t="str">
        <f t="shared" si="45"/>
        <v>FA Poultry MMN2O</v>
      </c>
      <c r="B204" s="95" t="s">
        <v>962</v>
      </c>
      <c r="C204" s="95" t="s">
        <v>1234</v>
      </c>
      <c r="D204" t="s">
        <v>15</v>
      </c>
      <c r="E204" t="s">
        <v>657</v>
      </c>
      <c r="F204" t="s">
        <v>28</v>
      </c>
      <c r="G204" t="s">
        <v>132</v>
      </c>
      <c r="H204" t="s">
        <v>1227</v>
      </c>
      <c r="I204" t="s">
        <v>139</v>
      </c>
      <c r="J204" t="s">
        <v>287</v>
      </c>
      <c r="K204" s="27">
        <f t="shared" si="47"/>
        <v>1.7017151675634967</v>
      </c>
      <c r="L204" s="27">
        <f t="shared" si="52"/>
        <v>1.724123714732765</v>
      </c>
      <c r="M204" s="27">
        <f t="shared" si="52"/>
        <v>1.7601182693498119</v>
      </c>
      <c r="N204" s="27">
        <f t="shared" si="52"/>
        <v>1.7704533576020518</v>
      </c>
      <c r="O204" s="27">
        <f t="shared" si="52"/>
        <v>1.7641159598844758</v>
      </c>
      <c r="P204" s="27">
        <f t="shared" si="52"/>
        <v>1.741173502214217</v>
      </c>
      <c r="Q204" s="27">
        <f t="shared" si="52"/>
        <v>1.7315152516158581</v>
      </c>
      <c r="R204" s="27">
        <f t="shared" si="52"/>
        <v>1.7240481490859689</v>
      </c>
      <c r="S204" s="27">
        <f t="shared" si="52"/>
        <v>1.5035639635767468</v>
      </c>
      <c r="T204" s="27">
        <f t="shared" si="52"/>
        <v>1.6173540495561818</v>
      </c>
      <c r="U204" s="27">
        <f t="shared" si="52"/>
        <v>7.0326605429040603</v>
      </c>
      <c r="V204" s="27">
        <f t="shared" si="52"/>
        <v>7.1587444728308389</v>
      </c>
      <c r="W204" s="27">
        <f t="shared" si="52"/>
        <v>7.2707564931151909</v>
      </c>
      <c r="X204" s="27">
        <f t="shared" si="52"/>
        <v>7.3691748844835665</v>
      </c>
      <c r="Y204" s="27">
        <f t="shared" si="52"/>
        <v>7.4553371690594963</v>
      </c>
      <c r="Z204" s="27">
        <f t="shared" si="52"/>
        <v>7.5285970501173791</v>
      </c>
      <c r="AA204" s="27">
        <f t="shared" si="52"/>
        <v>7.5884583464710351</v>
      </c>
      <c r="AB204" s="27">
        <f t="shared" si="52"/>
        <v>7.6344333579538368</v>
      </c>
      <c r="AC204" s="27">
        <f t="shared" si="52"/>
        <v>7.6660871188162911</v>
      </c>
      <c r="AD204" s="27">
        <f t="shared" si="52"/>
        <v>7.6831230278292386</v>
      </c>
      <c r="AE204" s="27">
        <f t="shared" si="52"/>
        <v>7.6852660983393646</v>
      </c>
      <c r="AF204" s="27">
        <f t="shared" si="52"/>
        <v>7.6723681593235442</v>
      </c>
      <c r="AG204" s="27">
        <f t="shared" si="52"/>
        <v>7.6444112062228218</v>
      </c>
      <c r="AH204" s="27">
        <f t="shared" si="52"/>
        <v>7.601393060420655</v>
      </c>
      <c r="AI204" s="27">
        <f t="shared" si="52"/>
        <v>7.5433781605278138</v>
      </c>
      <c r="AJ204" s="27">
        <f t="shared" si="52"/>
        <v>-1.6108210655566082</v>
      </c>
      <c r="AK204" s="27">
        <f t="shared" si="52"/>
        <v>-1.613100635371139</v>
      </c>
      <c r="AL204" s="27">
        <f t="shared" si="52"/>
        <v>-1.6151647470887973</v>
      </c>
      <c r="AM204" s="27">
        <f t="shared" si="52"/>
        <v>-1.6170309534265412</v>
      </c>
      <c r="AN204" s="27">
        <f t="shared" si="52"/>
        <v>-1.6187193219312461</v>
      </c>
      <c r="AO204" s="27">
        <f t="shared" si="52"/>
        <v>-1.6201827321446018</v>
      </c>
      <c r="AP204" s="27">
        <f t="shared" si="52"/>
        <v>-1.6213910531514668</v>
      </c>
      <c r="AQ204" s="27">
        <f t="shared" si="52"/>
        <v>-1.6223429170122639</v>
      </c>
      <c r="AR204" s="27">
        <f t="shared" si="52"/>
        <v>-1.623003587370585</v>
      </c>
      <c r="AS204" s="27">
        <f t="shared" si="52"/>
        <v>-1.6233351759618906</v>
      </c>
      <c r="AT204" s="27">
        <f t="shared" si="52"/>
        <v>-1.623336597056291</v>
      </c>
      <c r="AU204" s="27">
        <f t="shared" si="52"/>
        <v>-1.6230176880430305</v>
      </c>
      <c r="AV204" s="27">
        <f t="shared" si="52"/>
        <v>-1.6223862668543294</v>
      </c>
      <c r="AW204" s="27">
        <f t="shared" si="52"/>
        <v>-1.6214068147422027</v>
      </c>
      <c r="AY204" s="79"/>
    </row>
    <row r="205" spans="1:51" x14ac:dyDescent="0.25">
      <c r="A205" s="95" t="str">
        <f t="shared" si="45"/>
        <v>FA Poultry MMN2O</v>
      </c>
      <c r="B205" s="95" t="s">
        <v>962</v>
      </c>
      <c r="C205" s="95" t="s">
        <v>1234</v>
      </c>
      <c r="D205" t="s">
        <v>15</v>
      </c>
      <c r="E205" t="s">
        <v>657</v>
      </c>
      <c r="F205" t="s">
        <v>28</v>
      </c>
      <c r="G205" t="s">
        <v>134</v>
      </c>
      <c r="H205" t="s">
        <v>1227</v>
      </c>
      <c r="I205" t="s">
        <v>139</v>
      </c>
      <c r="J205" t="s">
        <v>287</v>
      </c>
      <c r="K205" s="27">
        <f t="shared" si="47"/>
        <v>1.3660093635870426E-2</v>
      </c>
      <c r="L205" s="27">
        <f t="shared" si="52"/>
        <v>1.3937830420255738E-2</v>
      </c>
      <c r="M205" s="27">
        <f t="shared" si="52"/>
        <v>1.4262478398481276E-2</v>
      </c>
      <c r="N205" s="27">
        <f t="shared" si="52"/>
        <v>1.4511718638084306E-2</v>
      </c>
      <c r="O205" s="27">
        <f t="shared" si="52"/>
        <v>1.4711795979713132E-2</v>
      </c>
      <c r="P205" s="27">
        <f t="shared" si="52"/>
        <v>1.4861520550190495E-2</v>
      </c>
      <c r="Q205" s="27">
        <f t="shared" si="52"/>
        <v>1.5053508778373347E-2</v>
      </c>
      <c r="R205" s="27">
        <f t="shared" si="52"/>
        <v>1.5253123389732505E-2</v>
      </c>
      <c r="S205" s="27">
        <f t="shared" si="52"/>
        <v>1.4651814226113646E-2</v>
      </c>
      <c r="T205" s="27">
        <f t="shared" si="52"/>
        <v>1.5189266321519962E-2</v>
      </c>
      <c r="U205" s="27">
        <f t="shared" si="52"/>
        <v>3.3757181001041366E-2</v>
      </c>
      <c r="V205" s="27">
        <f t="shared" si="52"/>
        <v>3.4499313181365336E-2</v>
      </c>
      <c r="W205" s="27">
        <f t="shared" si="52"/>
        <v>3.5211010914201833E-2</v>
      </c>
      <c r="X205" s="27">
        <f t="shared" si="52"/>
        <v>3.5885988820136307E-2</v>
      </c>
      <c r="Y205" s="27">
        <f t="shared" si="52"/>
        <v>3.6515723549972179E-2</v>
      </c>
      <c r="Z205" s="27">
        <f t="shared" si="52"/>
        <v>3.7097462878058866E-2</v>
      </c>
      <c r="AA205" s="27">
        <f t="shared" si="52"/>
        <v>3.7628405898914287E-2</v>
      </c>
      <c r="AB205" s="27">
        <f t="shared" si="52"/>
        <v>3.8106136469306676E-2</v>
      </c>
      <c r="AC205" s="27">
        <f t="shared" si="52"/>
        <v>3.85285343419123E-2</v>
      </c>
      <c r="AD205" s="27">
        <f t="shared" si="52"/>
        <v>3.8893556782218362E-2</v>
      </c>
      <c r="AE205" s="27">
        <f t="shared" si="52"/>
        <v>3.9199601376212471E-2</v>
      </c>
      <c r="AF205" s="27">
        <f t="shared" si="52"/>
        <v>3.9445222527080714E-2</v>
      </c>
      <c r="AG205" s="27">
        <f t="shared" si="52"/>
        <v>3.9629134527395672E-2</v>
      </c>
      <c r="AH205" s="27">
        <f t="shared" si="52"/>
        <v>3.9750563333297947E-2</v>
      </c>
      <c r="AI205" s="27">
        <f t="shared" si="52"/>
        <v>3.9809108345161416E-2</v>
      </c>
      <c r="AJ205" s="27">
        <f t="shared" si="52"/>
        <v>5.189649152191912E-3</v>
      </c>
      <c r="AK205" s="27">
        <f t="shared" ref="L205:AW206" si="53">AK1427</f>
        <v>5.2277377761371976E-3</v>
      </c>
      <c r="AL205" s="27">
        <f t="shared" si="53"/>
        <v>5.2648822322021753E-3</v>
      </c>
      <c r="AM205" s="27">
        <f t="shared" si="53"/>
        <v>5.3011384762008023E-3</v>
      </c>
      <c r="AN205" s="27">
        <f t="shared" si="53"/>
        <v>5.3365710117779979E-3</v>
      </c>
      <c r="AO205" s="27">
        <f t="shared" si="53"/>
        <v>5.3710345594629892E-3</v>
      </c>
      <c r="AP205" s="27">
        <f t="shared" si="53"/>
        <v>5.4044334472556589E-3</v>
      </c>
      <c r="AQ205" s="27">
        <f t="shared" si="53"/>
        <v>5.4367606292778717E-3</v>
      </c>
      <c r="AR205" s="27">
        <f t="shared" si="53"/>
        <v>5.4679021430478368E-3</v>
      </c>
      <c r="AS205" s="27">
        <f t="shared" si="53"/>
        <v>5.4977311191694326E-3</v>
      </c>
      <c r="AT205" s="27">
        <f t="shared" si="53"/>
        <v>5.5262364624928872E-3</v>
      </c>
      <c r="AU205" s="27">
        <f t="shared" si="53"/>
        <v>5.5534422155816918E-3</v>
      </c>
      <c r="AV205" s="27">
        <f t="shared" si="53"/>
        <v>5.5793663280842998E-3</v>
      </c>
      <c r="AW205" s="27">
        <f t="shared" si="53"/>
        <v>5.6038850841857524E-3</v>
      </c>
      <c r="AY205" s="79"/>
    </row>
    <row r="206" spans="1:51" x14ac:dyDescent="0.25">
      <c r="A206" s="95" t="str">
        <f t="shared" si="45"/>
        <v>FA Poultry MMN2O</v>
      </c>
      <c r="B206" s="95" t="s">
        <v>962</v>
      </c>
      <c r="C206" s="95" t="s">
        <v>1234</v>
      </c>
      <c r="D206" t="s">
        <v>15</v>
      </c>
      <c r="E206" t="s">
        <v>657</v>
      </c>
      <c r="F206" t="s">
        <v>28</v>
      </c>
      <c r="G206" t="s">
        <v>133</v>
      </c>
      <c r="H206" t="s">
        <v>1227</v>
      </c>
      <c r="I206" t="s">
        <v>139</v>
      </c>
      <c r="J206" t="s">
        <v>287</v>
      </c>
      <c r="K206" s="27">
        <f t="shared" si="47"/>
        <v>7.0904798648479081E-2</v>
      </c>
      <c r="L206" s="27">
        <f t="shared" si="53"/>
        <v>7.183848811386527E-2</v>
      </c>
      <c r="M206" s="27">
        <f t="shared" si="53"/>
        <v>7.3338261222908901E-2</v>
      </c>
      <c r="N206" s="27">
        <f t="shared" si="53"/>
        <v>7.3768889900085566E-2</v>
      </c>
      <c r="O206" s="27">
        <f t="shared" si="53"/>
        <v>7.3504831661853232E-2</v>
      </c>
      <c r="P206" s="27">
        <f t="shared" si="53"/>
        <v>7.2548895925592438E-2</v>
      </c>
      <c r="Q206" s="27">
        <f t="shared" si="53"/>
        <v>7.2146468817327503E-2</v>
      </c>
      <c r="R206" s="27">
        <f t="shared" si="53"/>
        <v>7.1835339545248775E-2</v>
      </c>
      <c r="S206" s="27">
        <f t="shared" si="53"/>
        <v>6.264849848236452E-2</v>
      </c>
      <c r="T206" s="27">
        <f t="shared" si="53"/>
        <v>6.7389752064840963E-2</v>
      </c>
      <c r="U206" s="27">
        <f t="shared" si="53"/>
        <v>0.29302752262100273</v>
      </c>
      <c r="V206" s="27">
        <f t="shared" si="53"/>
        <v>0.29828101970128529</v>
      </c>
      <c r="W206" s="27">
        <f t="shared" si="53"/>
        <v>0.30294818721313321</v>
      </c>
      <c r="X206" s="27">
        <f t="shared" si="53"/>
        <v>0.30704895352014883</v>
      </c>
      <c r="Y206" s="27">
        <f t="shared" si="53"/>
        <v>0.31063904871081255</v>
      </c>
      <c r="Z206" s="27">
        <f t="shared" si="53"/>
        <v>0.31369154375489111</v>
      </c>
      <c r="AA206" s="27">
        <f t="shared" si="53"/>
        <v>0.31618576443629343</v>
      </c>
      <c r="AB206" s="27">
        <f t="shared" si="53"/>
        <v>0.31810138991474352</v>
      </c>
      <c r="AC206" s="27">
        <f t="shared" si="53"/>
        <v>0.31942029661734572</v>
      </c>
      <c r="AD206" s="27">
        <f t="shared" si="53"/>
        <v>0.320130126159552</v>
      </c>
      <c r="AE206" s="27">
        <f t="shared" si="53"/>
        <v>0.32021942076414051</v>
      </c>
      <c r="AF206" s="27">
        <f t="shared" si="53"/>
        <v>0.31968200663848134</v>
      </c>
      <c r="AG206" s="27">
        <f t="shared" si="53"/>
        <v>0.31851713359261785</v>
      </c>
      <c r="AH206" s="27">
        <f t="shared" si="53"/>
        <v>0.31672471085086101</v>
      </c>
      <c r="AI206" s="27">
        <f t="shared" si="53"/>
        <v>0.31430742335532585</v>
      </c>
      <c r="AJ206" s="27">
        <f t="shared" si="53"/>
        <v>-6.7117544398192078E-2</v>
      </c>
      <c r="AK206" s="27">
        <f t="shared" si="53"/>
        <v>-6.7212526473797524E-2</v>
      </c>
      <c r="AL206" s="27">
        <f t="shared" si="53"/>
        <v>-6.7298531128699962E-2</v>
      </c>
      <c r="AM206" s="27">
        <f t="shared" si="53"/>
        <v>-6.7376289726105959E-2</v>
      </c>
      <c r="AN206" s="27">
        <f t="shared" si="53"/>
        <v>-6.7446638413801982E-2</v>
      </c>
      <c r="AO206" s="27">
        <f t="shared" si="53"/>
        <v>-6.750761383935848E-2</v>
      </c>
      <c r="AP206" s="27">
        <f t="shared" si="53"/>
        <v>-6.7557960547977858E-2</v>
      </c>
      <c r="AQ206" s="27">
        <f t="shared" si="53"/>
        <v>-6.759762154217773E-2</v>
      </c>
      <c r="AR206" s="27">
        <f t="shared" si="53"/>
        <v>-6.7625149473774446E-2</v>
      </c>
      <c r="AS206" s="27">
        <f t="shared" si="53"/>
        <v>-6.7638965665078848E-2</v>
      </c>
      <c r="AT206" s="27">
        <f t="shared" si="53"/>
        <v>-6.7639024877345522E-2</v>
      </c>
      <c r="AU206" s="27">
        <f t="shared" si="53"/>
        <v>-6.7625737001792988E-2</v>
      </c>
      <c r="AV206" s="27">
        <f t="shared" si="53"/>
        <v>-6.7599427785597133E-2</v>
      </c>
      <c r="AW206" s="27">
        <f t="shared" si="53"/>
        <v>-6.7558617280925187E-2</v>
      </c>
      <c r="AY206" s="79"/>
    </row>
    <row r="207" spans="1:51" x14ac:dyDescent="0.25">
      <c r="A207" s="95" t="str">
        <f t="shared" si="45"/>
        <v>FA Synthetic</v>
      </c>
      <c r="B207" s="95" t="s">
        <v>962</v>
      </c>
      <c r="C207" s="95" t="s">
        <v>1126</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6.6035651430821094</v>
      </c>
      <c r="U207" s="22">
        <f t="shared" si="54"/>
        <v>6.6008394987584191</v>
      </c>
      <c r="V207" s="22">
        <f t="shared" si="54"/>
        <v>6.5354261970149441</v>
      </c>
      <c r="W207" s="22">
        <f t="shared" si="54"/>
        <v>6.5337920332710731</v>
      </c>
      <c r="X207" s="22">
        <f t="shared" si="54"/>
        <v>6.5322793572104443</v>
      </c>
      <c r="Y207" s="22">
        <f t="shared" si="54"/>
        <v>6.5308880056970544</v>
      </c>
      <c r="Z207" s="22">
        <f t="shared" si="54"/>
        <v>6.5296169227266478</v>
      </c>
      <c r="AA207" s="22">
        <f t="shared" si="54"/>
        <v>6.5284672118777083</v>
      </c>
      <c r="AB207" s="22">
        <f t="shared" si="54"/>
        <v>6.5274397960506132</v>
      </c>
      <c r="AC207" s="22">
        <f t="shared" si="54"/>
        <v>6.5265355793719113</v>
      </c>
      <c r="AD207" s="22">
        <f t="shared" si="54"/>
        <v>6.5257554079256641</v>
      </c>
      <c r="AE207" s="22">
        <f t="shared" si="54"/>
        <v>6.5250999875184093</v>
      </c>
      <c r="AF207" s="22">
        <f t="shared" si="54"/>
        <v>6.524570013447069</v>
      </c>
      <c r="AG207" s="22">
        <f t="shared" si="54"/>
        <v>6.524166065107158</v>
      </c>
      <c r="AH207" s="22">
        <f t="shared" si="54"/>
        <v>6.5238886062718322</v>
      </c>
      <c r="AI207" s="22">
        <f t="shared" si="54"/>
        <v>6.523738107982866</v>
      </c>
      <c r="AJ207" s="22">
        <f t="shared" si="54"/>
        <v>6.5237149971504902</v>
      </c>
      <c r="AK207" s="22">
        <f t="shared" si="54"/>
        <v>6.7170770118746468</v>
      </c>
      <c r="AL207" s="22">
        <f t="shared" si="54"/>
        <v>6.7172409254060446</v>
      </c>
      <c r="AM207" s="22">
        <f t="shared" si="54"/>
        <v>6.7174011054610014</v>
      </c>
      <c r="AN207" s="22">
        <f t="shared" si="54"/>
        <v>6.717557770633813</v>
      </c>
      <c r="AO207" s="22">
        <f t="shared" si="54"/>
        <v>6.7177111790148194</v>
      </c>
      <c r="AP207" s="22">
        <f t="shared" si="54"/>
        <v>6.7178606782023653</v>
      </c>
      <c r="AQ207" s="22">
        <f t="shared" si="54"/>
        <v>6.7180058277133394</v>
      </c>
      <c r="AR207" s="22">
        <f t="shared" si="54"/>
        <v>6.7181465717092257</v>
      </c>
      <c r="AS207" s="22">
        <f t="shared" si="54"/>
        <v>6.7182823869267976</v>
      </c>
      <c r="AT207" s="22">
        <f t="shared" si="54"/>
        <v>6.7184126908492701</v>
      </c>
      <c r="AU207" s="22">
        <f t="shared" si="54"/>
        <v>6.7185374065365453</v>
      </c>
      <c r="AV207" s="22">
        <f t="shared" si="54"/>
        <v>6.7186566123512304</v>
      </c>
      <c r="AW207" s="22">
        <f t="shared" si="54"/>
        <v>6.7187703615819192</v>
      </c>
      <c r="AY207" s="79"/>
    </row>
    <row r="208" spans="1:51" x14ac:dyDescent="0.25">
      <c r="A208" s="95" t="str">
        <f t="shared" si="45"/>
        <v>FA Organic</v>
      </c>
      <c r="B208" s="95" t="s">
        <v>962</v>
      </c>
      <c r="C208" s="95" t="s">
        <v>1127</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4.358352994434192E-2</v>
      </c>
      <c r="U208" s="22">
        <f t="shared" si="55"/>
        <v>4.3565540691805578E-2</v>
      </c>
      <c r="V208" s="22">
        <f t="shared" si="55"/>
        <v>4.3133812900298642E-2</v>
      </c>
      <c r="W208" s="22">
        <f t="shared" si="55"/>
        <v>4.312302741958908E-2</v>
      </c>
      <c r="X208" s="22">
        <f t="shared" si="55"/>
        <v>4.3113043757588947E-2</v>
      </c>
      <c r="Y208" s="22">
        <f t="shared" si="55"/>
        <v>4.3103860837600566E-2</v>
      </c>
      <c r="Z208" s="22">
        <f t="shared" si="55"/>
        <v>4.3095471689995883E-2</v>
      </c>
      <c r="AA208" s="22">
        <f t="shared" si="54"/>
        <v>4.3087883598392877E-2</v>
      </c>
      <c r="AB208" s="22">
        <f t="shared" si="54"/>
        <v>4.3081102653934056E-2</v>
      </c>
      <c r="AC208" s="22">
        <f t="shared" si="54"/>
        <v>4.3075134823854618E-2</v>
      </c>
      <c r="AD208" s="22">
        <f t="shared" si="54"/>
        <v>4.3069985692309382E-2</v>
      </c>
      <c r="AE208" s="22">
        <f t="shared" si="54"/>
        <v>4.3065659917621506E-2</v>
      </c>
      <c r="AF208" s="22">
        <f t="shared" si="54"/>
        <v>4.3062162088750661E-2</v>
      </c>
      <c r="AG208" s="22">
        <f t="shared" si="54"/>
        <v>4.3059496029707253E-2</v>
      </c>
      <c r="AH208" s="22">
        <f t="shared" si="54"/>
        <v>4.3057664801394106E-2</v>
      </c>
      <c r="AI208" s="22">
        <f t="shared" si="54"/>
        <v>4.3056671512686932E-2</v>
      </c>
      <c r="AJ208" s="22">
        <f t="shared" si="54"/>
        <v>4.3056518981193247E-2</v>
      </c>
      <c r="AK208" s="22">
        <f t="shared" si="54"/>
        <v>4.4332708278372678E-2</v>
      </c>
      <c r="AL208" s="22">
        <f t="shared" si="54"/>
        <v>4.4333790107679898E-2</v>
      </c>
      <c r="AM208" s="22">
        <f t="shared" si="54"/>
        <v>4.4334847296042611E-2</v>
      </c>
      <c r="AN208" s="22">
        <f t="shared" si="54"/>
        <v>4.4335881286183175E-2</v>
      </c>
      <c r="AO208" s="22">
        <f t="shared" si="54"/>
        <v>4.433689378149782E-2</v>
      </c>
      <c r="AP208" s="22">
        <f t="shared" si="54"/>
        <v>4.433788047613562E-2</v>
      </c>
      <c r="AQ208" s="22">
        <f t="shared" si="54"/>
        <v>4.4338838462908037E-2</v>
      </c>
      <c r="AR208" s="22">
        <f t="shared" si="54"/>
        <v>4.4339767373280901E-2</v>
      </c>
      <c r="AS208" s="22">
        <f t="shared" si="54"/>
        <v>4.4340663753716876E-2</v>
      </c>
      <c r="AT208" s="22">
        <f t="shared" si="54"/>
        <v>4.4341523759605192E-2</v>
      </c>
      <c r="AU208" s="22">
        <f t="shared" si="54"/>
        <v>4.4342346883141204E-2</v>
      </c>
      <c r="AV208" s="22">
        <f t="shared" si="54"/>
        <v>4.4343133641518123E-2</v>
      </c>
      <c r="AW208" s="22">
        <f t="shared" si="54"/>
        <v>4.4343884386440678E-2</v>
      </c>
      <c r="AY208" s="79"/>
    </row>
    <row r="209" spans="1:51" x14ac:dyDescent="0.25">
      <c r="A209" s="95" t="str">
        <f t="shared" si="45"/>
        <v>FA Crop residues</v>
      </c>
      <c r="B209" s="95" t="s">
        <v>962</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2.9710792197336011</v>
      </c>
      <c r="U209" s="22">
        <f t="shared" si="54"/>
        <v>2.9914277552243997</v>
      </c>
      <c r="V209" s="22">
        <f t="shared" si="54"/>
        <v>3.4797764662170874</v>
      </c>
      <c r="W209" s="22">
        <f t="shared" si="54"/>
        <v>3.4919764582156594</v>
      </c>
      <c r="X209" s="22">
        <f t="shared" si="54"/>
        <v>3.5032694733160721</v>
      </c>
      <c r="Y209" s="22">
        <f t="shared" si="54"/>
        <v>3.5136567294244192</v>
      </c>
      <c r="Z209" s="22">
        <f t="shared" si="54"/>
        <v>3.5231461102325734</v>
      </c>
      <c r="AA209" s="22">
        <f t="shared" si="54"/>
        <v>3.5317293768790967</v>
      </c>
      <c r="AB209" s="22">
        <f t="shared" si="54"/>
        <v>3.539399639370707</v>
      </c>
      <c r="AC209" s="22">
        <f t="shared" si="54"/>
        <v>3.5461501478717818</v>
      </c>
      <c r="AD209" s="22">
        <f t="shared" si="54"/>
        <v>3.5519745858679355</v>
      </c>
      <c r="AE209" s="22">
        <f t="shared" si="54"/>
        <v>3.5568676840988758</v>
      </c>
      <c r="AF209" s="22">
        <f t="shared" si="54"/>
        <v>3.5608242517647808</v>
      </c>
      <c r="AG209" s="22">
        <f t="shared" si="54"/>
        <v>3.5638399633378826</v>
      </c>
      <c r="AH209" s="22">
        <f t="shared" si="54"/>
        <v>3.5659113564792468</v>
      </c>
      <c r="AI209" s="22">
        <f t="shared" si="54"/>
        <v>3.5670349145853852</v>
      </c>
      <c r="AJ209" s="22">
        <f t="shared" si="54"/>
        <v>3.5672074505207347</v>
      </c>
      <c r="AK209" s="22">
        <f t="shared" si="54"/>
        <v>2.1236464601919001</v>
      </c>
      <c r="AL209" s="22">
        <f t="shared" si="54"/>
        <v>2.122422749423007</v>
      </c>
      <c r="AM209" s="22">
        <f t="shared" si="54"/>
        <v>2.1212269112482072</v>
      </c>
      <c r="AN209" s="22">
        <f t="shared" si="54"/>
        <v>2.1200573137327008</v>
      </c>
      <c r="AO209" s="22">
        <f t="shared" si="54"/>
        <v>2.1189120300805597</v>
      </c>
      <c r="AP209" s="22">
        <f t="shared" si="54"/>
        <v>2.1177959308532275</v>
      </c>
      <c r="AQ209" s="22">
        <f t="shared" si="54"/>
        <v>2.1167123045158354</v>
      </c>
      <c r="AR209" s="22">
        <f t="shared" si="54"/>
        <v>2.1156615679356672</v>
      </c>
      <c r="AS209" s="22">
        <f t="shared" si="54"/>
        <v>2.1146476275800086</v>
      </c>
      <c r="AT209" s="22">
        <f t="shared" si="54"/>
        <v>2.1136748322787415</v>
      </c>
      <c r="AU209" s="22">
        <f t="shared" si="54"/>
        <v>2.1127437564348668</v>
      </c>
      <c r="AV209" s="22">
        <f t="shared" si="54"/>
        <v>2.111853815025504</v>
      </c>
      <c r="AW209" s="22">
        <f t="shared" si="54"/>
        <v>2.1110046102200224</v>
      </c>
      <c r="AY209" s="79"/>
    </row>
    <row r="210" spans="1:51" x14ac:dyDescent="0.25">
      <c r="A210" s="95" t="str">
        <f t="shared" si="45"/>
        <v>FA Organic</v>
      </c>
      <c r="B210" s="95" t="s">
        <v>962</v>
      </c>
      <c r="C210" s="95" t="s">
        <v>1127</v>
      </c>
      <c r="D210" t="s">
        <v>369</v>
      </c>
      <c r="E210" t="s">
        <v>55</v>
      </c>
      <c r="F210" t="s">
        <v>421</v>
      </c>
      <c r="G210" t="s">
        <v>1152</v>
      </c>
      <c r="H210" t="s">
        <v>1153</v>
      </c>
      <c r="I210" t="s">
        <v>139</v>
      </c>
      <c r="J210" t="s">
        <v>287</v>
      </c>
      <c r="K210" s="22">
        <f t="shared" si="55"/>
        <v>0.31878106382562998</v>
      </c>
      <c r="L210" s="22">
        <f t="shared" si="54"/>
        <v>0.32056321299147922</v>
      </c>
      <c r="M210" s="22">
        <f t="shared" si="54"/>
        <v>0.32309177745176459</v>
      </c>
      <c r="N210" s="22">
        <f t="shared" si="54"/>
        <v>0.32471664946511047</v>
      </c>
      <c r="O210" s="22">
        <f t="shared" si="54"/>
        <v>0.32579638434951891</v>
      </c>
      <c r="P210" s="22">
        <f t="shared" si="54"/>
        <v>0.32632035510276458</v>
      </c>
      <c r="Q210" s="22">
        <f t="shared" si="54"/>
        <v>0.32747800149861978</v>
      </c>
      <c r="R210" s="22">
        <f t="shared" si="54"/>
        <v>0.32880601635823309</v>
      </c>
      <c r="S210" s="22">
        <f t="shared" si="54"/>
        <v>0.3194631230654072</v>
      </c>
      <c r="T210" s="22">
        <f t="shared" si="54"/>
        <v>0.32495993852650251</v>
      </c>
      <c r="U210" s="22">
        <f t="shared" si="54"/>
        <v>0.55911956199622048</v>
      </c>
      <c r="V210" s="22">
        <f t="shared" si="54"/>
        <v>0.56585948734565139</v>
      </c>
      <c r="W210" s="22">
        <f t="shared" si="54"/>
        <v>0.57230378307872798</v>
      </c>
      <c r="X210" s="22">
        <f t="shared" si="54"/>
        <v>0.57834283314741031</v>
      </c>
      <c r="Y210" s="22">
        <f t="shared" si="54"/>
        <v>0.58381536330507111</v>
      </c>
      <c r="Z210" s="22">
        <f t="shared" si="54"/>
        <v>0.58869581671270654</v>
      </c>
      <c r="AA210" s="22">
        <f t="shared" si="54"/>
        <v>0.59295576215312973</v>
      </c>
      <c r="AB210" s="22">
        <f t="shared" si="54"/>
        <v>0.59657368139031808</v>
      </c>
      <c r="AC210" s="22">
        <f t="shared" si="54"/>
        <v>0.59953250893616183</v>
      </c>
      <c r="AD210" s="22">
        <f t="shared" si="54"/>
        <v>0.60181430512751644</v>
      </c>
      <c r="AE210" s="22">
        <f t="shared" si="54"/>
        <v>0.60340833018876772</v>
      </c>
      <c r="AF210" s="22">
        <f t="shared" si="54"/>
        <v>0.60430428229357946</v>
      </c>
      <c r="AG210" s="22">
        <f t="shared" si="54"/>
        <v>0.60449220860104358</v>
      </c>
      <c r="AH210" s="22">
        <f t="shared" si="54"/>
        <v>0.60397029153121029</v>
      </c>
      <c r="AI210" s="22">
        <f t="shared" si="54"/>
        <v>0.60274150240431557</v>
      </c>
      <c r="AJ210" s="22">
        <f t="shared" si="54"/>
        <v>0.19069698851099628</v>
      </c>
      <c r="AK210" s="22">
        <f t="shared" si="54"/>
        <v>0.19083619411236313</v>
      </c>
      <c r="AL210" s="22">
        <f t="shared" si="54"/>
        <v>0.19096537877553132</v>
      </c>
      <c r="AM210" s="22">
        <f t="shared" si="54"/>
        <v>0.19108541639025195</v>
      </c>
      <c r="AN210" s="22">
        <f t="shared" si="54"/>
        <v>0.19119738340555115</v>
      </c>
      <c r="AO210" s="22">
        <f t="shared" si="54"/>
        <v>0.19129776572073925</v>
      </c>
      <c r="AP210" s="22">
        <f t="shared" si="54"/>
        <v>0.19138420348192833</v>
      </c>
      <c r="AQ210" s="22">
        <f t="shared" si="54"/>
        <v>0.19145631825873433</v>
      </c>
      <c r="AR210" s="22">
        <f t="shared" si="54"/>
        <v>0.19151143246366148</v>
      </c>
      <c r="AS210" s="22">
        <f t="shared" si="54"/>
        <v>0.19154663907394784</v>
      </c>
      <c r="AT210" s="22">
        <f t="shared" si="54"/>
        <v>0.19156157903173729</v>
      </c>
      <c r="AU210" s="22">
        <f t="shared" si="54"/>
        <v>0.19155666524405471</v>
      </c>
      <c r="AV210" s="22">
        <f t="shared" si="54"/>
        <v>0.19153218566591518</v>
      </c>
      <c r="AW210" s="22">
        <f t="shared" si="54"/>
        <v>0.1914854060866179</v>
      </c>
      <c r="AY210" s="79"/>
    </row>
    <row r="211" spans="1:51" x14ac:dyDescent="0.25">
      <c r="A211" s="95" t="str">
        <f t="shared" si="45"/>
        <v>FA Organic</v>
      </c>
      <c r="B211" s="95" t="s">
        <v>962</v>
      </c>
      <c r="C211" s="95" t="s">
        <v>1127</v>
      </c>
      <c r="D211" t="s">
        <v>369</v>
      </c>
      <c r="E211" t="s">
        <v>55</v>
      </c>
      <c r="F211" t="s">
        <v>421</v>
      </c>
      <c r="G211" t="s">
        <v>1154</v>
      </c>
      <c r="H211" t="s">
        <v>1155</v>
      </c>
      <c r="I211" t="s">
        <v>139</v>
      </c>
      <c r="J211" t="s">
        <v>287</v>
      </c>
      <c r="K211" s="22">
        <f t="shared" si="55"/>
        <v>0.93210651077804862</v>
      </c>
      <c r="L211" s="22">
        <f t="shared" si="54"/>
        <v>0.93731746283627526</v>
      </c>
      <c r="M211" s="22">
        <f t="shared" si="54"/>
        <v>0.94471091139331731</v>
      </c>
      <c r="N211" s="22">
        <f t="shared" si="54"/>
        <v>0.94946198965576145</v>
      </c>
      <c r="O211" s="22">
        <f t="shared" si="54"/>
        <v>0.95261910289076102</v>
      </c>
      <c r="P211" s="22">
        <f t="shared" si="54"/>
        <v>0.954151178054501</v>
      </c>
      <c r="Q211" s="22">
        <f t="shared" si="54"/>
        <v>0.95753610227115837</v>
      </c>
      <c r="R211" s="22">
        <f t="shared" si="54"/>
        <v>0.96141917889497153</v>
      </c>
      <c r="S211" s="22">
        <f t="shared" si="54"/>
        <v>0.93410083205454864</v>
      </c>
      <c r="T211" s="22">
        <f t="shared" si="54"/>
        <v>0.95017335975849948</v>
      </c>
      <c r="U211" s="22">
        <f t="shared" si="54"/>
        <v>1.6348492529189775</v>
      </c>
      <c r="V211" s="22">
        <f t="shared" si="54"/>
        <v>1.654556597592997</v>
      </c>
      <c r="W211" s="22">
        <f t="shared" si="54"/>
        <v>1.6733995299117927</v>
      </c>
      <c r="X211" s="22">
        <f t="shared" si="54"/>
        <v>1.6910575357556168</v>
      </c>
      <c r="Y211" s="22">
        <f t="shared" si="54"/>
        <v>1.7070590539423278</v>
      </c>
      <c r="Z211" s="22">
        <f t="shared" si="54"/>
        <v>1.7213293570218551</v>
      </c>
      <c r="AA211" s="22">
        <f t="shared" si="54"/>
        <v>1.7337853129463565</v>
      </c>
      <c r="AB211" s="22">
        <f t="shared" si="54"/>
        <v>1.7443640030228067</v>
      </c>
      <c r="AC211" s="22">
        <f t="shared" si="54"/>
        <v>1.753015528262897</v>
      </c>
      <c r="AD211" s="22">
        <f t="shared" si="54"/>
        <v>1.7596874336160764</v>
      </c>
      <c r="AE211" s="22">
        <f t="shared" si="54"/>
        <v>1.7643483162924332</v>
      </c>
      <c r="AF211" s="22">
        <f t="shared" si="54"/>
        <v>1.7669680540529458</v>
      </c>
      <c r="AG211" s="22">
        <f t="shared" si="54"/>
        <v>1.7675175450817782</v>
      </c>
      <c r="AH211" s="22">
        <f t="shared" si="54"/>
        <v>1.7659914748282959</v>
      </c>
      <c r="AI211" s="22">
        <f t="shared" si="54"/>
        <v>1.7623985313459991</v>
      </c>
      <c r="AJ211" s="22">
        <f t="shared" si="54"/>
        <v>0.55759241920998737</v>
      </c>
      <c r="AK211" s="22">
        <f t="shared" si="54"/>
        <v>0.55799945231858428</v>
      </c>
      <c r="AL211" s="22">
        <f t="shared" si="54"/>
        <v>0.55837718449685969</v>
      </c>
      <c r="AM211" s="22">
        <f t="shared" si="54"/>
        <v>0.55872817097289618</v>
      </c>
      <c r="AN211" s="22">
        <f t="shared" si="54"/>
        <v>0.55905555925217576</v>
      </c>
      <c r="AO211" s="22">
        <f t="shared" si="54"/>
        <v>0.55934907420701951</v>
      </c>
      <c r="AP211" s="22">
        <f t="shared" si="54"/>
        <v>0.55960181569365119</v>
      </c>
      <c r="AQ211" s="22">
        <f t="shared" si="54"/>
        <v>0.55981267719269234</v>
      </c>
      <c r="AR211" s="22">
        <f t="shared" si="54"/>
        <v>0.55997382951658647</v>
      </c>
      <c r="AS211" s="22">
        <f t="shared" si="54"/>
        <v>0.56007677261576738</v>
      </c>
      <c r="AT211" s="22">
        <f t="shared" si="54"/>
        <v>0.56012045661556076</v>
      </c>
      <c r="AU211" s="22">
        <f t="shared" si="54"/>
        <v>0.56010608884403601</v>
      </c>
      <c r="AV211" s="22">
        <f t="shared" si="54"/>
        <v>0.56003451127323822</v>
      </c>
      <c r="AW211" s="22">
        <f t="shared" si="54"/>
        <v>0.55989772915101532</v>
      </c>
      <c r="AY211" s="79"/>
    </row>
    <row r="212" spans="1:51" x14ac:dyDescent="0.25">
      <c r="A212" s="95" t="str">
        <f t="shared" si="45"/>
        <v>FA Organic</v>
      </c>
      <c r="B212" s="95" t="s">
        <v>962</v>
      </c>
      <c r="C212" s="95" t="s">
        <v>1127</v>
      </c>
      <c r="D212" t="s">
        <v>369</v>
      </c>
      <c r="E212" t="s">
        <v>55</v>
      </c>
      <c r="F212" t="s">
        <v>421</v>
      </c>
      <c r="G212" t="s">
        <v>1156</v>
      </c>
      <c r="H212" t="s">
        <v>1157</v>
      </c>
      <c r="I212" t="s">
        <v>139</v>
      </c>
      <c r="J212" t="s">
        <v>287</v>
      </c>
      <c r="K212" s="22">
        <f t="shared" si="55"/>
        <v>4.9862442750846919E-2</v>
      </c>
      <c r="L212" s="22">
        <f t="shared" si="54"/>
        <v>5.0141199304605817E-2</v>
      </c>
      <c r="M212" s="22">
        <f t="shared" si="54"/>
        <v>5.0536707115294892E-2</v>
      </c>
      <c r="N212" s="22">
        <f t="shared" si="54"/>
        <v>5.0790863013925151E-2</v>
      </c>
      <c r="O212" s="22">
        <f t="shared" si="54"/>
        <v>5.0959750770976343E-2</v>
      </c>
      <c r="P212" s="22">
        <f t="shared" si="54"/>
        <v>5.1041708153806126E-2</v>
      </c>
      <c r="Q212" s="22">
        <f t="shared" si="54"/>
        <v>5.122278251388987E-2</v>
      </c>
      <c r="R212" s="22">
        <f t="shared" si="54"/>
        <v>5.1430505218981189E-2</v>
      </c>
      <c r="S212" s="22">
        <f t="shared" si="54"/>
        <v>4.9969127694387626E-2</v>
      </c>
      <c r="T212" s="22">
        <f t="shared" si="54"/>
        <v>5.08289173034428E-2</v>
      </c>
      <c r="U212" s="22">
        <f t="shared" si="54"/>
        <v>8.7455217120941425E-2</v>
      </c>
      <c r="V212" s="22">
        <f t="shared" si="54"/>
        <v>8.8509448943396227E-2</v>
      </c>
      <c r="W212" s="22">
        <f t="shared" si="54"/>
        <v>8.9517439578736563E-2</v>
      </c>
      <c r="X212" s="22">
        <f t="shared" si="54"/>
        <v>9.0462043328738057E-2</v>
      </c>
      <c r="Y212" s="22">
        <f t="shared" si="54"/>
        <v>9.1318034328999972E-2</v>
      </c>
      <c r="Z212" s="22">
        <f t="shared" si="54"/>
        <v>9.2081415082285539E-2</v>
      </c>
      <c r="AA212" s="22">
        <f t="shared" si="54"/>
        <v>9.2747738492765894E-2</v>
      </c>
      <c r="AB212" s="22">
        <f t="shared" si="54"/>
        <v>9.3313638765123857E-2</v>
      </c>
      <c r="AC212" s="22">
        <f t="shared" si="54"/>
        <v>9.3776446584834763E-2</v>
      </c>
      <c r="AD212" s="22">
        <f t="shared" si="54"/>
        <v>9.4133355902455834E-2</v>
      </c>
      <c r="AE212" s="22">
        <f t="shared" si="54"/>
        <v>9.4382686845787919E-2</v>
      </c>
      <c r="AF212" s="22">
        <f t="shared" si="54"/>
        <v>9.4522828044884072E-2</v>
      </c>
      <c r="AG212" s="22">
        <f t="shared" si="54"/>
        <v>9.4552222716684439E-2</v>
      </c>
      <c r="AH212" s="22">
        <f t="shared" si="54"/>
        <v>9.4470586562695413E-2</v>
      </c>
      <c r="AI212" s="22">
        <f t="shared" si="54"/>
        <v>9.4278384344792743E-2</v>
      </c>
      <c r="AJ212" s="22">
        <f t="shared" si="54"/>
        <v>2.9828050506756527E-2</v>
      </c>
      <c r="AK212" s="22">
        <f t="shared" si="54"/>
        <v>2.9849824483056911E-2</v>
      </c>
      <c r="AL212" s="22">
        <f t="shared" si="54"/>
        <v>2.9870031024795022E-2</v>
      </c>
      <c r="AM212" s="22">
        <f t="shared" si="54"/>
        <v>2.9888806822265943E-2</v>
      </c>
      <c r="AN212" s="22">
        <f t="shared" si="54"/>
        <v>2.9906320249266097E-2</v>
      </c>
      <c r="AO212" s="22">
        <f t="shared" si="54"/>
        <v>2.9922021644399784E-2</v>
      </c>
      <c r="AP212" s="22">
        <f t="shared" si="54"/>
        <v>2.9935541888880673E-2</v>
      </c>
      <c r="AQ212" s="22">
        <f t="shared" si="54"/>
        <v>2.9946821790160959E-2</v>
      </c>
      <c r="AR212" s="22">
        <f t="shared" si="54"/>
        <v>2.995544253085038E-2</v>
      </c>
      <c r="AS212" s="22">
        <f t="shared" si="54"/>
        <v>2.9960949406223684E-2</v>
      </c>
      <c r="AT212" s="22">
        <f t="shared" si="54"/>
        <v>2.9963286253905406E-2</v>
      </c>
      <c r="AU212" s="22">
        <f t="shared" si="54"/>
        <v>2.9962517659139858E-2</v>
      </c>
      <c r="AV212" s="22">
        <f t="shared" si="54"/>
        <v>2.995868866268411E-2</v>
      </c>
      <c r="AW212" s="22">
        <f t="shared" si="54"/>
        <v>2.9951371590375517E-2</v>
      </c>
      <c r="AY212" s="79"/>
    </row>
    <row r="213" spans="1:51" x14ac:dyDescent="0.25">
      <c r="A213" s="95" t="str">
        <f t="shared" si="45"/>
        <v>FA Organic</v>
      </c>
      <c r="B213" s="95" t="s">
        <v>962</v>
      </c>
      <c r="C213" s="95" t="s">
        <v>1127</v>
      </c>
      <c r="D213" t="s">
        <v>369</v>
      </c>
      <c r="E213" t="s">
        <v>55</v>
      </c>
      <c r="F213" t="s">
        <v>421</v>
      </c>
      <c r="G213" t="s">
        <v>1158</v>
      </c>
      <c r="H213" t="s">
        <v>1159</v>
      </c>
      <c r="I213" t="s">
        <v>139</v>
      </c>
      <c r="J213" t="s">
        <v>287</v>
      </c>
      <c r="K213" s="22">
        <f t="shared" si="55"/>
        <v>0.39999978998352292</v>
      </c>
      <c r="L213" s="22">
        <f t="shared" si="54"/>
        <v>0.39653071954810204</v>
      </c>
      <c r="M213" s="22">
        <f t="shared" si="54"/>
        <v>0.39521014945095018</v>
      </c>
      <c r="N213" s="22">
        <f t="shared" si="54"/>
        <v>0.38993263522397326</v>
      </c>
      <c r="O213" s="22">
        <f t="shared" si="54"/>
        <v>0.382272194437701</v>
      </c>
      <c r="P213" s="22">
        <f t="shared" si="54"/>
        <v>0.37238723301511389</v>
      </c>
      <c r="Q213" s="22">
        <f t="shared" si="54"/>
        <v>0.36459067483623864</v>
      </c>
      <c r="R213" s="22">
        <f t="shared" si="54"/>
        <v>0.35721424445443944</v>
      </c>
      <c r="S213" s="22">
        <f t="shared" si="54"/>
        <v>0.31946339774377674</v>
      </c>
      <c r="T213" s="22">
        <f t="shared" si="54"/>
        <v>0.33177135164852617</v>
      </c>
      <c r="U213" s="22">
        <f t="shared" si="54"/>
        <v>1.0456423232959036</v>
      </c>
      <c r="V213" s="22">
        <f t="shared" si="54"/>
        <v>1.0506858527476302</v>
      </c>
      <c r="W213" s="22">
        <f t="shared" si="54"/>
        <v>1.0539136991279403</v>
      </c>
      <c r="X213" s="22">
        <f t="shared" si="54"/>
        <v>1.0553252049864941</v>
      </c>
      <c r="Y213" s="22">
        <f t="shared" si="54"/>
        <v>1.0549502713547947</v>
      </c>
      <c r="Z213" s="22">
        <f t="shared" si="54"/>
        <v>1.0527709267508603</v>
      </c>
      <c r="AA213" s="22">
        <f t="shared" si="54"/>
        <v>1.0487818326891256</v>
      </c>
      <c r="AB213" s="22">
        <f t="shared" si="54"/>
        <v>1.0429862897745465</v>
      </c>
      <c r="AC213" s="22">
        <f t="shared" si="54"/>
        <v>1.0353973298775558</v>
      </c>
      <c r="AD213" s="22">
        <f t="shared" si="54"/>
        <v>1.0174175581982712</v>
      </c>
      <c r="AE213" s="22">
        <f t="shared" si="54"/>
        <v>0.99774420575118894</v>
      </c>
      <c r="AF213" s="22">
        <f t="shared" si="54"/>
        <v>0.97646566881417607</v>
      </c>
      <c r="AG213" s="22">
        <f t="shared" si="54"/>
        <v>0.95368038799648891</v>
      </c>
      <c r="AH213" s="22">
        <f t="shared" si="54"/>
        <v>0.92949316172660157</v>
      </c>
      <c r="AI213" s="22">
        <f t="shared" si="54"/>
        <v>0.90401558532438187</v>
      </c>
      <c r="AJ213" s="22">
        <f t="shared" si="54"/>
        <v>-6.9801929759449391E-2</v>
      </c>
      <c r="AK213" s="22">
        <f t="shared" si="54"/>
        <v>-6.8121301003411724E-2</v>
      </c>
      <c r="AL213" s="22">
        <f t="shared" si="54"/>
        <v>-6.6458158331925851E-2</v>
      </c>
      <c r="AM213" s="22">
        <f t="shared" si="54"/>
        <v>-6.481232997303113E-2</v>
      </c>
      <c r="AN213" s="22">
        <f t="shared" si="54"/>
        <v>-6.3506079477571004E-2</v>
      </c>
      <c r="AO213" s="22">
        <f t="shared" si="54"/>
        <v>-6.2212220196709189E-2</v>
      </c>
      <c r="AP213" s="22">
        <f t="shared" si="54"/>
        <v>-6.0929789794195444E-2</v>
      </c>
      <c r="AQ213" s="22">
        <f t="shared" si="54"/>
        <v>-5.9658470603933263E-2</v>
      </c>
      <c r="AR213" s="22">
        <f t="shared" si="54"/>
        <v>-5.839733316411725E-2</v>
      </c>
      <c r="AS213" s="22">
        <f t="shared" si="54"/>
        <v>-5.7145467253207828E-2</v>
      </c>
      <c r="AT213" s="22">
        <f t="shared" si="54"/>
        <v>-5.590272668429646E-2</v>
      </c>
      <c r="AU213" s="22">
        <f t="shared" si="54"/>
        <v>-5.4669188235492674E-2</v>
      </c>
      <c r="AV213" s="22">
        <f t="shared" si="54"/>
        <v>-5.3444899006114648E-2</v>
      </c>
      <c r="AW213" s="22">
        <f t="shared" si="54"/>
        <v>-5.2229155811497792E-2</v>
      </c>
      <c r="AY213" s="79"/>
    </row>
    <row r="214" spans="1:51" x14ac:dyDescent="0.25">
      <c r="A214" s="95" t="str">
        <f t="shared" si="45"/>
        <v>FA Organic</v>
      </c>
      <c r="B214" s="95" t="s">
        <v>962</v>
      </c>
      <c r="C214" s="95" t="s">
        <v>1127</v>
      </c>
      <c r="D214" t="s">
        <v>369</v>
      </c>
      <c r="E214" t="s">
        <v>55</v>
      </c>
      <c r="F214" t="s">
        <v>421</v>
      </c>
      <c r="G214" t="s">
        <v>1160</v>
      </c>
      <c r="H214" t="s">
        <v>1161</v>
      </c>
      <c r="I214" t="s">
        <v>139</v>
      </c>
      <c r="J214" t="s">
        <v>287</v>
      </c>
      <c r="K214" s="22">
        <f t="shared" si="55"/>
        <v>2.6602988559851242</v>
      </c>
      <c r="L214" s="22">
        <f t="shared" si="54"/>
        <v>2.6372269335947092</v>
      </c>
      <c r="M214" s="22">
        <f t="shared" si="54"/>
        <v>2.6284441511866339</v>
      </c>
      <c r="N214" s="22">
        <f t="shared" si="54"/>
        <v>2.5933447201068063</v>
      </c>
      <c r="O214" s="22">
        <f t="shared" si="54"/>
        <v>2.5423970387070201</v>
      </c>
      <c r="P214" s="22">
        <f t="shared" ref="L214:AW220" si="56">P1470</f>
        <v>2.4766546252796315</v>
      </c>
      <c r="Q214" s="22">
        <f t="shared" si="56"/>
        <v>2.4248016610449814</v>
      </c>
      <c r="R214" s="22">
        <f t="shared" si="56"/>
        <v>2.3757428620222041</v>
      </c>
      <c r="S214" s="22">
        <f t="shared" si="56"/>
        <v>2.1246713944072271</v>
      </c>
      <c r="T214" s="22">
        <f t="shared" si="56"/>
        <v>2.2065285266163999</v>
      </c>
      <c r="U214" s="22">
        <f t="shared" si="56"/>
        <v>6.9543063423815932</v>
      </c>
      <c r="V214" s="22">
        <f t="shared" si="56"/>
        <v>6.9878495990695715</v>
      </c>
      <c r="W214" s="22">
        <f t="shared" si="56"/>
        <v>7.0093172004230366</v>
      </c>
      <c r="X214" s="22">
        <f t="shared" si="56"/>
        <v>7.0187047739037158</v>
      </c>
      <c r="Y214" s="22">
        <f t="shared" si="56"/>
        <v>7.0162111838157779</v>
      </c>
      <c r="Z214" s="22">
        <f t="shared" si="56"/>
        <v>7.0017169063140772</v>
      </c>
      <c r="AA214" s="22">
        <f t="shared" si="56"/>
        <v>6.9751864364623621</v>
      </c>
      <c r="AB214" s="22">
        <f t="shared" si="56"/>
        <v>6.9366417257611337</v>
      </c>
      <c r="AC214" s="22">
        <f t="shared" si="56"/>
        <v>6.8861694459309035</v>
      </c>
      <c r="AD214" s="22">
        <f t="shared" si="56"/>
        <v>6.7665904680738294</v>
      </c>
      <c r="AE214" s="22">
        <f t="shared" si="56"/>
        <v>6.6357479068551806</v>
      </c>
      <c r="AF214" s="22">
        <f t="shared" si="56"/>
        <v>6.4942296638758421</v>
      </c>
      <c r="AG214" s="22">
        <f t="shared" si="56"/>
        <v>6.3426904430800271</v>
      </c>
      <c r="AH214" s="22">
        <f t="shared" si="56"/>
        <v>6.181827232682128</v>
      </c>
      <c r="AI214" s="22">
        <f t="shared" si="56"/>
        <v>6.0123822253262711</v>
      </c>
      <c r="AJ214" s="22">
        <f t="shared" si="56"/>
        <v>-0.46423522845416099</v>
      </c>
      <c r="AK214" s="22">
        <f t="shared" si="56"/>
        <v>-0.45305778569298638</v>
      </c>
      <c r="AL214" s="22">
        <f t="shared" si="56"/>
        <v>-0.44199663851969367</v>
      </c>
      <c r="AM214" s="22">
        <f t="shared" si="56"/>
        <v>-0.43105064452180719</v>
      </c>
      <c r="AN214" s="22">
        <f t="shared" si="56"/>
        <v>-0.42236309821373103</v>
      </c>
      <c r="AO214" s="22">
        <f t="shared" si="56"/>
        <v>-0.41375796278397442</v>
      </c>
      <c r="AP214" s="22">
        <f t="shared" si="56"/>
        <v>-0.40522883797411285</v>
      </c>
      <c r="AQ214" s="22">
        <f t="shared" si="56"/>
        <v>-0.3967736110661545</v>
      </c>
      <c r="AR214" s="22">
        <f t="shared" si="56"/>
        <v>-0.38838610044140948</v>
      </c>
      <c r="AS214" s="22">
        <f t="shared" si="56"/>
        <v>-0.38006025244339864</v>
      </c>
      <c r="AT214" s="22">
        <f t="shared" si="56"/>
        <v>-0.37179509481944717</v>
      </c>
      <c r="AU214" s="22">
        <f t="shared" si="56"/>
        <v>-0.36359113820161632</v>
      </c>
      <c r="AV214" s="22">
        <f t="shared" si="56"/>
        <v>-0.35544869583572547</v>
      </c>
      <c r="AW214" s="22">
        <f t="shared" si="56"/>
        <v>-0.34736309101592239</v>
      </c>
      <c r="AY214" s="79"/>
    </row>
    <row r="215" spans="1:51" x14ac:dyDescent="0.25">
      <c r="A215" s="95" t="str">
        <f t="shared" si="45"/>
        <v>FA Organic</v>
      </c>
      <c r="B215" s="95" t="s">
        <v>962</v>
      </c>
      <c r="C215" s="95" t="s">
        <v>1127</v>
      </c>
      <c r="D215" t="s">
        <v>369</v>
      </c>
      <c r="E215" t="s">
        <v>55</v>
      </c>
      <c r="F215" t="s">
        <v>421</v>
      </c>
      <c r="G215" t="s">
        <v>1162</v>
      </c>
      <c r="H215" t="s">
        <v>1163</v>
      </c>
      <c r="I215" t="s">
        <v>139</v>
      </c>
      <c r="J215" t="s">
        <v>287</v>
      </c>
      <c r="K215" s="22">
        <f t="shared" si="55"/>
        <v>0.34358078636628736</v>
      </c>
      <c r="L215" s="22">
        <f t="shared" si="56"/>
        <v>0.35516571939691516</v>
      </c>
      <c r="M215" s="22">
        <f t="shared" si="56"/>
        <v>0.36891582276573964</v>
      </c>
      <c r="N215" s="22">
        <f t="shared" si="56"/>
        <v>0.379170347917821</v>
      </c>
      <c r="O215" s="22">
        <f t="shared" si="56"/>
        <v>0.38707850955818851</v>
      </c>
      <c r="P215" s="22">
        <f t="shared" si="56"/>
        <v>0.39252728601928999</v>
      </c>
      <c r="Q215" s="22">
        <f t="shared" si="56"/>
        <v>0.3999671364536494</v>
      </c>
      <c r="R215" s="22">
        <f t="shared" si="56"/>
        <v>0.40776627193753145</v>
      </c>
      <c r="S215" s="22">
        <f t="shared" si="56"/>
        <v>0.37941149708510857</v>
      </c>
      <c r="T215" s="22">
        <f t="shared" si="56"/>
        <v>0.40352229075935825</v>
      </c>
      <c r="U215" s="22">
        <f t="shared" si="56"/>
        <v>1.3019992837200502</v>
      </c>
      <c r="V215" s="22">
        <f t="shared" si="56"/>
        <v>1.3389713551242044</v>
      </c>
      <c r="W215" s="22">
        <f t="shared" si="56"/>
        <v>1.3742225442034364</v>
      </c>
      <c r="X215" s="22">
        <f t="shared" si="56"/>
        <v>1.4076173986220344</v>
      </c>
      <c r="Y215" s="22">
        <f t="shared" si="56"/>
        <v>1.4390577517114058</v>
      </c>
      <c r="Z215" s="22">
        <f t="shared" si="56"/>
        <v>1.4683777754211462</v>
      </c>
      <c r="AA215" s="22">
        <f t="shared" si="56"/>
        <v>1.4954226905831736</v>
      </c>
      <c r="AB215" s="22">
        <f t="shared" si="56"/>
        <v>1.5200446118078883</v>
      </c>
      <c r="AC215" s="22">
        <f t="shared" si="56"/>
        <v>1.5421052715646864</v>
      </c>
      <c r="AD215" s="22">
        <f t="shared" si="56"/>
        <v>1.5655788001500457</v>
      </c>
      <c r="AE215" s="22">
        <f t="shared" si="56"/>
        <v>1.5863184064827547</v>
      </c>
      <c r="AF215" s="22">
        <f t="shared" si="56"/>
        <v>1.604202691450189</v>
      </c>
      <c r="AG215" s="22">
        <f t="shared" si="56"/>
        <v>1.6191262740936789</v>
      </c>
      <c r="AH215" s="22">
        <f t="shared" si="56"/>
        <v>1.6309961254310048</v>
      </c>
      <c r="AI215" s="22">
        <f t="shared" si="56"/>
        <v>1.6397344068055653</v>
      </c>
      <c r="AJ215" s="22">
        <f t="shared" si="56"/>
        <v>-0.13089608517240703</v>
      </c>
      <c r="AK215" s="22">
        <f t="shared" si="56"/>
        <v>-0.13209410170523925</v>
      </c>
      <c r="AL215" s="22">
        <f t="shared" si="56"/>
        <v>-0.13328419638855493</v>
      </c>
      <c r="AM215" s="22">
        <f t="shared" si="56"/>
        <v>-0.13446696197747518</v>
      </c>
      <c r="AN215" s="22">
        <f t="shared" si="56"/>
        <v>-0.13547441854530159</v>
      </c>
      <c r="AO215" s="22">
        <f t="shared" si="56"/>
        <v>-0.13647180135664599</v>
      </c>
      <c r="AP215" s="22">
        <f t="shared" si="56"/>
        <v>-0.1374575838778328</v>
      </c>
      <c r="AQ215" s="22">
        <f t="shared" si="56"/>
        <v>-0.13843149499593352</v>
      </c>
      <c r="AR215" s="22">
        <f t="shared" si="56"/>
        <v>-0.13939171751336263</v>
      </c>
      <c r="AS215" s="22">
        <f t="shared" si="56"/>
        <v>-0.14033622294950923</v>
      </c>
      <c r="AT215" s="22">
        <f t="shared" si="56"/>
        <v>-0.14126464078823431</v>
      </c>
      <c r="AU215" s="22">
        <f t="shared" si="56"/>
        <v>-0.14217711138361663</v>
      </c>
      <c r="AV215" s="22">
        <f t="shared" si="56"/>
        <v>-0.14307369087756849</v>
      </c>
      <c r="AW215" s="22">
        <f t="shared" si="56"/>
        <v>-0.14395235507647042</v>
      </c>
      <c r="AY215" s="79"/>
    </row>
    <row r="216" spans="1:51" x14ac:dyDescent="0.25">
      <c r="A216" s="95" t="str">
        <f t="shared" si="45"/>
        <v>FA Organic</v>
      </c>
      <c r="B216" s="95" t="s">
        <v>962</v>
      </c>
      <c r="C216" s="95" t="s">
        <v>1127</v>
      </c>
      <c r="D216" t="s">
        <v>369</v>
      </c>
      <c r="E216" t="s">
        <v>55</v>
      </c>
      <c r="F216" t="s">
        <v>421</v>
      </c>
      <c r="G216" t="s">
        <v>1164</v>
      </c>
      <c r="H216" t="s">
        <v>1165</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5.9207171446821721E-2</v>
      </c>
      <c r="T216" s="22">
        <f t="shared" si="56"/>
        <v>5.9246576334297835E-2</v>
      </c>
      <c r="U216" s="22">
        <f t="shared" si="56"/>
        <v>6.0018268189792646E-2</v>
      </c>
      <c r="V216" s="22">
        <f t="shared" si="56"/>
        <v>6.0037093010318184E-2</v>
      </c>
      <c r="W216" s="22">
        <f t="shared" si="56"/>
        <v>6.0117615700915394E-2</v>
      </c>
      <c r="X216" s="22">
        <f t="shared" si="56"/>
        <v>6.0234013204612538E-2</v>
      </c>
      <c r="Y216" s="22">
        <f t="shared" si="56"/>
        <v>6.0342142496718161E-2</v>
      </c>
      <c r="Z216" s="22">
        <f t="shared" si="56"/>
        <v>6.0443342363168437E-2</v>
      </c>
      <c r="AA216" s="22">
        <f t="shared" si="56"/>
        <v>6.0537073159976813E-2</v>
      </c>
      <c r="AB216" s="22">
        <f t="shared" si="56"/>
        <v>6.0624179409324928E-2</v>
      </c>
      <c r="AC216" s="22">
        <f t="shared" si="56"/>
        <v>6.0705982424299358E-2</v>
      </c>
      <c r="AD216" s="22">
        <f t="shared" si="56"/>
        <v>6.0782405127579278E-2</v>
      </c>
      <c r="AE216" s="22">
        <f t="shared" si="56"/>
        <v>6.0854669862410914E-2</v>
      </c>
      <c r="AF216" s="22">
        <f t="shared" si="56"/>
        <v>6.0922951557005132E-2</v>
      </c>
      <c r="AG216" s="22">
        <f t="shared" si="56"/>
        <v>6.0986314332021271E-2</v>
      </c>
      <c r="AH216" s="22">
        <f t="shared" si="56"/>
        <v>6.1045337815494746E-2</v>
      </c>
      <c r="AI216" s="22">
        <f t="shared" si="56"/>
        <v>6.1100963630343091E-2</v>
      </c>
      <c r="AJ216" s="22">
        <f t="shared" si="56"/>
        <v>5.9760031976995184E-2</v>
      </c>
      <c r="AK216" s="22">
        <f t="shared" si="56"/>
        <v>5.9814986740369232E-2</v>
      </c>
      <c r="AL216" s="22">
        <f t="shared" si="56"/>
        <v>5.9866245389547455E-2</v>
      </c>
      <c r="AM216" s="22">
        <f t="shared" si="56"/>
        <v>5.9914121191052938E-2</v>
      </c>
      <c r="AN216" s="22">
        <f t="shared" si="56"/>
        <v>5.9958994957515464E-2</v>
      </c>
      <c r="AO216" s="22">
        <f t="shared" si="56"/>
        <v>5.9999686326466663E-2</v>
      </c>
      <c r="AP216" s="22">
        <f t="shared" si="56"/>
        <v>6.0035407039000573E-2</v>
      </c>
      <c r="AQ216" s="22">
        <f t="shared" si="56"/>
        <v>6.0066041639394212E-2</v>
      </c>
      <c r="AR216" s="22">
        <f t="shared" si="56"/>
        <v>6.0090693101993796E-2</v>
      </c>
      <c r="AS216" s="22">
        <f t="shared" si="56"/>
        <v>6.010838638445111E-2</v>
      </c>
      <c r="AT216" s="22">
        <f t="shared" si="56"/>
        <v>6.0119011530987615E-2</v>
      </c>
      <c r="AU216" s="22">
        <f t="shared" si="56"/>
        <v>6.0122720098989259E-2</v>
      </c>
      <c r="AV216" s="22">
        <f t="shared" si="56"/>
        <v>6.0119620565134202E-2</v>
      </c>
      <c r="AW216" s="22">
        <f t="shared" si="56"/>
        <v>6.0108795193871321E-2</v>
      </c>
      <c r="AY216" s="79"/>
    </row>
    <row r="217" spans="1:51" x14ac:dyDescent="0.25">
      <c r="A217" s="95" t="str">
        <f t="shared" si="45"/>
        <v>FA Organic</v>
      </c>
      <c r="B217" s="95" t="s">
        <v>962</v>
      </c>
      <c r="C217" s="95" t="s">
        <v>1127</v>
      </c>
      <c r="D217" t="s">
        <v>369</v>
      </c>
      <c r="E217" t="s">
        <v>55</v>
      </c>
      <c r="F217" t="s">
        <v>421</v>
      </c>
      <c r="G217" t="s">
        <v>1166</v>
      </c>
      <c r="H217" t="s">
        <v>1167</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4.8186589457144935E-2</v>
      </c>
      <c r="T217" s="22">
        <f t="shared" si="56"/>
        <v>4.8218659679197723E-2</v>
      </c>
      <c r="U217" s="22">
        <f t="shared" si="56"/>
        <v>4.884671195258742E-2</v>
      </c>
      <c r="V217" s="22">
        <f t="shared" si="56"/>
        <v>4.8862032797615189E-2</v>
      </c>
      <c r="W217" s="22">
        <f t="shared" si="56"/>
        <v>4.8927567322217112E-2</v>
      </c>
      <c r="X217" s="22">
        <f t="shared" si="56"/>
        <v>4.9022299068176782E-2</v>
      </c>
      <c r="Y217" s="22">
        <f t="shared" si="56"/>
        <v>4.9110301613808693E-2</v>
      </c>
      <c r="Z217" s="22">
        <f t="shared" si="56"/>
        <v>4.9192664548882145E-2</v>
      </c>
      <c r="AA217" s="22">
        <f t="shared" si="56"/>
        <v>4.9268948676546534E-2</v>
      </c>
      <c r="AB217" s="22">
        <f t="shared" si="56"/>
        <v>4.9339841323060789E-2</v>
      </c>
      <c r="AC217" s="22">
        <f t="shared" si="56"/>
        <v>4.9406417857669777E-2</v>
      </c>
      <c r="AD217" s="22">
        <f t="shared" si="56"/>
        <v>4.9468615549911547E-2</v>
      </c>
      <c r="AE217" s="22">
        <f t="shared" si="56"/>
        <v>4.9527429221033953E-2</v>
      </c>
      <c r="AF217" s="22">
        <f t="shared" si="56"/>
        <v>4.9583001238822449E-2</v>
      </c>
      <c r="AG217" s="22">
        <f t="shared" si="56"/>
        <v>4.9634569924708931E-2</v>
      </c>
      <c r="AH217" s="22">
        <f t="shared" si="56"/>
        <v>4.9682607017124701E-2</v>
      </c>
      <c r="AI217" s="22">
        <f t="shared" si="56"/>
        <v>4.972787886912871E-2</v>
      </c>
      <c r="AJ217" s="22">
        <f t="shared" si="56"/>
        <v>4.8636542777722926E-2</v>
      </c>
      <c r="AK217" s="22">
        <f t="shared" si="56"/>
        <v>4.8681268485043679E-2</v>
      </c>
      <c r="AL217" s="22">
        <f t="shared" si="56"/>
        <v>4.872298605782617E-2</v>
      </c>
      <c r="AM217" s="22">
        <f t="shared" si="56"/>
        <v>4.8761950452437537E-2</v>
      </c>
      <c r="AN217" s="22">
        <f t="shared" si="56"/>
        <v>4.8798471598594094E-2</v>
      </c>
      <c r="AO217" s="22">
        <f t="shared" si="56"/>
        <v>4.8831588841694647E-2</v>
      </c>
      <c r="AP217" s="22">
        <f t="shared" si="56"/>
        <v>4.8860660646138712E-2</v>
      </c>
      <c r="AQ217" s="22">
        <f t="shared" si="56"/>
        <v>4.8885593046661804E-2</v>
      </c>
      <c r="AR217" s="22">
        <f t="shared" si="56"/>
        <v>4.8905655986315542E-2</v>
      </c>
      <c r="AS217" s="22">
        <f t="shared" si="56"/>
        <v>4.8920055913167046E-2</v>
      </c>
      <c r="AT217" s="22">
        <f t="shared" si="56"/>
        <v>4.8928703338159067E-2</v>
      </c>
      <c r="AU217" s="22">
        <f t="shared" si="56"/>
        <v>4.8931721608402395E-2</v>
      </c>
      <c r="AV217" s="22">
        <f t="shared" si="56"/>
        <v>4.8929199009167666E-2</v>
      </c>
      <c r="AW217" s="22">
        <f t="shared" si="56"/>
        <v>4.892038862846515E-2</v>
      </c>
      <c r="AY217" s="79"/>
    </row>
    <row r="218" spans="1:51" x14ac:dyDescent="0.25">
      <c r="A218" s="95" t="str">
        <f t="shared" si="45"/>
        <v>FA Organic</v>
      </c>
      <c r="B218" s="95" t="s">
        <v>962</v>
      </c>
      <c r="C218" s="95" t="s">
        <v>1127</v>
      </c>
      <c r="D218" t="s">
        <v>369</v>
      </c>
      <c r="E218" t="s">
        <v>55</v>
      </c>
      <c r="F218" t="s">
        <v>421</v>
      </c>
      <c r="G218" t="s">
        <v>1168</v>
      </c>
      <c r="H218" t="s">
        <v>1169</v>
      </c>
      <c r="I218" t="s">
        <v>139</v>
      </c>
      <c r="J218" t="s">
        <v>287</v>
      </c>
      <c r="K218" s="22">
        <f t="shared" si="55"/>
        <v>7.214092738049376E-3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7.4155715935563154E-3</v>
      </c>
      <c r="R218" s="22">
        <f t="shared" si="56"/>
        <v>7.4643602602570466E-3</v>
      </c>
      <c r="S218" s="22">
        <f t="shared" si="56"/>
        <v>7.4461584032265975E-3</v>
      </c>
      <c r="T218" s="22">
        <f t="shared" si="56"/>
        <v>7.4583442385416504E-3</v>
      </c>
      <c r="U218" s="22">
        <f t="shared" si="56"/>
        <v>7.6095641103995637E-3</v>
      </c>
      <c r="V218" s="22">
        <f t="shared" si="56"/>
        <v>7.616396041581105E-3</v>
      </c>
      <c r="W218" s="22">
        <f t="shared" si="56"/>
        <v>7.6344836732780402E-3</v>
      </c>
      <c r="X218" s="22">
        <f t="shared" si="56"/>
        <v>7.6588952719713966E-3</v>
      </c>
      <c r="Y218" s="22">
        <f t="shared" si="56"/>
        <v>7.6812841131364881E-3</v>
      </c>
      <c r="Z218" s="22">
        <f t="shared" si="56"/>
        <v>7.7019461381660883E-3</v>
      </c>
      <c r="AA218" s="22">
        <f t="shared" si="56"/>
        <v>7.7208179709042681E-3</v>
      </c>
      <c r="AB218" s="22">
        <f t="shared" si="56"/>
        <v>7.7380934023290734E-3</v>
      </c>
      <c r="AC218" s="22">
        <f t="shared" si="56"/>
        <v>7.754051159190669E-3</v>
      </c>
      <c r="AD218" s="22">
        <f t="shared" si="56"/>
        <v>7.7687040986248812E-3</v>
      </c>
      <c r="AE218" s="22">
        <f t="shared" si="56"/>
        <v>7.7823052319108766E-3</v>
      </c>
      <c r="AF218" s="22">
        <f t="shared" si="56"/>
        <v>7.7949088981362474E-3</v>
      </c>
      <c r="AG218" s="22">
        <f t="shared" si="56"/>
        <v>7.8063612121467459E-3</v>
      </c>
      <c r="AH218" s="22">
        <f t="shared" si="56"/>
        <v>7.8167890041067195E-3</v>
      </c>
      <c r="AI218" s="22">
        <f t="shared" si="56"/>
        <v>7.8263838677397213E-3</v>
      </c>
      <c r="AJ218" s="22">
        <f t="shared" si="56"/>
        <v>7.5779321545979533E-3</v>
      </c>
      <c r="AK218" s="22">
        <f t="shared" si="56"/>
        <v>7.5875086550646472E-3</v>
      </c>
      <c r="AL218" s="22">
        <f t="shared" si="56"/>
        <v>7.5962279285727895E-3</v>
      </c>
      <c r="AM218" s="22">
        <f t="shared" si="56"/>
        <v>7.6041605420171859E-3</v>
      </c>
      <c r="AN218" s="22">
        <f t="shared" si="56"/>
        <v>7.6113882168756348E-3</v>
      </c>
      <c r="AO218" s="22">
        <f t="shared" si="56"/>
        <v>7.6177057736301935E-3</v>
      </c>
      <c r="AP218" s="22">
        <f t="shared" si="56"/>
        <v>7.6229804846382823E-3</v>
      </c>
      <c r="AQ218" s="22">
        <f t="shared" si="56"/>
        <v>7.6272026599535862E-3</v>
      </c>
      <c r="AR218" s="22">
        <f t="shared" si="56"/>
        <v>7.6302198564372984E-3</v>
      </c>
      <c r="AS218" s="22">
        <f t="shared" si="56"/>
        <v>7.6318659754992515E-3</v>
      </c>
      <c r="AT218" s="22">
        <f t="shared" si="56"/>
        <v>7.6321325230528187E-3</v>
      </c>
      <c r="AU218" s="22">
        <f t="shared" si="56"/>
        <v>7.631057996199485E-3</v>
      </c>
      <c r="AV218" s="22">
        <f t="shared" si="56"/>
        <v>7.6286724448087007E-3</v>
      </c>
      <c r="AW218" s="22">
        <f t="shared" si="56"/>
        <v>7.6248200266524988E-3</v>
      </c>
      <c r="AY218" s="79"/>
    </row>
    <row r="219" spans="1:51" x14ac:dyDescent="0.25">
      <c r="A219" s="95" t="str">
        <f t="shared" si="45"/>
        <v>FA Organic</v>
      </c>
      <c r="B219" s="95" t="s">
        <v>962</v>
      </c>
      <c r="C219" s="95" t="s">
        <v>1127</v>
      </c>
      <c r="D219" t="s">
        <v>369</v>
      </c>
      <c r="E219" t="s">
        <v>55</v>
      </c>
      <c r="F219" t="s">
        <v>421</v>
      </c>
      <c r="G219" t="s">
        <v>1170</v>
      </c>
      <c r="H219" t="s">
        <v>1171</v>
      </c>
      <c r="I219" t="s">
        <v>139</v>
      </c>
      <c r="J219" t="s">
        <v>287</v>
      </c>
      <c r="K219" s="22">
        <f t="shared" si="55"/>
        <v>8.7045671471293537E-2</v>
      </c>
      <c r="L219" s="22">
        <f t="shared" si="56"/>
        <v>8.7271948200639354E-2</v>
      </c>
      <c r="M219" s="22">
        <f t="shared" si="56"/>
        <v>8.7584088952434122E-2</v>
      </c>
      <c r="N219" s="22">
        <f t="shared" si="56"/>
        <v>8.7964358824768801E-2</v>
      </c>
      <c r="O219" s="22">
        <f t="shared" si="56"/>
        <v>8.8412215452112072E-2</v>
      </c>
      <c r="P219" s="22">
        <f t="shared" si="56"/>
        <v>8.8924932944132923E-2</v>
      </c>
      <c r="Q219" s="22">
        <f t="shared" si="56"/>
        <v>8.9476727309038592E-2</v>
      </c>
      <c r="R219" s="22">
        <f t="shared" si="56"/>
        <v>9.0065414259340087E-2</v>
      </c>
      <c r="S219" s="22">
        <f t="shared" si="56"/>
        <v>8.9845789571278714E-2</v>
      </c>
      <c r="T219" s="22">
        <f t="shared" si="56"/>
        <v>8.9992824583989703E-2</v>
      </c>
      <c r="U219" s="22">
        <f t="shared" si="56"/>
        <v>9.1817452539803057E-2</v>
      </c>
      <c r="V219" s="22">
        <f t="shared" si="56"/>
        <v>9.1899887027234312E-2</v>
      </c>
      <c r="W219" s="22">
        <f t="shared" si="56"/>
        <v>9.211813346563695E-2</v>
      </c>
      <c r="X219" s="22">
        <f t="shared" si="56"/>
        <v>9.2412685265441663E-2</v>
      </c>
      <c r="Y219" s="22">
        <f t="shared" si="56"/>
        <v>9.2682830352765116E-2</v>
      </c>
      <c r="Z219" s="22">
        <f t="shared" si="56"/>
        <v>9.293213957403032E-2</v>
      </c>
      <c r="AA219" s="22">
        <f t="shared" si="56"/>
        <v>9.3159848228775613E-2</v>
      </c>
      <c r="AB219" s="22">
        <f t="shared" si="56"/>
        <v>9.3368294610452568E-2</v>
      </c>
      <c r="AC219" s="22">
        <f t="shared" si="56"/>
        <v>9.356084185258419E-2</v>
      </c>
      <c r="AD219" s="22">
        <f t="shared" si="56"/>
        <v>9.3737645090135047E-2</v>
      </c>
      <c r="AE219" s="22">
        <f t="shared" si="56"/>
        <v>9.390175717222761E-2</v>
      </c>
      <c r="AF219" s="22">
        <f t="shared" si="56"/>
        <v>9.40538337575203E-2</v>
      </c>
      <c r="AG219" s="22">
        <f t="shared" si="56"/>
        <v>9.4192018058601723E-2</v>
      </c>
      <c r="AH219" s="22">
        <f t="shared" si="56"/>
        <v>9.4317840415768184E-2</v>
      </c>
      <c r="AI219" s="22">
        <f t="shared" si="56"/>
        <v>9.4433612610268142E-2</v>
      </c>
      <c r="AJ219" s="22">
        <f t="shared" si="56"/>
        <v>9.1435779482264015E-2</v>
      </c>
      <c r="AK219" s="22">
        <f t="shared" si="56"/>
        <v>9.1551330105708581E-2</v>
      </c>
      <c r="AL219" s="22">
        <f t="shared" si="56"/>
        <v>9.1656537377754754E-2</v>
      </c>
      <c r="AM219" s="22">
        <f t="shared" si="56"/>
        <v>9.175225276274665E-2</v>
      </c>
      <c r="AN219" s="22">
        <f t="shared" si="56"/>
        <v>9.1839462316889414E-2</v>
      </c>
      <c r="AO219" s="22">
        <f t="shared" si="56"/>
        <v>9.1915690331932545E-2</v>
      </c>
      <c r="AP219" s="22">
        <f t="shared" si="56"/>
        <v>9.1979335308257068E-2</v>
      </c>
      <c r="AQ219" s="22">
        <f t="shared" si="56"/>
        <v>9.2030280326395222E-2</v>
      </c>
      <c r="AR219" s="22">
        <f t="shared" si="56"/>
        <v>9.2066685998379513E-2</v>
      </c>
      <c r="AS219" s="22">
        <f t="shared" si="56"/>
        <v>9.2086548168755195E-2</v>
      </c>
      <c r="AT219" s="22">
        <f t="shared" si="56"/>
        <v>9.2089764347368611E-2</v>
      </c>
      <c r="AU219" s="22">
        <f t="shared" si="56"/>
        <v>9.2076799042532853E-2</v>
      </c>
      <c r="AV219" s="22">
        <f t="shared" si="56"/>
        <v>9.2048014837757555E-2</v>
      </c>
      <c r="AW219" s="22">
        <f t="shared" si="56"/>
        <v>9.2001531331463521E-2</v>
      </c>
      <c r="AY219" s="79"/>
    </row>
    <row r="220" spans="1:51" x14ac:dyDescent="0.25">
      <c r="A220" s="95" t="str">
        <f t="shared" si="45"/>
        <v>FA Organic</v>
      </c>
      <c r="B220" s="95" t="s">
        <v>962</v>
      </c>
      <c r="C220" s="95" t="s">
        <v>1127</v>
      </c>
      <c r="D220" t="s">
        <v>369</v>
      </c>
      <c r="E220" t="s">
        <v>55</v>
      </c>
      <c r="F220" t="s">
        <v>421</v>
      </c>
      <c r="G220" t="s">
        <v>1172</v>
      </c>
      <c r="H220" t="s">
        <v>1173</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25">
      <c r="A221" s="95" t="str">
        <f t="shared" si="45"/>
        <v>FA Organic</v>
      </c>
      <c r="B221" s="95" t="s">
        <v>962</v>
      </c>
      <c r="C221" s="95" t="s">
        <v>1127</v>
      </c>
      <c r="D221" t="s">
        <v>369</v>
      </c>
      <c r="E221" t="s">
        <v>55</v>
      </c>
      <c r="F221" t="s">
        <v>421</v>
      </c>
      <c r="G221" t="s">
        <v>1174</v>
      </c>
      <c r="H221" t="s">
        <v>1175</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25">
      <c r="A222" s="95" t="str">
        <f t="shared" si="45"/>
        <v>FA Organic</v>
      </c>
      <c r="B222" s="95" t="s">
        <v>962</v>
      </c>
      <c r="C222" s="95" t="s">
        <v>1127</v>
      </c>
      <c r="D222" t="s">
        <v>369</v>
      </c>
      <c r="E222" t="s">
        <v>55</v>
      </c>
      <c r="F222" t="s">
        <v>421</v>
      </c>
      <c r="G222" t="s">
        <v>1176</v>
      </c>
      <c r="H222" t="s">
        <v>1177</v>
      </c>
      <c r="I222" t="s">
        <v>139</v>
      </c>
      <c r="J222" t="s">
        <v>287</v>
      </c>
      <c r="K222" s="22">
        <f t="shared" si="55"/>
        <v>0.12462873299340151</v>
      </c>
      <c r="L222" s="22">
        <f t="shared" si="57"/>
        <v>0.12395129293471774</v>
      </c>
      <c r="M222" s="22">
        <f t="shared" si="57"/>
        <v>0.12400689511310994</v>
      </c>
      <c r="N222" s="22">
        <f t="shared" si="57"/>
        <v>0.12286841678965586</v>
      </c>
      <c r="O222" s="22">
        <f t="shared" si="57"/>
        <v>0.12100901910044999</v>
      </c>
      <c r="P222" s="22">
        <f t="shared" si="57"/>
        <v>0.11845842648899831</v>
      </c>
      <c r="Q222" s="22">
        <f t="shared" si="57"/>
        <v>0.11660641339960404</v>
      </c>
      <c r="R222" s="22">
        <f t="shared" si="57"/>
        <v>0.1149182786313902</v>
      </c>
      <c r="S222" s="22">
        <f t="shared" si="57"/>
        <v>0.10339476754661255</v>
      </c>
      <c r="T222" s="22">
        <f t="shared" si="57"/>
        <v>0.10708680746691927</v>
      </c>
      <c r="U222" s="22">
        <f t="shared" si="57"/>
        <v>0.34230494451620991</v>
      </c>
      <c r="V222" s="22">
        <f t="shared" si="57"/>
        <v>0.34324328716985369</v>
      </c>
      <c r="W222" s="22">
        <f t="shared" si="57"/>
        <v>0.3435898446352561</v>
      </c>
      <c r="X222" s="22">
        <f t="shared" si="57"/>
        <v>0.34336025373780221</v>
      </c>
      <c r="Y222" s="22">
        <f t="shared" si="57"/>
        <v>0.34258915131434525</v>
      </c>
      <c r="Z222" s="22">
        <f t="shared" si="57"/>
        <v>0.34126945430195527</v>
      </c>
      <c r="AA222" s="22">
        <f t="shared" si="57"/>
        <v>0.3393992662053118</v>
      </c>
      <c r="AB222" s="22">
        <f t="shared" si="57"/>
        <v>0.33697876239255126</v>
      </c>
      <c r="AC222" s="22">
        <f t="shared" si="57"/>
        <v>0.3340110473815755</v>
      </c>
      <c r="AD222" s="22">
        <f t="shared" si="57"/>
        <v>0.33050375948442778</v>
      </c>
      <c r="AE222" s="22">
        <f t="shared" si="57"/>
        <v>0.32646655874795893</v>
      </c>
      <c r="AF222" s="22">
        <f t="shared" si="57"/>
        <v>0.32191309563582443</v>
      </c>
      <c r="AG222" s="22">
        <f t="shared" si="57"/>
        <v>0.31686086246920969</v>
      </c>
      <c r="AH222" s="22">
        <f t="shared" si="57"/>
        <v>0.31132880694281095</v>
      </c>
      <c r="AI222" s="22">
        <f t="shared" si="57"/>
        <v>0.30533819170490117</v>
      </c>
      <c r="AJ222" s="22">
        <f t="shared" si="57"/>
        <v>-2.8452110243571058E-2</v>
      </c>
      <c r="AK222" s="22">
        <f t="shared" si="57"/>
        <v>-2.814409017595957E-2</v>
      </c>
      <c r="AL222" s="22">
        <f t="shared" si="57"/>
        <v>-2.7834978813803351E-2</v>
      </c>
      <c r="AM222" s="22">
        <f t="shared" si="57"/>
        <v>-2.7525096845033417E-2</v>
      </c>
      <c r="AN222" s="22">
        <f t="shared" si="57"/>
        <v>-2.7214798691689582E-2</v>
      </c>
      <c r="AO222" s="22">
        <f t="shared" si="57"/>
        <v>-2.6903261813323635E-2</v>
      </c>
      <c r="AP222" s="22">
        <f t="shared" si="57"/>
        <v>-2.659000059935173E-2</v>
      </c>
      <c r="AQ222" s="22">
        <f t="shared" si="57"/>
        <v>-2.6275045310908511E-2</v>
      </c>
      <c r="AR222" s="22">
        <f t="shared" si="57"/>
        <v>-2.5957874013715753E-2</v>
      </c>
      <c r="AS222" s="22">
        <f t="shared" si="57"/>
        <v>-2.5637945266726723E-2</v>
      </c>
      <c r="AT222" s="22">
        <f t="shared" si="57"/>
        <v>-2.5315349871404581E-2</v>
      </c>
      <c r="AU222" s="22">
        <f t="shared" si="57"/>
        <v>-2.4990356269877063E-2</v>
      </c>
      <c r="AV222" s="22">
        <f t="shared" si="57"/>
        <v>-2.4663194083915266E-2</v>
      </c>
      <c r="AW222" s="22">
        <f t="shared" si="57"/>
        <v>-2.433341037395171E-2</v>
      </c>
      <c r="AY222" s="79"/>
    </row>
    <row r="223" spans="1:51" x14ac:dyDescent="0.25">
      <c r="A223" s="95" t="str">
        <f t="shared" si="45"/>
        <v>FA Organic</v>
      </c>
      <c r="B223" s="95" t="s">
        <v>962</v>
      </c>
      <c r="C223" s="95" t="s">
        <v>1127</v>
      </c>
      <c r="D223" t="s">
        <v>369</v>
      </c>
      <c r="E223" t="s">
        <v>55</v>
      </c>
      <c r="F223" t="s">
        <v>421</v>
      </c>
      <c r="G223" t="s">
        <v>1178</v>
      </c>
      <c r="H223" t="s">
        <v>1179</v>
      </c>
      <c r="I223" t="s">
        <v>139</v>
      </c>
      <c r="J223" t="s">
        <v>287</v>
      </c>
      <c r="K223" s="22">
        <f t="shared" si="55"/>
        <v>3.1618785484610064E-2</v>
      </c>
      <c r="L223" s="22">
        <f t="shared" si="57"/>
        <v>3.1446916354757493E-2</v>
      </c>
      <c r="M223" s="22">
        <f t="shared" si="57"/>
        <v>3.1461022839745618E-2</v>
      </c>
      <c r="N223" s="22">
        <f t="shared" si="57"/>
        <v>3.1172186541537576E-2</v>
      </c>
      <c r="O223" s="22">
        <f t="shared" si="57"/>
        <v>3.0700450247237825E-2</v>
      </c>
      <c r="P223" s="22">
        <f t="shared" si="57"/>
        <v>3.0053355161673637E-2</v>
      </c>
      <c r="Q223" s="22">
        <f t="shared" si="57"/>
        <v>2.9583492368545915E-2</v>
      </c>
      <c r="R223" s="22">
        <f t="shared" si="57"/>
        <v>2.9155206131309674E-2</v>
      </c>
      <c r="S223" s="22">
        <f t="shared" si="57"/>
        <v>2.6231647363859134E-2</v>
      </c>
      <c r="T223" s="22">
        <f t="shared" si="57"/>
        <v>2.716833199056537E-2</v>
      </c>
      <c r="U223" s="22">
        <f t="shared" si="57"/>
        <v>8.684407159585289E-2</v>
      </c>
      <c r="V223" s="22">
        <f t="shared" si="57"/>
        <v>8.7082132710364829E-2</v>
      </c>
      <c r="W223" s="22">
        <f t="shared" si="57"/>
        <v>8.7170055662748783E-2</v>
      </c>
      <c r="X223" s="22">
        <f t="shared" si="57"/>
        <v>8.7111807575317793E-2</v>
      </c>
      <c r="Y223" s="22">
        <f t="shared" si="57"/>
        <v>8.6916175945850438E-2</v>
      </c>
      <c r="Z223" s="22">
        <f t="shared" si="57"/>
        <v>8.6581363774233103E-2</v>
      </c>
      <c r="AA223" s="22">
        <f t="shared" si="57"/>
        <v>8.6106889912360693E-2</v>
      </c>
      <c r="AB223" s="22">
        <f t="shared" si="57"/>
        <v>8.5492798851799182E-2</v>
      </c>
      <c r="AC223" s="22">
        <f t="shared" si="57"/>
        <v>8.4739878220595588E-2</v>
      </c>
      <c r="AD223" s="22">
        <f t="shared" si="57"/>
        <v>8.3850065887683914E-2</v>
      </c>
      <c r="AE223" s="22">
        <f t="shared" si="57"/>
        <v>8.2825812643839453E-2</v>
      </c>
      <c r="AF223" s="22">
        <f t="shared" si="57"/>
        <v>8.1670581663819047E-2</v>
      </c>
      <c r="AG223" s="22">
        <f t="shared" si="57"/>
        <v>8.0388810816306083E-2</v>
      </c>
      <c r="AH223" s="22">
        <f t="shared" si="57"/>
        <v>7.8985307203801092E-2</v>
      </c>
      <c r="AI223" s="22">
        <f t="shared" si="57"/>
        <v>7.7465465241367507E-2</v>
      </c>
      <c r="AJ223" s="22">
        <f t="shared" si="57"/>
        <v>-7.2184090198813182E-3</v>
      </c>
      <c r="AK223" s="22">
        <f t="shared" si="57"/>
        <v>-7.1402631524810738E-3</v>
      </c>
      <c r="AL223" s="22">
        <f t="shared" si="57"/>
        <v>-7.0618404194874671E-3</v>
      </c>
      <c r="AM223" s="22">
        <f t="shared" si="57"/>
        <v>-6.9832221806532197E-3</v>
      </c>
      <c r="AN223" s="22">
        <f t="shared" si="57"/>
        <v>-6.9044983542032711E-3</v>
      </c>
      <c r="AO223" s="22">
        <f t="shared" si="57"/>
        <v>-6.8254602584848501E-3</v>
      </c>
      <c r="AP223" s="22">
        <f t="shared" si="57"/>
        <v>-6.7459846922384176E-3</v>
      </c>
      <c r="AQ223" s="22">
        <f t="shared" si="57"/>
        <v>-6.66607933282939E-3</v>
      </c>
      <c r="AR223" s="22">
        <f t="shared" si="57"/>
        <v>-6.5856117635382473E-3</v>
      </c>
      <c r="AS223" s="22">
        <f t="shared" si="57"/>
        <v>-6.5044446187038276E-3</v>
      </c>
      <c r="AT223" s="22">
        <f t="shared" si="57"/>
        <v>-6.4226009350040626E-3</v>
      </c>
      <c r="AU223" s="22">
        <f t="shared" si="57"/>
        <v>-6.3401488172318849E-3</v>
      </c>
      <c r="AV223" s="22">
        <f t="shared" si="57"/>
        <v>-6.2571465213074788E-3</v>
      </c>
      <c r="AW223" s="22">
        <f t="shared" si="57"/>
        <v>-6.1734791347329209E-3</v>
      </c>
      <c r="AY223" s="79"/>
    </row>
    <row r="224" spans="1:51" x14ac:dyDescent="0.25">
      <c r="A224" s="95" t="str">
        <f t="shared" si="45"/>
        <v>FA Organic</v>
      </c>
      <c r="B224" s="95" t="s">
        <v>962</v>
      </c>
      <c r="C224" s="95" t="s">
        <v>1127</v>
      </c>
      <c r="D224" t="s">
        <v>369</v>
      </c>
      <c r="E224" t="s">
        <v>55</v>
      </c>
      <c r="F224" t="s">
        <v>421</v>
      </c>
      <c r="G224" t="s">
        <v>1180</v>
      </c>
      <c r="H224" t="s">
        <v>1181</v>
      </c>
      <c r="I224" t="s">
        <v>139</v>
      </c>
      <c r="J224" t="s">
        <v>287</v>
      </c>
      <c r="K224" s="22">
        <f t="shared" si="55"/>
        <v>0.15700744358616767</v>
      </c>
      <c r="L224" s="22">
        <f t="shared" si="57"/>
        <v>0.16019971617730661</v>
      </c>
      <c r="M224" s="22">
        <f t="shared" si="57"/>
        <v>0.16393118028621728</v>
      </c>
      <c r="N224" s="22">
        <f t="shared" si="57"/>
        <v>0.1667959170810015</v>
      </c>
      <c r="O224" s="22">
        <f t="shared" si="57"/>
        <v>0.16909558154641685</v>
      </c>
      <c r="P224" s="22">
        <f t="shared" si="57"/>
        <v>0.17081649742586288</v>
      </c>
      <c r="Q224" s="22">
        <f t="shared" si="57"/>
        <v>0.17302318661183388</v>
      </c>
      <c r="R224" s="22">
        <f t="shared" si="57"/>
        <v>0.17531753251219057</v>
      </c>
      <c r="S224" s="22">
        <f t="shared" si="57"/>
        <v>0.16840615861524894</v>
      </c>
      <c r="T224" s="22">
        <f t="shared" si="57"/>
        <v>0.17458356718938842</v>
      </c>
      <c r="U224" s="22">
        <f t="shared" si="57"/>
        <v>0.38800090489360167</v>
      </c>
      <c r="V224" s="22">
        <f t="shared" si="57"/>
        <v>0.39653088130091707</v>
      </c>
      <c r="W224" s="22">
        <f t="shared" si="57"/>
        <v>0.40471104789547857</v>
      </c>
      <c r="X224" s="22">
        <f t="shared" si="57"/>
        <v>0.41246916129593358</v>
      </c>
      <c r="Y224" s="22">
        <f t="shared" si="57"/>
        <v>0.41970725517029195</v>
      </c>
      <c r="Z224" s="22">
        <f t="shared" si="57"/>
        <v>0.42639369577393321</v>
      </c>
      <c r="AA224" s="22">
        <f t="shared" si="57"/>
        <v>0.43249628984221433</v>
      </c>
      <c r="AB224" s="22">
        <f t="shared" si="57"/>
        <v>0.4379872665206837</v>
      </c>
      <c r="AC224" s="22">
        <f t="shared" si="57"/>
        <v>0.44284225594622417</v>
      </c>
      <c r="AD224" s="22">
        <f t="shared" si="57"/>
        <v>0.44703777917847665</v>
      </c>
      <c r="AE224" s="22">
        <f t="shared" si="57"/>
        <v>0.4505554182669968</v>
      </c>
      <c r="AF224" s="22">
        <f t="shared" si="57"/>
        <v>0.45337855769901697</v>
      </c>
      <c r="AG224" s="22">
        <f t="shared" si="57"/>
        <v>0.45549241971080034</v>
      </c>
      <c r="AH224" s="22">
        <f t="shared" si="57"/>
        <v>0.45688810753700776</v>
      </c>
      <c r="AI224" s="22">
        <f t="shared" si="57"/>
        <v>0.45756101673458949</v>
      </c>
      <c r="AJ224" s="22">
        <f t="shared" si="57"/>
        <v>5.9649191888050651E-2</v>
      </c>
      <c r="AK224" s="22">
        <f t="shared" si="57"/>
        <v>6.0086977867764617E-2</v>
      </c>
      <c r="AL224" s="22">
        <f t="shared" si="57"/>
        <v>6.051391169747472E-2</v>
      </c>
      <c r="AM224" s="22">
        <f t="shared" si="57"/>
        <v>6.0930636526454876E-2</v>
      </c>
      <c r="AN224" s="22">
        <f t="shared" si="57"/>
        <v>6.1337893751701338E-2</v>
      </c>
      <c r="AO224" s="22">
        <f t="shared" si="57"/>
        <v>6.173401354876637E-2</v>
      </c>
      <c r="AP224" s="22">
        <f t="shared" si="57"/>
        <v>6.2117896275395594E-2</v>
      </c>
      <c r="AQ224" s="22">
        <f t="shared" si="57"/>
        <v>6.2489460947128449E-2</v>
      </c>
      <c r="AR224" s="22">
        <f t="shared" si="57"/>
        <v>6.2847397693153853E-2</v>
      </c>
      <c r="AS224" s="22">
        <f t="shared" si="57"/>
        <v>6.3190248292167767E-2</v>
      </c>
      <c r="AT224" s="22">
        <f t="shared" si="57"/>
        <v>6.3517885217877365E-2</v>
      </c>
      <c r="AU224" s="22">
        <f t="shared" si="57"/>
        <v>6.3830584812563373E-2</v>
      </c>
      <c r="AV224" s="22">
        <f t="shared" si="57"/>
        <v>6.4128553387287249E-2</v>
      </c>
      <c r="AW224" s="22">
        <f t="shared" si="57"/>
        <v>6.4410368967620674E-2</v>
      </c>
      <c r="AY224" s="79"/>
    </row>
    <row r="225" spans="1:51" x14ac:dyDescent="0.25">
      <c r="A225" s="95" t="str">
        <f t="shared" si="45"/>
        <v>FA Organic</v>
      </c>
      <c r="B225" s="95" t="s">
        <v>962</v>
      </c>
      <c r="C225" s="95" t="s">
        <v>1127</v>
      </c>
      <c r="D225" t="s">
        <v>369</v>
      </c>
      <c r="E225" t="s">
        <v>55</v>
      </c>
      <c r="F225" t="s">
        <v>421</v>
      </c>
      <c r="G225" t="s">
        <v>1182</v>
      </c>
      <c r="H225" t="s">
        <v>1183</v>
      </c>
      <c r="I225" t="s">
        <v>139</v>
      </c>
      <c r="J225" t="s">
        <v>287</v>
      </c>
      <c r="K225" s="22">
        <f t="shared" si="55"/>
        <v>0.78620275218739066</v>
      </c>
      <c r="L225" s="22">
        <f t="shared" si="57"/>
        <v>0.79655563720176403</v>
      </c>
      <c r="M225" s="22">
        <f t="shared" si="57"/>
        <v>0.81318534024672162</v>
      </c>
      <c r="N225" s="22">
        <f t="shared" si="57"/>
        <v>0.81796021384654061</v>
      </c>
      <c r="O225" s="22">
        <f t="shared" si="57"/>
        <v>0.81503229757580642</v>
      </c>
      <c r="P225" s="22">
        <f t="shared" si="57"/>
        <v>0.80443274266431919</v>
      </c>
      <c r="Q225" s="22">
        <f t="shared" si="57"/>
        <v>0.7999705721751077</v>
      </c>
      <c r="R225" s="22">
        <f t="shared" si="57"/>
        <v>0.79652072541357855</v>
      </c>
      <c r="S225" s="22">
        <f t="shared" si="57"/>
        <v>0.69465569137892269</v>
      </c>
      <c r="T225" s="22">
        <f t="shared" si="57"/>
        <v>0.74722740283446698</v>
      </c>
      <c r="U225" s="22">
        <f t="shared" si="57"/>
        <v>3.2491319225574986</v>
      </c>
      <c r="V225" s="22">
        <f t="shared" si="57"/>
        <v>3.3073834646513305</v>
      </c>
      <c r="W225" s="22">
        <f t="shared" si="57"/>
        <v>3.3591336989468359</v>
      </c>
      <c r="X225" s="22">
        <f t="shared" si="57"/>
        <v>3.4046035940471189</v>
      </c>
      <c r="Y225" s="22">
        <f t="shared" si="57"/>
        <v>3.4444110933040832</v>
      </c>
      <c r="Z225" s="22">
        <f t="shared" si="57"/>
        <v>3.4782576037016457</v>
      </c>
      <c r="AA225" s="22">
        <f t="shared" si="57"/>
        <v>3.505913886515494</v>
      </c>
      <c r="AB225" s="22">
        <f t="shared" si="57"/>
        <v>3.5271546213039011</v>
      </c>
      <c r="AC225" s="22">
        <f t="shared" si="57"/>
        <v>3.5417788512464328</v>
      </c>
      <c r="AD225" s="22">
        <f t="shared" si="57"/>
        <v>3.549649544772171</v>
      </c>
      <c r="AE225" s="22">
        <f t="shared" si="57"/>
        <v>3.5506396563756342</v>
      </c>
      <c r="AF225" s="22">
        <f t="shared" si="57"/>
        <v>3.5446807301434013</v>
      </c>
      <c r="AG225" s="22">
        <f t="shared" si="57"/>
        <v>3.5317644478597843</v>
      </c>
      <c r="AH225" s="22">
        <f t="shared" si="57"/>
        <v>3.5118898029906984</v>
      </c>
      <c r="AI225" s="22">
        <f t="shared" si="57"/>
        <v>3.4850865665660411</v>
      </c>
      <c r="AJ225" s="22">
        <f t="shared" si="57"/>
        <v>-0.74420912451247578</v>
      </c>
      <c r="AK225" s="22">
        <f t="shared" si="57"/>
        <v>-0.74526229962435608</v>
      </c>
      <c r="AL225" s="22">
        <f t="shared" si="57"/>
        <v>-0.74621593178570578</v>
      </c>
      <c r="AM225" s="22">
        <f t="shared" si="57"/>
        <v>-0.74707813045846294</v>
      </c>
      <c r="AN225" s="22">
        <f t="shared" si="57"/>
        <v>-0.74785816697127483</v>
      </c>
      <c r="AO225" s="22">
        <f t="shared" si="57"/>
        <v>-0.74853427138595596</v>
      </c>
      <c r="AP225" s="22">
        <f t="shared" si="57"/>
        <v>-0.74909252303654383</v>
      </c>
      <c r="AQ225" s="22">
        <f t="shared" si="57"/>
        <v>-0.74953228992663867</v>
      </c>
      <c r="AR225" s="22">
        <f t="shared" si="57"/>
        <v>-0.74983752364841638</v>
      </c>
      <c r="AS225" s="22">
        <f t="shared" si="57"/>
        <v>-0.74999071959333552</v>
      </c>
      <c r="AT225" s="22">
        <f t="shared" si="57"/>
        <v>-0.74999137614758737</v>
      </c>
      <c r="AU225" s="22">
        <f t="shared" si="57"/>
        <v>-0.74984403824480428</v>
      </c>
      <c r="AV225" s="22">
        <f t="shared" si="57"/>
        <v>-0.749552317817198</v>
      </c>
      <c r="AW225" s="22">
        <f t="shared" si="57"/>
        <v>-0.74909980498727913</v>
      </c>
      <c r="AY225" s="79"/>
    </row>
    <row r="226" spans="1:51" x14ac:dyDescent="0.25">
      <c r="A226" s="95" t="str">
        <f t="shared" si="45"/>
        <v>FA U&amp;D</v>
      </c>
      <c r="B226" s="95" t="s">
        <v>962</v>
      </c>
      <c r="C226" s="95" t="s">
        <v>1336</v>
      </c>
      <c r="D226" t="s">
        <v>369</v>
      </c>
      <c r="E226" t="s">
        <v>55</v>
      </c>
      <c r="F226" t="s">
        <v>422</v>
      </c>
      <c r="G226" t="s">
        <v>1152</v>
      </c>
      <c r="H226" t="s">
        <v>1240</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25">
      <c r="A227" s="95" t="str">
        <f t="shared" si="45"/>
        <v>FA U&amp;D</v>
      </c>
      <c r="B227" s="95" t="s">
        <v>962</v>
      </c>
      <c r="C227" s="95" t="s">
        <v>1336</v>
      </c>
      <c r="D227" t="s">
        <v>369</v>
      </c>
      <c r="E227" t="s">
        <v>55</v>
      </c>
      <c r="F227" t="s">
        <v>422</v>
      </c>
      <c r="G227" t="s">
        <v>1154</v>
      </c>
      <c r="H227" t="s">
        <v>1241</v>
      </c>
      <c r="I227" t="s">
        <v>139</v>
      </c>
      <c r="J227" t="s">
        <v>287</v>
      </c>
      <c r="K227" s="22">
        <f t="shared" si="55"/>
        <v>1.0775797812462991</v>
      </c>
      <c r="L227" s="22">
        <f t="shared" si="57"/>
        <v>1.0836040032789309</v>
      </c>
      <c r="M227" s="22">
        <f t="shared" si="57"/>
        <v>1.0921513426512339</v>
      </c>
      <c r="N227" s="22">
        <f t="shared" si="57"/>
        <v>1.0976439186771809</v>
      </c>
      <c r="O227" s="22">
        <f t="shared" si="57"/>
        <v>1.1012937605673541</v>
      </c>
      <c r="P227" s="22">
        <f t="shared" si="57"/>
        <v>1.1030649457277466</v>
      </c>
      <c r="Q227" s="22">
        <f t="shared" si="57"/>
        <v>1.1069781529146336</v>
      </c>
      <c r="R227" s="22">
        <f t="shared" si="57"/>
        <v>1.1114672588381174</v>
      </c>
      <c r="S227" s="22">
        <f t="shared" si="57"/>
        <v>1.0798853549763567</v>
      </c>
      <c r="T227" s="22">
        <f t="shared" si="57"/>
        <v>1.098466311859537</v>
      </c>
      <c r="U227" s="22">
        <f t="shared" si="57"/>
        <v>1.889999136322517</v>
      </c>
      <c r="V227" s="22">
        <f t="shared" si="57"/>
        <v>1.9127821937491298</v>
      </c>
      <c r="W227" s="22">
        <f t="shared" si="57"/>
        <v>1.9345659305338647</v>
      </c>
      <c r="X227" s="22">
        <f t="shared" si="57"/>
        <v>1.9549798101221001</v>
      </c>
      <c r="Y227" s="22">
        <f t="shared" si="57"/>
        <v>1.9734786750778357</v>
      </c>
      <c r="Z227" s="22">
        <f t="shared" si="57"/>
        <v>1.9899761352853818</v>
      </c>
      <c r="AA227" s="22">
        <f t="shared" si="57"/>
        <v>2.0043760843310485</v>
      </c>
      <c r="AB227" s="22">
        <f t="shared" si="57"/>
        <v>2.0166057838413951</v>
      </c>
      <c r="AC227" s="22">
        <f t="shared" si="57"/>
        <v>2.0266075471247365</v>
      </c>
      <c r="AD227" s="22">
        <f t="shared" si="57"/>
        <v>2.0343207325041344</v>
      </c>
      <c r="AE227" s="22">
        <f t="shared" si="57"/>
        <v>2.0397090361762231</v>
      </c>
      <c r="AF227" s="22">
        <f t="shared" ref="L227:AW234" si="58">AF1483</f>
        <v>2.0427376347432897</v>
      </c>
      <c r="AG227" s="22">
        <f t="shared" si="58"/>
        <v>2.0433728844876047</v>
      </c>
      <c r="AH227" s="22">
        <f t="shared" si="58"/>
        <v>2.0416086414199954</v>
      </c>
      <c r="AI227" s="22">
        <f t="shared" si="58"/>
        <v>2.0374549495329468</v>
      </c>
      <c r="AJ227" s="22">
        <f t="shared" si="58"/>
        <v>0.64461551353755753</v>
      </c>
      <c r="AK227" s="22">
        <f t="shared" si="58"/>
        <v>0.64508607204460633</v>
      </c>
      <c r="AL227" s="22">
        <f t="shared" si="58"/>
        <v>0.64552275664376835</v>
      </c>
      <c r="AM227" s="22">
        <f t="shared" si="58"/>
        <v>0.64592852135594947</v>
      </c>
      <c r="AN227" s="22">
        <f t="shared" si="58"/>
        <v>0.64630700491581017</v>
      </c>
      <c r="AO227" s="22">
        <f t="shared" si="58"/>
        <v>0.64664632856302828</v>
      </c>
      <c r="AP227" s="22">
        <f t="shared" si="58"/>
        <v>0.64693851525277601</v>
      </c>
      <c r="AQ227" s="22">
        <f t="shared" si="58"/>
        <v>0.64718228577189862</v>
      </c>
      <c r="AR227" s="22">
        <f t="shared" si="58"/>
        <v>0.64736858903651606</v>
      </c>
      <c r="AS227" s="22">
        <f t="shared" si="58"/>
        <v>0.64748759839973102</v>
      </c>
      <c r="AT227" s="22">
        <f t="shared" si="58"/>
        <v>0.64753810013359636</v>
      </c>
      <c r="AU227" s="22">
        <f t="shared" si="58"/>
        <v>0.6475214899931051</v>
      </c>
      <c r="AV227" s="22">
        <f t="shared" si="58"/>
        <v>0.6474387413563446</v>
      </c>
      <c r="AW227" s="22">
        <f t="shared" si="58"/>
        <v>0.64728061173527773</v>
      </c>
      <c r="AY227" s="79"/>
    </row>
    <row r="228" spans="1:51" x14ac:dyDescent="0.25">
      <c r="A228" s="95" t="str">
        <f t="shared" si="45"/>
        <v>FA U&amp;D</v>
      </c>
      <c r="B228" s="95" t="s">
        <v>962</v>
      </c>
      <c r="C228" s="95" t="s">
        <v>1336</v>
      </c>
      <c r="D228" t="s">
        <v>369</v>
      </c>
      <c r="E228" t="s">
        <v>55</v>
      </c>
      <c r="F228" t="s">
        <v>422</v>
      </c>
      <c r="G228" t="s">
        <v>1156</v>
      </c>
      <c r="H228" t="s">
        <v>1242</v>
      </c>
      <c r="I228" t="s">
        <v>139</v>
      </c>
      <c r="J228" t="s">
        <v>287</v>
      </c>
      <c r="K228" s="22">
        <f t="shared" si="55"/>
        <v>0.73383920392416069</v>
      </c>
      <c r="L228" s="22">
        <f t="shared" si="58"/>
        <v>0.73794174034663862</v>
      </c>
      <c r="M228" s="22">
        <f t="shared" si="58"/>
        <v>0.74376253694082328</v>
      </c>
      <c r="N228" s="22">
        <f t="shared" si="58"/>
        <v>0.74750301879518044</v>
      </c>
      <c r="O228" s="22">
        <f t="shared" si="58"/>
        <v>0.74998858609492669</v>
      </c>
      <c r="P228" s="22">
        <f t="shared" si="58"/>
        <v>0.75119477530775858</v>
      </c>
      <c r="Q228" s="22">
        <f t="shared" si="58"/>
        <v>0.7538596961765357</v>
      </c>
      <c r="R228" s="22">
        <f t="shared" si="58"/>
        <v>0.75691680802528449</v>
      </c>
      <c r="S228" s="22">
        <f t="shared" si="58"/>
        <v>0.73540931540926791</v>
      </c>
      <c r="T228" s="22">
        <f t="shared" si="58"/>
        <v>0.74806307417925111</v>
      </c>
      <c r="U228" s="22">
        <f t="shared" si="58"/>
        <v>1.2871023433755899</v>
      </c>
      <c r="V228" s="22">
        <f t="shared" si="58"/>
        <v>1.3026177613667917</v>
      </c>
      <c r="W228" s="22">
        <f t="shared" si="58"/>
        <v>1.3174526351634348</v>
      </c>
      <c r="X228" s="22">
        <f t="shared" si="58"/>
        <v>1.3313546268365786</v>
      </c>
      <c r="Y228" s="22">
        <f t="shared" si="58"/>
        <v>1.3439524804422922</v>
      </c>
      <c r="Z228" s="22">
        <f t="shared" si="58"/>
        <v>1.3551873637207013</v>
      </c>
      <c r="AA228" s="22">
        <f t="shared" si="58"/>
        <v>1.3649938275465159</v>
      </c>
      <c r="AB228" s="22">
        <f t="shared" si="58"/>
        <v>1.3733223365897391</v>
      </c>
      <c r="AC228" s="22">
        <f t="shared" si="58"/>
        <v>1.3801336058186369</v>
      </c>
      <c r="AD228" s="22">
        <f t="shared" si="58"/>
        <v>1.3853863378362978</v>
      </c>
      <c r="AE228" s="22">
        <f t="shared" si="58"/>
        <v>1.3890558095042369</v>
      </c>
      <c r="AF228" s="22">
        <f t="shared" si="58"/>
        <v>1.3911183058503465</v>
      </c>
      <c r="AG228" s="22">
        <f t="shared" si="58"/>
        <v>1.3915509152726599</v>
      </c>
      <c r="AH228" s="22">
        <f t="shared" si="58"/>
        <v>1.3903494536725116</v>
      </c>
      <c r="AI228" s="22">
        <f t="shared" si="58"/>
        <v>1.3875207610775073</v>
      </c>
      <c r="AJ228" s="22">
        <f t="shared" si="58"/>
        <v>0.43898757523499138</v>
      </c>
      <c r="AK228" s="22">
        <f t="shared" si="58"/>
        <v>0.43930802879789405</v>
      </c>
      <c r="AL228" s="22">
        <f t="shared" si="58"/>
        <v>0.43960541399775782</v>
      </c>
      <c r="AM228" s="22">
        <f t="shared" si="58"/>
        <v>0.43988174254303092</v>
      </c>
      <c r="AN228" s="22">
        <f t="shared" si="58"/>
        <v>0.44013949243691386</v>
      </c>
      <c r="AO228" s="22">
        <f t="shared" si="58"/>
        <v>0.44037057416235159</v>
      </c>
      <c r="AP228" s="22">
        <f t="shared" si="58"/>
        <v>0.44056955529723674</v>
      </c>
      <c r="AQ228" s="22">
        <f t="shared" si="58"/>
        <v>0.4407355646886586</v>
      </c>
      <c r="AR228" s="22">
        <f t="shared" si="58"/>
        <v>0.44086243848656637</v>
      </c>
      <c r="AS228" s="22">
        <f t="shared" si="58"/>
        <v>0.44094348467718814</v>
      </c>
      <c r="AT228" s="22">
        <f t="shared" si="58"/>
        <v>0.44097787670348765</v>
      </c>
      <c r="AU228" s="22">
        <f t="shared" si="58"/>
        <v>0.44096656508416521</v>
      </c>
      <c r="AV228" s="22">
        <f t="shared" si="58"/>
        <v>0.44091021269635783</v>
      </c>
      <c r="AW228" s="22">
        <f t="shared" si="58"/>
        <v>0.44080252534247472</v>
      </c>
      <c r="AY228" s="79"/>
    </row>
    <row r="229" spans="1:51" x14ac:dyDescent="0.25">
      <c r="A229" s="95" t="str">
        <f t="shared" si="45"/>
        <v>FA U&amp;D</v>
      </c>
      <c r="B229" s="95" t="s">
        <v>962</v>
      </c>
      <c r="C229" s="95" t="s">
        <v>1336</v>
      </c>
      <c r="D229" t="s">
        <v>369</v>
      </c>
      <c r="E229" t="s">
        <v>55</v>
      </c>
      <c r="F229" t="s">
        <v>422</v>
      </c>
      <c r="G229" t="s">
        <v>1158</v>
      </c>
      <c r="H229" t="s">
        <v>1243</v>
      </c>
      <c r="I229" t="s">
        <v>139</v>
      </c>
      <c r="J229" t="s">
        <v>287</v>
      </c>
      <c r="K229" s="22">
        <f t="shared" si="55"/>
        <v>15.353527292296841</v>
      </c>
      <c r="L229" s="22">
        <f t="shared" si="58"/>
        <v>15.220371053361493</v>
      </c>
      <c r="M229" s="22">
        <f t="shared" si="58"/>
        <v>15.169682504177887</v>
      </c>
      <c r="N229" s="22">
        <f t="shared" si="58"/>
        <v>14.967111251021194</v>
      </c>
      <c r="O229" s="22">
        <f t="shared" si="58"/>
        <v>14.673074129931953</v>
      </c>
      <c r="P229" s="22">
        <f t="shared" si="58"/>
        <v>14.293651368256896</v>
      </c>
      <c r="Q229" s="22">
        <f t="shared" si="58"/>
        <v>13.994389539168758</v>
      </c>
      <c r="R229" s="22">
        <f t="shared" si="58"/>
        <v>13.711253827544137</v>
      </c>
      <c r="S229" s="22">
        <f t="shared" si="58"/>
        <v>12.262231428549004</v>
      </c>
      <c r="T229" s="22">
        <f t="shared" si="58"/>
        <v>12.73465794206464</v>
      </c>
      <c r="U229" s="22">
        <f t="shared" si="58"/>
        <v>40.135765944691244</v>
      </c>
      <c r="V229" s="22">
        <f t="shared" si="58"/>
        <v>40.329355964050443</v>
      </c>
      <c r="W229" s="22">
        <f t="shared" si="58"/>
        <v>40.453253097840147</v>
      </c>
      <c r="X229" s="22">
        <f t="shared" si="58"/>
        <v>40.507432110592688</v>
      </c>
      <c r="Y229" s="22">
        <f t="shared" si="58"/>
        <v>40.493040718668887</v>
      </c>
      <c r="Z229" s="22">
        <f t="shared" si="58"/>
        <v>40.409389107608789</v>
      </c>
      <c r="AA229" s="22">
        <f t="shared" si="58"/>
        <v>40.256272365845206</v>
      </c>
      <c r="AB229" s="22">
        <f t="shared" si="58"/>
        <v>40.033817183265413</v>
      </c>
      <c r="AC229" s="22">
        <f t="shared" si="58"/>
        <v>39.742523773077906</v>
      </c>
      <c r="AD229" s="22">
        <f t="shared" si="58"/>
        <v>39.052391122761925</v>
      </c>
      <c r="AE229" s="22">
        <f t="shared" si="58"/>
        <v>38.297252341964814</v>
      </c>
      <c r="AF229" s="22">
        <f t="shared" si="58"/>
        <v>37.480500419129982</v>
      </c>
      <c r="AG229" s="22">
        <f t="shared" si="58"/>
        <v>36.605913882693514</v>
      </c>
      <c r="AH229" s="22">
        <f t="shared" si="58"/>
        <v>35.67751529859683</v>
      </c>
      <c r="AI229" s="22">
        <f t="shared" si="58"/>
        <v>34.699588123562123</v>
      </c>
      <c r="AJ229" s="22">
        <f t="shared" si="58"/>
        <v>-2.6792659907667447</v>
      </c>
      <c r="AK229" s="22">
        <f t="shared" si="58"/>
        <v>-2.6147570082117628</v>
      </c>
      <c r="AL229" s="22">
        <f t="shared" si="58"/>
        <v>-2.5509192087001833</v>
      </c>
      <c r="AM229" s="22">
        <f t="shared" si="58"/>
        <v>-2.4877459989648312</v>
      </c>
      <c r="AN229" s="22">
        <f t="shared" si="58"/>
        <v>-2.4376070910582812</v>
      </c>
      <c r="AO229" s="22">
        <f t="shared" si="58"/>
        <v>-2.3879438055302513</v>
      </c>
      <c r="AP229" s="22">
        <f t="shared" si="58"/>
        <v>-2.3387192042216429</v>
      </c>
      <c r="AQ229" s="22">
        <f t="shared" si="58"/>
        <v>-2.2899210938883474</v>
      </c>
      <c r="AR229" s="22">
        <f t="shared" si="58"/>
        <v>-2.2415137982186422</v>
      </c>
      <c r="AS229" s="22">
        <f t="shared" si="58"/>
        <v>-2.1934623794160584</v>
      </c>
      <c r="AT229" s="22">
        <f t="shared" si="58"/>
        <v>-2.145761226265924</v>
      </c>
      <c r="AU229" s="22">
        <f t="shared" si="58"/>
        <v>-2.0984132858067897</v>
      </c>
      <c r="AV229" s="22">
        <f t="shared" si="58"/>
        <v>-2.0514203658912691</v>
      </c>
      <c r="AW229" s="22">
        <f t="shared" si="58"/>
        <v>-2.0047554755928445</v>
      </c>
      <c r="AY229" s="79"/>
    </row>
    <row r="230" spans="1:51" x14ac:dyDescent="0.25">
      <c r="A230" s="95" t="str">
        <f t="shared" si="45"/>
        <v>FA U&amp;D</v>
      </c>
      <c r="B230" s="95" t="s">
        <v>962</v>
      </c>
      <c r="C230" s="95" t="s">
        <v>1336</v>
      </c>
      <c r="D230" t="s">
        <v>369</v>
      </c>
      <c r="E230" t="s">
        <v>55</v>
      </c>
      <c r="F230" t="s">
        <v>422</v>
      </c>
      <c r="G230" t="s">
        <v>1160</v>
      </c>
      <c r="H230" t="s">
        <v>1244</v>
      </c>
      <c r="I230" t="s">
        <v>139</v>
      </c>
      <c r="J230" t="s">
        <v>287</v>
      </c>
      <c r="K230" s="22">
        <f t="shared" si="55"/>
        <v>9.6543103644621429</v>
      </c>
      <c r="L230" s="22">
        <f t="shared" si="58"/>
        <v>9.5705816138517683</v>
      </c>
      <c r="M230" s="22">
        <f t="shared" si="58"/>
        <v>9.5387086131772989</v>
      </c>
      <c r="N230" s="22">
        <f t="shared" si="58"/>
        <v>9.4113316455488931</v>
      </c>
      <c r="O230" s="22">
        <f t="shared" si="58"/>
        <v>9.2264408662754782</v>
      </c>
      <c r="P230" s="22">
        <f t="shared" si="58"/>
        <v>8.987859527224467</v>
      </c>
      <c r="Q230" s="22">
        <f t="shared" si="58"/>
        <v>8.7996834473406569</v>
      </c>
      <c r="R230" s="22">
        <f t="shared" si="58"/>
        <v>8.6216474831450949</v>
      </c>
      <c r="S230" s="22">
        <f t="shared" si="58"/>
        <v>7.7105010280907447</v>
      </c>
      <c r="T230" s="22">
        <f t="shared" si="58"/>
        <v>8.0075632014304841</v>
      </c>
      <c r="U230" s="22">
        <f t="shared" si="58"/>
        <v>25.237402048965457</v>
      </c>
      <c r="V230" s="22">
        <f t="shared" si="58"/>
        <v>25.359131609526678</v>
      </c>
      <c r="W230" s="22">
        <f t="shared" si="58"/>
        <v>25.43703822734167</v>
      </c>
      <c r="X230" s="22">
        <f t="shared" si="58"/>
        <v>25.471106034328002</v>
      </c>
      <c r="Y230" s="22">
        <f t="shared" si="58"/>
        <v>25.462056715460484</v>
      </c>
      <c r="Z230" s="22">
        <f t="shared" si="58"/>
        <v>25.40945651484947</v>
      </c>
      <c r="AA230" s="22">
        <f t="shared" si="58"/>
        <v>25.313176583935984</v>
      </c>
      <c r="AB230" s="22">
        <f t="shared" si="58"/>
        <v>25.173296585423468</v>
      </c>
      <c r="AC230" s="22">
        <f t="shared" si="58"/>
        <v>24.9901310537815</v>
      </c>
      <c r="AD230" s="22">
        <f t="shared" si="58"/>
        <v>24.5561750857518</v>
      </c>
      <c r="AE230" s="22">
        <f t="shared" si="58"/>
        <v>24.081343210361542</v>
      </c>
      <c r="AF230" s="22">
        <f t="shared" si="58"/>
        <v>23.567768941484907</v>
      </c>
      <c r="AG230" s="22">
        <f t="shared" si="58"/>
        <v>23.017828220854938</v>
      </c>
      <c r="AH230" s="22">
        <f t="shared" si="58"/>
        <v>22.434050441185143</v>
      </c>
      <c r="AI230" s="22">
        <f t="shared" si="58"/>
        <v>21.819129043522761</v>
      </c>
      <c r="AJ230" s="22">
        <f t="shared" si="58"/>
        <v>-1.6847246193901004</v>
      </c>
      <c r="AK230" s="22">
        <f t="shared" si="58"/>
        <v>-1.644161319047128</v>
      </c>
      <c r="AL230" s="22">
        <f t="shared" si="58"/>
        <v>-1.6040200591440494</v>
      </c>
      <c r="AM230" s="22">
        <f t="shared" si="58"/>
        <v>-1.5642966938291387</v>
      </c>
      <c r="AN230" s="22">
        <f t="shared" si="58"/>
        <v>-1.5327693080337013</v>
      </c>
      <c r="AO230" s="22">
        <f t="shared" si="58"/>
        <v>-1.5015409939741007</v>
      </c>
      <c r="AP230" s="22">
        <f t="shared" si="58"/>
        <v>-1.4705885249060549</v>
      </c>
      <c r="AQ230" s="22">
        <f t="shared" si="58"/>
        <v>-1.4399042337078187</v>
      </c>
      <c r="AR230" s="22">
        <f t="shared" si="58"/>
        <v>-1.4094656870857605</v>
      </c>
      <c r="AS230" s="22">
        <f t="shared" si="58"/>
        <v>-1.3792509161252371</v>
      </c>
      <c r="AT230" s="22">
        <f t="shared" si="58"/>
        <v>-1.3492563924899292</v>
      </c>
      <c r="AU230" s="22">
        <f t="shared" si="58"/>
        <v>-1.3194839692800588</v>
      </c>
      <c r="AV230" s="22">
        <f t="shared" si="58"/>
        <v>-1.2899347832748098</v>
      </c>
      <c r="AW230" s="22">
        <f t="shared" si="58"/>
        <v>-1.2605918625577832</v>
      </c>
      <c r="AY230" s="79"/>
    </row>
    <row r="231" spans="1:51" x14ac:dyDescent="0.25">
      <c r="A231" s="95" t="str">
        <f t="shared" si="45"/>
        <v>FA U&amp;D</v>
      </c>
      <c r="B231" s="95" t="s">
        <v>962</v>
      </c>
      <c r="C231" s="95" t="s">
        <v>1336</v>
      </c>
      <c r="D231" t="s">
        <v>369</v>
      </c>
      <c r="E231" t="s">
        <v>55</v>
      </c>
      <c r="F231" t="s">
        <v>422</v>
      </c>
      <c r="G231" t="s">
        <v>1162</v>
      </c>
      <c r="H231" t="s">
        <v>1245</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25">
      <c r="A232" s="95" t="str">
        <f t="shared" si="45"/>
        <v>FA U&amp;D</v>
      </c>
      <c r="B232" s="95" t="s">
        <v>962</v>
      </c>
      <c r="C232" s="95" t="s">
        <v>1336</v>
      </c>
      <c r="D232" t="s">
        <v>369</v>
      </c>
      <c r="E232" t="s">
        <v>55</v>
      </c>
      <c r="F232" t="s">
        <v>422</v>
      </c>
      <c r="G232" t="s">
        <v>1164</v>
      </c>
      <c r="H232" t="s">
        <v>1246</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5.8850501739310754</v>
      </c>
      <c r="T232" s="22">
        <f t="shared" si="58"/>
        <v>5.8889669247946657</v>
      </c>
      <c r="U232" s="22">
        <f t="shared" si="58"/>
        <v>5.9656712357324011</v>
      </c>
      <c r="V232" s="22">
        <f t="shared" si="58"/>
        <v>5.9675423775316272</v>
      </c>
      <c r="W232" s="22">
        <f t="shared" si="58"/>
        <v>5.9755461389464104</v>
      </c>
      <c r="X232" s="22">
        <f t="shared" si="58"/>
        <v>5.9871157703379936</v>
      </c>
      <c r="Y232" s="22">
        <f t="shared" si="58"/>
        <v>5.9978635614207825</v>
      </c>
      <c r="Z232" s="22">
        <f t="shared" si="58"/>
        <v>6.0079225842908377</v>
      </c>
      <c r="AA232" s="22">
        <f t="shared" si="58"/>
        <v>6.0172391996362506</v>
      </c>
      <c r="AB232" s="22">
        <f t="shared" si="58"/>
        <v>6.0258973509268747</v>
      </c>
      <c r="AC232" s="22">
        <f t="shared" si="58"/>
        <v>6.0340283734996341</v>
      </c>
      <c r="AD232" s="22">
        <f t="shared" si="58"/>
        <v>6.0416246060545662</v>
      </c>
      <c r="AE232" s="22">
        <f t="shared" si="58"/>
        <v>6.0488075465649391</v>
      </c>
      <c r="AF232" s="22">
        <f t="shared" si="58"/>
        <v>6.0555945824734003</v>
      </c>
      <c r="AG232" s="22">
        <f t="shared" si="58"/>
        <v>6.0618926896286194</v>
      </c>
      <c r="AH232" s="22">
        <f t="shared" si="58"/>
        <v>6.0677594816606231</v>
      </c>
      <c r="AI232" s="22">
        <f t="shared" si="58"/>
        <v>6.0732885536184407</v>
      </c>
      <c r="AJ232" s="22">
        <f t="shared" si="58"/>
        <v>5.9400031784362666</v>
      </c>
      <c r="AK232" s="22">
        <f t="shared" si="58"/>
        <v>5.9454655494945321</v>
      </c>
      <c r="AL232" s="22">
        <f t="shared" si="58"/>
        <v>5.9505605357080302</v>
      </c>
      <c r="AM232" s="22">
        <f t="shared" si="58"/>
        <v>5.9553192750142969</v>
      </c>
      <c r="AN232" s="22">
        <f t="shared" si="58"/>
        <v>5.9597796192711163</v>
      </c>
      <c r="AO232" s="22">
        <f t="shared" si="58"/>
        <v>5.9638242432933737</v>
      </c>
      <c r="AP232" s="22">
        <f t="shared" si="58"/>
        <v>5.9673747960452372</v>
      </c>
      <c r="AQ232" s="22">
        <f t="shared" si="58"/>
        <v>5.9704198015060506</v>
      </c>
      <c r="AR232" s="22">
        <f t="shared" si="58"/>
        <v>5.9728700974873359</v>
      </c>
      <c r="AS232" s="22">
        <f t="shared" si="58"/>
        <v>5.9746287671291771</v>
      </c>
      <c r="AT232" s="22">
        <f t="shared" si="58"/>
        <v>5.9756848810921417</v>
      </c>
      <c r="AU232" s="22">
        <f t="shared" si="58"/>
        <v>5.9760535038151961</v>
      </c>
      <c r="AV232" s="22">
        <f t="shared" si="58"/>
        <v>5.9757454176187608</v>
      </c>
      <c r="AW232" s="22">
        <f t="shared" si="58"/>
        <v>5.9746694018004627</v>
      </c>
      <c r="AY232" s="79"/>
    </row>
    <row r="233" spans="1:51" x14ac:dyDescent="0.25">
      <c r="A233" s="95" t="str">
        <f t="shared" si="45"/>
        <v>FA U&amp;D</v>
      </c>
      <c r="B233" s="95" t="s">
        <v>962</v>
      </c>
      <c r="C233" s="95" t="s">
        <v>1336</v>
      </c>
      <c r="D233" t="s">
        <v>369</v>
      </c>
      <c r="E233" t="s">
        <v>55</v>
      </c>
      <c r="F233" t="s">
        <v>422</v>
      </c>
      <c r="G233" t="s">
        <v>1166</v>
      </c>
      <c r="H233" t="s">
        <v>1247</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0.65694536678362214</v>
      </c>
      <c r="T233" s="22">
        <f t="shared" si="58"/>
        <v>0.65738259182956638</v>
      </c>
      <c r="U233" s="22">
        <f t="shared" si="58"/>
        <v>0.66594505777184321</v>
      </c>
      <c r="V233" s="22">
        <f t="shared" si="58"/>
        <v>0.66615393244568089</v>
      </c>
      <c r="W233" s="22">
        <f t="shared" si="58"/>
        <v>0.66704738854594903</v>
      </c>
      <c r="X233" s="22">
        <f t="shared" si="58"/>
        <v>0.66833890102476579</v>
      </c>
      <c r="Y233" s="22">
        <f t="shared" si="58"/>
        <v>0.66953867185871263</v>
      </c>
      <c r="Z233" s="22">
        <f t="shared" si="58"/>
        <v>0.67066155582291842</v>
      </c>
      <c r="AA233" s="22">
        <f t="shared" si="58"/>
        <v>0.67170156518637059</v>
      </c>
      <c r="AB233" s="22">
        <f t="shared" si="58"/>
        <v>0.67266807051889643</v>
      </c>
      <c r="AC233" s="22">
        <f t="shared" si="58"/>
        <v>0.67357573272202431</v>
      </c>
      <c r="AD233" s="22">
        <f t="shared" si="58"/>
        <v>0.67442369656846346</v>
      </c>
      <c r="AE233" s="22">
        <f t="shared" si="58"/>
        <v>0.67522552481949083</v>
      </c>
      <c r="AF233" s="22">
        <f t="shared" si="58"/>
        <v>0.67598315842710355</v>
      </c>
      <c r="AG233" s="22">
        <f t="shared" si="58"/>
        <v>0.676686213149297</v>
      </c>
      <c r="AH233" s="22">
        <f t="shared" si="58"/>
        <v>0.67734112036833483</v>
      </c>
      <c r="AI233" s="22">
        <f t="shared" si="58"/>
        <v>0.67795832805526179</v>
      </c>
      <c r="AJ233" s="22">
        <f t="shared" si="58"/>
        <v>0.66307974467906339</v>
      </c>
      <c r="AK233" s="22">
        <f t="shared" si="58"/>
        <v>0.66368950657612846</v>
      </c>
      <c r="AL233" s="22">
        <f t="shared" si="58"/>
        <v>0.6642582574767768</v>
      </c>
      <c r="AM233" s="22">
        <f t="shared" si="58"/>
        <v>0.66478947329424454</v>
      </c>
      <c r="AN233" s="22">
        <f t="shared" si="58"/>
        <v>0.66528737941350879</v>
      </c>
      <c r="AO233" s="22">
        <f t="shared" si="58"/>
        <v>0.66573887887965999</v>
      </c>
      <c r="AP233" s="22">
        <f t="shared" si="58"/>
        <v>0.66613522540363546</v>
      </c>
      <c r="AQ233" s="22">
        <f t="shared" si="58"/>
        <v>0.66647513792267787</v>
      </c>
      <c r="AR233" s="22">
        <f t="shared" si="58"/>
        <v>0.66674866330386928</v>
      </c>
      <c r="AS233" s="22">
        <f t="shared" si="58"/>
        <v>0.6669449827639865</v>
      </c>
      <c r="AT233" s="22">
        <f t="shared" si="58"/>
        <v>0.66706287626604011</v>
      </c>
      <c r="AU233" s="22">
        <f t="shared" si="58"/>
        <v>0.6671040254462246</v>
      </c>
      <c r="AV233" s="22">
        <f t="shared" si="58"/>
        <v>0.66706963392986762</v>
      </c>
      <c r="AW233" s="22">
        <f t="shared" si="58"/>
        <v>0.66694951879311848</v>
      </c>
      <c r="AY233" s="79"/>
    </row>
    <row r="234" spans="1:51" x14ac:dyDescent="0.25">
      <c r="A234" s="95" t="str">
        <f t="shared" si="45"/>
        <v>FA U&amp;D</v>
      </c>
      <c r="B234" s="95" t="s">
        <v>962</v>
      </c>
      <c r="C234" s="95" t="s">
        <v>1336</v>
      </c>
      <c r="D234" t="s">
        <v>369</v>
      </c>
      <c r="E234" t="s">
        <v>55</v>
      </c>
      <c r="F234" t="s">
        <v>422</v>
      </c>
      <c r="G234" t="s">
        <v>1168</v>
      </c>
      <c r="H234" t="s">
        <v>1248</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0.73708994755228441</v>
      </c>
      <c r="R234" s="22">
        <f t="shared" si="58"/>
        <v>0.74193942345928476</v>
      </c>
      <c r="S234" s="22">
        <f t="shared" si="58"/>
        <v>0.74013020273035457</v>
      </c>
      <c r="T234" s="22">
        <f t="shared" si="58"/>
        <v>0.74134144539721225</v>
      </c>
      <c r="U234" s="22">
        <f t="shared" ref="L234:AW240" si="59">U1490</f>
        <v>0.75637233627465528</v>
      </c>
      <c r="V234" s="22">
        <f t="shared" si="59"/>
        <v>0.75705141377161567</v>
      </c>
      <c r="W234" s="22">
        <f t="shared" si="59"/>
        <v>0.7588492807776368</v>
      </c>
      <c r="X234" s="22">
        <f t="shared" si="59"/>
        <v>0.76127573486462674</v>
      </c>
      <c r="Y234" s="22">
        <f t="shared" si="59"/>
        <v>0.76350113172742184</v>
      </c>
      <c r="Z234" s="22">
        <f t="shared" si="59"/>
        <v>0.76555488722735199</v>
      </c>
      <c r="AA234" s="22">
        <f t="shared" si="59"/>
        <v>0.76743070192723151</v>
      </c>
      <c r="AB234" s="22">
        <f t="shared" si="59"/>
        <v>0.76914783818331145</v>
      </c>
      <c r="AC234" s="22">
        <f t="shared" si="59"/>
        <v>0.77073400076292786</v>
      </c>
      <c r="AD234" s="22">
        <f t="shared" si="59"/>
        <v>0.77219046763440091</v>
      </c>
      <c r="AE234" s="22">
        <f t="shared" si="59"/>
        <v>0.77354238750921345</v>
      </c>
      <c r="AF234" s="22">
        <f t="shared" si="59"/>
        <v>0.77479516156173556</v>
      </c>
      <c r="AG234" s="22">
        <f t="shared" si="59"/>
        <v>0.77593349397844169</v>
      </c>
      <c r="AH234" s="22">
        <f t="shared" si="59"/>
        <v>0.77696999137205336</v>
      </c>
      <c r="AI234" s="22">
        <f t="shared" si="59"/>
        <v>0.77792369769702041</v>
      </c>
      <c r="AJ234" s="22">
        <f t="shared" si="59"/>
        <v>0.75322819608955549</v>
      </c>
      <c r="AK234" s="22">
        <f t="shared" si="59"/>
        <v>0.7541800771600401</v>
      </c>
      <c r="AL234" s="22">
        <f t="shared" si="59"/>
        <v>0.75504675193645199</v>
      </c>
      <c r="AM234" s="22">
        <f t="shared" si="59"/>
        <v>0.75583523459809387</v>
      </c>
      <c r="AN234" s="22">
        <f t="shared" si="59"/>
        <v>0.75655364806293945</v>
      </c>
      <c r="AO234" s="22">
        <f t="shared" si="59"/>
        <v>0.75718159798131446</v>
      </c>
      <c r="AP234" s="22">
        <f t="shared" si="59"/>
        <v>0.75770589154537149</v>
      </c>
      <c r="AQ234" s="22">
        <f t="shared" si="59"/>
        <v>0.75812556559779631</v>
      </c>
      <c r="AR234" s="22">
        <f t="shared" si="59"/>
        <v>0.75842546765792429</v>
      </c>
      <c r="AS234" s="22">
        <f t="shared" si="59"/>
        <v>0.75858908792613033</v>
      </c>
      <c r="AT234" s="22">
        <f t="shared" si="59"/>
        <v>0.7586155821106717</v>
      </c>
      <c r="AU234" s="22">
        <f t="shared" si="59"/>
        <v>0.75850877673067174</v>
      </c>
      <c r="AV234" s="22">
        <f t="shared" si="59"/>
        <v>0.75827165867074431</v>
      </c>
      <c r="AW234" s="22">
        <f t="shared" si="59"/>
        <v>0.75788873758895325</v>
      </c>
      <c r="AY234" s="79"/>
    </row>
    <row r="235" spans="1:51" x14ac:dyDescent="0.25">
      <c r="A235" s="95" t="str">
        <f t="shared" si="45"/>
        <v>FA U&amp;D</v>
      </c>
      <c r="B235" s="95" t="s">
        <v>962</v>
      </c>
      <c r="C235" s="95" t="s">
        <v>1336</v>
      </c>
      <c r="D235" t="s">
        <v>369</v>
      </c>
      <c r="E235" t="s">
        <v>55</v>
      </c>
      <c r="F235" t="s">
        <v>422</v>
      </c>
      <c r="G235" t="s">
        <v>1170</v>
      </c>
      <c r="H235" t="s">
        <v>1249</v>
      </c>
      <c r="I235" t="s">
        <v>139</v>
      </c>
      <c r="J235" t="s">
        <v>287</v>
      </c>
      <c r="K235" s="22">
        <f t="shared" si="55"/>
        <v>1.1867254191644503</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1.2198688909683484</v>
      </c>
      <c r="R235" s="22">
        <f t="shared" si="59"/>
        <v>1.2278946750888551</v>
      </c>
      <c r="S235" s="22">
        <f t="shared" si="59"/>
        <v>1.2249004515324955</v>
      </c>
      <c r="T235" s="22">
        <f t="shared" si="59"/>
        <v>1.2269050335426288</v>
      </c>
      <c r="U235" s="22">
        <f t="shared" si="59"/>
        <v>1.2517808526279679</v>
      </c>
      <c r="V235" s="22">
        <f t="shared" si="59"/>
        <v>1.2529047120915915</v>
      </c>
      <c r="W235" s="22">
        <f t="shared" si="59"/>
        <v>1.2558801454671604</v>
      </c>
      <c r="X235" s="22">
        <f t="shared" si="59"/>
        <v>1.2598958776934803</v>
      </c>
      <c r="Y235" s="22">
        <f t="shared" si="59"/>
        <v>1.2635788642977572</v>
      </c>
      <c r="Z235" s="22">
        <f t="shared" si="59"/>
        <v>1.2669777879329793</v>
      </c>
      <c r="AA235" s="22">
        <f t="shared" si="59"/>
        <v>1.270082223158562</v>
      </c>
      <c r="AB235" s="22">
        <f t="shared" si="59"/>
        <v>1.2729240487828319</v>
      </c>
      <c r="AC235" s="22">
        <f t="shared" si="59"/>
        <v>1.2755491156329737</v>
      </c>
      <c r="AD235" s="22">
        <f t="shared" si="59"/>
        <v>1.2779595387205978</v>
      </c>
      <c r="AE235" s="22">
        <f t="shared" si="59"/>
        <v>1.2801969386523735</v>
      </c>
      <c r="AF235" s="22">
        <f t="shared" si="59"/>
        <v>1.2822702542621691</v>
      </c>
      <c r="AG235" s="22">
        <f t="shared" si="59"/>
        <v>1.2841541712892999</v>
      </c>
      <c r="AH235" s="22">
        <f t="shared" si="59"/>
        <v>1.2858695534217459</v>
      </c>
      <c r="AI235" s="22">
        <f t="shared" si="59"/>
        <v>1.2874479180172889</v>
      </c>
      <c r="AJ235" s="22">
        <f t="shared" si="59"/>
        <v>1.2465773644873634</v>
      </c>
      <c r="AK235" s="22">
        <f t="shared" si="59"/>
        <v>1.2481527083238142</v>
      </c>
      <c r="AL235" s="22">
        <f t="shared" si="59"/>
        <v>1.249587037474337</v>
      </c>
      <c r="AM235" s="22">
        <f t="shared" si="59"/>
        <v>1.2508919602632027</v>
      </c>
      <c r="AN235" s="22">
        <f t="shared" si="59"/>
        <v>1.2520809199546599</v>
      </c>
      <c r="AO235" s="22">
        <f t="shared" si="59"/>
        <v>1.25312016431426</v>
      </c>
      <c r="AP235" s="22">
        <f t="shared" si="59"/>
        <v>1.2539878595129963</v>
      </c>
      <c r="AQ235" s="22">
        <f t="shared" si="59"/>
        <v>1.2546824115450788</v>
      </c>
      <c r="AR235" s="22">
        <f t="shared" si="59"/>
        <v>1.255178743362793</v>
      </c>
      <c r="AS235" s="22">
        <f t="shared" si="59"/>
        <v>1.2554495315831169</v>
      </c>
      <c r="AT235" s="22">
        <f t="shared" si="59"/>
        <v>1.2554933789203664</v>
      </c>
      <c r="AU235" s="22">
        <f t="shared" si="59"/>
        <v>1.2553166181859641</v>
      </c>
      <c r="AV235" s="22">
        <f t="shared" si="59"/>
        <v>1.2549241926132744</v>
      </c>
      <c r="AW235" s="22">
        <f t="shared" si="59"/>
        <v>1.2542904660010414</v>
      </c>
      <c r="AY235" s="79"/>
    </row>
    <row r="236" spans="1:51" x14ac:dyDescent="0.25">
      <c r="A236" s="95" t="str">
        <f t="shared" si="45"/>
        <v>FA U&amp;D</v>
      </c>
      <c r="B236" s="95" t="s">
        <v>962</v>
      </c>
      <c r="C236" s="95" t="s">
        <v>1336</v>
      </c>
      <c r="D236" t="s">
        <v>369</v>
      </c>
      <c r="E236" t="s">
        <v>55</v>
      </c>
      <c r="F236" t="s">
        <v>422</v>
      </c>
      <c r="G236" t="s">
        <v>1172</v>
      </c>
      <c r="H236" t="s">
        <v>1250</v>
      </c>
      <c r="I236" t="s">
        <v>139</v>
      </c>
      <c r="J236" t="s">
        <v>287</v>
      </c>
      <c r="K236" s="22">
        <f t="shared" si="55"/>
        <v>0.19147730421375916</v>
      </c>
      <c r="L236" s="22">
        <f t="shared" si="59"/>
        <v>0.19240499933397137</v>
      </c>
      <c r="M236" s="22">
        <f t="shared" si="59"/>
        <v>0.19381280191845887</v>
      </c>
      <c r="N236" s="22">
        <f t="shared" si="59"/>
        <v>0.19411375969056666</v>
      </c>
      <c r="O236" s="22">
        <f t="shared" si="59"/>
        <v>0.19368291106027899</v>
      </c>
      <c r="P236" s="22">
        <f t="shared" si="59"/>
        <v>0.19253602379697465</v>
      </c>
      <c r="Q236" s="22">
        <f t="shared" si="59"/>
        <v>0.19190012409058904</v>
      </c>
      <c r="R236" s="22">
        <f t="shared" si="59"/>
        <v>0.19132863754616411</v>
      </c>
      <c r="S236" s="22">
        <f t="shared" si="59"/>
        <v>0.18281131471006393</v>
      </c>
      <c r="T236" s="22">
        <f t="shared" si="59"/>
        <v>0.18736784640695911</v>
      </c>
      <c r="U236" s="22">
        <f t="shared" si="59"/>
        <v>0.40219801863685228</v>
      </c>
      <c r="V236" s="22">
        <f t="shared" si="59"/>
        <v>0.40734903420411533</v>
      </c>
      <c r="W236" s="22">
        <f t="shared" si="59"/>
        <v>0.41149752828946928</v>
      </c>
      <c r="X236" s="22">
        <f t="shared" si="59"/>
        <v>0.41483621581205343</v>
      </c>
      <c r="Y236" s="22">
        <f t="shared" si="59"/>
        <v>0.41773635782756013</v>
      </c>
      <c r="Z236" s="22">
        <f t="shared" si="59"/>
        <v>0.42016501076041057</v>
      </c>
      <c r="AA236" s="22">
        <f t="shared" si="59"/>
        <v>0.42210855342477654</v>
      </c>
      <c r="AB236" s="22">
        <f t="shared" si="59"/>
        <v>0.42354330417098807</v>
      </c>
      <c r="AC236" s="22">
        <f t="shared" si="59"/>
        <v>0.42444389710723196</v>
      </c>
      <c r="AD236" s="22">
        <f t="shared" si="59"/>
        <v>0.42480049297226147</v>
      </c>
      <c r="AE236" s="22">
        <f t="shared" si="59"/>
        <v>0.42459446865621531</v>
      </c>
      <c r="AF236" s="22">
        <f t="shared" si="59"/>
        <v>0.42381980556219867</v>
      </c>
      <c r="AG236" s="22">
        <f t="shared" si="59"/>
        <v>0.42248350599041806</v>
      </c>
      <c r="AH236" s="22">
        <f t="shared" si="59"/>
        <v>0.42058207160696442</v>
      </c>
      <c r="AI236" s="22">
        <f t="shared" si="59"/>
        <v>0.41811210592034348</v>
      </c>
      <c r="AJ236" s="22">
        <f t="shared" si="59"/>
        <v>6.1557811520144383E-2</v>
      </c>
      <c r="AK236" s="22">
        <f t="shared" si="59"/>
        <v>6.1557811520144383E-2</v>
      </c>
      <c r="AL236" s="22">
        <f t="shared" si="59"/>
        <v>6.1557811520144383E-2</v>
      </c>
      <c r="AM236" s="22">
        <f t="shared" si="59"/>
        <v>6.1557811520144383E-2</v>
      </c>
      <c r="AN236" s="22">
        <f t="shared" si="59"/>
        <v>6.1557811520144383E-2</v>
      </c>
      <c r="AO236" s="22">
        <f t="shared" si="59"/>
        <v>6.1557811520144383E-2</v>
      </c>
      <c r="AP236" s="22">
        <f t="shared" si="59"/>
        <v>6.1557811520144383E-2</v>
      </c>
      <c r="AQ236" s="22">
        <f t="shared" si="59"/>
        <v>6.1557811520144383E-2</v>
      </c>
      <c r="AR236" s="22">
        <f t="shared" si="59"/>
        <v>6.1557811520144383E-2</v>
      </c>
      <c r="AS236" s="22">
        <f t="shared" si="59"/>
        <v>6.1557811520144383E-2</v>
      </c>
      <c r="AT236" s="22">
        <f t="shared" si="59"/>
        <v>6.1557811520144383E-2</v>
      </c>
      <c r="AU236" s="22">
        <f t="shared" si="59"/>
        <v>6.1557811520144383E-2</v>
      </c>
      <c r="AV236" s="22">
        <f t="shared" si="59"/>
        <v>6.1557811520144383E-2</v>
      </c>
      <c r="AW236" s="22">
        <f t="shared" si="59"/>
        <v>6.1557811520144383E-2</v>
      </c>
      <c r="AY236" s="79"/>
    </row>
    <row r="237" spans="1:51" x14ac:dyDescent="0.25">
      <c r="A237" s="95" t="str">
        <f t="shared" si="45"/>
        <v>FA U&amp;D</v>
      </c>
      <c r="B237" s="95" t="s">
        <v>962</v>
      </c>
      <c r="C237" s="95" t="s">
        <v>1336</v>
      </c>
      <c r="D237" t="s">
        <v>369</v>
      </c>
      <c r="E237" t="s">
        <v>55</v>
      </c>
      <c r="F237" t="s">
        <v>422</v>
      </c>
      <c r="G237" t="s">
        <v>1174</v>
      </c>
      <c r="H237" t="s">
        <v>1251</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25">
      <c r="A238" s="95" t="str">
        <f t="shared" si="45"/>
        <v>FA U&amp;D</v>
      </c>
      <c r="B238" s="95" t="s">
        <v>962</v>
      </c>
      <c r="C238" s="95" t="s">
        <v>1336</v>
      </c>
      <c r="D238" t="s">
        <v>369</v>
      </c>
      <c r="E238" t="s">
        <v>55</v>
      </c>
      <c r="F238" t="s">
        <v>422</v>
      </c>
      <c r="G238" t="s">
        <v>1176</v>
      </c>
      <c r="H238" t="s">
        <v>1252</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25">
      <c r="A239" s="95" t="str">
        <f t="shared" si="45"/>
        <v>FA U&amp;D</v>
      </c>
      <c r="B239" s="95" t="s">
        <v>962</v>
      </c>
      <c r="C239" s="95" t="s">
        <v>1336</v>
      </c>
      <c r="D239" t="s">
        <v>369</v>
      </c>
      <c r="E239" t="s">
        <v>55</v>
      </c>
      <c r="F239" t="s">
        <v>422</v>
      </c>
      <c r="G239" t="s">
        <v>1178</v>
      </c>
      <c r="H239" t="s">
        <v>1253</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25">
      <c r="A240" s="95" t="str">
        <f t="shared" si="45"/>
        <v>FA U&amp;D</v>
      </c>
      <c r="B240" s="95" t="s">
        <v>962</v>
      </c>
      <c r="C240" s="95" t="s">
        <v>1336</v>
      </c>
      <c r="D240" t="s">
        <v>369</v>
      </c>
      <c r="E240" t="s">
        <v>55</v>
      </c>
      <c r="F240" t="s">
        <v>422</v>
      </c>
      <c r="G240" t="s">
        <v>1180</v>
      </c>
      <c r="H240" t="s">
        <v>1254</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25">
      <c r="A241" s="95" t="str">
        <f t="shared" si="45"/>
        <v>FA U&amp;D</v>
      </c>
      <c r="B241" s="95" t="s">
        <v>962</v>
      </c>
      <c r="C241" s="95" t="s">
        <v>1336</v>
      </c>
      <c r="D241" t="s">
        <v>369</v>
      </c>
      <c r="E241" t="s">
        <v>55</v>
      </c>
      <c r="F241" t="s">
        <v>422</v>
      </c>
      <c r="G241" t="s">
        <v>1182</v>
      </c>
      <c r="H241" t="s">
        <v>1255</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25">
      <c r="A242" s="95" t="str">
        <f t="shared" si="45"/>
        <v>FA FSOM</v>
      </c>
      <c r="B242" s="95" t="s">
        <v>962</v>
      </c>
      <c r="C242" s="95" t="s">
        <v>60</v>
      </c>
      <c r="D242" t="s">
        <v>369</v>
      </c>
      <c r="E242" t="s">
        <v>55</v>
      </c>
      <c r="F242" t="s">
        <v>60</v>
      </c>
      <c r="G242" t="s">
        <v>1266</v>
      </c>
      <c r="H242" t="s">
        <v>1267</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25">
      <c r="A243" s="95" t="str">
        <f t="shared" si="45"/>
        <v>FA FSOM</v>
      </c>
      <c r="B243" s="95" t="s">
        <v>962</v>
      </c>
      <c r="C243" s="95" t="s">
        <v>60</v>
      </c>
      <c r="D243" t="s">
        <v>369</v>
      </c>
      <c r="E243" t="s">
        <v>55</v>
      </c>
      <c r="F243" t="s">
        <v>60</v>
      </c>
      <c r="G243" t="s">
        <v>1268</v>
      </c>
      <c r="H243" t="s">
        <v>1269</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25">
      <c r="A244" s="95" t="str">
        <f t="shared" si="45"/>
        <v>FA FSOM</v>
      </c>
      <c r="B244" s="95" t="s">
        <v>962</v>
      </c>
      <c r="C244" s="95" t="s">
        <v>60</v>
      </c>
      <c r="D244" t="s">
        <v>369</v>
      </c>
      <c r="E244" t="s">
        <v>55</v>
      </c>
      <c r="F244" t="s">
        <v>60</v>
      </c>
      <c r="G244" t="s">
        <v>1270</v>
      </c>
      <c r="H244" t="s">
        <v>1271</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25">
      <c r="A245" s="95" t="str">
        <f t="shared" si="45"/>
        <v>FA FSOM</v>
      </c>
      <c r="B245" s="95" t="s">
        <v>962</v>
      </c>
      <c r="C245" s="95" t="s">
        <v>60</v>
      </c>
      <c r="D245" t="s">
        <v>369</v>
      </c>
      <c r="E245" t="s">
        <v>55</v>
      </c>
      <c r="F245" t="s">
        <v>60</v>
      </c>
      <c r="G245" t="s">
        <v>1272</v>
      </c>
      <c r="H245" t="s">
        <v>1273</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25">
      <c r="A246" s="95" t="str">
        <f t="shared" si="45"/>
        <v>FA FSOM</v>
      </c>
      <c r="B246" s="95" t="s">
        <v>962</v>
      </c>
      <c r="C246" s="95" t="s">
        <v>60</v>
      </c>
      <c r="D246" t="s">
        <v>369</v>
      </c>
      <c r="E246" t="s">
        <v>55</v>
      </c>
      <c r="F246" t="s">
        <v>60</v>
      </c>
      <c r="G246" t="s">
        <v>1274</v>
      </c>
      <c r="H246" t="s">
        <v>1275</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25">
      <c r="A247" s="95" t="str">
        <f t="shared" si="45"/>
        <v>FA FSOM</v>
      </c>
      <c r="B247" s="95" t="s">
        <v>962</v>
      </c>
      <c r="C247" s="95" t="s">
        <v>60</v>
      </c>
      <c r="D247" t="s">
        <v>369</v>
      </c>
      <c r="E247" t="s">
        <v>55</v>
      </c>
      <c r="F247" t="s">
        <v>60</v>
      </c>
      <c r="G247" t="s">
        <v>1276</v>
      </c>
      <c r="H247" t="s">
        <v>1277</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25">
      <c r="A248" s="95" t="str">
        <f t="shared" si="45"/>
        <v>FA FSOM</v>
      </c>
      <c r="B248" s="95" t="s">
        <v>962</v>
      </c>
      <c r="C248" s="95" t="s">
        <v>60</v>
      </c>
      <c r="D248" t="s">
        <v>369</v>
      </c>
      <c r="E248" t="s">
        <v>55</v>
      </c>
      <c r="F248" t="s">
        <v>60</v>
      </c>
      <c r="G248" t="s">
        <v>1278</v>
      </c>
      <c r="H248" t="s">
        <v>1279</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25">
      <c r="A249" s="95" t="str">
        <f t="shared" si="45"/>
        <v>FA FSOM</v>
      </c>
      <c r="B249" s="95" t="s">
        <v>962</v>
      </c>
      <c r="C249" s="95" t="s">
        <v>60</v>
      </c>
      <c r="D249" t="s">
        <v>369</v>
      </c>
      <c r="E249" t="s">
        <v>55</v>
      </c>
      <c r="F249" t="s">
        <v>60</v>
      </c>
      <c r="G249" t="s">
        <v>1280</v>
      </c>
      <c r="H249" t="s">
        <v>1281</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25">
      <c r="A250" s="95" t="str">
        <f t="shared" si="45"/>
        <v>FA FSOM</v>
      </c>
      <c r="B250" s="95" t="s">
        <v>962</v>
      </c>
      <c r="C250" s="95" t="s">
        <v>60</v>
      </c>
      <c r="D250" t="s">
        <v>369</v>
      </c>
      <c r="E250" t="s">
        <v>55</v>
      </c>
      <c r="F250" t="s">
        <v>60</v>
      </c>
      <c r="G250" t="s">
        <v>1282</v>
      </c>
      <c r="H250" t="s">
        <v>1283</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25">
      <c r="A251" s="95" t="str">
        <f t="shared" si="45"/>
        <v>FA FSOM</v>
      </c>
      <c r="B251" s="95" t="s">
        <v>962</v>
      </c>
      <c r="C251" s="95" t="s">
        <v>60</v>
      </c>
      <c r="D251" t="s">
        <v>369</v>
      </c>
      <c r="E251" t="s">
        <v>55</v>
      </c>
      <c r="F251" t="s">
        <v>60</v>
      </c>
      <c r="G251" t="s">
        <v>1284</v>
      </c>
      <c r="H251" t="s">
        <v>1285</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25">
      <c r="A252" s="95" t="str">
        <f t="shared" si="45"/>
        <v>FA FSOM</v>
      </c>
      <c r="B252" s="95" t="s">
        <v>962</v>
      </c>
      <c r="C252" s="95" t="s">
        <v>60</v>
      </c>
      <c r="D252" t="s">
        <v>369</v>
      </c>
      <c r="E252" t="s">
        <v>55</v>
      </c>
      <c r="F252" t="s">
        <v>60</v>
      </c>
      <c r="G252" t="s">
        <v>1286</v>
      </c>
      <c r="H252" t="s">
        <v>1287</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25">
      <c r="A253" s="95" t="str">
        <f t="shared" si="45"/>
        <v>FA FSOM</v>
      </c>
      <c r="B253" s="95" t="s">
        <v>962</v>
      </c>
      <c r="C253" s="95" t="s">
        <v>60</v>
      </c>
      <c r="D253" t="s">
        <v>369</v>
      </c>
      <c r="E253" t="s">
        <v>55</v>
      </c>
      <c r="F253" t="s">
        <v>60</v>
      </c>
      <c r="G253" t="s">
        <v>1288</v>
      </c>
      <c r="H253" t="s">
        <v>1289</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25">
      <c r="A254" s="95" t="str">
        <f t="shared" si="45"/>
        <v>FA Volatilisation</v>
      </c>
      <c r="B254" s="95" t="s">
        <v>962</v>
      </c>
      <c r="C254" s="95" t="s">
        <v>62</v>
      </c>
      <c r="D254" t="s">
        <v>369</v>
      </c>
      <c r="E254" t="s">
        <v>61</v>
      </c>
      <c r="F254" t="s">
        <v>62</v>
      </c>
      <c r="G254" t="s">
        <v>435</v>
      </c>
      <c r="H254" t="s">
        <v>1184</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0.66035651430821074</v>
      </c>
      <c r="U254" s="22">
        <f t="shared" si="61"/>
        <v>0.66008394987584207</v>
      </c>
      <c r="V254" s="22">
        <f t="shared" si="61"/>
        <v>0.65354261970149441</v>
      </c>
      <c r="W254" s="22">
        <f t="shared" si="61"/>
        <v>0.65337920332710719</v>
      </c>
      <c r="X254" s="22">
        <f t="shared" si="61"/>
        <v>0.65322793572104454</v>
      </c>
      <c r="Y254" s="22">
        <f t="shared" si="61"/>
        <v>0.65308880056970553</v>
      </c>
      <c r="Z254" s="22">
        <f t="shared" ref="L254:AW261" si="62">Z1510</f>
        <v>0.65296169227266498</v>
      </c>
      <c r="AA254" s="22">
        <f t="shared" si="62"/>
        <v>0.65284672118777098</v>
      </c>
      <c r="AB254" s="22">
        <f t="shared" si="62"/>
        <v>0.65274397960506148</v>
      </c>
      <c r="AC254" s="22">
        <f t="shared" si="62"/>
        <v>0.65265355793719104</v>
      </c>
      <c r="AD254" s="22">
        <f t="shared" si="62"/>
        <v>0.65257554079256641</v>
      </c>
      <c r="AE254" s="22">
        <f t="shared" si="62"/>
        <v>0.65250999875184101</v>
      </c>
      <c r="AF254" s="22">
        <f t="shared" si="62"/>
        <v>0.65245700134470697</v>
      </c>
      <c r="AG254" s="22">
        <f t="shared" si="62"/>
        <v>0.65241660651071587</v>
      </c>
      <c r="AH254" s="22">
        <f t="shared" si="62"/>
        <v>0.65238886062718315</v>
      </c>
      <c r="AI254" s="22">
        <f t="shared" si="62"/>
        <v>0.6523738107982866</v>
      </c>
      <c r="AJ254" s="22">
        <f t="shared" si="62"/>
        <v>0.65237149971504915</v>
      </c>
      <c r="AK254" s="22">
        <f t="shared" si="62"/>
        <v>0.6717077011874647</v>
      </c>
      <c r="AL254" s="22">
        <f t="shared" si="62"/>
        <v>0.67172409254060461</v>
      </c>
      <c r="AM254" s="22">
        <f t="shared" si="62"/>
        <v>0.67174011054610017</v>
      </c>
      <c r="AN254" s="22">
        <f t="shared" si="62"/>
        <v>0.67175577706338141</v>
      </c>
      <c r="AO254" s="22">
        <f t="shared" si="62"/>
        <v>0.67177111790148203</v>
      </c>
      <c r="AP254" s="22">
        <f t="shared" si="62"/>
        <v>0.67178606782023664</v>
      </c>
      <c r="AQ254" s="22">
        <f t="shared" si="62"/>
        <v>0.67180058277133392</v>
      </c>
      <c r="AR254" s="22">
        <f t="shared" si="62"/>
        <v>0.67181465717092259</v>
      </c>
      <c r="AS254" s="22">
        <f t="shared" si="62"/>
        <v>0.67182823869267982</v>
      </c>
      <c r="AT254" s="22">
        <f t="shared" si="62"/>
        <v>0.67184126908492714</v>
      </c>
      <c r="AU254" s="22">
        <f t="shared" si="62"/>
        <v>0.67185374065365466</v>
      </c>
      <c r="AV254" s="22">
        <f t="shared" si="62"/>
        <v>0.67186566123512315</v>
      </c>
      <c r="AW254" s="22">
        <f t="shared" si="62"/>
        <v>0.67187703615819216</v>
      </c>
      <c r="AY254" s="79"/>
    </row>
    <row r="255" spans="1:51" x14ac:dyDescent="0.25">
      <c r="A255" s="95" t="str">
        <f t="shared" si="45"/>
        <v>FA Volatilisation</v>
      </c>
      <c r="B255" s="95" t="s">
        <v>962</v>
      </c>
      <c r="C255" s="95" t="s">
        <v>62</v>
      </c>
      <c r="D255" t="s">
        <v>369</v>
      </c>
      <c r="E255" t="s">
        <v>61</v>
      </c>
      <c r="F255" t="s">
        <v>62</v>
      </c>
      <c r="G255" t="s">
        <v>436</v>
      </c>
      <c r="H255" t="s">
        <v>1185</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8.716705988868383E-3</v>
      </c>
      <c r="U255" s="22">
        <f t="shared" si="62"/>
        <v>8.7131081383611166E-3</v>
      </c>
      <c r="V255" s="22">
        <f t="shared" si="62"/>
        <v>8.6267625800597308E-3</v>
      </c>
      <c r="W255" s="22">
        <f t="shared" si="62"/>
        <v>8.624605483917816E-3</v>
      </c>
      <c r="X255" s="22">
        <f t="shared" si="62"/>
        <v>8.6226087515177911E-3</v>
      </c>
      <c r="Y255" s="22">
        <f t="shared" si="62"/>
        <v>8.6207721675201129E-3</v>
      </c>
      <c r="Z255" s="22">
        <f t="shared" si="62"/>
        <v>8.6190943379991763E-3</v>
      </c>
      <c r="AA255" s="22">
        <f t="shared" si="62"/>
        <v>8.6175767196785755E-3</v>
      </c>
      <c r="AB255" s="22">
        <f t="shared" si="62"/>
        <v>8.6162205307868112E-3</v>
      </c>
      <c r="AC255" s="22">
        <f t="shared" si="62"/>
        <v>8.6150269647709242E-3</v>
      </c>
      <c r="AD255" s="22">
        <f t="shared" si="62"/>
        <v>8.6139971384618756E-3</v>
      </c>
      <c r="AE255" s="22">
        <f t="shared" si="62"/>
        <v>8.6131319835243015E-3</v>
      </c>
      <c r="AF255" s="22">
        <f t="shared" si="62"/>
        <v>8.6124324177501328E-3</v>
      </c>
      <c r="AG255" s="22">
        <f t="shared" si="62"/>
        <v>8.6118992059414506E-3</v>
      </c>
      <c r="AH255" s="22">
        <f t="shared" si="62"/>
        <v>8.6115329602788199E-3</v>
      </c>
      <c r="AI255" s="22">
        <f t="shared" si="62"/>
        <v>8.611334302537384E-3</v>
      </c>
      <c r="AJ255" s="22">
        <f t="shared" si="62"/>
        <v>8.6113037962386486E-3</v>
      </c>
      <c r="AK255" s="22">
        <f t="shared" si="62"/>
        <v>8.8665416556745359E-3</v>
      </c>
      <c r="AL255" s="22">
        <f t="shared" si="62"/>
        <v>8.8667580215359802E-3</v>
      </c>
      <c r="AM255" s="22">
        <f t="shared" si="62"/>
        <v>8.8669694592085242E-3</v>
      </c>
      <c r="AN255" s="22">
        <f t="shared" si="62"/>
        <v>8.8671762572366322E-3</v>
      </c>
      <c r="AO255" s="22">
        <f t="shared" si="62"/>
        <v>8.8673787562995633E-3</v>
      </c>
      <c r="AP255" s="22">
        <f t="shared" si="62"/>
        <v>8.8675760952271251E-3</v>
      </c>
      <c r="AQ255" s="22">
        <f t="shared" si="62"/>
        <v>8.8677676925816105E-3</v>
      </c>
      <c r="AR255" s="22">
        <f t="shared" si="62"/>
        <v>8.867953474656182E-3</v>
      </c>
      <c r="AS255" s="22">
        <f t="shared" si="62"/>
        <v>8.8681327507433762E-3</v>
      </c>
      <c r="AT255" s="22">
        <f t="shared" si="62"/>
        <v>8.8683047519210381E-3</v>
      </c>
      <c r="AU255" s="22">
        <f t="shared" si="62"/>
        <v>8.8684693766282394E-3</v>
      </c>
      <c r="AV255" s="22">
        <f t="shared" si="62"/>
        <v>8.8686267283036267E-3</v>
      </c>
      <c r="AW255" s="22">
        <f t="shared" si="62"/>
        <v>8.8687768772881346E-3</v>
      </c>
      <c r="AY255" s="79"/>
    </row>
    <row r="256" spans="1:51" x14ac:dyDescent="0.25">
      <c r="A256" s="95" t="str">
        <f t="shared" si="45"/>
        <v>FA Volatilisation</v>
      </c>
      <c r="B256" s="95" t="s">
        <v>962</v>
      </c>
      <c r="C256" s="95" t="s">
        <v>62</v>
      </c>
      <c r="D256" t="s">
        <v>369</v>
      </c>
      <c r="E256" t="s">
        <v>61</v>
      </c>
      <c r="F256" t="s">
        <v>62</v>
      </c>
      <c r="G256" t="s">
        <v>437</v>
      </c>
      <c r="H256" t="s">
        <v>1186</v>
      </c>
      <c r="I256" t="s">
        <v>139</v>
      </c>
      <c r="J256" t="s">
        <v>287</v>
      </c>
      <c r="K256" s="22">
        <f t="shared" si="55"/>
        <v>1.2008407282256135</v>
      </c>
      <c r="L256" s="22">
        <f t="shared" si="62"/>
        <v>1.2019035107607596</v>
      </c>
      <c r="M256" s="22">
        <f t="shared" si="62"/>
        <v>1.2088775122881088</v>
      </c>
      <c r="N256" s="22">
        <f t="shared" si="62"/>
        <v>1.2055442230548157</v>
      </c>
      <c r="O256" s="22">
        <f t="shared" si="62"/>
        <v>1.195843583832628</v>
      </c>
      <c r="P256" s="22">
        <f t="shared" si="62"/>
        <v>1.1799964998501227</v>
      </c>
      <c r="Q256" s="22">
        <f t="shared" si="62"/>
        <v>1.169776622170569</v>
      </c>
      <c r="R256" s="22">
        <f t="shared" si="62"/>
        <v>1.1606871439933113</v>
      </c>
      <c r="S256" s="22">
        <f t="shared" si="62"/>
        <v>1.0648906691667142</v>
      </c>
      <c r="T256" s="22">
        <f t="shared" si="62"/>
        <v>1.1057533797860197</v>
      </c>
      <c r="U256" s="22">
        <f t="shared" si="62"/>
        <v>3.1715891643578864</v>
      </c>
      <c r="V256" s="22">
        <f t="shared" si="62"/>
        <v>3.205817503106533</v>
      </c>
      <c r="W256" s="22">
        <f t="shared" si="62"/>
        <v>3.2352153287252081</v>
      </c>
      <c r="X256" s="22">
        <f t="shared" si="62"/>
        <v>3.2596764998420773</v>
      </c>
      <c r="Y256" s="22">
        <f t="shared" si="62"/>
        <v>3.2791703785538746</v>
      </c>
      <c r="Z256" s="22">
        <f t="shared" si="62"/>
        <v>3.2935488814957896</v>
      </c>
      <c r="AA256" s="22">
        <f t="shared" si="62"/>
        <v>3.3026965587676997</v>
      </c>
      <c r="AB256" s="22">
        <f t="shared" si="62"/>
        <v>3.3065215616671835</v>
      </c>
      <c r="AC256" s="22">
        <f t="shared" si="62"/>
        <v>3.3049591714491218</v>
      </c>
      <c r="AD256" s="22">
        <f t="shared" si="62"/>
        <v>3.2856040880514414</v>
      </c>
      <c r="AE256" s="22">
        <f t="shared" si="62"/>
        <v>3.2609006919876253</v>
      </c>
      <c r="AF256" s="22">
        <f t="shared" si="62"/>
        <v>3.2309381698250323</v>
      </c>
      <c r="AG256" s="22">
        <f t="shared" si="62"/>
        <v>3.1958369771906554</v>
      </c>
      <c r="AH256" s="22">
        <f t="shared" si="62"/>
        <v>3.1557406943377502</v>
      </c>
      <c r="AI256" s="22">
        <f t="shared" si="62"/>
        <v>3.1108181429551416</v>
      </c>
      <c r="AJ256" s="22">
        <f t="shared" si="62"/>
        <v>-7.9927190130914927E-2</v>
      </c>
      <c r="AK256" s="22">
        <f t="shared" si="62"/>
        <v>-7.7482459717295754E-2</v>
      </c>
      <c r="AL256" s="22">
        <f t="shared" si="62"/>
        <v>-7.5056648302161827E-2</v>
      </c>
      <c r="AM256" s="22">
        <f t="shared" si="62"/>
        <v>-7.2650174059267963E-2</v>
      </c>
      <c r="AN256" s="22">
        <f t="shared" si="62"/>
        <v>-7.0723117301040472E-2</v>
      </c>
      <c r="AO256" s="22">
        <f t="shared" si="62"/>
        <v>-6.8807486280089009E-2</v>
      </c>
      <c r="AP256" s="22">
        <f t="shared" si="62"/>
        <v>-6.6901375831276963E-2</v>
      </c>
      <c r="AQ256" s="22">
        <f t="shared" si="62"/>
        <v>-6.5004519075055389E-2</v>
      </c>
      <c r="AR256" s="22">
        <f t="shared" si="62"/>
        <v>-6.3114960679436297E-2</v>
      </c>
      <c r="AS256" s="22">
        <f t="shared" si="62"/>
        <v>-6.1230717258980515E-2</v>
      </c>
      <c r="AT256" s="22">
        <f t="shared" si="62"/>
        <v>-5.9351794077464999E-2</v>
      </c>
      <c r="AU256" s="22">
        <f t="shared" si="62"/>
        <v>-5.7478765169344234E-2</v>
      </c>
      <c r="AV256" s="22">
        <f t="shared" si="62"/>
        <v>-5.5612099659167281E-2</v>
      </c>
      <c r="AW256" s="22">
        <f t="shared" si="62"/>
        <v>-5.3750177084754498E-2</v>
      </c>
      <c r="AY256" s="79"/>
    </row>
    <row r="257" spans="1:51" x14ac:dyDescent="0.25">
      <c r="A257" s="95" t="str">
        <f t="shared" si="45"/>
        <v>FA Volatilisation</v>
      </c>
      <c r="B257" s="95" t="s">
        <v>962</v>
      </c>
      <c r="C257" s="95" t="s">
        <v>62</v>
      </c>
      <c r="D257" t="s">
        <v>369</v>
      </c>
      <c r="E257" t="s">
        <v>61</v>
      </c>
      <c r="F257" t="s">
        <v>62</v>
      </c>
      <c r="G257" t="s">
        <v>438</v>
      </c>
      <c r="H257" t="s">
        <v>1265</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3.9236983289257736</v>
      </c>
      <c r="T257" s="22">
        <f t="shared" si="62"/>
        <v>4.0061959356333121</v>
      </c>
      <c r="U257" s="22">
        <f t="shared" si="62"/>
        <v>8.6703485618299432</v>
      </c>
      <c r="V257" s="22">
        <f t="shared" si="62"/>
        <v>8.7075171611639437</v>
      </c>
      <c r="W257" s="22">
        <f t="shared" si="62"/>
        <v>8.7349231997789492</v>
      </c>
      <c r="X257" s="22">
        <f t="shared" si="62"/>
        <v>8.7517078724202371</v>
      </c>
      <c r="Y257" s="22">
        <f t="shared" si="62"/>
        <v>8.7566246906771106</v>
      </c>
      <c r="Z257" s="22">
        <f t="shared" si="62"/>
        <v>8.749585391639048</v>
      </c>
      <c r="AA257" s="22">
        <f t="shared" si="62"/>
        <v>8.7305224491182276</v>
      </c>
      <c r="AB257" s="22">
        <f t="shared" si="62"/>
        <v>8.6994684257142971</v>
      </c>
      <c r="AC257" s="22">
        <f t="shared" si="62"/>
        <v>8.6565339362109501</v>
      </c>
      <c r="AD257" s="22">
        <f t="shared" si="62"/>
        <v>8.5479552025611873</v>
      </c>
      <c r="AE257" s="22">
        <f t="shared" si="62"/>
        <v>8.4281375273268431</v>
      </c>
      <c r="AF257" s="22">
        <f t="shared" si="62"/>
        <v>8.2976332368638914</v>
      </c>
      <c r="AG257" s="22">
        <f t="shared" si="62"/>
        <v>8.1570247194237986</v>
      </c>
      <c r="AH257" s="22">
        <f t="shared" si="62"/>
        <v>8.0069849414591072</v>
      </c>
      <c r="AI257" s="22">
        <f t="shared" si="62"/>
        <v>7.8482435227169196</v>
      </c>
      <c r="AJ257" s="22">
        <f t="shared" si="62"/>
        <v>1.4117786211897634</v>
      </c>
      <c r="AK257" s="22">
        <f t="shared" si="62"/>
        <v>1.4240848222590068</v>
      </c>
      <c r="AL257" s="22">
        <f t="shared" si="62"/>
        <v>1.4361490833885919</v>
      </c>
      <c r="AM257" s="22">
        <f t="shared" si="62"/>
        <v>1.4479836223342117</v>
      </c>
      <c r="AN257" s="22">
        <f t="shared" si="62"/>
        <v>1.4575869997562623</v>
      </c>
      <c r="AO257" s="22">
        <f t="shared" si="62"/>
        <v>1.4669658638055674</v>
      </c>
      <c r="AP257" s="22">
        <f t="shared" si="62"/>
        <v>1.4761004652334226</v>
      </c>
      <c r="AQ257" s="22">
        <f t="shared" si="62"/>
        <v>1.4849895121905028</v>
      </c>
      <c r="AR257" s="22">
        <f t="shared" si="62"/>
        <v>1.4936094251739955</v>
      </c>
      <c r="AS257" s="22">
        <f t="shared" si="62"/>
        <v>1.5019339292237881</v>
      </c>
      <c r="AT257" s="22">
        <f t="shared" si="62"/>
        <v>1.5099608560757101</v>
      </c>
      <c r="AU257" s="22">
        <f t="shared" si="62"/>
        <v>1.5176953414243965</v>
      </c>
      <c r="AV257" s="22">
        <f t="shared" si="62"/>
        <v>1.5251412376449351</v>
      </c>
      <c r="AW257" s="22">
        <f t="shared" si="62"/>
        <v>1.5322728813191711</v>
      </c>
      <c r="AY257" s="79"/>
    </row>
    <row r="258" spans="1:51" x14ac:dyDescent="0.25">
      <c r="A258" s="95" t="str">
        <f t="shared" si="45"/>
        <v>FA Leaching</v>
      </c>
      <c r="B258" s="95" t="s">
        <v>962</v>
      </c>
      <c r="C258" s="95" t="s">
        <v>1190</v>
      </c>
      <c r="D258" t="s">
        <v>369</v>
      </c>
      <c r="E258" t="s">
        <v>61</v>
      </c>
      <c r="F258" t="s">
        <v>63</v>
      </c>
      <c r="G258" t="s">
        <v>435</v>
      </c>
      <c r="H258" t="s">
        <v>1187</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2.2782299743633269E-4</v>
      </c>
      <c r="U258" s="22">
        <f t="shared" si="62"/>
        <v>2.2772896270716546E-4</v>
      </c>
      <c r="V258" s="22">
        <f t="shared" si="62"/>
        <v>2.2547220379701556E-4</v>
      </c>
      <c r="W258" s="22">
        <f t="shared" si="62"/>
        <v>2.2541582514785201E-4</v>
      </c>
      <c r="X258" s="22">
        <f t="shared" si="62"/>
        <v>2.2536363782376035E-4</v>
      </c>
      <c r="Y258" s="22">
        <f t="shared" si="62"/>
        <v>2.2531563619654834E-4</v>
      </c>
      <c r="Z258" s="22">
        <f t="shared" si="62"/>
        <v>2.252717838340693E-4</v>
      </c>
      <c r="AA258" s="22">
        <f t="shared" si="62"/>
        <v>2.2523211880978096E-4</v>
      </c>
      <c r="AB258" s="22">
        <f t="shared" si="62"/>
        <v>2.2519667296374613E-4</v>
      </c>
      <c r="AC258" s="22">
        <f t="shared" si="62"/>
        <v>2.2516547748833096E-4</v>
      </c>
      <c r="AD258" s="22">
        <f t="shared" si="62"/>
        <v>2.2513856157343538E-4</v>
      </c>
      <c r="AE258" s="22">
        <f t="shared" si="62"/>
        <v>2.2511594956938508E-4</v>
      </c>
      <c r="AF258" s="22">
        <f t="shared" si="62"/>
        <v>2.2509766546392388E-4</v>
      </c>
      <c r="AG258" s="22">
        <f t="shared" si="62"/>
        <v>2.2508372924619698E-4</v>
      </c>
      <c r="AH258" s="22">
        <f t="shared" si="62"/>
        <v>2.2507415691637819E-4</v>
      </c>
      <c r="AI258" s="22">
        <f t="shared" si="62"/>
        <v>2.2506896472540883E-4</v>
      </c>
      <c r="AJ258" s="22">
        <f t="shared" si="62"/>
        <v>2.2506816740169194E-4</v>
      </c>
      <c r="AK258" s="22">
        <f t="shared" si="62"/>
        <v>2.3173915690967529E-4</v>
      </c>
      <c r="AL258" s="22">
        <f t="shared" si="62"/>
        <v>2.3174481192650851E-4</v>
      </c>
      <c r="AM258" s="22">
        <f t="shared" si="62"/>
        <v>2.3175033813840453E-4</v>
      </c>
      <c r="AN258" s="22">
        <f t="shared" si="62"/>
        <v>2.317557430868665E-4</v>
      </c>
      <c r="AO258" s="22">
        <f t="shared" si="62"/>
        <v>2.3176103567601125E-4</v>
      </c>
      <c r="AP258" s="22">
        <f t="shared" si="62"/>
        <v>2.3176619339798155E-4</v>
      </c>
      <c r="AQ258" s="22">
        <f t="shared" si="62"/>
        <v>2.3177120105611021E-4</v>
      </c>
      <c r="AR258" s="22">
        <f t="shared" si="62"/>
        <v>2.3177605672396827E-4</v>
      </c>
      <c r="AS258" s="22">
        <f t="shared" si="62"/>
        <v>2.3178074234897451E-4</v>
      </c>
      <c r="AT258" s="22">
        <f t="shared" si="62"/>
        <v>2.3178523783429981E-4</v>
      </c>
      <c r="AU258" s="22">
        <f t="shared" si="62"/>
        <v>2.3178954052551076E-4</v>
      </c>
      <c r="AV258" s="22">
        <f t="shared" si="62"/>
        <v>2.3179365312611745E-4</v>
      </c>
      <c r="AW258" s="22">
        <f t="shared" si="62"/>
        <v>2.3179757747457624E-4</v>
      </c>
      <c r="AY258" s="79"/>
    </row>
    <row r="259" spans="1:51" x14ac:dyDescent="0.25">
      <c r="A259" s="95" t="str">
        <f t="shared" si="45"/>
        <v>FA Leaching</v>
      </c>
      <c r="B259" s="95" t="s">
        <v>962</v>
      </c>
      <c r="C259" s="95" t="s">
        <v>1190</v>
      </c>
      <c r="D259" t="s">
        <v>369</v>
      </c>
      <c r="E259" t="s">
        <v>61</v>
      </c>
      <c r="F259" t="s">
        <v>63</v>
      </c>
      <c r="G259" t="s">
        <v>436</v>
      </c>
      <c r="H259" t="s">
        <v>1188</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1.5036317830797959E-6</v>
      </c>
      <c r="U259" s="22">
        <f t="shared" si="62"/>
        <v>1.5030111538672925E-6</v>
      </c>
      <c r="V259" s="22">
        <f t="shared" si="62"/>
        <v>1.488116545060303E-6</v>
      </c>
      <c r="W259" s="22">
        <f t="shared" si="62"/>
        <v>1.487744445975823E-6</v>
      </c>
      <c r="X259" s="22">
        <f t="shared" si="62"/>
        <v>1.4874000096368187E-6</v>
      </c>
      <c r="Y259" s="22">
        <f t="shared" si="62"/>
        <v>1.4870831988972194E-6</v>
      </c>
      <c r="Z259" s="22">
        <f t="shared" si="62"/>
        <v>1.4867937733048578E-6</v>
      </c>
      <c r="AA259" s="22">
        <f t="shared" si="62"/>
        <v>1.4865319841445543E-6</v>
      </c>
      <c r="AB259" s="22">
        <f t="shared" si="62"/>
        <v>1.4862980415607246E-6</v>
      </c>
      <c r="AC259" s="22">
        <f t="shared" si="62"/>
        <v>1.4860921514229842E-6</v>
      </c>
      <c r="AD259" s="22">
        <f t="shared" si="62"/>
        <v>1.4859145063846736E-6</v>
      </c>
      <c r="AE259" s="22">
        <f t="shared" si="62"/>
        <v>1.4857652671579419E-6</v>
      </c>
      <c r="AF259" s="22">
        <f t="shared" si="62"/>
        <v>1.4856445920618978E-6</v>
      </c>
      <c r="AG259" s="22">
        <f t="shared" si="62"/>
        <v>1.4855526130249004E-6</v>
      </c>
      <c r="AH259" s="22">
        <f t="shared" si="62"/>
        <v>1.4854894356480966E-6</v>
      </c>
      <c r="AI259" s="22">
        <f t="shared" si="62"/>
        <v>1.4854551671876988E-6</v>
      </c>
      <c r="AJ259" s="22">
        <f t="shared" si="62"/>
        <v>1.4854499048511669E-6</v>
      </c>
      <c r="AK259" s="22">
        <f t="shared" si="62"/>
        <v>1.5294784356038574E-6</v>
      </c>
      <c r="AL259" s="22">
        <f t="shared" si="62"/>
        <v>1.5295157587149565E-6</v>
      </c>
      <c r="AM259" s="22">
        <f t="shared" si="62"/>
        <v>1.5295522317134702E-6</v>
      </c>
      <c r="AN259" s="22">
        <f t="shared" si="62"/>
        <v>1.5295879043733193E-6</v>
      </c>
      <c r="AO259" s="22">
        <f t="shared" si="62"/>
        <v>1.5296228354616745E-6</v>
      </c>
      <c r="AP259" s="22">
        <f t="shared" si="62"/>
        <v>1.5296568764266789E-6</v>
      </c>
      <c r="AQ259" s="22">
        <f t="shared" si="62"/>
        <v>1.5296899269703273E-6</v>
      </c>
      <c r="AR259" s="22">
        <f t="shared" si="62"/>
        <v>1.5297219743781909E-6</v>
      </c>
      <c r="AS259" s="22">
        <f t="shared" si="62"/>
        <v>1.5297528995032323E-6</v>
      </c>
      <c r="AT259" s="22">
        <f t="shared" si="62"/>
        <v>1.529782569706379E-6</v>
      </c>
      <c r="AU259" s="22">
        <f t="shared" si="62"/>
        <v>1.5298109674683716E-6</v>
      </c>
      <c r="AV259" s="22">
        <f t="shared" si="62"/>
        <v>1.5298381106323754E-6</v>
      </c>
      <c r="AW259" s="22">
        <f t="shared" si="62"/>
        <v>1.5298640113322035E-6</v>
      </c>
      <c r="AY259" s="79"/>
    </row>
    <row r="260" spans="1:51" x14ac:dyDescent="0.25">
      <c r="A260" s="95" t="str">
        <f t="shared" si="45"/>
        <v>FA Leaching</v>
      </c>
      <c r="B260" s="95" t="s">
        <v>962</v>
      </c>
      <c r="C260" s="95" t="s">
        <v>1190</v>
      </c>
      <c r="D260" t="s">
        <v>369</v>
      </c>
      <c r="E260" t="s">
        <v>61</v>
      </c>
      <c r="F260" t="s">
        <v>63</v>
      </c>
      <c r="G260" t="s">
        <v>437</v>
      </c>
      <c r="H260" t="s">
        <v>1189</v>
      </c>
      <c r="I260" t="s">
        <v>139</v>
      </c>
      <c r="J260" t="s">
        <v>287</v>
      </c>
      <c r="K260" s="22">
        <f t="shared" si="55"/>
        <v>0.20714502561891829</v>
      </c>
      <c r="L260" s="22">
        <f t="shared" si="62"/>
        <v>0.20732835560623103</v>
      </c>
      <c r="M260" s="22">
        <f t="shared" si="62"/>
        <v>0.20853137086969875</v>
      </c>
      <c r="N260" s="22">
        <f t="shared" si="62"/>
        <v>0.20795637847695569</v>
      </c>
      <c r="O260" s="22">
        <f t="shared" si="62"/>
        <v>0.20628301821112832</v>
      </c>
      <c r="P260" s="22">
        <f t="shared" si="62"/>
        <v>0.20354939622414611</v>
      </c>
      <c r="Q260" s="22">
        <f t="shared" si="62"/>
        <v>0.20178646732442315</v>
      </c>
      <c r="R260" s="22">
        <f t="shared" si="62"/>
        <v>0.20021853233884618</v>
      </c>
      <c r="S260" s="22">
        <f t="shared" si="62"/>
        <v>0.18369364043125816</v>
      </c>
      <c r="T260" s="22">
        <f t="shared" si="62"/>
        <v>0.19074245801308834</v>
      </c>
      <c r="U260" s="22">
        <f t="shared" si="62"/>
        <v>0.54709913085173534</v>
      </c>
      <c r="V260" s="22">
        <f t="shared" si="62"/>
        <v>0.55300351928587688</v>
      </c>
      <c r="W260" s="22">
        <f t="shared" si="62"/>
        <v>0.55807464420509822</v>
      </c>
      <c r="X260" s="22">
        <f t="shared" si="62"/>
        <v>0.56229419622275822</v>
      </c>
      <c r="Y260" s="22">
        <f t="shared" si="62"/>
        <v>0.56565689030054322</v>
      </c>
      <c r="Z260" s="22">
        <f t="shared" si="62"/>
        <v>0.56813718205802377</v>
      </c>
      <c r="AA260" s="22">
        <f t="shared" si="62"/>
        <v>0.56971515638742798</v>
      </c>
      <c r="AB260" s="22">
        <f t="shared" si="62"/>
        <v>0.57037496938758903</v>
      </c>
      <c r="AC260" s="22">
        <f t="shared" si="62"/>
        <v>0.57010545707497351</v>
      </c>
      <c r="AD260" s="22">
        <f t="shared" si="62"/>
        <v>0.56676670518887351</v>
      </c>
      <c r="AE260" s="22">
        <f t="shared" si="62"/>
        <v>0.56250536936786533</v>
      </c>
      <c r="AF260" s="22">
        <f t="shared" si="62"/>
        <v>0.55733683429481795</v>
      </c>
      <c r="AG260" s="22">
        <f t="shared" si="62"/>
        <v>0.55128187856538813</v>
      </c>
      <c r="AH260" s="22">
        <f t="shared" si="62"/>
        <v>0.54436526977326183</v>
      </c>
      <c r="AI260" s="22">
        <f t="shared" si="62"/>
        <v>0.53661612965976202</v>
      </c>
      <c r="AJ260" s="22">
        <f t="shared" si="62"/>
        <v>-1.3787440297582821E-2</v>
      </c>
      <c r="AK260" s="22">
        <f t="shared" si="62"/>
        <v>-1.3365724301233515E-2</v>
      </c>
      <c r="AL260" s="22">
        <f t="shared" si="62"/>
        <v>-1.2947271832122912E-2</v>
      </c>
      <c r="AM260" s="22">
        <f t="shared" si="62"/>
        <v>-1.2532155025223722E-2</v>
      </c>
      <c r="AN260" s="22">
        <f t="shared" si="62"/>
        <v>-1.2199737734429479E-2</v>
      </c>
      <c r="AO260" s="22">
        <f t="shared" si="62"/>
        <v>-1.1869291383315354E-2</v>
      </c>
      <c r="AP260" s="22">
        <f t="shared" si="62"/>
        <v>-1.1540487330895275E-2</v>
      </c>
      <c r="AQ260" s="22">
        <f t="shared" si="62"/>
        <v>-1.1213279540447051E-2</v>
      </c>
      <c r="AR260" s="22">
        <f t="shared" si="62"/>
        <v>-1.0887330717202761E-2</v>
      </c>
      <c r="AS260" s="22">
        <f t="shared" si="62"/>
        <v>-1.0562298727174138E-2</v>
      </c>
      <c r="AT260" s="22">
        <f t="shared" si="62"/>
        <v>-1.0238184478362713E-2</v>
      </c>
      <c r="AU260" s="22">
        <f t="shared" si="62"/>
        <v>-9.9150869917118811E-3</v>
      </c>
      <c r="AV260" s="22">
        <f t="shared" si="62"/>
        <v>-9.5930871912063547E-3</v>
      </c>
      <c r="AW260" s="22">
        <f t="shared" si="62"/>
        <v>-9.27190554712015E-3</v>
      </c>
      <c r="AY260" s="79"/>
    </row>
    <row r="261" spans="1:51" x14ac:dyDescent="0.25">
      <c r="A261" s="95" t="str">
        <f t="shared" si="45"/>
        <v>FA Leaching</v>
      </c>
      <c r="B261" s="95" t="s">
        <v>962</v>
      </c>
      <c r="C261" s="95" t="s">
        <v>1190</v>
      </c>
      <c r="D261" t="s">
        <v>369</v>
      </c>
      <c r="E261" t="s">
        <v>61</v>
      </c>
      <c r="F261" t="s">
        <v>63</v>
      </c>
      <c r="G261" t="s">
        <v>438</v>
      </c>
      <c r="H261" t="s">
        <v>1191</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25">
      <c r="A262" s="95" t="str">
        <f t="shared" si="45"/>
        <v>FA Leaching</v>
      </c>
      <c r="B262" s="95" t="s">
        <v>962</v>
      </c>
      <c r="C262" s="95" t="s">
        <v>1190</v>
      </c>
      <c r="D262" t="s">
        <v>369</v>
      </c>
      <c r="E262" t="s">
        <v>61</v>
      </c>
      <c r="F262" t="s">
        <v>63</v>
      </c>
      <c r="G262" t="s">
        <v>439</v>
      </c>
      <c r="H262" t="s">
        <v>1192</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0.10250223308080923</v>
      </c>
      <c r="U262" s="22">
        <f t="shared" si="63"/>
        <v>0.10320425755524179</v>
      </c>
      <c r="V262" s="22">
        <f t="shared" si="63"/>
        <v>0.12005228808448951</v>
      </c>
      <c r="W262" s="22">
        <f t="shared" si="63"/>
        <v>0.12047318780844027</v>
      </c>
      <c r="X262" s="22">
        <f t="shared" si="63"/>
        <v>0.12086279682940448</v>
      </c>
      <c r="Y262" s="22">
        <f t="shared" si="63"/>
        <v>0.12122115716514245</v>
      </c>
      <c r="Z262" s="22">
        <f t="shared" si="63"/>
        <v>0.12154854080302378</v>
      </c>
      <c r="AA262" s="22">
        <f t="shared" si="63"/>
        <v>0.12184466350232884</v>
      </c>
      <c r="AB262" s="22">
        <f t="shared" si="63"/>
        <v>0.1221092875582894</v>
      </c>
      <c r="AC262" s="22">
        <f t="shared" si="63"/>
        <v>0.12234218010157646</v>
      </c>
      <c r="AD262" s="22">
        <f t="shared" si="63"/>
        <v>0.12254312321244377</v>
      </c>
      <c r="AE262" s="22">
        <f t="shared" si="63"/>
        <v>0.12271193510141119</v>
      </c>
      <c r="AF262" s="22">
        <f t="shared" si="63"/>
        <v>0.12284843668588494</v>
      </c>
      <c r="AG262" s="22">
        <f t="shared" si="63"/>
        <v>0.12295247873515695</v>
      </c>
      <c r="AH262" s="22">
        <f t="shared" si="63"/>
        <v>0.12302394179853401</v>
      </c>
      <c r="AI262" s="22">
        <f t="shared" si="63"/>
        <v>0.12306270455319578</v>
      </c>
      <c r="AJ262" s="22">
        <f t="shared" si="63"/>
        <v>0.12306865704296534</v>
      </c>
      <c r="AK262" s="22">
        <f t="shared" si="63"/>
        <v>7.3265802876620559E-2</v>
      </c>
      <c r="AL262" s="22">
        <f t="shared" si="63"/>
        <v>7.322358485509374E-2</v>
      </c>
      <c r="AM262" s="22">
        <f t="shared" si="63"/>
        <v>7.3182328438063146E-2</v>
      </c>
      <c r="AN262" s="22">
        <f t="shared" si="63"/>
        <v>7.3141977323778182E-2</v>
      </c>
      <c r="AO262" s="22">
        <f t="shared" si="63"/>
        <v>7.3102465037779299E-2</v>
      </c>
      <c r="AP262" s="22">
        <f t="shared" si="63"/>
        <v>7.3063959614436361E-2</v>
      </c>
      <c r="AQ262" s="22">
        <f t="shared" si="63"/>
        <v>7.3026574505796304E-2</v>
      </c>
      <c r="AR262" s="22">
        <f t="shared" si="63"/>
        <v>7.299032409378052E-2</v>
      </c>
      <c r="AS262" s="22">
        <f t="shared" si="63"/>
        <v>7.2955343151510282E-2</v>
      </c>
      <c r="AT262" s="22">
        <f t="shared" si="63"/>
        <v>7.2921781713616574E-2</v>
      </c>
      <c r="AU262" s="22">
        <f t="shared" si="63"/>
        <v>7.2889659597002901E-2</v>
      </c>
      <c r="AV262" s="22">
        <f t="shared" si="63"/>
        <v>7.2858956618379891E-2</v>
      </c>
      <c r="AW262" s="22">
        <f t="shared" si="63"/>
        <v>7.282965905259077E-2</v>
      </c>
      <c r="AY262" s="79"/>
    </row>
    <row r="263" spans="1:51" x14ac:dyDescent="0.25">
      <c r="A263" s="95" t="str">
        <f t="shared" si="45"/>
        <v>FA Leaching</v>
      </c>
      <c r="B263" s="95" t="s">
        <v>962</v>
      </c>
      <c r="C263" s="95" t="s">
        <v>1190</v>
      </c>
      <c r="D263" t="s">
        <v>369</v>
      </c>
      <c r="E263" t="s">
        <v>61</v>
      </c>
      <c r="F263" t="s">
        <v>63</v>
      </c>
      <c r="G263" t="s">
        <v>1193</v>
      </c>
      <c r="H263" t="s">
        <v>1194</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25">
      <c r="A264" s="95" t="str">
        <f t="shared" si="45"/>
        <v>FA Leaching</v>
      </c>
      <c r="B264" s="95" t="s">
        <v>962</v>
      </c>
      <c r="C264" s="95" t="s">
        <v>1190</v>
      </c>
      <c r="D264" t="s">
        <v>369</v>
      </c>
      <c r="E264" t="s">
        <v>61</v>
      </c>
      <c r="F264" t="s">
        <v>63</v>
      </c>
      <c r="G264" t="s">
        <v>1195</v>
      </c>
      <c r="H264" t="s">
        <v>1196</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25">
      <c r="A265" s="95" t="str">
        <f t="shared" si="45"/>
        <v>FA Leaching</v>
      </c>
      <c r="B265" s="95" t="s">
        <v>962</v>
      </c>
      <c r="C265" s="95" t="s">
        <v>1190</v>
      </c>
      <c r="D265" t="s">
        <v>369</v>
      </c>
      <c r="E265" t="s">
        <v>61</v>
      </c>
      <c r="F265" t="s">
        <v>63</v>
      </c>
      <c r="G265" t="s">
        <v>1197</v>
      </c>
      <c r="H265" t="s">
        <v>1198</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25">
      <c r="A266" s="95" t="str">
        <f t="shared" si="45"/>
        <v>FA Leaching</v>
      </c>
      <c r="B266" s="95" t="s">
        <v>962</v>
      </c>
      <c r="C266" s="95" t="s">
        <v>1190</v>
      </c>
      <c r="D266" t="s">
        <v>369</v>
      </c>
      <c r="E266" t="s">
        <v>61</v>
      </c>
      <c r="F266" t="s">
        <v>63</v>
      </c>
      <c r="G266" t="s">
        <v>1199</v>
      </c>
      <c r="H266" t="s">
        <v>1200</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25">
      <c r="A267" s="95" t="str">
        <f t="shared" si="45"/>
        <v>FA Leaching</v>
      </c>
      <c r="B267" s="95" t="s">
        <v>962</v>
      </c>
      <c r="C267" s="95" t="s">
        <v>1190</v>
      </c>
      <c r="D267" t="s">
        <v>369</v>
      </c>
      <c r="E267" t="s">
        <v>61</v>
      </c>
      <c r="F267" t="s">
        <v>63</v>
      </c>
      <c r="G267" t="s">
        <v>1201</v>
      </c>
      <c r="H267" t="s">
        <v>1202</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25">
      <c r="A268" s="95" t="str">
        <f t="shared" si="45"/>
        <v>FA Leaching</v>
      </c>
      <c r="B268" s="95" t="s">
        <v>962</v>
      </c>
      <c r="C268" s="95" t="s">
        <v>1190</v>
      </c>
      <c r="D268" t="s">
        <v>369</v>
      </c>
      <c r="E268" t="s">
        <v>61</v>
      </c>
      <c r="F268" t="s">
        <v>63</v>
      </c>
      <c r="G268" t="s">
        <v>1203</v>
      </c>
      <c r="H268" t="s">
        <v>1204</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25">
      <c r="A269" s="95" t="str">
        <f t="shared" si="45"/>
        <v>FA Leaching</v>
      </c>
      <c r="B269" s="95" t="s">
        <v>962</v>
      </c>
      <c r="C269" s="95" t="s">
        <v>1190</v>
      </c>
      <c r="D269" t="s">
        <v>369</v>
      </c>
      <c r="E269" t="s">
        <v>61</v>
      </c>
      <c r="F269" t="s">
        <v>63</v>
      </c>
      <c r="G269" t="s">
        <v>1205</v>
      </c>
      <c r="H269" t="s">
        <v>1206</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25">
      <c r="A270" s="95" t="str">
        <f t="shared" si="45"/>
        <v>FA Leaching</v>
      </c>
      <c r="B270" s="95" t="s">
        <v>962</v>
      </c>
      <c r="C270" s="95" t="s">
        <v>1190</v>
      </c>
      <c r="D270" t="s">
        <v>369</v>
      </c>
      <c r="E270" t="s">
        <v>61</v>
      </c>
      <c r="F270" t="s">
        <v>63</v>
      </c>
      <c r="G270" t="s">
        <v>1207</v>
      </c>
      <c r="H270" t="s">
        <v>1208</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25">
      <c r="A271" s="95" t="str">
        <f t="shared" si="45"/>
        <v>FA Leaching</v>
      </c>
      <c r="B271" s="95" t="s">
        <v>962</v>
      </c>
      <c r="C271" s="95" t="s">
        <v>1190</v>
      </c>
      <c r="D271" t="s">
        <v>369</v>
      </c>
      <c r="E271" t="s">
        <v>61</v>
      </c>
      <c r="F271" t="s">
        <v>63</v>
      </c>
      <c r="G271" t="s">
        <v>1209</v>
      </c>
      <c r="H271" t="s">
        <v>1210</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25">
      <c r="A272" s="95" t="str">
        <f t="shared" si="45"/>
        <v>FA Leaching</v>
      </c>
      <c r="B272" s="95" t="s">
        <v>962</v>
      </c>
      <c r="C272" s="95" t="s">
        <v>1190</v>
      </c>
      <c r="D272" t="s">
        <v>369</v>
      </c>
      <c r="E272" t="s">
        <v>61</v>
      </c>
      <c r="F272" t="s">
        <v>63</v>
      </c>
      <c r="G272" t="s">
        <v>1211</v>
      </c>
      <c r="H272" t="s">
        <v>1212</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25">
      <c r="A273" s="95" t="str">
        <f t="shared" si="45"/>
        <v>FA Leaching</v>
      </c>
      <c r="B273" s="95" t="s">
        <v>962</v>
      </c>
      <c r="C273" s="95" t="s">
        <v>1190</v>
      </c>
      <c r="D273" t="s">
        <v>369</v>
      </c>
      <c r="E273" t="s">
        <v>61</v>
      </c>
      <c r="F273" t="s">
        <v>63</v>
      </c>
      <c r="G273" t="s">
        <v>1213</v>
      </c>
      <c r="H273" t="s">
        <v>1214</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25">
      <c r="A274" s="95" t="str">
        <f t="shared" si="45"/>
        <v xml:space="preserve">FA </v>
      </c>
      <c r="B274" s="95" t="s">
        <v>962</v>
      </c>
      <c r="C274" s="95"/>
      <c r="D274" t="s">
        <v>369</v>
      </c>
      <c r="E274" t="s">
        <v>61</v>
      </c>
      <c r="F274" t="s">
        <v>63</v>
      </c>
      <c r="G274" t="s">
        <v>1215</v>
      </c>
      <c r="H274" t="s">
        <v>1216</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25">
      <c r="A275" s="95" t="str">
        <f t="shared" si="45"/>
        <v>FA MM Volatilisation</v>
      </c>
      <c r="B275" s="95" t="s">
        <v>962</v>
      </c>
      <c r="C275" s="95" t="s">
        <v>1332</v>
      </c>
      <c r="D275" t="s">
        <v>369</v>
      </c>
      <c r="E275" t="s">
        <v>64</v>
      </c>
      <c r="F275" t="s">
        <v>62</v>
      </c>
      <c r="G275" t="s">
        <v>1152</v>
      </c>
      <c r="H275" t="s">
        <v>1290</v>
      </c>
      <c r="I275" t="s">
        <v>139</v>
      </c>
      <c r="J275" t="s">
        <v>287</v>
      </c>
      <c r="K275" s="22">
        <f t="shared" si="65"/>
        <v>0.39609736661915962</v>
      </c>
      <c r="L275" s="22">
        <f t="shared" si="66"/>
        <v>0.39831175345583053</v>
      </c>
      <c r="M275" s="22">
        <f t="shared" si="66"/>
        <v>0.40145358914715529</v>
      </c>
      <c r="N275" s="22">
        <f t="shared" si="66"/>
        <v>0.40347255325329029</v>
      </c>
      <c r="O275" s="22">
        <f t="shared" si="66"/>
        <v>0.40481416413578281</v>
      </c>
      <c r="P275" s="22">
        <f t="shared" si="66"/>
        <v>0.40546521734783819</v>
      </c>
      <c r="Q275" s="22">
        <f t="shared" si="66"/>
        <v>0.40690363619044922</v>
      </c>
      <c r="R275" s="22">
        <f t="shared" si="66"/>
        <v>0.40855374420631202</v>
      </c>
      <c r="S275" s="22">
        <f t="shared" si="66"/>
        <v>0.39694485067455443</v>
      </c>
      <c r="T275" s="22">
        <f t="shared" si="66"/>
        <v>0.40377484899001992</v>
      </c>
      <c r="U275" s="22">
        <f t="shared" si="66"/>
        <v>0.69472691845052781</v>
      </c>
      <c r="V275" s="22">
        <f t="shared" si="66"/>
        <v>0.70310152718694741</v>
      </c>
      <c r="W275" s="22">
        <f t="shared" si="66"/>
        <v>0.71110880509409102</v>
      </c>
      <c r="X275" s="22">
        <f t="shared" si="66"/>
        <v>0.718612550142118</v>
      </c>
      <c r="Y275" s="22">
        <f t="shared" si="66"/>
        <v>0.7254123730618981</v>
      </c>
      <c r="Z275" s="22">
        <f t="shared" si="66"/>
        <v>0.73147651852735551</v>
      </c>
      <c r="AA275" s="22">
        <f t="shared" si="66"/>
        <v>0.73676965969026942</v>
      </c>
      <c r="AB275" s="22">
        <f t="shared" si="66"/>
        <v>0.74126505933946241</v>
      </c>
      <c r="AC275" s="22">
        <f t="shared" si="66"/>
        <v>0.74494151296918631</v>
      </c>
      <c r="AD275" s="22">
        <f t="shared" si="66"/>
        <v>0.74777672987859323</v>
      </c>
      <c r="AE275" s="22">
        <f t="shared" si="66"/>
        <v>0.7497573654957449</v>
      </c>
      <c r="AF275" s="22">
        <f t="shared" si="66"/>
        <v>0.75087061941702216</v>
      </c>
      <c r="AG275" s="22">
        <f t="shared" si="66"/>
        <v>0.75110412486622213</v>
      </c>
      <c r="AH275" s="22">
        <f t="shared" si="66"/>
        <v>0.75045562343243666</v>
      </c>
      <c r="AI275" s="22">
        <f t="shared" si="66"/>
        <v>0.74892880709192955</v>
      </c>
      <c r="AJ275" s="22">
        <f t="shared" si="66"/>
        <v>0.2369481237841857</v>
      </c>
      <c r="AK275" s="22">
        <f t="shared" si="66"/>
        <v>0.23712109193812289</v>
      </c>
      <c r="AL275" s="22">
        <f t="shared" si="66"/>
        <v>0.23728160870243259</v>
      </c>
      <c r="AM275" s="22">
        <f t="shared" si="66"/>
        <v>0.2374307599177384</v>
      </c>
      <c r="AN275" s="22">
        <f t="shared" si="66"/>
        <v>0.2375698831121214</v>
      </c>
      <c r="AO275" s="22">
        <f t="shared" si="66"/>
        <v>0.23769461188435137</v>
      </c>
      <c r="AP275" s="22">
        <f t="shared" si="66"/>
        <v>0.2378020140279184</v>
      </c>
      <c r="AQ275" s="22">
        <f t="shared" si="66"/>
        <v>0.23789161932894973</v>
      </c>
      <c r="AR275" s="22">
        <f t="shared" si="66"/>
        <v>0.23796010078507188</v>
      </c>
      <c r="AS275" s="22">
        <f t="shared" si="66"/>
        <v>0.2380038463120322</v>
      </c>
      <c r="AT275" s="22">
        <f t="shared" si="66"/>
        <v>0.23802240976704672</v>
      </c>
      <c r="AU275" s="22">
        <f t="shared" si="66"/>
        <v>0.23801630420250081</v>
      </c>
      <c r="AV275" s="22">
        <f t="shared" si="66"/>
        <v>0.23798588741324539</v>
      </c>
      <c r="AW275" s="22">
        <f t="shared" si="66"/>
        <v>0.23792776204046176</v>
      </c>
      <c r="AY275" s="79"/>
    </row>
    <row r="276" spans="1:51" x14ac:dyDescent="0.25">
      <c r="A276" s="95" t="str">
        <f t="shared" si="45"/>
        <v>FA MM Volatilisation</v>
      </c>
      <c r="B276" s="95" t="s">
        <v>962</v>
      </c>
      <c r="C276" s="95" t="s">
        <v>1332</v>
      </c>
      <c r="D276" t="s">
        <v>369</v>
      </c>
      <c r="E276" t="s">
        <v>64</v>
      </c>
      <c r="F276" t="s">
        <v>62</v>
      </c>
      <c r="G276" t="s">
        <v>1154</v>
      </c>
      <c r="H276" t="s">
        <v>1291</v>
      </c>
      <c r="I276" t="s">
        <v>139</v>
      </c>
      <c r="J276" t="s">
        <v>287</v>
      </c>
      <c r="K276" s="22">
        <f t="shared" si="65"/>
        <v>3.1249813656142676E-2</v>
      </c>
      <c r="L276" s="22">
        <f t="shared" si="66"/>
        <v>3.1424516095088999E-2</v>
      </c>
      <c r="M276" s="22">
        <f t="shared" si="66"/>
        <v>3.1672388936885787E-2</v>
      </c>
      <c r="N276" s="22">
        <f t="shared" si="66"/>
        <v>3.1831673641638247E-2</v>
      </c>
      <c r="O276" s="22">
        <f t="shared" si="66"/>
        <v>3.1937519056453263E-2</v>
      </c>
      <c r="P276" s="22">
        <f t="shared" si="66"/>
        <v>3.1988883426104654E-2</v>
      </c>
      <c r="Q276" s="22">
        <f t="shared" si="66"/>
        <v>3.2102366434524382E-2</v>
      </c>
      <c r="R276" s="22">
        <f t="shared" si="66"/>
        <v>3.2232550506305399E-2</v>
      </c>
      <c r="S276" s="22">
        <f t="shared" si="66"/>
        <v>3.1316675294314346E-2</v>
      </c>
      <c r="T276" s="22">
        <f t="shared" si="66"/>
        <v>3.1855523043926581E-2</v>
      </c>
      <c r="U276" s="22">
        <f t="shared" si="66"/>
        <v>5.4809974953353012E-2</v>
      </c>
      <c r="V276" s="22">
        <f t="shared" si="66"/>
        <v>5.547068361872478E-2</v>
      </c>
      <c r="W276" s="22">
        <f t="shared" si="66"/>
        <v>5.6102411985482069E-2</v>
      </c>
      <c r="X276" s="22">
        <f t="shared" si="66"/>
        <v>5.6694414493540908E-2</v>
      </c>
      <c r="Y276" s="22">
        <f t="shared" si="66"/>
        <v>5.7230881577257239E-2</v>
      </c>
      <c r="Z276" s="22">
        <f t="shared" si="66"/>
        <v>5.7709307923276061E-2</v>
      </c>
      <c r="AA276" s="22">
        <f t="shared" si="66"/>
        <v>5.812690644560041E-2</v>
      </c>
      <c r="AB276" s="22">
        <f t="shared" si="66"/>
        <v>5.8481567731400452E-2</v>
      </c>
      <c r="AC276" s="22">
        <f t="shared" si="66"/>
        <v>5.8771618866617373E-2</v>
      </c>
      <c r="AD276" s="22">
        <f t="shared" si="66"/>
        <v>5.8995301242619896E-2</v>
      </c>
      <c r="AE276" s="22">
        <f t="shared" si="66"/>
        <v>5.9151562049110484E-2</v>
      </c>
      <c r="AF276" s="22">
        <f t="shared" si="66"/>
        <v>5.9239391407555408E-2</v>
      </c>
      <c r="AG276" s="22">
        <f t="shared" si="66"/>
        <v>5.9257813650140552E-2</v>
      </c>
      <c r="AH276" s="22">
        <f t="shared" si="66"/>
        <v>5.9206650601179869E-2</v>
      </c>
      <c r="AI276" s="22">
        <f t="shared" si="66"/>
        <v>5.9086193536455466E-2</v>
      </c>
      <c r="AJ276" s="22">
        <f t="shared" si="66"/>
        <v>1.8693849892589171E-2</v>
      </c>
      <c r="AK276" s="22">
        <f t="shared" si="66"/>
        <v>1.870749608929358E-2</v>
      </c>
      <c r="AL276" s="22">
        <f t="shared" si="66"/>
        <v>1.8720159942669283E-2</v>
      </c>
      <c r="AM276" s="22">
        <f t="shared" si="66"/>
        <v>1.873192711932253E-2</v>
      </c>
      <c r="AN276" s="22">
        <f t="shared" si="66"/>
        <v>1.8742903142558495E-2</v>
      </c>
      <c r="AO276" s="22">
        <f t="shared" si="66"/>
        <v>1.8752743528327825E-2</v>
      </c>
      <c r="AP276" s="22">
        <f t="shared" si="66"/>
        <v>1.8761216942330506E-2</v>
      </c>
      <c r="AQ276" s="22">
        <f t="shared" si="66"/>
        <v>1.8768286287385059E-2</v>
      </c>
      <c r="AR276" s="22">
        <f t="shared" si="66"/>
        <v>1.8773689082058967E-2</v>
      </c>
      <c r="AS276" s="22">
        <f t="shared" si="66"/>
        <v>1.8777140353592202E-2</v>
      </c>
      <c r="AT276" s="22">
        <f t="shared" si="66"/>
        <v>1.8778604903874292E-2</v>
      </c>
      <c r="AU276" s="22">
        <f t="shared" si="66"/>
        <v>1.877812320980005E-2</v>
      </c>
      <c r="AV276" s="22">
        <f t="shared" si="66"/>
        <v>1.8775723499333995E-2</v>
      </c>
      <c r="AW276" s="22">
        <f t="shared" si="66"/>
        <v>1.8771137740323057E-2</v>
      </c>
      <c r="AY276" s="79"/>
    </row>
    <row r="277" spans="1:51" x14ac:dyDescent="0.25">
      <c r="A277" s="95" t="str">
        <f t="shared" si="45"/>
        <v>FA MM Volatilisation</v>
      </c>
      <c r="B277" s="95" t="s">
        <v>962</v>
      </c>
      <c r="C277" s="95" t="s">
        <v>1332</v>
      </c>
      <c r="D277" t="s">
        <v>369</v>
      </c>
      <c r="E277" t="s">
        <v>64</v>
      </c>
      <c r="F277" t="s">
        <v>62</v>
      </c>
      <c r="G277" t="s">
        <v>1156</v>
      </c>
      <c r="H277" t="s">
        <v>1292</v>
      </c>
      <c r="I277" t="s">
        <v>139</v>
      </c>
      <c r="J277" t="s">
        <v>287</v>
      </c>
      <c r="K277" s="22">
        <f t="shared" si="65"/>
        <v>2.8967336997006343E-4</v>
      </c>
      <c r="L277" s="22">
        <f t="shared" si="66"/>
        <v>2.9129279224209421E-4</v>
      </c>
      <c r="M277" s="22">
        <f t="shared" si="66"/>
        <v>2.9359047510821973E-4</v>
      </c>
      <c r="N277" s="22">
        <f t="shared" si="66"/>
        <v>2.9506698110336069E-4</v>
      </c>
      <c r="O277" s="22">
        <f t="shared" si="66"/>
        <v>2.960481260901027E-4</v>
      </c>
      <c r="P277" s="22">
        <f t="shared" si="66"/>
        <v>2.9652425341095731E-4</v>
      </c>
      <c r="Q277" s="22">
        <f t="shared" si="66"/>
        <v>2.9757619585915883E-4</v>
      </c>
      <c r="R277" s="22">
        <f t="shared" si="66"/>
        <v>2.9878295053629658E-4</v>
      </c>
      <c r="S277" s="22">
        <f t="shared" si="66"/>
        <v>2.9029315081944787E-4</v>
      </c>
      <c r="T277" s="22">
        <f t="shared" si="66"/>
        <v>2.9528805559707279E-4</v>
      </c>
      <c r="U277" s="22">
        <f t="shared" si="66"/>
        <v>5.0806671449036449E-4</v>
      </c>
      <c r="V277" s="22">
        <f t="shared" si="66"/>
        <v>5.1419122159215467E-4</v>
      </c>
      <c r="W277" s="22">
        <f t="shared" si="66"/>
        <v>5.200470928276717E-4</v>
      </c>
      <c r="X277" s="22">
        <f t="shared" si="66"/>
        <v>5.2553472111970217E-4</v>
      </c>
      <c r="Y277" s="22">
        <f t="shared" si="66"/>
        <v>5.3050755806932593E-4</v>
      </c>
      <c r="Z277" s="22">
        <f t="shared" si="66"/>
        <v>5.3494238041606622E-4</v>
      </c>
      <c r="AA277" s="22">
        <f t="shared" si="66"/>
        <v>5.3881335297888784E-4</v>
      </c>
      <c r="AB277" s="22">
        <f t="shared" si="66"/>
        <v>5.42100922338055E-4</v>
      </c>
      <c r="AC277" s="22">
        <f t="shared" si="66"/>
        <v>5.4478958124419888E-4</v>
      </c>
      <c r="AD277" s="22">
        <f t="shared" si="66"/>
        <v>5.4686302809327551E-4</v>
      </c>
      <c r="AE277" s="22">
        <f t="shared" si="66"/>
        <v>5.4831150375167243E-4</v>
      </c>
      <c r="AF277" s="22">
        <f t="shared" si="66"/>
        <v>5.4912564704618944E-4</v>
      </c>
      <c r="AG277" s="22">
        <f t="shared" si="66"/>
        <v>5.4929641392341823E-4</v>
      </c>
      <c r="AH277" s="22">
        <f t="shared" si="66"/>
        <v>5.4882215276546513E-4</v>
      </c>
      <c r="AI277" s="22">
        <f t="shared" si="66"/>
        <v>5.4770556358322664E-4</v>
      </c>
      <c r="AJ277" s="22">
        <f t="shared" si="66"/>
        <v>1.7328456917170714E-4</v>
      </c>
      <c r="AK277" s="22">
        <f t="shared" si="66"/>
        <v>1.7341106399916873E-4</v>
      </c>
      <c r="AL277" s="22">
        <f t="shared" si="66"/>
        <v>1.7352845289385181E-4</v>
      </c>
      <c r="AM277" s="22">
        <f t="shared" si="66"/>
        <v>1.7363752995119643E-4</v>
      </c>
      <c r="AN277" s="22">
        <f t="shared" si="66"/>
        <v>1.7373927333036077E-4</v>
      </c>
      <c r="AO277" s="22">
        <f t="shared" si="66"/>
        <v>1.7383048980092826E-4</v>
      </c>
      <c r="AP277" s="22">
        <f t="shared" si="66"/>
        <v>1.7390903498575136E-4</v>
      </c>
      <c r="AQ277" s="22">
        <f t="shared" si="66"/>
        <v>1.7397456500868103E-4</v>
      </c>
      <c r="AR277" s="22">
        <f t="shared" si="66"/>
        <v>1.7402464677101302E-4</v>
      </c>
      <c r="AS277" s="22">
        <f t="shared" si="66"/>
        <v>1.7405663868836374E-4</v>
      </c>
      <c r="AT277" s="22">
        <f t="shared" si="66"/>
        <v>1.7407021448821884E-4</v>
      </c>
      <c r="AU277" s="22">
        <f t="shared" si="66"/>
        <v>1.7406574937532841E-4</v>
      </c>
      <c r="AV277" s="22">
        <f t="shared" si="66"/>
        <v>1.7404350501172027E-4</v>
      </c>
      <c r="AW277" s="22">
        <f t="shared" si="66"/>
        <v>1.740009968457137E-4</v>
      </c>
      <c r="AY277" s="79"/>
    </row>
    <row r="278" spans="1:51" x14ac:dyDescent="0.25">
      <c r="A278" s="95" t="str">
        <f t="shared" si="45"/>
        <v>FA MM Volatilisation</v>
      </c>
      <c r="B278" s="95" t="s">
        <v>962</v>
      </c>
      <c r="C278" s="95" t="s">
        <v>1332</v>
      </c>
      <c r="D278" t="s">
        <v>369</v>
      </c>
      <c r="E278" t="s">
        <v>64</v>
      </c>
      <c r="F278" t="s">
        <v>62</v>
      </c>
      <c r="G278" t="s">
        <v>1158</v>
      </c>
      <c r="H278" t="s">
        <v>1293</v>
      </c>
      <c r="I278" t="s">
        <v>139</v>
      </c>
      <c r="J278" t="s">
        <v>287</v>
      </c>
      <c r="K278" s="22">
        <f t="shared" si="65"/>
        <v>3.2323215352203878E-3</v>
      </c>
      <c r="L278" s="22">
        <f t="shared" si="66"/>
        <v>3.2042886428129457E-3</v>
      </c>
      <c r="M278" s="22">
        <f t="shared" si="66"/>
        <v>3.193617369300608E-3</v>
      </c>
      <c r="N278" s="22">
        <f t="shared" si="66"/>
        <v>3.1509707896886733E-3</v>
      </c>
      <c r="O278" s="22">
        <f t="shared" si="66"/>
        <v>3.0890682378804119E-3</v>
      </c>
      <c r="P278" s="22">
        <f t="shared" si="66"/>
        <v>3.0091897617382946E-3</v>
      </c>
      <c r="Q278" s="22">
        <f t="shared" si="66"/>
        <v>2.9461872714039491E-3</v>
      </c>
      <c r="R278" s="22">
        <f t="shared" si="66"/>
        <v>2.8865797531671873E-3</v>
      </c>
      <c r="S278" s="22">
        <f t="shared" si="66"/>
        <v>2.5815224060103171E-3</v>
      </c>
      <c r="T278" s="22">
        <f t="shared" si="66"/>
        <v>2.6809806193820299E-3</v>
      </c>
      <c r="U278" s="22">
        <f t="shared" si="66"/>
        <v>8.4496349357244746E-3</v>
      </c>
      <c r="V278" s="22">
        <f t="shared" si="66"/>
        <v>8.490390729273779E-3</v>
      </c>
      <c r="W278" s="22">
        <f t="shared" si="66"/>
        <v>8.5164743363873984E-3</v>
      </c>
      <c r="X278" s="22">
        <f t="shared" si="66"/>
        <v>8.5278804443353062E-3</v>
      </c>
      <c r="Y278" s="22">
        <f t="shared" si="66"/>
        <v>8.5248506776145015E-3</v>
      </c>
      <c r="Z278" s="22">
        <f t="shared" si="66"/>
        <v>8.5072398121281648E-3</v>
      </c>
      <c r="AA278" s="22">
        <f t="shared" si="66"/>
        <v>8.4750047085989932E-3</v>
      </c>
      <c r="AB278" s="22">
        <f t="shared" si="66"/>
        <v>8.4281720385821924E-3</v>
      </c>
      <c r="AC278" s="22">
        <f t="shared" si="66"/>
        <v>8.3668471101216637E-3</v>
      </c>
      <c r="AD278" s="22">
        <f t="shared" si="66"/>
        <v>8.2215560258446178E-3</v>
      </c>
      <c r="AE278" s="22">
        <f t="shared" si="66"/>
        <v>8.0625794404136485E-3</v>
      </c>
      <c r="AF278" s="22">
        <f t="shared" si="66"/>
        <v>7.8906316671852623E-3</v>
      </c>
      <c r="AG278" s="22">
        <f t="shared" si="66"/>
        <v>7.7065081858302149E-3</v>
      </c>
      <c r="AH278" s="22">
        <f t="shared" si="66"/>
        <v>7.5110558523361756E-3</v>
      </c>
      <c r="AI278" s="22">
        <f t="shared" si="66"/>
        <v>7.3051764470657117E-3</v>
      </c>
      <c r="AJ278" s="22">
        <f t="shared" si="66"/>
        <v>-5.6405599805615676E-4</v>
      </c>
      <c r="AK278" s="22">
        <f t="shared" si="66"/>
        <v>-5.5047515962352916E-4</v>
      </c>
      <c r="AL278" s="22">
        <f t="shared" si="66"/>
        <v>-5.3703562288424922E-4</v>
      </c>
      <c r="AM278" s="22">
        <f t="shared" si="66"/>
        <v>-5.2373599978206974E-4</v>
      </c>
      <c r="AN278" s="22">
        <f t="shared" si="66"/>
        <v>-5.1318044022279606E-4</v>
      </c>
      <c r="AO278" s="22">
        <f t="shared" si="66"/>
        <v>-5.0272501169057937E-4</v>
      </c>
      <c r="AP278" s="22">
        <f t="shared" si="66"/>
        <v>-4.9236193773087231E-4</v>
      </c>
      <c r="AQ278" s="22">
        <f t="shared" si="66"/>
        <v>-4.8208865134491532E-4</v>
      </c>
      <c r="AR278" s="22">
        <f t="shared" si="66"/>
        <v>-4.7189764173024049E-4</v>
      </c>
      <c r="AS278" s="22">
        <f t="shared" si="66"/>
        <v>-4.6178155356127546E-4</v>
      </c>
      <c r="AT278" s="22">
        <f t="shared" si="66"/>
        <v>-4.5173920552966836E-4</v>
      </c>
      <c r="AU278" s="22">
        <f t="shared" si="66"/>
        <v>-4.4177121806458731E-4</v>
      </c>
      <c r="AV278" s="22">
        <f t="shared" si="66"/>
        <v>-4.31877971766583E-4</v>
      </c>
      <c r="AW278" s="22">
        <f t="shared" si="66"/>
        <v>-4.220537843353357E-4</v>
      </c>
      <c r="AY278" s="79"/>
    </row>
    <row r="279" spans="1:51" x14ac:dyDescent="0.25">
      <c r="A279" s="95" t="str">
        <f t="shared" si="45"/>
        <v>FA MM Volatilisation</v>
      </c>
      <c r="B279" s="95" t="s">
        <v>962</v>
      </c>
      <c r="C279" s="95" t="s">
        <v>1332</v>
      </c>
      <c r="D279" t="s">
        <v>369</v>
      </c>
      <c r="E279" t="s">
        <v>64</v>
      </c>
      <c r="F279" t="s">
        <v>62</v>
      </c>
      <c r="G279" t="s">
        <v>1160</v>
      </c>
      <c r="H279" t="s">
        <v>1294</v>
      </c>
      <c r="I279" t="s">
        <v>139</v>
      </c>
      <c r="J279" t="s">
        <v>287</v>
      </c>
      <c r="K279" s="22">
        <f t="shared" si="65"/>
        <v>1.6090517274103568E-2</v>
      </c>
      <c r="L279" s="22">
        <f t="shared" si="66"/>
        <v>1.5950969356419611E-2</v>
      </c>
      <c r="M279" s="22">
        <f t="shared" si="66"/>
        <v>1.5897847688628834E-2</v>
      </c>
      <c r="N279" s="22">
        <f t="shared" si="66"/>
        <v>1.5685552742581491E-2</v>
      </c>
      <c r="O279" s="22">
        <f t="shared" si="66"/>
        <v>1.5377401443792458E-2</v>
      </c>
      <c r="P279" s="22">
        <f t="shared" si="66"/>
        <v>1.4979765878707448E-2</v>
      </c>
      <c r="Q279" s="22">
        <f t="shared" si="66"/>
        <v>1.4666139078901096E-2</v>
      </c>
      <c r="R279" s="22">
        <f t="shared" si="66"/>
        <v>1.4369412471908493E-2</v>
      </c>
      <c r="S279" s="22">
        <f t="shared" si="66"/>
        <v>1.2850835046817909E-2</v>
      </c>
      <c r="T279" s="22">
        <f t="shared" si="66"/>
        <v>1.3345938669050808E-2</v>
      </c>
      <c r="U279" s="22">
        <f t="shared" si="66"/>
        <v>4.2062336748275767E-2</v>
      </c>
      <c r="V279" s="22">
        <f t="shared" si="66"/>
        <v>4.2265219349211125E-2</v>
      </c>
      <c r="W279" s="22">
        <f t="shared" si="66"/>
        <v>4.2395063712236107E-2</v>
      </c>
      <c r="X279" s="22">
        <f t="shared" si="66"/>
        <v>4.2451843390546674E-2</v>
      </c>
      <c r="Y279" s="22">
        <f t="shared" si="66"/>
        <v>4.2436761192434141E-2</v>
      </c>
      <c r="Z279" s="22">
        <f t="shared" si="66"/>
        <v>4.234909419141579E-2</v>
      </c>
      <c r="AA279" s="22">
        <f t="shared" si="66"/>
        <v>4.2188627639893318E-2</v>
      </c>
      <c r="AB279" s="22">
        <f t="shared" si="66"/>
        <v>4.195549430903911E-2</v>
      </c>
      <c r="AC279" s="22">
        <f t="shared" si="66"/>
        <v>4.1650218422969176E-2</v>
      </c>
      <c r="AD279" s="22">
        <f t="shared" si="66"/>
        <v>4.0926958476252988E-2</v>
      </c>
      <c r="AE279" s="22">
        <f t="shared" si="66"/>
        <v>4.0135572017269229E-2</v>
      </c>
      <c r="AF279" s="22">
        <f t="shared" si="66"/>
        <v>3.9279614902474849E-2</v>
      </c>
      <c r="AG279" s="22">
        <f t="shared" si="66"/>
        <v>3.8363047034758228E-2</v>
      </c>
      <c r="AH279" s="22">
        <f t="shared" si="66"/>
        <v>3.7390084068641902E-2</v>
      </c>
      <c r="AI279" s="22">
        <f t="shared" si="66"/>
        <v>3.6365215072537933E-2</v>
      </c>
      <c r="AJ279" s="22">
        <f t="shared" si="66"/>
        <v>-2.8078743656501674E-3</v>
      </c>
      <c r="AK279" s="22">
        <f t="shared" si="66"/>
        <v>-2.7402688650785463E-3</v>
      </c>
      <c r="AL279" s="22">
        <f t="shared" si="66"/>
        <v>-2.6733667652400826E-3</v>
      </c>
      <c r="AM279" s="22">
        <f t="shared" si="66"/>
        <v>-2.6071611563818981E-3</v>
      </c>
      <c r="AN279" s="22">
        <f t="shared" si="66"/>
        <v>-2.554615513389502E-3</v>
      </c>
      <c r="AO279" s="22">
        <f t="shared" si="66"/>
        <v>-2.5025683232901678E-3</v>
      </c>
      <c r="AP279" s="22">
        <f t="shared" si="66"/>
        <v>-2.4509808748434249E-3</v>
      </c>
      <c r="AQ279" s="22">
        <f t="shared" si="66"/>
        <v>-2.3998403895130306E-3</v>
      </c>
      <c r="AR279" s="22">
        <f t="shared" si="66"/>
        <v>-2.3491094784762676E-3</v>
      </c>
      <c r="AS279" s="22">
        <f t="shared" si="66"/>
        <v>-2.2987515268753948E-3</v>
      </c>
      <c r="AT279" s="22">
        <f t="shared" si="66"/>
        <v>-2.2487606541498821E-3</v>
      </c>
      <c r="AU279" s="22">
        <f t="shared" si="66"/>
        <v>-2.1991399488000989E-3</v>
      </c>
      <c r="AV279" s="22">
        <f t="shared" si="66"/>
        <v>-2.1498913054580166E-3</v>
      </c>
      <c r="AW279" s="22">
        <f t="shared" si="66"/>
        <v>-2.1009864375963051E-3</v>
      </c>
      <c r="AY279" s="79"/>
    </row>
    <row r="280" spans="1:51" x14ac:dyDescent="0.25">
      <c r="A280" s="95" t="str">
        <f t="shared" si="45"/>
        <v>FA MM Volatilisation</v>
      </c>
      <c r="B280" s="95" t="s">
        <v>962</v>
      </c>
      <c r="C280" s="95" t="s">
        <v>1332</v>
      </c>
      <c r="D280" t="s">
        <v>369</v>
      </c>
      <c r="E280" t="s">
        <v>64</v>
      </c>
      <c r="F280" t="s">
        <v>62</v>
      </c>
      <c r="G280" t="s">
        <v>1162</v>
      </c>
      <c r="H280" t="s">
        <v>1295</v>
      </c>
      <c r="I280" t="s">
        <v>139</v>
      </c>
      <c r="J280" t="s">
        <v>287</v>
      </c>
      <c r="K280" s="22">
        <f t="shared" si="65"/>
        <v>0.15836052531214873</v>
      </c>
      <c r="L280" s="22">
        <f t="shared" si="66"/>
        <v>0.16370016056893644</v>
      </c>
      <c r="M280" s="22">
        <f t="shared" si="66"/>
        <v>0.17003774892948584</v>
      </c>
      <c r="N280" s="22">
        <f t="shared" si="66"/>
        <v>0.17476418316081979</v>
      </c>
      <c r="O280" s="22">
        <f t="shared" si="66"/>
        <v>0.1784091501709566</v>
      </c>
      <c r="P280" s="22">
        <f t="shared" si="66"/>
        <v>0.18092055691117109</v>
      </c>
      <c r="Q280" s="22">
        <f t="shared" si="66"/>
        <v>0.18434967364231722</v>
      </c>
      <c r="R280" s="22">
        <f t="shared" si="66"/>
        <v>0.18794438918293385</v>
      </c>
      <c r="S280" s="22">
        <f t="shared" si="66"/>
        <v>0.17487533171838066</v>
      </c>
      <c r="T280" s="22">
        <f t="shared" si="66"/>
        <v>0.18598828710895501</v>
      </c>
      <c r="U280" s="22">
        <f t="shared" si="66"/>
        <v>0.60010716171461598</v>
      </c>
      <c r="V280" s="22">
        <f t="shared" si="66"/>
        <v>0.61714803501653059</v>
      </c>
      <c r="W280" s="22">
        <f t="shared" si="66"/>
        <v>0.63339573291461304</v>
      </c>
      <c r="X280" s="22">
        <f t="shared" si="66"/>
        <v>0.64878782379484634</v>
      </c>
      <c r="Y280" s="22">
        <f t="shared" si="66"/>
        <v>0.6632790614565599</v>
      </c>
      <c r="Z280" s="22">
        <f t="shared" si="66"/>
        <v>0.67679301375274348</v>
      </c>
      <c r="AA280" s="22">
        <f t="shared" si="66"/>
        <v>0.68925834109941053</v>
      </c>
      <c r="AB280" s="22">
        <f t="shared" si="66"/>
        <v>0.70060688133816351</v>
      </c>
      <c r="AC280" s="22">
        <f t="shared" si="66"/>
        <v>0.71077490529773002</v>
      </c>
      <c r="AD280" s="22">
        <f t="shared" si="66"/>
        <v>0.72159413752844115</v>
      </c>
      <c r="AE280" s="22">
        <f t="shared" si="66"/>
        <v>0.73115327204335434</v>
      </c>
      <c r="AF280" s="22">
        <f t="shared" si="66"/>
        <v>0.7393963545283444</v>
      </c>
      <c r="AG280" s="22">
        <f t="shared" si="66"/>
        <v>0.74627481362949688</v>
      </c>
      <c r="AH280" s="22">
        <f t="shared" si="66"/>
        <v>0.75174577116771069</v>
      </c>
      <c r="AI280" s="22">
        <f t="shared" si="66"/>
        <v>0.75577335036803739</v>
      </c>
      <c r="AJ280" s="22">
        <f t="shared" si="66"/>
        <v>-6.0331583230930269E-2</v>
      </c>
      <c r="AK280" s="22">
        <f t="shared" si="66"/>
        <v>-6.0883763489548361E-2</v>
      </c>
      <c r="AL280" s="22">
        <f t="shared" si="66"/>
        <v>-6.1432292472249253E-2</v>
      </c>
      <c r="AM280" s="22">
        <f t="shared" si="66"/>
        <v>-6.1977443387012172E-2</v>
      </c>
      <c r="AN280" s="22">
        <f t="shared" si="66"/>
        <v>-6.2441792261108069E-2</v>
      </c>
      <c r="AO280" s="22">
        <f t="shared" si="66"/>
        <v>-6.2901498019431304E-2</v>
      </c>
      <c r="AP280" s="22">
        <f t="shared" si="66"/>
        <v>-6.3355857064212845E-2</v>
      </c>
      <c r="AQ280" s="22">
        <f t="shared" si="66"/>
        <v>-6.3804744436236446E-2</v>
      </c>
      <c r="AR280" s="22">
        <f t="shared" si="66"/>
        <v>-6.4247322567233908E-2</v>
      </c>
      <c r="AS280" s="22">
        <f t="shared" si="66"/>
        <v>-6.4682656506044156E-2</v>
      </c>
      <c r="AT280" s="22">
        <f t="shared" si="66"/>
        <v>-6.5110575477313207E-2</v>
      </c>
      <c r="AU280" s="22">
        <f t="shared" si="66"/>
        <v>-6.5531144171927541E-2</v>
      </c>
      <c r="AV280" s="22">
        <f t="shared" si="66"/>
        <v>-6.5944388466371143E-2</v>
      </c>
      <c r="AW280" s="22">
        <f t="shared" si="66"/>
        <v>-6.6349375385408998E-2</v>
      </c>
      <c r="AY280" s="79"/>
    </row>
    <row r="281" spans="1:51" x14ac:dyDescent="0.25">
      <c r="A281" s="95" t="str">
        <f t="shared" si="45"/>
        <v>FA MM Volatilisation</v>
      </c>
      <c r="B281" s="95" t="s">
        <v>962</v>
      </c>
      <c r="C281" s="95" t="s">
        <v>1332</v>
      </c>
      <c r="D281" t="s">
        <v>369</v>
      </c>
      <c r="E281" t="s">
        <v>64</v>
      </c>
      <c r="F281" t="s">
        <v>62</v>
      </c>
      <c r="G281" t="s">
        <v>1164</v>
      </c>
      <c r="H281" t="s">
        <v>1296</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1.188899025036581E-4</v>
      </c>
      <c r="T281" s="22">
        <f t="shared" si="66"/>
        <v>1.189690287837306E-4</v>
      </c>
      <c r="U281" s="22">
        <f t="shared" si="66"/>
        <v>1.205186108228768E-4</v>
      </c>
      <c r="V281" s="22">
        <f t="shared" si="66"/>
        <v>1.2055641166730559E-4</v>
      </c>
      <c r="W281" s="22">
        <f t="shared" si="66"/>
        <v>1.2071810381709918E-4</v>
      </c>
      <c r="X281" s="22">
        <f t="shared" si="66"/>
        <v>1.2095183374420191E-4</v>
      </c>
      <c r="Y281" s="22">
        <f t="shared" si="66"/>
        <v>1.2116896083678348E-4</v>
      </c>
      <c r="Z281" s="22">
        <f t="shared" si="66"/>
        <v>1.2137217342001694E-4</v>
      </c>
      <c r="AA281" s="22">
        <f t="shared" si="66"/>
        <v>1.2156038787143942E-4</v>
      </c>
      <c r="AB281" s="22">
        <f t="shared" si="66"/>
        <v>1.2173530001872475E-4</v>
      </c>
      <c r="AC281" s="22">
        <f t="shared" si="66"/>
        <v>1.2189956310100272E-4</v>
      </c>
      <c r="AD281" s="22">
        <f t="shared" si="66"/>
        <v>1.2205302234453671E-4</v>
      </c>
      <c r="AE281" s="22">
        <f t="shared" si="66"/>
        <v>1.2219813225383718E-4</v>
      </c>
      <c r="AF281" s="22">
        <f t="shared" si="66"/>
        <v>1.2233524409037175E-4</v>
      </c>
      <c r="AG281" s="22">
        <f t="shared" si="66"/>
        <v>1.2246247857835598E-4</v>
      </c>
      <c r="AH281" s="22">
        <f t="shared" si="66"/>
        <v>1.2258099962950754E-4</v>
      </c>
      <c r="AI281" s="22">
        <f t="shared" ref="L281:AW288" si="67">AI1537</f>
        <v>1.226926980528978E-4</v>
      </c>
      <c r="AJ281" s="22">
        <f t="shared" si="67"/>
        <v>1.2000006421083369E-4</v>
      </c>
      <c r="AK281" s="22">
        <f t="shared" si="67"/>
        <v>1.2011041514130369E-4</v>
      </c>
      <c r="AL281" s="22">
        <f t="shared" si="67"/>
        <v>1.2021334415571778E-4</v>
      </c>
      <c r="AM281" s="22">
        <f t="shared" si="67"/>
        <v>1.2030948030331916E-4</v>
      </c>
      <c r="AN281" s="22">
        <f t="shared" si="67"/>
        <v>1.2039958826810335E-4</v>
      </c>
      <c r="AO281" s="22">
        <f t="shared" si="67"/>
        <v>1.2048129784431056E-4</v>
      </c>
      <c r="AP281" s="22">
        <f t="shared" si="67"/>
        <v>1.2055302618273209E-4</v>
      </c>
      <c r="AQ281" s="22">
        <f t="shared" si="67"/>
        <v>1.2061454144456668E-4</v>
      </c>
      <c r="AR281" s="22">
        <f t="shared" si="67"/>
        <v>1.2066404237348151E-4</v>
      </c>
      <c r="AS281" s="22">
        <f t="shared" si="67"/>
        <v>1.206995710531147E-4</v>
      </c>
      <c r="AT281" s="22">
        <f t="shared" si="67"/>
        <v>1.2072090668873017E-4</v>
      </c>
      <c r="AU281" s="22">
        <f t="shared" si="67"/>
        <v>1.2072835361242823E-4</v>
      </c>
      <c r="AV281" s="22">
        <f t="shared" si="67"/>
        <v>1.2072212964886386E-4</v>
      </c>
      <c r="AW281" s="22">
        <f t="shared" si="67"/>
        <v>1.2070039195556491E-4</v>
      </c>
      <c r="AY281" s="79"/>
    </row>
    <row r="282" spans="1:51" x14ac:dyDescent="0.25">
      <c r="A282" s="95" t="str">
        <f t="shared" si="45"/>
        <v>FA MM Volatilisation</v>
      </c>
      <c r="B282" s="95" t="s">
        <v>962</v>
      </c>
      <c r="C282" s="95" t="s">
        <v>1332</v>
      </c>
      <c r="D282" t="s">
        <v>369</v>
      </c>
      <c r="E282" t="s">
        <v>64</v>
      </c>
      <c r="F282" t="s">
        <v>62</v>
      </c>
      <c r="G282" t="s">
        <v>1166</v>
      </c>
      <c r="H282" t="s">
        <v>1297</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8.1588376197320827E-4</v>
      </c>
      <c r="T282" s="22">
        <f t="shared" si="67"/>
        <v>8.1642676727220354E-4</v>
      </c>
      <c r="U282" s="22">
        <f t="shared" si="67"/>
        <v>8.2706079755535391E-4</v>
      </c>
      <c r="V282" s="22">
        <f t="shared" si="67"/>
        <v>8.2732020642447472E-4</v>
      </c>
      <c r="W282" s="22">
        <f t="shared" si="67"/>
        <v>8.2842982125867857E-4</v>
      </c>
      <c r="X282" s="22">
        <f t="shared" si="67"/>
        <v>8.3003379643398353E-4</v>
      </c>
      <c r="Y282" s="22">
        <f t="shared" si="67"/>
        <v>8.3152383440517541E-4</v>
      </c>
      <c r="Z282" s="22">
        <f t="shared" si="67"/>
        <v>8.3291838384459249E-4</v>
      </c>
      <c r="AA282" s="22">
        <f t="shared" si="67"/>
        <v>8.342100083766216E-4</v>
      </c>
      <c r="AB282" s="22">
        <f t="shared" si="67"/>
        <v>8.3541034564443633E-4</v>
      </c>
      <c r="AC282" s="22">
        <f t="shared" si="67"/>
        <v>8.3653760354186898E-4</v>
      </c>
      <c r="AD282" s="22">
        <f t="shared" si="67"/>
        <v>8.3759071993180138E-4</v>
      </c>
      <c r="AE282" s="22">
        <f t="shared" si="67"/>
        <v>8.385865388887226E-4</v>
      </c>
      <c r="AF282" s="22">
        <f t="shared" si="67"/>
        <v>8.3952747094978998E-4</v>
      </c>
      <c r="AG282" s="22">
        <f t="shared" si="67"/>
        <v>8.404006195563853E-4</v>
      </c>
      <c r="AH282" s="22">
        <f t="shared" si="67"/>
        <v>8.4121397207035167E-4</v>
      </c>
      <c r="AI282" s="22">
        <f t="shared" si="67"/>
        <v>8.4198050419766407E-4</v>
      </c>
      <c r="AJ282" s="22">
        <f t="shared" si="67"/>
        <v>8.2350226355303057E-4</v>
      </c>
      <c r="AK282" s="22">
        <f t="shared" si="67"/>
        <v>8.2425954848970833E-4</v>
      </c>
      <c r="AL282" s="22">
        <f t="shared" si="67"/>
        <v>8.2496590041470697E-4</v>
      </c>
      <c r="AM282" s="22">
        <f t="shared" si="67"/>
        <v>8.256256361880137E-4</v>
      </c>
      <c r="AN282" s="22">
        <f t="shared" si="67"/>
        <v>8.2624400346516431E-4</v>
      </c>
      <c r="AO282" s="22">
        <f t="shared" si="67"/>
        <v>8.2680473667312636E-4</v>
      </c>
      <c r="AP282" s="22">
        <f t="shared" si="67"/>
        <v>8.2729697348516047E-4</v>
      </c>
      <c r="AQ282" s="22">
        <f t="shared" si="67"/>
        <v>8.2771912290397116E-4</v>
      </c>
      <c r="AR282" s="22">
        <f t="shared" si="67"/>
        <v>8.2805882378061209E-4</v>
      </c>
      <c r="AS282" s="22">
        <f t="shared" si="67"/>
        <v>8.2830263988430608E-4</v>
      </c>
      <c r="AT282" s="22">
        <f t="shared" si="67"/>
        <v>8.2844905600782401E-4</v>
      </c>
      <c r="AU282" s="22">
        <f t="shared" si="67"/>
        <v>8.2850016063482762E-4</v>
      </c>
      <c r="AV282" s="22">
        <f t="shared" si="67"/>
        <v>8.2845744859031962E-4</v>
      </c>
      <c r="AW282" s="22">
        <f t="shared" si="67"/>
        <v>8.2830827333984093E-4</v>
      </c>
      <c r="AY282" s="79"/>
    </row>
    <row r="283" spans="1:51" x14ac:dyDescent="0.25">
      <c r="A283" s="95" t="str">
        <f t="shared" si="45"/>
        <v>FA MM Volatilisation</v>
      </c>
      <c r="B283" s="95" t="s">
        <v>962</v>
      </c>
      <c r="C283" s="95" t="s">
        <v>1332</v>
      </c>
      <c r="D283" t="s">
        <v>369</v>
      </c>
      <c r="E283" t="s">
        <v>64</v>
      </c>
      <c r="F283" t="s">
        <v>62</v>
      </c>
      <c r="G283" t="s">
        <v>1168</v>
      </c>
      <c r="H283" t="s">
        <v>1298</v>
      </c>
      <c r="I283" t="s">
        <v>139</v>
      </c>
      <c r="J283" t="s">
        <v>287</v>
      </c>
      <c r="K283" s="22">
        <f t="shared" si="65"/>
        <v>1.4486129996083085E-5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1.489070601115726E-5</v>
      </c>
      <c r="R283" s="22">
        <f t="shared" si="67"/>
        <v>1.4988675221399694E-5</v>
      </c>
      <c r="S283" s="22">
        <f t="shared" si="67"/>
        <v>1.4952125307683929E-5</v>
      </c>
      <c r="T283" s="22">
        <f t="shared" si="67"/>
        <v>1.497659485650934E-5</v>
      </c>
      <c r="U283" s="22">
        <f t="shared" si="67"/>
        <v>1.5280249217669806E-5</v>
      </c>
      <c r="V283" s="22">
        <f t="shared" si="67"/>
        <v>1.5293967954982136E-5</v>
      </c>
      <c r="W283" s="22">
        <f t="shared" si="67"/>
        <v>1.5330288500558316E-5</v>
      </c>
      <c r="X283" s="22">
        <f t="shared" si="67"/>
        <v>1.5379307775042966E-5</v>
      </c>
      <c r="Y283" s="22">
        <f t="shared" si="67"/>
        <v>1.5424265287422665E-5</v>
      </c>
      <c r="Z283" s="22">
        <f t="shared" si="67"/>
        <v>1.5465755297522265E-5</v>
      </c>
      <c r="AA283" s="22">
        <f t="shared" si="67"/>
        <v>1.5503650543984476E-5</v>
      </c>
      <c r="AB283" s="22">
        <f t="shared" si="67"/>
        <v>1.5538340165319424E-5</v>
      </c>
      <c r="AC283" s="22">
        <f t="shared" si="67"/>
        <v>1.5570383853796525E-5</v>
      </c>
      <c r="AD283" s="22">
        <f t="shared" si="67"/>
        <v>1.5599807426957594E-5</v>
      </c>
      <c r="AE283" s="22">
        <f t="shared" si="67"/>
        <v>1.5627118939580073E-5</v>
      </c>
      <c r="AF283" s="22">
        <f t="shared" si="67"/>
        <v>1.5652427506297688E-5</v>
      </c>
      <c r="AG283" s="22">
        <f t="shared" si="67"/>
        <v>1.56754241207766E-5</v>
      </c>
      <c r="AH283" s="22">
        <f t="shared" si="67"/>
        <v>1.5696363462061687E-5</v>
      </c>
      <c r="AI283" s="22">
        <f t="shared" si="67"/>
        <v>1.5715630256505464E-5</v>
      </c>
      <c r="AJ283" s="22">
        <f t="shared" si="67"/>
        <v>1.5216731234132435E-5</v>
      </c>
      <c r="AK283" s="22">
        <f t="shared" si="67"/>
        <v>1.5235961154748287E-5</v>
      </c>
      <c r="AL283" s="22">
        <f t="shared" si="67"/>
        <v>1.525346973608994E-5</v>
      </c>
      <c r="AM283" s="22">
        <f t="shared" si="67"/>
        <v>1.5269398678749372E-5</v>
      </c>
      <c r="AN283" s="22">
        <f t="shared" si="67"/>
        <v>1.528391208207959E-5</v>
      </c>
      <c r="AO283" s="22">
        <f t="shared" si="67"/>
        <v>1.5296597939016457E-5</v>
      </c>
      <c r="AP283" s="22">
        <f t="shared" si="67"/>
        <v>1.5307189728189323E-5</v>
      </c>
      <c r="AQ283" s="22">
        <f t="shared" si="67"/>
        <v>1.5315667991874673E-5</v>
      </c>
      <c r="AR283" s="22">
        <f t="shared" si="67"/>
        <v>1.5321726619352006E-5</v>
      </c>
      <c r="AS283" s="22">
        <f t="shared" si="67"/>
        <v>1.5325032079315766E-5</v>
      </c>
      <c r="AT283" s="22">
        <f t="shared" si="67"/>
        <v>1.5325567315367108E-5</v>
      </c>
      <c r="AU283" s="22">
        <f t="shared" si="67"/>
        <v>1.532340963092266E-5</v>
      </c>
      <c r="AV283" s="22">
        <f t="shared" si="67"/>
        <v>1.5318619367085747E-5</v>
      </c>
      <c r="AW283" s="22">
        <f t="shared" si="67"/>
        <v>1.5310883587655619E-5</v>
      </c>
      <c r="AY283" s="79"/>
    </row>
    <row r="284" spans="1:51" x14ac:dyDescent="0.25">
      <c r="A284" s="95" t="str">
        <f t="shared" si="45"/>
        <v>FA MM Volatilisation</v>
      </c>
      <c r="B284" s="95" t="s">
        <v>962</v>
      </c>
      <c r="C284" s="95" t="s">
        <v>1332</v>
      </c>
      <c r="D284" t="s">
        <v>369</v>
      </c>
      <c r="E284" t="s">
        <v>64</v>
      </c>
      <c r="F284" t="s">
        <v>62</v>
      </c>
      <c r="G284" t="s">
        <v>1170</v>
      </c>
      <c r="H284" t="s">
        <v>1299</v>
      </c>
      <c r="I284" t="s">
        <v>139</v>
      </c>
      <c r="J284" t="s">
        <v>287</v>
      </c>
      <c r="K284" s="22">
        <f t="shared" si="65"/>
        <v>1.4738364076719787E-3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1.5149984613639169E-3</v>
      </c>
      <c r="R284" s="22">
        <f t="shared" si="67"/>
        <v>1.5249659674490626E-3</v>
      </c>
      <c r="S284" s="22">
        <f t="shared" si="67"/>
        <v>1.5212473349677769E-3</v>
      </c>
      <c r="T284" s="22">
        <f t="shared" si="67"/>
        <v>1.5237368964964909E-3</v>
      </c>
      <c r="U284" s="22">
        <f t="shared" si="67"/>
        <v>1.5546310589089282E-3</v>
      </c>
      <c r="V284" s="22">
        <f t="shared" si="67"/>
        <v>1.5560268198556864E-3</v>
      </c>
      <c r="W284" s="22">
        <f t="shared" si="67"/>
        <v>1.5597221161446995E-3</v>
      </c>
      <c r="X284" s="22">
        <f t="shared" si="67"/>
        <v>1.5647093964902903E-3</v>
      </c>
      <c r="Y284" s="22">
        <f t="shared" si="67"/>
        <v>1.5692834282407637E-3</v>
      </c>
      <c r="Z284" s="22">
        <f t="shared" si="67"/>
        <v>1.5735046721103132E-3</v>
      </c>
      <c r="AA284" s="22">
        <f t="shared" si="67"/>
        <v>1.5773601803743434E-3</v>
      </c>
      <c r="AB284" s="22">
        <f t="shared" si="67"/>
        <v>1.5808895444560981E-3</v>
      </c>
      <c r="AC284" s="22">
        <f t="shared" si="67"/>
        <v>1.5841497081248222E-3</v>
      </c>
      <c r="AD284" s="22">
        <f t="shared" si="67"/>
        <v>1.5871432980884847E-3</v>
      </c>
      <c r="AE284" s="22">
        <f t="shared" si="67"/>
        <v>1.5899220044553674E-3</v>
      </c>
      <c r="AF284" s="22">
        <f t="shared" si="67"/>
        <v>1.5924969286804358E-3</v>
      </c>
      <c r="AG284" s="22">
        <f t="shared" si="67"/>
        <v>1.5948366320850983E-3</v>
      </c>
      <c r="AH284" s="22">
        <f t="shared" si="67"/>
        <v>1.5969670260237814E-3</v>
      </c>
      <c r="AI284" s="22">
        <f t="shared" si="67"/>
        <v>1.5989272530214718E-3</v>
      </c>
      <c r="AJ284" s="22">
        <f t="shared" si="67"/>
        <v>1.54816866234721E-3</v>
      </c>
      <c r="AK284" s="22">
        <f t="shared" si="67"/>
        <v>1.5501251377569953E-3</v>
      </c>
      <c r="AL284" s="22">
        <f t="shared" si="67"/>
        <v>1.5519064820245804E-3</v>
      </c>
      <c r="AM284" s="22">
        <f t="shared" si="67"/>
        <v>1.5535271119397841E-3</v>
      </c>
      <c r="AN284" s="22">
        <f t="shared" si="67"/>
        <v>1.5550037231694973E-3</v>
      </c>
      <c r="AO284" s="22">
        <f t="shared" si="67"/>
        <v>1.5562943976160978E-3</v>
      </c>
      <c r="AP284" s="22">
        <f t="shared" si="67"/>
        <v>1.5573720190725925E-3</v>
      </c>
      <c r="AQ284" s="22">
        <f t="shared" si="67"/>
        <v>1.5582346078866301E-3</v>
      </c>
      <c r="AR284" s="22">
        <f t="shared" si="67"/>
        <v>1.5588510199828238E-3</v>
      </c>
      <c r="AS284" s="22">
        <f t="shared" si="67"/>
        <v>1.5591873214822584E-3</v>
      </c>
      <c r="AT284" s="22">
        <f t="shared" si="67"/>
        <v>1.5592417770462618E-3</v>
      </c>
      <c r="AU284" s="22">
        <f t="shared" si="67"/>
        <v>1.5590222516180525E-3</v>
      </c>
      <c r="AV284" s="22">
        <f t="shared" si="67"/>
        <v>1.5585348843745505E-3</v>
      </c>
      <c r="AW284" s="22">
        <f t="shared" si="67"/>
        <v>1.5577478368077457E-3</v>
      </c>
      <c r="AY284" s="79"/>
    </row>
    <row r="285" spans="1:51" x14ac:dyDescent="0.25">
      <c r="A285" s="95" t="str">
        <f t="shared" si="45"/>
        <v>FA MM Volatilisation</v>
      </c>
      <c r="B285" s="95" t="s">
        <v>962</v>
      </c>
      <c r="C285" s="95" t="s">
        <v>1332</v>
      </c>
      <c r="D285" t="s">
        <v>369</v>
      </c>
      <c r="E285" t="s">
        <v>64</v>
      </c>
      <c r="F285" t="s">
        <v>62</v>
      </c>
      <c r="G285" t="s">
        <v>1172</v>
      </c>
      <c r="H285" t="s">
        <v>1300</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25">
      <c r="A286" s="95" t="str">
        <f t="shared" si="45"/>
        <v>FA MM Volatilisation</v>
      </c>
      <c r="B286" s="95" t="s">
        <v>962</v>
      </c>
      <c r="C286" s="95" t="s">
        <v>1332</v>
      </c>
      <c r="D286" t="s">
        <v>369</v>
      </c>
      <c r="E286" t="s">
        <v>64</v>
      </c>
      <c r="F286" t="s">
        <v>62</v>
      </c>
      <c r="G286" t="s">
        <v>1174</v>
      </c>
      <c r="H286" t="s">
        <v>1301</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25">
      <c r="A287" s="95" t="str">
        <f t="shared" si="45"/>
        <v>FA MM Volatilisation</v>
      </c>
      <c r="B287" s="95" t="s">
        <v>962</v>
      </c>
      <c r="C287" s="95" t="s">
        <v>1332</v>
      </c>
      <c r="D287" t="s">
        <v>369</v>
      </c>
      <c r="E287" t="s">
        <v>64</v>
      </c>
      <c r="F287" t="s">
        <v>62</v>
      </c>
      <c r="G287" t="s">
        <v>1176</v>
      </c>
      <c r="H287" t="s">
        <v>1302</v>
      </c>
      <c r="I287" t="s">
        <v>139</v>
      </c>
      <c r="J287" t="s">
        <v>287</v>
      </c>
      <c r="K287" s="22">
        <f t="shared" si="65"/>
        <v>0.13075625264316332</v>
      </c>
      <c r="L287" s="22">
        <f t="shared" si="67"/>
        <v>0.13004550543955865</v>
      </c>
      <c r="M287" s="22">
        <f t="shared" si="67"/>
        <v>0.13010384136507711</v>
      </c>
      <c r="N287" s="22">
        <f t="shared" si="67"/>
        <v>0.1289093884029483</v>
      </c>
      <c r="O287" s="22">
        <f t="shared" si="67"/>
        <v>0.12695857121838472</v>
      </c>
      <c r="P287" s="22">
        <f t="shared" si="67"/>
        <v>0.12428257569245393</v>
      </c>
      <c r="Q287" s="22">
        <f t="shared" si="67"/>
        <v>0.12233950618032063</v>
      </c>
      <c r="R287" s="22">
        <f t="shared" si="67"/>
        <v>0.1205683722616282</v>
      </c>
      <c r="S287" s="22">
        <f t="shared" si="67"/>
        <v>0.10847829407061217</v>
      </c>
      <c r="T287" s="22">
        <f t="shared" si="67"/>
        <v>0.1123518575177655</v>
      </c>
      <c r="U287" s="22">
        <f t="shared" si="67"/>
        <v>0.35913477358816853</v>
      </c>
      <c r="V287" s="22">
        <f t="shared" si="67"/>
        <v>0.36011925097262676</v>
      </c>
      <c r="W287" s="22">
        <f t="shared" si="67"/>
        <v>0.36048284734734032</v>
      </c>
      <c r="X287" s="22">
        <f t="shared" si="67"/>
        <v>0.36024196834078215</v>
      </c>
      <c r="Y287" s="22">
        <f t="shared" si="67"/>
        <v>0.35943295375101947</v>
      </c>
      <c r="Z287" s="22">
        <f t="shared" si="67"/>
        <v>0.35804837226792258</v>
      </c>
      <c r="AA287" s="22">
        <f t="shared" si="67"/>
        <v>0.35608623415272644</v>
      </c>
      <c r="AB287" s="22">
        <f t="shared" si="67"/>
        <v>0.35354672339575033</v>
      </c>
      <c r="AC287" s="22">
        <f t="shared" si="67"/>
        <v>0.350433097152205</v>
      </c>
      <c r="AD287" s="22">
        <f t="shared" si="67"/>
        <v>0.34675336928081568</v>
      </c>
      <c r="AE287" s="22">
        <f t="shared" si="67"/>
        <v>0.34251767477610762</v>
      </c>
      <c r="AF287" s="22">
        <f t="shared" si="67"/>
        <v>0.33774033524299119</v>
      </c>
      <c r="AG287" s="22">
        <f t="shared" si="67"/>
        <v>0.33243970303339465</v>
      </c>
      <c r="AH287" s="22">
        <f t="shared" si="67"/>
        <v>0.32663565742792322</v>
      </c>
      <c r="AI287" s="22">
        <f t="shared" si="67"/>
        <v>0.32035050647820129</v>
      </c>
      <c r="AJ287" s="22">
        <f t="shared" si="67"/>
        <v>-2.9850992029554574E-2</v>
      </c>
      <c r="AK287" s="22">
        <f t="shared" si="67"/>
        <v>-2.9527827789556205E-2</v>
      </c>
      <c r="AL287" s="22">
        <f t="shared" si="67"/>
        <v>-2.9203518600220937E-2</v>
      </c>
      <c r="AM287" s="22">
        <f t="shared" si="67"/>
        <v>-2.8878400916482732E-2</v>
      </c>
      <c r="AN287" s="22">
        <f t="shared" si="67"/>
        <v>-2.8552846585961845E-2</v>
      </c>
      <c r="AO287" s="22">
        <f t="shared" si="67"/>
        <v>-2.8225992627032188E-2</v>
      </c>
      <c r="AP287" s="22">
        <f t="shared" si="67"/>
        <v>-2.7897329553488923E-2</v>
      </c>
      <c r="AQ287" s="22">
        <f t="shared" si="67"/>
        <v>-2.756688911429131E-2</v>
      </c>
      <c r="AR287" s="22">
        <f t="shared" si="67"/>
        <v>-2.7234123713642547E-2</v>
      </c>
      <c r="AS287" s="22">
        <f t="shared" si="67"/>
        <v>-2.6898465289903917E-2</v>
      </c>
      <c r="AT287" s="22">
        <f t="shared" si="67"/>
        <v>-2.6560009108900318E-2</v>
      </c>
      <c r="AU287" s="22">
        <f t="shared" si="67"/>
        <v>-2.6219036811035483E-2</v>
      </c>
      <c r="AV287" s="22">
        <f t="shared" si="67"/>
        <v>-2.5875789307707536E-2</v>
      </c>
      <c r="AW287" s="22">
        <f t="shared" si="67"/>
        <v>-2.5529791390037318E-2</v>
      </c>
      <c r="AY287" s="79"/>
    </row>
    <row r="288" spans="1:51" x14ac:dyDescent="0.25">
      <c r="A288" s="95" t="str">
        <f t="shared" si="45"/>
        <v>FA MM Volatilisation</v>
      </c>
      <c r="B288" s="95" t="s">
        <v>962</v>
      </c>
      <c r="C288" s="95" t="s">
        <v>1332</v>
      </c>
      <c r="D288" t="s">
        <v>369</v>
      </c>
      <c r="E288" t="s">
        <v>64</v>
      </c>
      <c r="F288" t="s">
        <v>62</v>
      </c>
      <c r="G288" t="s">
        <v>1178</v>
      </c>
      <c r="H288" t="s">
        <v>1303</v>
      </c>
      <c r="I288" t="s">
        <v>139</v>
      </c>
      <c r="J288" t="s">
        <v>287</v>
      </c>
      <c r="K288" s="22">
        <f t="shared" si="65"/>
        <v>1.2724633182830876E-2</v>
      </c>
      <c r="L288" s="22">
        <f t="shared" si="67"/>
        <v>1.2655466337890211E-2</v>
      </c>
      <c r="M288" s="22">
        <f t="shared" si="67"/>
        <v>1.2661143337946407E-2</v>
      </c>
      <c r="N288" s="22">
        <f t="shared" si="67"/>
        <v>1.2544904339887072E-2</v>
      </c>
      <c r="O288" s="22">
        <f t="shared" si="67"/>
        <v>1.2355059245839611E-2</v>
      </c>
      <c r="P288" s="22">
        <f t="shared" si="67"/>
        <v>1.2094642930917438E-2</v>
      </c>
      <c r="Q288" s="22">
        <f t="shared" si="67"/>
        <v>1.1905551806853844E-2</v>
      </c>
      <c r="R288" s="22">
        <f t="shared" si="67"/>
        <v>1.1733192711380723E-2</v>
      </c>
      <c r="S288" s="22">
        <f t="shared" si="67"/>
        <v>1.0556638573260382E-2</v>
      </c>
      <c r="T288" s="22">
        <f t="shared" si="67"/>
        <v>1.0933597020593381E-2</v>
      </c>
      <c r="U288" s="22">
        <f t="shared" si="67"/>
        <v>3.4949443447111525E-2</v>
      </c>
      <c r="V288" s="22">
        <f t="shared" si="67"/>
        <v>3.504524852978097E-2</v>
      </c>
      <c r="W288" s="22">
        <f t="shared" si="67"/>
        <v>3.5080632156959869E-2</v>
      </c>
      <c r="X288" s="22">
        <f t="shared" ref="L288:AW295" si="68">X1544</f>
        <v>3.5057190853481544E-2</v>
      </c>
      <c r="Y288" s="22">
        <f t="shared" si="68"/>
        <v>3.4978461051378834E-2</v>
      </c>
      <c r="Z288" s="22">
        <f t="shared" si="68"/>
        <v>3.484371956767917E-2</v>
      </c>
      <c r="AA288" s="22">
        <f t="shared" si="68"/>
        <v>3.465277276960857E-2</v>
      </c>
      <c r="AB288" s="22">
        <f t="shared" si="68"/>
        <v>3.4405638562309424E-2</v>
      </c>
      <c r="AC288" s="22">
        <f t="shared" si="68"/>
        <v>3.4102633918044564E-2</v>
      </c>
      <c r="AD288" s="22">
        <f t="shared" si="68"/>
        <v>3.3744538710897186E-2</v>
      </c>
      <c r="AE288" s="22">
        <f t="shared" si="68"/>
        <v>3.3332339234715881E-2</v>
      </c>
      <c r="AF288" s="22">
        <f t="shared" si="68"/>
        <v>3.2867429206171077E-2</v>
      </c>
      <c r="AG288" s="22">
        <f t="shared" si="68"/>
        <v>3.2351594596806102E-2</v>
      </c>
      <c r="AH288" s="22">
        <f t="shared" si="68"/>
        <v>3.1786769972261424E-2</v>
      </c>
      <c r="AI288" s="22">
        <f t="shared" si="68"/>
        <v>3.117512625567229E-2</v>
      </c>
      <c r="AJ288" s="22">
        <f t="shared" si="68"/>
        <v>-2.9049694836107746E-3</v>
      </c>
      <c r="AK288" s="22">
        <f t="shared" si="68"/>
        <v>-2.8735205369740911E-3</v>
      </c>
      <c r="AL288" s="22">
        <f t="shared" si="68"/>
        <v>-2.8419601688181263E-3</v>
      </c>
      <c r="AM288" s="22">
        <f t="shared" si="68"/>
        <v>-2.8103211214823929E-3</v>
      </c>
      <c r="AN288" s="22">
        <f t="shared" si="68"/>
        <v>-2.7786395815696092E-3</v>
      </c>
      <c r="AO288" s="22">
        <f t="shared" si="68"/>
        <v>-2.7468315674390254E-3</v>
      </c>
      <c r="AP288" s="22">
        <f t="shared" si="68"/>
        <v>-2.714847498095948E-3</v>
      </c>
      <c r="AQ288" s="22">
        <f t="shared" si="68"/>
        <v>-2.6826904632118271E-3</v>
      </c>
      <c r="AR288" s="22">
        <f t="shared" si="68"/>
        <v>-2.6503071731312461E-3</v>
      </c>
      <c r="AS288" s="22">
        <f t="shared" si="68"/>
        <v>-2.61764234655154E-3</v>
      </c>
      <c r="AT288" s="22">
        <f t="shared" si="68"/>
        <v>-2.5847052543309036E-3</v>
      </c>
      <c r="AU288" s="22">
        <f t="shared" si="68"/>
        <v>-2.5515233044957585E-3</v>
      </c>
      <c r="AV288" s="22">
        <f t="shared" si="68"/>
        <v>-2.5181199415017898E-3</v>
      </c>
      <c r="AW288" s="22">
        <f t="shared" si="68"/>
        <v>-2.4844489200754436E-3</v>
      </c>
      <c r="AY288" s="79"/>
    </row>
    <row r="289" spans="1:51" x14ac:dyDescent="0.25">
      <c r="A289" s="95" t="str">
        <f t="shared" si="45"/>
        <v>FA MM Volatilisation</v>
      </c>
      <c r="B289" s="95" t="s">
        <v>962</v>
      </c>
      <c r="C289" s="95" t="s">
        <v>1332</v>
      </c>
      <c r="D289" t="s">
        <v>369</v>
      </c>
      <c r="E289" t="s">
        <v>64</v>
      </c>
      <c r="F289" t="s">
        <v>62</v>
      </c>
      <c r="G289" t="s">
        <v>1180</v>
      </c>
      <c r="H289" t="s">
        <v>1304</v>
      </c>
      <c r="I289" t="s">
        <v>139</v>
      </c>
      <c r="J289" t="s">
        <v>287</v>
      </c>
      <c r="K289" s="22">
        <f t="shared" si="65"/>
        <v>6.4453339767617121E-2</v>
      </c>
      <c r="L289" s="22">
        <f t="shared" si="68"/>
        <v>6.5763803942104557E-2</v>
      </c>
      <c r="M289" s="22">
        <f t="shared" si="68"/>
        <v>6.7295612361813625E-2</v>
      </c>
      <c r="N289" s="22">
        <f t="shared" si="68"/>
        <v>6.8471619369899747E-2</v>
      </c>
      <c r="O289" s="22">
        <f t="shared" si="68"/>
        <v>6.94156577655035E-2</v>
      </c>
      <c r="P289" s="22">
        <f t="shared" si="68"/>
        <v>7.0122113289878357E-2</v>
      </c>
      <c r="Q289" s="22">
        <f t="shared" si="68"/>
        <v>7.1027984276732931E-2</v>
      </c>
      <c r="R289" s="22">
        <f t="shared" si="68"/>
        <v>7.1969839340941866E-2</v>
      </c>
      <c r="S289" s="22">
        <f t="shared" si="68"/>
        <v>6.9132641817907584E-2</v>
      </c>
      <c r="T289" s="22">
        <f t="shared" si="68"/>
        <v>7.1668538235416565E-2</v>
      </c>
      <c r="U289" s="22">
        <f t="shared" si="68"/>
        <v>0.15927878056001546</v>
      </c>
      <c r="V289" s="22">
        <f t="shared" si="68"/>
        <v>0.16278043280676852</v>
      </c>
      <c r="W289" s="22">
        <f t="shared" si="68"/>
        <v>0.1661384841502746</v>
      </c>
      <c r="X289" s="22">
        <f t="shared" si="68"/>
        <v>0.16932327786154089</v>
      </c>
      <c r="Y289" s="22">
        <f t="shared" si="68"/>
        <v>0.17229459764803176</v>
      </c>
      <c r="Z289" s="22">
        <f t="shared" si="68"/>
        <v>0.17503945749810612</v>
      </c>
      <c r="AA289" s="22">
        <f t="shared" si="68"/>
        <v>0.17754464171079537</v>
      </c>
      <c r="AB289" s="22">
        <f t="shared" si="68"/>
        <v>0.17979875003476928</v>
      </c>
      <c r="AC289" s="22">
        <f t="shared" si="68"/>
        <v>0.18179177836428806</v>
      </c>
      <c r="AD289" s="22">
        <f t="shared" si="68"/>
        <v>0.18351408832752805</v>
      </c>
      <c r="AE289" s="22">
        <f t="shared" si="68"/>
        <v>0.18495811914653704</v>
      </c>
      <c r="AF289" s="22">
        <f t="shared" si="68"/>
        <v>0.18611704996451123</v>
      </c>
      <c r="AG289" s="22">
        <f t="shared" si="68"/>
        <v>0.18698481434150752</v>
      </c>
      <c r="AH289" s="22">
        <f t="shared" si="68"/>
        <v>0.18755776005425462</v>
      </c>
      <c r="AI289" s="22">
        <f t="shared" si="68"/>
        <v>0.18783399692655736</v>
      </c>
      <c r="AJ289" s="22">
        <f t="shared" si="68"/>
        <v>2.4486671101770791E-2</v>
      </c>
      <c r="AK289" s="22">
        <f t="shared" si="68"/>
        <v>2.4666387221284058E-2</v>
      </c>
      <c r="AL289" s="22">
        <f t="shared" si="68"/>
        <v>2.4841648409900843E-2</v>
      </c>
      <c r="AM289" s="22">
        <f t="shared" si="68"/>
        <v>2.5012718687706617E-2</v>
      </c>
      <c r="AN289" s="22">
        <f t="shared" si="68"/>
        <v>2.5179902406593305E-2</v>
      </c>
      <c r="AO289" s="22">
        <f t="shared" si="68"/>
        <v>2.5342514084649829E-2</v>
      </c>
      <c r="AP289" s="22">
        <f t="shared" si="68"/>
        <v>2.5500102306234843E-2</v>
      </c>
      <c r="AQ289" s="22">
        <f t="shared" si="68"/>
        <v>2.5652633826306989E-2</v>
      </c>
      <c r="AR289" s="22">
        <f t="shared" si="68"/>
        <v>2.5799570928013445E-2</v>
      </c>
      <c r="AS289" s="22">
        <f t="shared" si="68"/>
        <v>2.5940314994938186E-2</v>
      </c>
      <c r="AT289" s="22">
        <f t="shared" si="68"/>
        <v>2.6074813676088864E-2</v>
      </c>
      <c r="AU289" s="22">
        <f t="shared" si="68"/>
        <v>2.6203180413111957E-2</v>
      </c>
      <c r="AV289" s="22">
        <f t="shared" si="68"/>
        <v>2.6325499899042631E-2</v>
      </c>
      <c r="AW289" s="22">
        <f t="shared" si="68"/>
        <v>2.6441188397219272E-2</v>
      </c>
      <c r="AY289" s="79"/>
    </row>
    <row r="290" spans="1:51" x14ac:dyDescent="0.25">
      <c r="A290" s="95" t="str">
        <f t="shared" si="45"/>
        <v>FA MM Volatilisation</v>
      </c>
      <c r="B290" s="95" t="s">
        <v>962</v>
      </c>
      <c r="C290" s="95" t="s">
        <v>1332</v>
      </c>
      <c r="D290" t="s">
        <v>369</v>
      </c>
      <c r="E290" t="s">
        <v>64</v>
      </c>
      <c r="F290" t="s">
        <v>62</v>
      </c>
      <c r="G290" t="s">
        <v>1182</v>
      </c>
      <c r="H290" t="s">
        <v>1305</v>
      </c>
      <c r="I290" t="s">
        <v>139</v>
      </c>
      <c r="J290" t="s">
        <v>287</v>
      </c>
      <c r="K290" s="22">
        <f t="shared" si="65"/>
        <v>0.31034319165291735</v>
      </c>
      <c r="L290" s="22">
        <f t="shared" si="68"/>
        <v>0.31442985679016994</v>
      </c>
      <c r="M290" s="22">
        <f t="shared" si="68"/>
        <v>0.32099421325528482</v>
      </c>
      <c r="N290" s="22">
        <f t="shared" si="68"/>
        <v>0.32287903178152921</v>
      </c>
      <c r="O290" s="22">
        <f t="shared" si="68"/>
        <v>0.32172327535887091</v>
      </c>
      <c r="P290" s="22">
        <f t="shared" si="68"/>
        <v>0.31753924052538912</v>
      </c>
      <c r="Q290" s="22">
        <f t="shared" si="68"/>
        <v>0.31577785743754255</v>
      </c>
      <c r="R290" s="22">
        <f t="shared" si="68"/>
        <v>0.31441607582114939</v>
      </c>
      <c r="S290" s="22">
        <f t="shared" si="68"/>
        <v>0.27420619396536416</v>
      </c>
      <c r="T290" s="22">
        <f t="shared" si="68"/>
        <v>0.29495818532939488</v>
      </c>
      <c r="U290" s="22">
        <f t="shared" si="68"/>
        <v>1.2825520746937493</v>
      </c>
      <c r="V290" s="22">
        <f t="shared" si="68"/>
        <v>1.3055461044676304</v>
      </c>
      <c r="W290" s="22">
        <f t="shared" si="68"/>
        <v>1.3259738285316456</v>
      </c>
      <c r="X290" s="22">
        <f t="shared" si="68"/>
        <v>1.3439224713343889</v>
      </c>
      <c r="Y290" s="22">
        <f t="shared" si="68"/>
        <v>1.3596359578831905</v>
      </c>
      <c r="Z290" s="22">
        <f t="shared" si="68"/>
        <v>1.3729964225138076</v>
      </c>
      <c r="AA290" s="22">
        <f t="shared" si="68"/>
        <v>1.3839133762561158</v>
      </c>
      <c r="AB290" s="22">
        <f t="shared" si="68"/>
        <v>1.392297876830487</v>
      </c>
      <c r="AC290" s="22">
        <f t="shared" si="68"/>
        <v>1.3980705991762232</v>
      </c>
      <c r="AD290" s="22">
        <f t="shared" si="68"/>
        <v>1.4011774518837516</v>
      </c>
      <c r="AE290" s="22">
        <f t="shared" si="68"/>
        <v>1.4015682854114344</v>
      </c>
      <c r="AF290" s="22">
        <f t="shared" si="68"/>
        <v>1.3992160776881843</v>
      </c>
      <c r="AG290" s="22">
        <f t="shared" si="68"/>
        <v>1.3941175452078094</v>
      </c>
      <c r="AH290" s="22">
        <f t="shared" si="68"/>
        <v>1.3862722906542229</v>
      </c>
      <c r="AI290" s="22">
        <f t="shared" si="68"/>
        <v>1.3756920657497529</v>
      </c>
      <c r="AJ290" s="22">
        <f t="shared" si="68"/>
        <v>-0.29376675967597721</v>
      </c>
      <c r="AK290" s="22">
        <f t="shared" si="68"/>
        <v>-0.29418248669382474</v>
      </c>
      <c r="AL290" s="22">
        <f t="shared" si="68"/>
        <v>-0.29455892044172599</v>
      </c>
      <c r="AM290" s="22">
        <f t="shared" si="68"/>
        <v>-0.29489926202307742</v>
      </c>
      <c r="AN290" s="22">
        <f t="shared" si="68"/>
        <v>-0.2952071711728716</v>
      </c>
      <c r="AO290" s="22">
        <f t="shared" si="68"/>
        <v>-0.29547405449445624</v>
      </c>
      <c r="AP290" s="22">
        <f t="shared" si="68"/>
        <v>-0.29569441698810944</v>
      </c>
      <c r="AQ290" s="22">
        <f t="shared" si="68"/>
        <v>-0.29586800918156786</v>
      </c>
      <c r="AR290" s="22">
        <f t="shared" si="68"/>
        <v>-0.29598849617700645</v>
      </c>
      <c r="AS290" s="22">
        <f t="shared" si="68"/>
        <v>-0.29604896826052718</v>
      </c>
      <c r="AT290" s="22">
        <f t="shared" si="68"/>
        <v>-0.29604922742667927</v>
      </c>
      <c r="AU290" s="22">
        <f t="shared" si="68"/>
        <v>-0.29599106772821226</v>
      </c>
      <c r="AV290" s="22">
        <f t="shared" si="68"/>
        <v>-0.29587591492784127</v>
      </c>
      <c r="AW290" s="22">
        <f t="shared" si="68"/>
        <v>-0.29569729144234697</v>
      </c>
      <c r="AY290" s="79"/>
    </row>
    <row r="291" spans="1:51" x14ac:dyDescent="0.25">
      <c r="A291" s="95" t="str">
        <f t="shared" si="45"/>
        <v>FA MM Leaching</v>
      </c>
      <c r="B291" s="95" t="s">
        <v>962</v>
      </c>
      <c r="C291" s="95" t="s">
        <v>1333</v>
      </c>
      <c r="D291" t="s">
        <v>369</v>
      </c>
      <c r="E291" t="s">
        <v>64</v>
      </c>
      <c r="F291" t="s">
        <v>63</v>
      </c>
      <c r="G291" t="s">
        <v>1152</v>
      </c>
      <c r="H291" t="s">
        <v>1306</v>
      </c>
      <c r="I291" t="s">
        <v>139</v>
      </c>
      <c r="J291" t="s">
        <v>287</v>
      </c>
      <c r="K291" s="22">
        <f t="shared" si="65"/>
        <v>8.9211118607918846E-2</v>
      </c>
      <c r="L291" s="22">
        <f t="shared" si="68"/>
        <v>8.9709854381943815E-2</v>
      </c>
      <c r="M291" s="22">
        <f t="shared" si="68"/>
        <v>9.0417475033143083E-2</v>
      </c>
      <c r="N291" s="22">
        <f t="shared" si="68"/>
        <v>9.0872196678668984E-2</v>
      </c>
      <c r="O291" s="22">
        <f t="shared" si="68"/>
        <v>9.1174361291842948E-2</v>
      </c>
      <c r="P291" s="22">
        <f t="shared" si="68"/>
        <v>9.1320994898161756E-2</v>
      </c>
      <c r="Q291" s="22">
        <f t="shared" si="68"/>
        <v>9.1644963105957017E-2</v>
      </c>
      <c r="R291" s="22">
        <f t="shared" si="68"/>
        <v>9.2016609055475665E-2</v>
      </c>
      <c r="S291" s="22">
        <f t="shared" si="68"/>
        <v>8.940199339516991E-2</v>
      </c>
      <c r="T291" s="22">
        <f t="shared" si="68"/>
        <v>9.0940281304058526E-2</v>
      </c>
      <c r="U291" s="22">
        <f t="shared" si="68"/>
        <v>0.1564700266780468</v>
      </c>
      <c r="V291" s="22">
        <f t="shared" si="68"/>
        <v>0.15835619981688001</v>
      </c>
      <c r="W291" s="22">
        <f t="shared" si="68"/>
        <v>0.16015964078695746</v>
      </c>
      <c r="X291" s="22">
        <f t="shared" si="68"/>
        <v>0.161849673455432</v>
      </c>
      <c r="Y291" s="22">
        <f t="shared" si="68"/>
        <v>0.16338116510403111</v>
      </c>
      <c r="Z291" s="22">
        <f t="shared" si="68"/>
        <v>0.16474696363228722</v>
      </c>
      <c r="AA291" s="22">
        <f t="shared" si="68"/>
        <v>0.16593911254285348</v>
      </c>
      <c r="AB291" s="22">
        <f t="shared" si="68"/>
        <v>0.16695158994132034</v>
      </c>
      <c r="AC291" s="22">
        <f t="shared" si="68"/>
        <v>0.16777962003810495</v>
      </c>
      <c r="AD291" s="22">
        <f t="shared" si="68"/>
        <v>0.16841818240508855</v>
      </c>
      <c r="AE291" s="22">
        <f t="shared" si="68"/>
        <v>0.16886427150805067</v>
      </c>
      <c r="AF291" s="22">
        <f t="shared" si="68"/>
        <v>0.1691150043732032</v>
      </c>
      <c r="AG291" s="22">
        <f t="shared" si="68"/>
        <v>0.16916759569059056</v>
      </c>
      <c r="AH291" s="22">
        <f t="shared" si="68"/>
        <v>0.16902153680910736</v>
      </c>
      <c r="AI291" s="22">
        <f t="shared" si="68"/>
        <v>0.16867765925493905</v>
      </c>
      <c r="AJ291" s="22">
        <f t="shared" si="68"/>
        <v>5.3366694545987768E-2</v>
      </c>
      <c r="AK291" s="22">
        <f t="shared" si="68"/>
        <v>5.3405651337415067E-2</v>
      </c>
      <c r="AL291" s="22">
        <f t="shared" si="68"/>
        <v>5.344180376180914E-2</v>
      </c>
      <c r="AM291" s="22">
        <f t="shared" si="68"/>
        <v>5.3475396377869022E-2</v>
      </c>
      <c r="AN291" s="22">
        <f t="shared" si="68"/>
        <v>5.3506730430657977E-2</v>
      </c>
      <c r="AO291" s="22">
        <f t="shared" si="68"/>
        <v>5.353482249647553E-2</v>
      </c>
      <c r="AP291" s="22">
        <f t="shared" si="68"/>
        <v>5.3559012168450083E-2</v>
      </c>
      <c r="AQ291" s="22">
        <f t="shared" si="68"/>
        <v>5.3579193542556233E-2</v>
      </c>
      <c r="AR291" s="22">
        <f t="shared" si="68"/>
        <v>5.3594617293935103E-2</v>
      </c>
      <c r="AS291" s="22">
        <f t="shared" si="68"/>
        <v>5.3604469890097345E-2</v>
      </c>
      <c r="AT291" s="22">
        <f t="shared" si="68"/>
        <v>5.3608650848433942E-2</v>
      </c>
      <c r="AU291" s="22">
        <f t="shared" si="68"/>
        <v>5.3607275721283966E-2</v>
      </c>
      <c r="AV291" s="22">
        <f t="shared" si="68"/>
        <v>5.3600425093073278E-2</v>
      </c>
      <c r="AW291" s="22">
        <f t="shared" si="68"/>
        <v>5.3587333792896791E-2</v>
      </c>
      <c r="AY291" s="79"/>
    </row>
    <row r="292" spans="1:51" x14ac:dyDescent="0.25">
      <c r="A292" s="95" t="str">
        <f t="shared" si="45"/>
        <v>FA MM Leaching</v>
      </c>
      <c r="B292" s="95" t="s">
        <v>962</v>
      </c>
      <c r="C292" s="95" t="s">
        <v>1333</v>
      </c>
      <c r="D292" t="s">
        <v>369</v>
      </c>
      <c r="E292" t="s">
        <v>64</v>
      </c>
      <c r="F292" t="s">
        <v>63</v>
      </c>
      <c r="G292" t="s">
        <v>1154</v>
      </c>
      <c r="H292" t="s">
        <v>1307</v>
      </c>
      <c r="I292" t="s">
        <v>139</v>
      </c>
      <c r="J292" t="s">
        <v>287</v>
      </c>
      <c r="K292" s="22">
        <f t="shared" si="65"/>
        <v>2.6939494531157477E-2</v>
      </c>
      <c r="L292" s="22">
        <f t="shared" si="68"/>
        <v>2.7090100081973278E-2</v>
      </c>
      <c r="M292" s="22">
        <f t="shared" si="68"/>
        <v>2.730378356628085E-2</v>
      </c>
      <c r="N292" s="22">
        <f t="shared" si="68"/>
        <v>2.7441097966929517E-2</v>
      </c>
      <c r="O292" s="22">
        <f t="shared" si="68"/>
        <v>2.7532344014183842E-2</v>
      </c>
      <c r="P292" s="22">
        <f t="shared" si="68"/>
        <v>2.757662364319367E-2</v>
      </c>
      <c r="Q292" s="22">
        <f t="shared" si="68"/>
        <v>2.7674453822865853E-2</v>
      </c>
      <c r="R292" s="22">
        <f t="shared" si="68"/>
        <v>2.7786681470952937E-2</v>
      </c>
      <c r="S292" s="22">
        <f t="shared" si="68"/>
        <v>2.699713387440892E-2</v>
      </c>
      <c r="T292" s="22">
        <f t="shared" si="68"/>
        <v>2.7461657796488435E-2</v>
      </c>
      <c r="U292" s="22">
        <f t="shared" si="68"/>
        <v>4.7249978408062936E-2</v>
      </c>
      <c r="V292" s="22">
        <f t="shared" si="68"/>
        <v>4.7819554843728261E-2</v>
      </c>
      <c r="W292" s="22">
        <f t="shared" si="68"/>
        <v>4.8364148263346618E-2</v>
      </c>
      <c r="X292" s="22">
        <f t="shared" si="68"/>
        <v>4.8874495253052513E-2</v>
      </c>
      <c r="Y292" s="22">
        <f t="shared" si="68"/>
        <v>4.9336966876945901E-2</v>
      </c>
      <c r="Z292" s="22">
        <f t="shared" si="68"/>
        <v>4.9749403382134544E-2</v>
      </c>
      <c r="AA292" s="22">
        <f t="shared" si="68"/>
        <v>5.0109402108276212E-2</v>
      </c>
      <c r="AB292" s="22">
        <f t="shared" si="68"/>
        <v>5.0415144596034883E-2</v>
      </c>
      <c r="AC292" s="22">
        <f t="shared" si="68"/>
        <v>5.0665188678118429E-2</v>
      </c>
      <c r="AD292" s="22">
        <f t="shared" si="68"/>
        <v>5.0858018312603365E-2</v>
      </c>
      <c r="AE292" s="22">
        <f t="shared" si="68"/>
        <v>5.0992725904405595E-2</v>
      </c>
      <c r="AF292" s="22">
        <f t="shared" si="68"/>
        <v>5.1068440868582254E-2</v>
      </c>
      <c r="AG292" s="22">
        <f t="shared" si="68"/>
        <v>5.1084322112190127E-2</v>
      </c>
      <c r="AH292" s="22">
        <f t="shared" si="68"/>
        <v>5.104021603549988E-2</v>
      </c>
      <c r="AI292" s="22">
        <f t="shared" si="68"/>
        <v>5.0936373738323673E-2</v>
      </c>
      <c r="AJ292" s="22">
        <f t="shared" si="68"/>
        <v>1.6115387838438942E-2</v>
      </c>
      <c r="AK292" s="22">
        <f t="shared" si="68"/>
        <v>1.6127151801115156E-2</v>
      </c>
      <c r="AL292" s="22">
        <f t="shared" si="68"/>
        <v>1.6138068916094209E-2</v>
      </c>
      <c r="AM292" s="22">
        <f t="shared" si="68"/>
        <v>1.6148213033898736E-2</v>
      </c>
      <c r="AN292" s="22">
        <f t="shared" si="68"/>
        <v>1.6157675122895256E-2</v>
      </c>
      <c r="AO292" s="22">
        <f t="shared" si="68"/>
        <v>1.6166158214075712E-2</v>
      </c>
      <c r="AP292" s="22">
        <f t="shared" si="68"/>
        <v>1.6173462881319406E-2</v>
      </c>
      <c r="AQ292" s="22">
        <f t="shared" si="68"/>
        <v>1.617955714429747E-2</v>
      </c>
      <c r="AR292" s="22">
        <f t="shared" si="68"/>
        <v>1.6184214725912905E-2</v>
      </c>
      <c r="AS292" s="22">
        <f t="shared" si="68"/>
        <v>1.618718995999328E-2</v>
      </c>
      <c r="AT292" s="22">
        <f t="shared" si="68"/>
        <v>1.618845250333991E-2</v>
      </c>
      <c r="AU292" s="22">
        <f t="shared" si="68"/>
        <v>1.6188037249827626E-2</v>
      </c>
      <c r="AV292" s="22">
        <f t="shared" si="68"/>
        <v>1.6185968533908621E-2</v>
      </c>
      <c r="AW292" s="22">
        <f t="shared" si="68"/>
        <v>1.6182015293381945E-2</v>
      </c>
      <c r="AY292" s="79"/>
    </row>
    <row r="293" spans="1:51" x14ac:dyDescent="0.25">
      <c r="A293" s="95" t="str">
        <f t="shared" si="45"/>
        <v>FA MM Leaching</v>
      </c>
      <c r="B293" s="95" t="s">
        <v>962</v>
      </c>
      <c r="C293" s="95" t="s">
        <v>1333</v>
      </c>
      <c r="D293" t="s">
        <v>369</v>
      </c>
      <c r="E293" t="s">
        <v>64</v>
      </c>
      <c r="F293" t="s">
        <v>63</v>
      </c>
      <c r="G293" t="s">
        <v>1156</v>
      </c>
      <c r="H293" t="s">
        <v>1308</v>
      </c>
      <c r="I293" t="s">
        <v>139</v>
      </c>
      <c r="J293" t="s">
        <v>287</v>
      </c>
      <c r="K293" s="22">
        <f t="shared" si="65"/>
        <v>1.4483668498503175E-3</v>
      </c>
      <c r="L293" s="22">
        <f t="shared" si="68"/>
        <v>1.4564639612104711E-3</v>
      </c>
      <c r="M293" s="22">
        <f t="shared" si="68"/>
        <v>1.4679523755410987E-3</v>
      </c>
      <c r="N293" s="22">
        <f t="shared" si="68"/>
        <v>1.4753349055168039E-3</v>
      </c>
      <c r="O293" s="22">
        <f t="shared" si="68"/>
        <v>1.4802406304505133E-3</v>
      </c>
      <c r="P293" s="22">
        <f t="shared" si="68"/>
        <v>1.4826212670547866E-3</v>
      </c>
      <c r="Q293" s="22">
        <f t="shared" si="68"/>
        <v>1.4878809792957942E-3</v>
      </c>
      <c r="R293" s="22">
        <f t="shared" si="68"/>
        <v>1.4939147526814829E-3</v>
      </c>
      <c r="S293" s="22">
        <f t="shared" si="68"/>
        <v>1.4514657540972396E-3</v>
      </c>
      <c r="T293" s="22">
        <f t="shared" si="68"/>
        <v>1.476440277985364E-3</v>
      </c>
      <c r="U293" s="22">
        <f t="shared" si="68"/>
        <v>2.5403335724518226E-3</v>
      </c>
      <c r="V293" s="22">
        <f t="shared" si="68"/>
        <v>2.5709561079607732E-3</v>
      </c>
      <c r="W293" s="22">
        <f t="shared" si="68"/>
        <v>2.6002354641383586E-3</v>
      </c>
      <c r="X293" s="22">
        <f t="shared" si="68"/>
        <v>2.6276736055985106E-3</v>
      </c>
      <c r="Y293" s="22">
        <f t="shared" si="68"/>
        <v>2.6525377903466292E-3</v>
      </c>
      <c r="Z293" s="22">
        <f t="shared" si="68"/>
        <v>2.6747119020803316E-3</v>
      </c>
      <c r="AA293" s="22">
        <f t="shared" si="68"/>
        <v>2.6940667648944388E-3</v>
      </c>
      <c r="AB293" s="22">
        <f t="shared" si="68"/>
        <v>2.7105046116902751E-3</v>
      </c>
      <c r="AC293" s="22">
        <f t="shared" si="68"/>
        <v>2.7239479062209941E-3</v>
      </c>
      <c r="AD293" s="22">
        <f t="shared" si="68"/>
        <v>2.7343151404663774E-3</v>
      </c>
      <c r="AE293" s="22">
        <f t="shared" si="68"/>
        <v>2.741557518758363E-3</v>
      </c>
      <c r="AF293" s="22">
        <f t="shared" si="68"/>
        <v>2.7456282352309475E-3</v>
      </c>
      <c r="AG293" s="22">
        <f t="shared" si="68"/>
        <v>2.7464820696170918E-3</v>
      </c>
      <c r="AH293" s="22">
        <f t="shared" si="68"/>
        <v>2.7441107638273262E-3</v>
      </c>
      <c r="AI293" s="22">
        <f t="shared" si="68"/>
        <v>2.738527817916133E-3</v>
      </c>
      <c r="AJ293" s="22">
        <f t="shared" si="68"/>
        <v>8.664228458585355E-4</v>
      </c>
      <c r="AK293" s="22">
        <f t="shared" si="68"/>
        <v>8.6705531999584366E-4</v>
      </c>
      <c r="AL293" s="22">
        <f t="shared" si="68"/>
        <v>8.6764226446925895E-4</v>
      </c>
      <c r="AM293" s="22">
        <f t="shared" si="68"/>
        <v>8.6818764975598228E-4</v>
      </c>
      <c r="AN293" s="22">
        <f t="shared" si="68"/>
        <v>8.6869636665180383E-4</v>
      </c>
      <c r="AO293" s="22">
        <f t="shared" si="68"/>
        <v>8.691524490046414E-4</v>
      </c>
      <c r="AP293" s="22">
        <f t="shared" si="68"/>
        <v>8.6954517492875681E-4</v>
      </c>
      <c r="AQ293" s="22">
        <f t="shared" si="68"/>
        <v>8.6987282504340517E-4</v>
      </c>
      <c r="AR293" s="22">
        <f t="shared" si="68"/>
        <v>8.7012323385506529E-4</v>
      </c>
      <c r="AS293" s="22">
        <f t="shared" si="68"/>
        <v>8.7028319344181889E-4</v>
      </c>
      <c r="AT293" s="22">
        <f t="shared" si="68"/>
        <v>8.7035107244109425E-4</v>
      </c>
      <c r="AU293" s="22">
        <f t="shared" si="68"/>
        <v>8.7032874687664199E-4</v>
      </c>
      <c r="AV293" s="22">
        <f t="shared" si="68"/>
        <v>8.7021752505860126E-4</v>
      </c>
      <c r="AW293" s="22">
        <f t="shared" si="68"/>
        <v>8.7000498422856851E-4</v>
      </c>
      <c r="AY293" s="79"/>
    </row>
    <row r="294" spans="1:51" x14ac:dyDescent="0.25">
      <c r="A294" s="95" t="str">
        <f t="shared" si="45"/>
        <v>FA MM Leaching</v>
      </c>
      <c r="B294" s="95" t="s">
        <v>962</v>
      </c>
      <c r="C294" s="95" t="s">
        <v>1333</v>
      </c>
      <c r="D294" t="s">
        <v>369</v>
      </c>
      <c r="E294" t="s">
        <v>64</v>
      </c>
      <c r="F294" t="s">
        <v>63</v>
      </c>
      <c r="G294" t="s">
        <v>1158</v>
      </c>
      <c r="H294" t="s">
        <v>1309</v>
      </c>
      <c r="I294" t="s">
        <v>139</v>
      </c>
      <c r="J294" t="s">
        <v>287</v>
      </c>
      <c r="K294" s="22">
        <f t="shared" si="65"/>
        <v>3.0303014392691133E-2</v>
      </c>
      <c r="L294" s="22">
        <f t="shared" si="68"/>
        <v>3.0040206026371367E-2</v>
      </c>
      <c r="M294" s="22">
        <f t="shared" si="68"/>
        <v>2.9940162837193193E-2</v>
      </c>
      <c r="N294" s="22">
        <f t="shared" si="68"/>
        <v>2.9540351153331305E-2</v>
      </c>
      <c r="O294" s="22">
        <f t="shared" si="68"/>
        <v>2.8960014730128859E-2</v>
      </c>
      <c r="P294" s="22">
        <f t="shared" si="68"/>
        <v>2.8211154016296508E-2</v>
      </c>
      <c r="Q294" s="22">
        <f t="shared" si="68"/>
        <v>2.7620505669412019E-2</v>
      </c>
      <c r="R294" s="22">
        <f t="shared" si="68"/>
        <v>2.7061685185942382E-2</v>
      </c>
      <c r="S294" s="22">
        <f t="shared" si="68"/>
        <v>2.4201772556346722E-2</v>
      </c>
      <c r="T294" s="22">
        <f t="shared" si="68"/>
        <v>2.5134193306706524E-2</v>
      </c>
      <c r="U294" s="22">
        <f t="shared" si="68"/>
        <v>7.9215327522416931E-2</v>
      </c>
      <c r="V294" s="22">
        <f t="shared" si="68"/>
        <v>7.9597413086941654E-2</v>
      </c>
      <c r="W294" s="22">
        <f t="shared" si="68"/>
        <v>7.9841946903631861E-2</v>
      </c>
      <c r="X294" s="22">
        <f t="shared" si="68"/>
        <v>7.9948879165643486E-2</v>
      </c>
      <c r="Y294" s="22">
        <f t="shared" si="68"/>
        <v>7.992047510263596E-2</v>
      </c>
      <c r="Z294" s="22">
        <f t="shared" si="68"/>
        <v>7.9755373238701549E-2</v>
      </c>
      <c r="AA294" s="22">
        <f t="shared" si="68"/>
        <v>7.9453169143115579E-2</v>
      </c>
      <c r="AB294" s="22">
        <f t="shared" si="68"/>
        <v>7.9014112861708063E-2</v>
      </c>
      <c r="AC294" s="22">
        <f t="shared" si="68"/>
        <v>7.8439191657390592E-2</v>
      </c>
      <c r="AD294" s="22">
        <f t="shared" si="68"/>
        <v>7.7077087742293285E-2</v>
      </c>
      <c r="AE294" s="22">
        <f t="shared" si="68"/>
        <v>7.5586682253877949E-2</v>
      </c>
      <c r="AF294" s="22">
        <f t="shared" si="68"/>
        <v>7.3974671879861814E-2</v>
      </c>
      <c r="AG294" s="22">
        <f t="shared" si="68"/>
        <v>7.2248514242158265E-2</v>
      </c>
      <c r="AH294" s="22">
        <f t="shared" si="68"/>
        <v>7.0416148615651625E-2</v>
      </c>
      <c r="AI294" s="22">
        <f t="shared" si="68"/>
        <v>6.8486029191241041E-2</v>
      </c>
      <c r="AJ294" s="22">
        <f t="shared" si="68"/>
        <v>-5.2880249817764688E-3</v>
      </c>
      <c r="AK294" s="22">
        <f t="shared" si="68"/>
        <v>-5.1607046214705845E-3</v>
      </c>
      <c r="AL294" s="22">
        <f t="shared" si="68"/>
        <v>-5.0347089645398375E-3</v>
      </c>
      <c r="AM294" s="22">
        <f t="shared" si="68"/>
        <v>-4.9100249979569036E-3</v>
      </c>
      <c r="AN294" s="22">
        <f t="shared" si="68"/>
        <v>-4.8110666270887118E-3</v>
      </c>
      <c r="AO294" s="22">
        <f t="shared" si="68"/>
        <v>-4.7130469845991819E-3</v>
      </c>
      <c r="AP294" s="22">
        <f t="shared" si="68"/>
        <v>-4.6158931662269266E-3</v>
      </c>
      <c r="AQ294" s="22">
        <f t="shared" si="68"/>
        <v>-4.5195811063585816E-3</v>
      </c>
      <c r="AR294" s="22">
        <f t="shared" si="68"/>
        <v>-4.424040391221005E-3</v>
      </c>
      <c r="AS294" s="22">
        <f t="shared" si="68"/>
        <v>-4.3292020646369571E-3</v>
      </c>
      <c r="AT294" s="22">
        <f t="shared" si="68"/>
        <v>-4.2350550518406409E-3</v>
      </c>
      <c r="AU294" s="22">
        <f t="shared" si="68"/>
        <v>-4.1416051693555066E-3</v>
      </c>
      <c r="AV294" s="22">
        <f t="shared" si="68"/>
        <v>-4.0488559853117164E-3</v>
      </c>
      <c r="AW294" s="22">
        <f t="shared" si="68"/>
        <v>-3.9567542281437719E-3</v>
      </c>
      <c r="AY294" s="79"/>
    </row>
    <row r="295" spans="1:51" x14ac:dyDescent="0.25">
      <c r="A295" s="95" t="str">
        <f t="shared" si="45"/>
        <v>FA MM Leaching</v>
      </c>
      <c r="B295" s="95" t="s">
        <v>962</v>
      </c>
      <c r="C295" s="95" t="s">
        <v>1333</v>
      </c>
      <c r="D295" t="s">
        <v>369</v>
      </c>
      <c r="E295" t="s">
        <v>64</v>
      </c>
      <c r="F295" t="s">
        <v>63</v>
      </c>
      <c r="G295" t="s">
        <v>1160</v>
      </c>
      <c r="H295" t="s">
        <v>1310</v>
      </c>
      <c r="I295" t="s">
        <v>139</v>
      </c>
      <c r="J295" t="s">
        <v>287</v>
      </c>
      <c r="K295" s="22">
        <f t="shared" si="65"/>
        <v>4.0226293185258929E-2</v>
      </c>
      <c r="L295" s="22">
        <f t="shared" si="68"/>
        <v>3.9877423391049029E-2</v>
      </c>
      <c r="M295" s="22">
        <f t="shared" ref="L295:AW301" si="69">M1551</f>
        <v>3.9744619221572089E-2</v>
      </c>
      <c r="N295" s="22">
        <f t="shared" si="69"/>
        <v>3.9213881856453726E-2</v>
      </c>
      <c r="O295" s="22">
        <f t="shared" si="69"/>
        <v>3.8443503609481157E-2</v>
      </c>
      <c r="P295" s="22">
        <f t="shared" si="69"/>
        <v>3.7449414696768615E-2</v>
      </c>
      <c r="Q295" s="22">
        <f t="shared" si="69"/>
        <v>3.6665347697252743E-2</v>
      </c>
      <c r="R295" s="22">
        <f t="shared" si="69"/>
        <v>3.5923531179771234E-2</v>
      </c>
      <c r="S295" s="22">
        <f t="shared" si="69"/>
        <v>3.2127087617044768E-2</v>
      </c>
      <c r="T295" s="22">
        <f t="shared" si="69"/>
        <v>3.336484667262702E-2</v>
      </c>
      <c r="U295" s="22">
        <f t="shared" si="69"/>
        <v>0.10515584187068941</v>
      </c>
      <c r="V295" s="22">
        <f t="shared" si="69"/>
        <v>0.1056630483730278</v>
      </c>
      <c r="W295" s="22">
        <f t="shared" si="69"/>
        <v>0.10598765928059027</v>
      </c>
      <c r="X295" s="22">
        <f t="shared" si="69"/>
        <v>0.10612960847636668</v>
      </c>
      <c r="Y295" s="22">
        <f t="shared" si="69"/>
        <v>0.10609190298108537</v>
      </c>
      <c r="Z295" s="22">
        <f t="shared" si="69"/>
        <v>0.10587273547853948</v>
      </c>
      <c r="AA295" s="22">
        <f t="shared" si="69"/>
        <v>0.10547156909973328</v>
      </c>
      <c r="AB295" s="22">
        <f t="shared" si="69"/>
        <v>0.10488873577259779</v>
      </c>
      <c r="AC295" s="22">
        <f t="shared" si="69"/>
        <v>0.10412554605742294</v>
      </c>
      <c r="AD295" s="22">
        <f t="shared" si="69"/>
        <v>0.10231739619063251</v>
      </c>
      <c r="AE295" s="22">
        <f t="shared" si="69"/>
        <v>0.10033893004317308</v>
      </c>
      <c r="AF295" s="22">
        <f t="shared" si="69"/>
        <v>9.8199037256187116E-2</v>
      </c>
      <c r="AG295" s="22">
        <f t="shared" si="69"/>
        <v>9.5907617586895574E-2</v>
      </c>
      <c r="AH295" s="22">
        <f t="shared" si="69"/>
        <v>9.3475210171604761E-2</v>
      </c>
      <c r="AI295" s="22">
        <f t="shared" si="69"/>
        <v>9.091303768134483E-2</v>
      </c>
      <c r="AJ295" s="22">
        <f t="shared" si="69"/>
        <v>-7.0196859141254189E-3</v>
      </c>
      <c r="AK295" s="22">
        <f t="shared" si="69"/>
        <v>-6.8506721626963654E-3</v>
      </c>
      <c r="AL295" s="22">
        <f t="shared" si="69"/>
        <v>-6.6834169131002059E-3</v>
      </c>
      <c r="AM295" s="22">
        <f t="shared" si="69"/>
        <v>-6.5179028909547456E-3</v>
      </c>
      <c r="AN295" s="22">
        <f t="shared" si="69"/>
        <v>-6.3865387834737544E-3</v>
      </c>
      <c r="AO295" s="22">
        <f t="shared" si="69"/>
        <v>-6.2564208082254193E-3</v>
      </c>
      <c r="AP295" s="22">
        <f t="shared" si="69"/>
        <v>-6.1274521871085615E-3</v>
      </c>
      <c r="AQ295" s="22">
        <f t="shared" si="69"/>
        <v>-5.9996009737825779E-3</v>
      </c>
      <c r="AR295" s="22">
        <f t="shared" si="69"/>
        <v>-5.872773696190668E-3</v>
      </c>
      <c r="AS295" s="22">
        <f t="shared" si="69"/>
        <v>-5.7468788171884874E-3</v>
      </c>
      <c r="AT295" s="22">
        <f t="shared" si="69"/>
        <v>-5.6219016353747063E-3</v>
      </c>
      <c r="AU295" s="22">
        <f t="shared" si="69"/>
        <v>-5.4978498720002471E-3</v>
      </c>
      <c r="AV295" s="22">
        <f t="shared" si="69"/>
        <v>-5.3747282636450412E-3</v>
      </c>
      <c r="AW295" s="22">
        <f t="shared" si="69"/>
        <v>-5.2524660939907621E-3</v>
      </c>
      <c r="AY295" s="79"/>
    </row>
    <row r="296" spans="1:51" x14ac:dyDescent="0.25">
      <c r="A296" s="95" t="str">
        <f t="shared" si="45"/>
        <v>FA MM Leaching</v>
      </c>
      <c r="B296" s="95" t="s">
        <v>962</v>
      </c>
      <c r="C296" s="95" t="s">
        <v>1333</v>
      </c>
      <c r="D296" t="s">
        <v>369</v>
      </c>
      <c r="E296" t="s">
        <v>64</v>
      </c>
      <c r="F296" t="s">
        <v>63</v>
      </c>
      <c r="G296" t="s">
        <v>1162</v>
      </c>
      <c r="H296" t="s">
        <v>1311</v>
      </c>
      <c r="I296" t="s">
        <v>139</v>
      </c>
      <c r="J296" t="s">
        <v>287</v>
      </c>
      <c r="K296" s="22">
        <f t="shared" si="65"/>
        <v>4.1968337096859203E-2</v>
      </c>
      <c r="L296" s="22">
        <f t="shared" si="69"/>
        <v>4.3383434779753476E-2</v>
      </c>
      <c r="M296" s="22">
        <f t="shared" si="69"/>
        <v>4.5063007666824861E-2</v>
      </c>
      <c r="N296" s="22">
        <f t="shared" si="69"/>
        <v>4.6315596244033509E-2</v>
      </c>
      <c r="O296" s="22">
        <f t="shared" si="69"/>
        <v>4.7281576900430194E-2</v>
      </c>
      <c r="P296" s="22">
        <f t="shared" si="69"/>
        <v>4.7947144057730852E-2</v>
      </c>
      <c r="Q296" s="22">
        <f t="shared" si="69"/>
        <v>4.8855920576585839E-2</v>
      </c>
      <c r="R296" s="22">
        <f t="shared" si="69"/>
        <v>4.9808583705724517E-2</v>
      </c>
      <c r="S296" s="22">
        <f t="shared" si="69"/>
        <v>4.6345052575542584E-2</v>
      </c>
      <c r="T296" s="22">
        <f t="shared" si="69"/>
        <v>4.9290182096012818E-2</v>
      </c>
      <c r="U296" s="22">
        <f t="shared" si="69"/>
        <v>0.1590390004544035</v>
      </c>
      <c r="V296" s="22">
        <f t="shared" si="69"/>
        <v>0.16355513295491098</v>
      </c>
      <c r="W296" s="22">
        <f t="shared" si="69"/>
        <v>0.16786105995970313</v>
      </c>
      <c r="X296" s="22">
        <f t="shared" si="69"/>
        <v>0.17194023598803351</v>
      </c>
      <c r="Y296" s="22">
        <f t="shared" si="69"/>
        <v>0.17578066999732156</v>
      </c>
      <c r="Z296" s="22">
        <f t="shared" si="69"/>
        <v>0.17936210611821823</v>
      </c>
      <c r="AA296" s="22">
        <f t="shared" si="69"/>
        <v>0.1826656381005505</v>
      </c>
      <c r="AB296" s="22">
        <f t="shared" si="69"/>
        <v>0.18567320176806454</v>
      </c>
      <c r="AC296" s="22">
        <f t="shared" si="69"/>
        <v>0.18836790776441609</v>
      </c>
      <c r="AD296" s="22">
        <f t="shared" si="69"/>
        <v>0.19123519545806747</v>
      </c>
      <c r="AE296" s="22">
        <f t="shared" si="69"/>
        <v>0.19376853499382182</v>
      </c>
      <c r="AF296" s="22">
        <f t="shared" si="69"/>
        <v>0.19595309748984396</v>
      </c>
      <c r="AG296" s="22">
        <f t="shared" si="69"/>
        <v>0.19777601067919534</v>
      </c>
      <c r="AH296" s="22">
        <f t="shared" si="69"/>
        <v>0.19922591108684914</v>
      </c>
      <c r="AI296" s="22">
        <f t="shared" si="69"/>
        <v>0.20029329073357882</v>
      </c>
      <c r="AJ296" s="22">
        <f t="shared" si="69"/>
        <v>-1.5988935485228874E-2</v>
      </c>
      <c r="AK296" s="22">
        <f t="shared" si="69"/>
        <v>-1.6135273009597623E-2</v>
      </c>
      <c r="AL296" s="22">
        <f t="shared" si="69"/>
        <v>-1.6280642881338143E-2</v>
      </c>
      <c r="AM296" s="22">
        <f t="shared" si="69"/>
        <v>-1.6425117505391919E-2</v>
      </c>
      <c r="AN296" s="22">
        <f t="shared" si="69"/>
        <v>-1.6548178161071046E-2</v>
      </c>
      <c r="AO296" s="22">
        <f t="shared" si="69"/>
        <v>-1.6670008309036564E-2</v>
      </c>
      <c r="AP296" s="22">
        <f t="shared" si="69"/>
        <v>-1.6790421483448635E-2</v>
      </c>
      <c r="AQ296" s="22">
        <f t="shared" si="69"/>
        <v>-1.6909384567907186E-2</v>
      </c>
      <c r="AR296" s="22">
        <f t="shared" si="69"/>
        <v>-1.7026675592023126E-2</v>
      </c>
      <c r="AS296" s="22">
        <f t="shared" si="69"/>
        <v>-1.7142046777220185E-2</v>
      </c>
      <c r="AT296" s="22">
        <f t="shared" si="69"/>
        <v>-1.725545286501233E-2</v>
      </c>
      <c r="AU296" s="22">
        <f t="shared" si="69"/>
        <v>-1.7366910999627443E-2</v>
      </c>
      <c r="AV296" s="22">
        <f t="shared" si="69"/>
        <v>-1.7476428038790941E-2</v>
      </c>
      <c r="AW296" s="22">
        <f t="shared" si="69"/>
        <v>-1.7583756727581886E-2</v>
      </c>
      <c r="AY296" s="79"/>
    </row>
    <row r="297" spans="1:51" x14ac:dyDescent="0.25">
      <c r="A297" s="95" t="str">
        <f t="shared" si="45"/>
        <v>FA MM Leaching</v>
      </c>
      <c r="B297" s="95" t="s">
        <v>962</v>
      </c>
      <c r="C297" s="95" t="s">
        <v>1333</v>
      </c>
      <c r="D297" t="s">
        <v>369</v>
      </c>
      <c r="E297" t="s">
        <v>64</v>
      </c>
      <c r="F297" t="s">
        <v>63</v>
      </c>
      <c r="G297" t="s">
        <v>1164</v>
      </c>
      <c r="H297" t="s">
        <v>1312</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4.4583713438871775E-3</v>
      </c>
      <c r="T297" s="22">
        <f t="shared" si="69"/>
        <v>4.4613385793898985E-3</v>
      </c>
      <c r="U297" s="22">
        <f t="shared" si="69"/>
        <v>4.5194479058578802E-3</v>
      </c>
      <c r="V297" s="22">
        <f t="shared" si="69"/>
        <v>4.5208654375239604E-3</v>
      </c>
      <c r="W297" s="22">
        <f t="shared" si="69"/>
        <v>4.5269288931412202E-3</v>
      </c>
      <c r="X297" s="22">
        <f t="shared" si="69"/>
        <v>4.5356937654075719E-3</v>
      </c>
      <c r="Y297" s="22">
        <f t="shared" si="69"/>
        <v>4.5438360313793799E-3</v>
      </c>
      <c r="Z297" s="22">
        <f t="shared" si="69"/>
        <v>4.5514565032506353E-3</v>
      </c>
      <c r="AA297" s="22">
        <f t="shared" si="69"/>
        <v>4.5585145451789771E-3</v>
      </c>
      <c r="AB297" s="22">
        <f t="shared" si="69"/>
        <v>4.5650737507021777E-3</v>
      </c>
      <c r="AC297" s="22">
        <f t="shared" si="69"/>
        <v>4.5712336162876026E-3</v>
      </c>
      <c r="AD297" s="22">
        <f t="shared" si="69"/>
        <v>4.5769883379201265E-3</v>
      </c>
      <c r="AE297" s="22">
        <f t="shared" si="69"/>
        <v>4.5824299595188939E-3</v>
      </c>
      <c r="AF297" s="22">
        <f t="shared" si="69"/>
        <v>4.5875716533889405E-3</v>
      </c>
      <c r="AG297" s="22">
        <f t="shared" si="69"/>
        <v>4.5923429466883485E-3</v>
      </c>
      <c r="AH297" s="22">
        <f t="shared" si="69"/>
        <v>4.5967874861065324E-3</v>
      </c>
      <c r="AI297" s="22">
        <f t="shared" si="69"/>
        <v>4.6009761769836678E-3</v>
      </c>
      <c r="AJ297" s="22">
        <f t="shared" si="69"/>
        <v>4.5000024079062629E-3</v>
      </c>
      <c r="AK297" s="22">
        <f t="shared" si="69"/>
        <v>4.504140567798888E-3</v>
      </c>
      <c r="AL297" s="22">
        <f t="shared" si="69"/>
        <v>4.5080004058394166E-3</v>
      </c>
      <c r="AM297" s="22">
        <f t="shared" si="69"/>
        <v>4.5116055113744672E-3</v>
      </c>
      <c r="AN297" s="22">
        <f t="shared" si="69"/>
        <v>4.5149845600538762E-3</v>
      </c>
      <c r="AO297" s="22">
        <f t="shared" si="69"/>
        <v>4.5180486691616456E-3</v>
      </c>
      <c r="AP297" s="22">
        <f t="shared" si="69"/>
        <v>4.5207384818524527E-3</v>
      </c>
      <c r="AQ297" s="22">
        <f t="shared" si="69"/>
        <v>4.5230453041712505E-3</v>
      </c>
      <c r="AR297" s="22">
        <f t="shared" si="69"/>
        <v>4.5249015890055574E-3</v>
      </c>
      <c r="AS297" s="22">
        <f t="shared" si="69"/>
        <v>4.526233914491801E-3</v>
      </c>
      <c r="AT297" s="22">
        <f t="shared" si="69"/>
        <v>4.5270340008273808E-3</v>
      </c>
      <c r="AU297" s="22">
        <f t="shared" si="69"/>
        <v>4.5273132604660591E-3</v>
      </c>
      <c r="AV297" s="22">
        <f t="shared" si="69"/>
        <v>4.5270798618323943E-3</v>
      </c>
      <c r="AW297" s="22">
        <f t="shared" si="69"/>
        <v>4.5262646983336846E-3</v>
      </c>
      <c r="AY297" s="79"/>
    </row>
    <row r="298" spans="1:51" x14ac:dyDescent="0.25">
      <c r="A298" s="95" t="str">
        <f t="shared" si="45"/>
        <v>FA MM Leaching</v>
      </c>
      <c r="B298" s="95" t="s">
        <v>962</v>
      </c>
      <c r="C298" s="95" t="s">
        <v>1333</v>
      </c>
      <c r="D298" t="s">
        <v>369</v>
      </c>
      <c r="E298" t="s">
        <v>64</v>
      </c>
      <c r="F298" t="s">
        <v>63</v>
      </c>
      <c r="G298" t="s">
        <v>1166</v>
      </c>
      <c r="H298" t="s">
        <v>1313</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3.7085625544236744E-3</v>
      </c>
      <c r="T298" s="22">
        <f t="shared" si="69"/>
        <v>3.7110307603281981E-3</v>
      </c>
      <c r="U298" s="22">
        <f t="shared" si="69"/>
        <v>3.7593672616152451E-3</v>
      </c>
      <c r="V298" s="22">
        <f t="shared" si="69"/>
        <v>3.7605463928385213E-3</v>
      </c>
      <c r="W298" s="22">
        <f t="shared" si="69"/>
        <v>3.7655900966303579E-3</v>
      </c>
      <c r="X298" s="22">
        <f t="shared" si="69"/>
        <v>3.7728808928817431E-3</v>
      </c>
      <c r="Y298" s="22">
        <f t="shared" si="69"/>
        <v>3.7796537927507973E-3</v>
      </c>
      <c r="Z298" s="22">
        <f t="shared" si="69"/>
        <v>3.7859926538390569E-3</v>
      </c>
      <c r="AA298" s="22">
        <f t="shared" si="69"/>
        <v>3.7918636744391884E-3</v>
      </c>
      <c r="AB298" s="22">
        <f t="shared" si="69"/>
        <v>3.7973197529292549E-3</v>
      </c>
      <c r="AC298" s="22">
        <f t="shared" si="69"/>
        <v>3.8024436524630406E-3</v>
      </c>
      <c r="AD298" s="22">
        <f t="shared" si="69"/>
        <v>3.8072305451445519E-3</v>
      </c>
      <c r="AE298" s="22">
        <f t="shared" si="69"/>
        <v>3.8117569949487401E-3</v>
      </c>
      <c r="AF298" s="22">
        <f t="shared" si="69"/>
        <v>3.8160339588626819E-3</v>
      </c>
      <c r="AG298" s="22">
        <f t="shared" si="69"/>
        <v>3.8200028161653869E-3</v>
      </c>
      <c r="AH298" s="22">
        <f t="shared" si="69"/>
        <v>3.8236998730470525E-3</v>
      </c>
      <c r="AI298" s="22">
        <f t="shared" si="69"/>
        <v>3.8271841099893822E-3</v>
      </c>
      <c r="AJ298" s="22">
        <f t="shared" si="69"/>
        <v>3.7431921070592298E-3</v>
      </c>
      <c r="AK298" s="22">
        <f t="shared" si="69"/>
        <v>3.7466343113168547E-3</v>
      </c>
      <c r="AL298" s="22">
        <f t="shared" si="69"/>
        <v>3.7498450018850307E-3</v>
      </c>
      <c r="AM298" s="22">
        <f t="shared" si="69"/>
        <v>3.7528438008546071E-3</v>
      </c>
      <c r="AN298" s="22">
        <f t="shared" si="69"/>
        <v>3.7556545612052921E-3</v>
      </c>
      <c r="AO298" s="22">
        <f t="shared" si="69"/>
        <v>3.7582033485142104E-3</v>
      </c>
      <c r="AP298" s="22">
        <f t="shared" si="69"/>
        <v>3.760440788568911E-3</v>
      </c>
      <c r="AQ298" s="22">
        <f t="shared" si="69"/>
        <v>3.7623596495635048E-3</v>
      </c>
      <c r="AR298" s="22">
        <f t="shared" si="69"/>
        <v>3.7639037444573268E-3</v>
      </c>
      <c r="AS298" s="22">
        <f t="shared" si="69"/>
        <v>3.7650119994741185E-3</v>
      </c>
      <c r="AT298" s="22">
        <f t="shared" si="69"/>
        <v>3.7656775273082915E-3</v>
      </c>
      <c r="AU298" s="22">
        <f t="shared" si="69"/>
        <v>3.7659098210673977E-3</v>
      </c>
      <c r="AV298" s="22">
        <f t="shared" si="69"/>
        <v>3.7657156754105432E-3</v>
      </c>
      <c r="AW298" s="22">
        <f t="shared" si="69"/>
        <v>3.7650376060901856E-3</v>
      </c>
      <c r="AY298" s="79"/>
    </row>
    <row r="299" spans="1:51" x14ac:dyDescent="0.25">
      <c r="A299" s="95" t="str">
        <f t="shared" si="45"/>
        <v>FA MM Leaching</v>
      </c>
      <c r="B299" s="95" t="s">
        <v>962</v>
      </c>
      <c r="C299" s="95" t="s">
        <v>1333</v>
      </c>
      <c r="D299" t="s">
        <v>369</v>
      </c>
      <c r="E299" t="s">
        <v>64</v>
      </c>
      <c r="F299" t="s">
        <v>63</v>
      </c>
      <c r="G299" t="s">
        <v>1168</v>
      </c>
      <c r="H299" t="s">
        <v>1314</v>
      </c>
      <c r="I299" t="s">
        <v>139</v>
      </c>
      <c r="J299" t="s">
        <v>287</v>
      </c>
      <c r="K299" s="22">
        <f t="shared" si="65"/>
        <v>5.4322987485311562E-4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5.5840147541839718E-4</v>
      </c>
      <c r="R299" s="22">
        <f t="shared" si="69"/>
        <v>5.620753208024884E-4</v>
      </c>
      <c r="S299" s="22">
        <f t="shared" si="69"/>
        <v>5.6070469903814733E-4</v>
      </c>
      <c r="T299" s="22">
        <f t="shared" si="69"/>
        <v>5.6162230711910024E-4</v>
      </c>
      <c r="U299" s="22">
        <f t="shared" si="69"/>
        <v>5.7300934566261764E-4</v>
      </c>
      <c r="V299" s="22">
        <f t="shared" si="69"/>
        <v>5.735237983118301E-4</v>
      </c>
      <c r="W299" s="22">
        <f t="shared" si="69"/>
        <v>5.7488581877093682E-4</v>
      </c>
      <c r="X299" s="22">
        <f t="shared" si="69"/>
        <v>5.7672404156411123E-4</v>
      </c>
      <c r="Y299" s="22">
        <f t="shared" si="69"/>
        <v>5.7840994827834994E-4</v>
      </c>
      <c r="Z299" s="22">
        <f t="shared" si="69"/>
        <v>5.7996582365708491E-4</v>
      </c>
      <c r="AA299" s="22">
        <f t="shared" si="69"/>
        <v>5.8138689539941784E-4</v>
      </c>
      <c r="AB299" s="22">
        <f t="shared" si="69"/>
        <v>5.8268775619947839E-4</v>
      </c>
      <c r="AC299" s="22">
        <f t="shared" si="69"/>
        <v>5.838893945173696E-4</v>
      </c>
      <c r="AD299" s="22">
        <f t="shared" si="69"/>
        <v>5.8499277851090971E-4</v>
      </c>
      <c r="AE299" s="22">
        <f t="shared" si="69"/>
        <v>5.8601696023425276E-4</v>
      </c>
      <c r="AF299" s="22">
        <f t="shared" si="69"/>
        <v>5.8696603148616325E-4</v>
      </c>
      <c r="AG299" s="22">
        <f t="shared" si="69"/>
        <v>5.8782840452912231E-4</v>
      </c>
      <c r="AH299" s="22">
        <f t="shared" si="69"/>
        <v>5.8861362982731312E-4</v>
      </c>
      <c r="AI299" s="22">
        <f t="shared" si="69"/>
        <v>5.8933613461895486E-4</v>
      </c>
      <c r="AJ299" s="22">
        <f t="shared" si="69"/>
        <v>5.706274212799663E-4</v>
      </c>
      <c r="AK299" s="22">
        <f t="shared" si="69"/>
        <v>5.7134854330306069E-4</v>
      </c>
      <c r="AL299" s="22">
        <f t="shared" si="69"/>
        <v>5.7200511510337268E-4</v>
      </c>
      <c r="AM299" s="22">
        <f t="shared" si="69"/>
        <v>5.7260245045310132E-4</v>
      </c>
      <c r="AN299" s="22">
        <f t="shared" si="69"/>
        <v>5.7314670307798447E-4</v>
      </c>
      <c r="AO299" s="22">
        <f t="shared" si="69"/>
        <v>5.7362242271311709E-4</v>
      </c>
      <c r="AP299" s="22">
        <f t="shared" si="69"/>
        <v>5.7401961480709959E-4</v>
      </c>
      <c r="AQ299" s="22">
        <f t="shared" si="69"/>
        <v>5.743375496953002E-4</v>
      </c>
      <c r="AR299" s="22">
        <f t="shared" si="69"/>
        <v>5.7456474822570021E-4</v>
      </c>
      <c r="AS299" s="22">
        <f t="shared" si="69"/>
        <v>5.7468870297434124E-4</v>
      </c>
      <c r="AT299" s="22">
        <f t="shared" si="69"/>
        <v>5.7470877432626657E-4</v>
      </c>
      <c r="AU299" s="22">
        <f t="shared" si="69"/>
        <v>5.7462786115959977E-4</v>
      </c>
      <c r="AV299" s="22">
        <f t="shared" si="69"/>
        <v>5.7444822626571555E-4</v>
      </c>
      <c r="AW299" s="22">
        <f t="shared" si="69"/>
        <v>5.7415813453708586E-4</v>
      </c>
      <c r="AY299" s="79"/>
    </row>
    <row r="300" spans="1:51" x14ac:dyDescent="0.25">
      <c r="A300" s="95" t="str">
        <f t="shared" si="45"/>
        <v>FA MM Leaching</v>
      </c>
      <c r="B300" s="95" t="s">
        <v>962</v>
      </c>
      <c r="C300" s="95" t="s">
        <v>1333</v>
      </c>
      <c r="D300" t="s">
        <v>369</v>
      </c>
      <c r="E300" t="s">
        <v>64</v>
      </c>
      <c r="F300" t="s">
        <v>63</v>
      </c>
      <c r="G300" t="s">
        <v>1170</v>
      </c>
      <c r="H300" t="s">
        <v>1315</v>
      </c>
      <c r="I300" t="s">
        <v>139</v>
      </c>
      <c r="J300" t="s">
        <v>287</v>
      </c>
      <c r="K300" s="22">
        <f t="shared" si="65"/>
        <v>6.6992563985089947E-3</v>
      </c>
      <c r="L300" s="22">
        <f t="shared" si="69"/>
        <v>6.716671231449923E-3</v>
      </c>
      <c r="M300" s="22">
        <f t="shared" si="69"/>
        <v>6.7406943780734313E-3</v>
      </c>
      <c r="N300" s="22">
        <f t="shared" si="69"/>
        <v>6.769960915195136E-3</v>
      </c>
      <c r="O300" s="22">
        <f t="shared" si="69"/>
        <v>6.8044291009834836E-3</v>
      </c>
      <c r="P300" s="22">
        <f t="shared" si="69"/>
        <v>6.8438891439814974E-3</v>
      </c>
      <c r="Q300" s="22">
        <f t="shared" si="69"/>
        <v>6.8863566425632575E-3</v>
      </c>
      <c r="R300" s="22">
        <f t="shared" si="69"/>
        <v>6.9316634884048298E-3</v>
      </c>
      <c r="S300" s="22">
        <f t="shared" si="69"/>
        <v>6.914760613489895E-3</v>
      </c>
      <c r="T300" s="22">
        <f t="shared" si="69"/>
        <v>6.9260768022567764E-3</v>
      </c>
      <c r="U300" s="22">
        <f t="shared" si="69"/>
        <v>7.0665048132223995E-3</v>
      </c>
      <c r="V300" s="22">
        <f t="shared" si="69"/>
        <v>7.0728491811622093E-3</v>
      </c>
      <c r="W300" s="22">
        <f t="shared" si="69"/>
        <v>7.0896459824759074E-3</v>
      </c>
      <c r="X300" s="22">
        <f t="shared" si="69"/>
        <v>7.1123154385922269E-3</v>
      </c>
      <c r="Y300" s="22">
        <f t="shared" si="69"/>
        <v>7.1331064920034711E-3</v>
      </c>
      <c r="Z300" s="22">
        <f t="shared" si="69"/>
        <v>7.1522939641377866E-3</v>
      </c>
      <c r="AA300" s="22">
        <f t="shared" si="69"/>
        <v>7.1698190017015617E-3</v>
      </c>
      <c r="AB300" s="22">
        <f t="shared" si="69"/>
        <v>7.1858615657095356E-3</v>
      </c>
      <c r="AC300" s="22">
        <f t="shared" si="69"/>
        <v>7.2006804914764638E-3</v>
      </c>
      <c r="AD300" s="22">
        <f t="shared" si="69"/>
        <v>7.2142877185840219E-3</v>
      </c>
      <c r="AE300" s="22">
        <f t="shared" si="69"/>
        <v>7.226918202069851E-3</v>
      </c>
      <c r="AF300" s="22">
        <f t="shared" si="69"/>
        <v>7.238622403092889E-3</v>
      </c>
      <c r="AG300" s="22">
        <f t="shared" si="69"/>
        <v>7.2492574185686288E-3</v>
      </c>
      <c r="AH300" s="22">
        <f t="shared" si="69"/>
        <v>7.2589410273808247E-3</v>
      </c>
      <c r="AI300" s="22">
        <f t="shared" si="69"/>
        <v>7.2678511500975998E-3</v>
      </c>
      <c r="AJ300" s="22">
        <f t="shared" si="69"/>
        <v>7.0371302833964079E-3</v>
      </c>
      <c r="AK300" s="22">
        <f t="shared" si="69"/>
        <v>7.046023353440887E-3</v>
      </c>
      <c r="AL300" s="22">
        <f t="shared" si="69"/>
        <v>7.0541203728390007E-3</v>
      </c>
      <c r="AM300" s="22">
        <f t="shared" si="69"/>
        <v>7.0614868724535639E-3</v>
      </c>
      <c r="AN300" s="22">
        <f t="shared" si="69"/>
        <v>7.0681987416795341E-3</v>
      </c>
      <c r="AO300" s="22">
        <f t="shared" si="69"/>
        <v>7.0740654437095336E-3</v>
      </c>
      <c r="AP300" s="22">
        <f t="shared" si="69"/>
        <v>7.0789637230572406E-3</v>
      </c>
      <c r="AQ300" s="22">
        <f t="shared" si="69"/>
        <v>7.0828845813028637E-3</v>
      </c>
      <c r="AR300" s="22">
        <f t="shared" si="69"/>
        <v>7.0856864544673794E-3</v>
      </c>
      <c r="AS300" s="22">
        <f t="shared" si="69"/>
        <v>7.0872150976466278E-3</v>
      </c>
      <c r="AT300" s="22">
        <f t="shared" si="69"/>
        <v>7.0874626229375523E-3</v>
      </c>
      <c r="AU300" s="22">
        <f t="shared" si="69"/>
        <v>7.0864647800820552E-3</v>
      </c>
      <c r="AV300" s="22">
        <f t="shared" si="69"/>
        <v>7.084249474429774E-3</v>
      </c>
      <c r="AW300" s="22">
        <f t="shared" si="69"/>
        <v>7.0806719854897525E-3</v>
      </c>
      <c r="AY300" s="79"/>
    </row>
    <row r="301" spans="1:51" x14ac:dyDescent="0.25">
      <c r="A301" s="95" t="str">
        <f t="shared" si="45"/>
        <v>FA MM Leaching</v>
      </c>
      <c r="B301" s="95" t="s">
        <v>962</v>
      </c>
      <c r="C301" s="95" t="s">
        <v>1333</v>
      </c>
      <c r="D301" t="s">
        <v>369</v>
      </c>
      <c r="E301" t="s">
        <v>64</v>
      </c>
      <c r="F301" t="s">
        <v>63</v>
      </c>
      <c r="G301" t="s">
        <v>1172</v>
      </c>
      <c r="H301" t="s">
        <v>1316</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25">
      <c r="A302" s="95" t="str">
        <f t="shared" si="45"/>
        <v>FA MM Leaching</v>
      </c>
      <c r="B302" s="95" t="s">
        <v>962</v>
      </c>
      <c r="C302" s="95" t="s">
        <v>1333</v>
      </c>
      <c r="D302" t="s">
        <v>369</v>
      </c>
      <c r="E302" t="s">
        <v>64</v>
      </c>
      <c r="F302" t="s">
        <v>63</v>
      </c>
      <c r="G302" t="s">
        <v>1174</v>
      </c>
      <c r="H302" t="s">
        <v>1317</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25">
      <c r="A303" s="95" t="str">
        <f t="shared" si="45"/>
        <v>FA MM Leaching</v>
      </c>
      <c r="B303" s="95" t="s">
        <v>962</v>
      </c>
      <c r="C303" s="95" t="s">
        <v>1333</v>
      </c>
      <c r="D303" t="s">
        <v>369</v>
      </c>
      <c r="E303" t="s">
        <v>64</v>
      </c>
      <c r="F303" t="s">
        <v>63</v>
      </c>
      <c r="G303" t="s">
        <v>1176</v>
      </c>
      <c r="H303" t="s">
        <v>1318</v>
      </c>
      <c r="I303" t="s">
        <v>139</v>
      </c>
      <c r="J303" t="s">
        <v>287</v>
      </c>
      <c r="K303" s="22">
        <f t="shared" si="65"/>
        <v>2.6875086183165937E-2</v>
      </c>
      <c r="L303" s="22">
        <f t="shared" si="70"/>
        <v>2.6729002214214575E-2</v>
      </c>
      <c r="M303" s="22">
        <f t="shared" si="70"/>
        <v>2.6740992333189318E-2</v>
      </c>
      <c r="N303" s="22">
        <f t="shared" si="70"/>
        <v>2.6495489531984443E-2</v>
      </c>
      <c r="O303" s="22">
        <f t="shared" si="70"/>
        <v>2.609452683304701E-2</v>
      </c>
      <c r="P303" s="22">
        <f t="shared" si="70"/>
        <v>2.5544514050244028E-2</v>
      </c>
      <c r="Q303" s="22">
        <f t="shared" si="70"/>
        <v>2.5145143775072754E-2</v>
      </c>
      <c r="R303" s="22">
        <f t="shared" si="70"/>
        <v>2.4781112413324514E-2</v>
      </c>
      <c r="S303" s="22">
        <f t="shared" si="70"/>
        <v>2.2296168964910698E-2</v>
      </c>
      <c r="T303" s="22">
        <f t="shared" si="70"/>
        <v>2.3092324784413296E-2</v>
      </c>
      <c r="U303" s="22">
        <f t="shared" si="70"/>
        <v>7.381503978929195E-2</v>
      </c>
      <c r="V303" s="22">
        <f t="shared" si="70"/>
        <v>7.4017385099882177E-2</v>
      </c>
      <c r="W303" s="22">
        <f t="shared" si="70"/>
        <v>7.4092117158263957E-2</v>
      </c>
      <c r="X303" s="22">
        <f t="shared" si="70"/>
        <v>7.4042607907806673E-2</v>
      </c>
      <c r="Y303" s="22">
        <f t="shared" si="70"/>
        <v>7.3876326476641427E-2</v>
      </c>
      <c r="Z303" s="22">
        <f t="shared" si="70"/>
        <v>7.3591745464768973E-2</v>
      </c>
      <c r="AA303" s="22">
        <f t="shared" si="70"/>
        <v>7.3188455909713582E-2</v>
      </c>
      <c r="AB303" s="22">
        <f t="shared" si="70"/>
        <v>7.2666495628065958E-2</v>
      </c>
      <c r="AC303" s="22">
        <f t="shared" si="70"/>
        <v>7.2026534081708352E-2</v>
      </c>
      <c r="AD303" s="22">
        <f t="shared" si="70"/>
        <v>7.127021840521014E-2</v>
      </c>
      <c r="AE303" s="22">
        <f t="shared" si="70"/>
        <v>7.0399631702406332E-2</v>
      </c>
      <c r="AF303" s="22">
        <f t="shared" si="70"/>
        <v>6.9417717575292789E-2</v>
      </c>
      <c r="AG303" s="22">
        <f t="shared" si="70"/>
        <v>6.8328248088529983E-2</v>
      </c>
      <c r="AH303" s="22">
        <f t="shared" si="70"/>
        <v>6.7135309145229499E-2</v>
      </c>
      <c r="AI303" s="22">
        <f t="shared" si="70"/>
        <v>6.58434858478079E-2</v>
      </c>
      <c r="AJ303" s="22">
        <f t="shared" si="70"/>
        <v>-6.1354464297522409E-3</v>
      </c>
      <c r="AK303" s="22">
        <f t="shared" si="70"/>
        <v>-6.0690246210378601E-3</v>
      </c>
      <c r="AL303" s="22">
        <f t="shared" si="70"/>
        <v>-6.0023674842876688E-3</v>
      </c>
      <c r="AM303" s="22">
        <f t="shared" si="70"/>
        <v>-5.9355441730233076E-3</v>
      </c>
      <c r="AN303" s="22">
        <f t="shared" si="70"/>
        <v>-5.868631115229209E-3</v>
      </c>
      <c r="AO303" s="22">
        <f t="shared" si="70"/>
        <v>-5.801450937318208E-3</v>
      </c>
      <c r="AP303" s="22">
        <f t="shared" si="70"/>
        <v>-5.7338989216543417E-3</v>
      </c>
      <c r="AQ303" s="22">
        <f t="shared" si="70"/>
        <v>-5.665981593784182E-3</v>
      </c>
      <c r="AR303" s="22">
        <f t="shared" si="70"/>
        <v>-5.5975864031876984E-3</v>
      </c>
      <c r="AS303" s="22">
        <f t="shared" si="70"/>
        <v>-5.528596592882417E-3</v>
      </c>
      <c r="AT303" s="22">
        <f t="shared" si="70"/>
        <v>-5.459031743402367E-3</v>
      </c>
      <c r="AU303" s="22">
        <f t="shared" si="70"/>
        <v>-5.3889497419228856E-3</v>
      </c>
      <c r="AV303" s="22">
        <f t="shared" si="70"/>
        <v>-5.3184001043520557E-3</v>
      </c>
      <c r="AW303" s="22">
        <f t="shared" si="70"/>
        <v>-5.2472851582702085E-3</v>
      </c>
      <c r="AY303" s="79"/>
    </row>
    <row r="304" spans="1:51" x14ac:dyDescent="0.25">
      <c r="A304" s="95" t="str">
        <f t="shared" si="45"/>
        <v>FA MM Leaching</v>
      </c>
      <c r="B304" s="95" t="s">
        <v>962</v>
      </c>
      <c r="C304" s="95" t="s">
        <v>1333</v>
      </c>
      <c r="D304" t="s">
        <v>369</v>
      </c>
      <c r="E304" t="s">
        <v>64</v>
      </c>
      <c r="F304" t="s">
        <v>63</v>
      </c>
      <c r="G304" t="s">
        <v>1178</v>
      </c>
      <c r="H304" t="s">
        <v>1319</v>
      </c>
      <c r="I304" t="s">
        <v>139</v>
      </c>
      <c r="J304" t="s">
        <v>287</v>
      </c>
      <c r="K304" s="22">
        <f t="shared" si="65"/>
        <v>4.0166140097319695E-3</v>
      </c>
      <c r="L304" s="22">
        <f t="shared" si="70"/>
        <v>3.9947810410006978E-3</v>
      </c>
      <c r="M304" s="22">
        <f t="shared" si="70"/>
        <v>3.9965730233416695E-3</v>
      </c>
      <c r="N304" s="22">
        <f t="shared" si="70"/>
        <v>3.9598814204188995E-3</v>
      </c>
      <c r="O304" s="22">
        <f t="shared" si="70"/>
        <v>3.8999555700251301E-3</v>
      </c>
      <c r="P304" s="22">
        <f t="shared" si="70"/>
        <v>3.8177534504158584E-3</v>
      </c>
      <c r="Q304" s="22">
        <f t="shared" si="70"/>
        <v>3.7580655955978047E-3</v>
      </c>
      <c r="R304" s="22">
        <f t="shared" si="70"/>
        <v>3.7036593154610871E-3</v>
      </c>
      <c r="S304" s="22">
        <f t="shared" si="70"/>
        <v>3.3322722769129989E-3</v>
      </c>
      <c r="T304" s="22">
        <f t="shared" si="70"/>
        <v>3.4512616857933645E-3</v>
      </c>
      <c r="U304" s="22">
        <f t="shared" si="70"/>
        <v>1.1032021290123588E-2</v>
      </c>
      <c r="V304" s="22">
        <f t="shared" si="70"/>
        <v>1.1062262793491467E-2</v>
      </c>
      <c r="W304" s="22">
        <f t="shared" si="70"/>
        <v>1.1073431867727232E-2</v>
      </c>
      <c r="X304" s="22">
        <f t="shared" si="70"/>
        <v>1.106603246637675E-2</v>
      </c>
      <c r="Y304" s="22">
        <f t="shared" si="70"/>
        <v>1.1041180887430186E-2</v>
      </c>
      <c r="Z304" s="22">
        <f t="shared" si="70"/>
        <v>1.0998648853434082E-2</v>
      </c>
      <c r="AA304" s="22">
        <f t="shared" si="70"/>
        <v>1.0938375242931999E-2</v>
      </c>
      <c r="AB304" s="22">
        <f t="shared" si="70"/>
        <v>1.0860365707799692E-2</v>
      </c>
      <c r="AC304" s="22">
        <f t="shared" si="70"/>
        <v>1.0764720302413055E-2</v>
      </c>
      <c r="AD304" s="22">
        <f t="shared" si="70"/>
        <v>1.0651685199146835E-2</v>
      </c>
      <c r="AE304" s="22">
        <f t="shared" si="70"/>
        <v>1.0521571728130012E-2</v>
      </c>
      <c r="AF304" s="22">
        <f t="shared" si="70"/>
        <v>1.0374819825180263E-2</v>
      </c>
      <c r="AG304" s="22">
        <f t="shared" si="70"/>
        <v>1.0211993243941318E-2</v>
      </c>
      <c r="AH304" s="22">
        <f t="shared" si="70"/>
        <v>1.0033702642759285E-2</v>
      </c>
      <c r="AI304" s="22">
        <f t="shared" si="70"/>
        <v>9.8406332877753449E-3</v>
      </c>
      <c r="AJ304" s="22">
        <f t="shared" si="70"/>
        <v>-9.1697269053370395E-4</v>
      </c>
      <c r="AK304" s="22">
        <f t="shared" si="70"/>
        <v>-9.0704562404485191E-4</v>
      </c>
      <c r="AL304" s="22">
        <f t="shared" si="70"/>
        <v>-8.970833866218835E-4</v>
      </c>
      <c r="AM304" s="22">
        <f t="shared" si="70"/>
        <v>-8.870963135992402E-4</v>
      </c>
      <c r="AN304" s="22">
        <f t="shared" si="70"/>
        <v>-8.7709582751565934E-4</v>
      </c>
      <c r="AO304" s="22">
        <f t="shared" si="70"/>
        <v>-8.6705541901484369E-4</v>
      </c>
      <c r="AP304" s="22">
        <f t="shared" si="70"/>
        <v>-8.5695943753028676E-4</v>
      </c>
      <c r="AQ304" s="22">
        <f t="shared" si="70"/>
        <v>-8.4680885833706668E-4</v>
      </c>
      <c r="AR304" s="22">
        <f t="shared" si="70"/>
        <v>-8.3658686020557013E-4</v>
      </c>
      <c r="AS304" s="22">
        <f t="shared" si="70"/>
        <v>-8.2627599322965283E-4</v>
      </c>
      <c r="AT304" s="22">
        <f t="shared" si="70"/>
        <v>-8.1587918381657311E-4</v>
      </c>
      <c r="AU304" s="22">
        <f t="shared" si="70"/>
        <v>-8.0540508348982262E-4</v>
      </c>
      <c r="AV304" s="22">
        <f t="shared" si="70"/>
        <v>-7.9486109264576715E-4</v>
      </c>
      <c r="AW304" s="22">
        <f t="shared" si="70"/>
        <v>-7.8423261366017795E-4</v>
      </c>
      <c r="AY304" s="79"/>
    </row>
    <row r="305" spans="1:51" x14ac:dyDescent="0.25">
      <c r="A305" s="95" t="str">
        <f t="shared" si="45"/>
        <v>FA MM Leaching</v>
      </c>
      <c r="B305" s="95" t="s">
        <v>962</v>
      </c>
      <c r="C305" s="95" t="s">
        <v>1333</v>
      </c>
      <c r="D305" t="s">
        <v>369</v>
      </c>
      <c r="E305" t="s">
        <v>64</v>
      </c>
      <c r="F305" t="s">
        <v>63</v>
      </c>
      <c r="G305" t="s">
        <v>1180</v>
      </c>
      <c r="H305" t="s">
        <v>1320</v>
      </c>
      <c r="I305" t="s">
        <v>139</v>
      </c>
      <c r="J305" t="s">
        <v>287</v>
      </c>
      <c r="K305" s="22">
        <f t="shared" si="65"/>
        <v>1.6726645268412749E-2</v>
      </c>
      <c r="L305" s="22">
        <f t="shared" si="70"/>
        <v>1.7066731126843742E-2</v>
      </c>
      <c r="M305" s="22">
        <f t="shared" si="70"/>
        <v>1.7464259263446445E-2</v>
      </c>
      <c r="N305" s="22">
        <f t="shared" si="70"/>
        <v>1.77694513935726E-2</v>
      </c>
      <c r="O305" s="22">
        <f t="shared" si="70"/>
        <v>1.8014444056791569E-2</v>
      </c>
      <c r="P305" s="22">
        <f t="shared" si="70"/>
        <v>1.8197780265539368E-2</v>
      </c>
      <c r="Q305" s="22">
        <f t="shared" si="70"/>
        <v>1.8432867891885713E-2</v>
      </c>
      <c r="R305" s="22">
        <f t="shared" si="70"/>
        <v>1.8677293946611211E-2</v>
      </c>
      <c r="S305" s="22">
        <f t="shared" si="70"/>
        <v>1.7940997011567712E-2</v>
      </c>
      <c r="T305" s="22">
        <f t="shared" si="70"/>
        <v>1.8599101618187692E-2</v>
      </c>
      <c r="U305" s="22">
        <f t="shared" si="70"/>
        <v>4.1335323674744497E-2</v>
      </c>
      <c r="V305" s="22">
        <f t="shared" si="70"/>
        <v>4.2244056956773843E-2</v>
      </c>
      <c r="W305" s="22">
        <f t="shared" si="70"/>
        <v>4.3115523568410363E-2</v>
      </c>
      <c r="X305" s="22">
        <f t="shared" si="70"/>
        <v>4.3942027126697474E-2</v>
      </c>
      <c r="Y305" s="22">
        <f t="shared" si="70"/>
        <v>4.4713130877516903E-2</v>
      </c>
      <c r="Z305" s="22">
        <f t="shared" si="70"/>
        <v>4.5425464748643458E-2</v>
      </c>
      <c r="AA305" s="22">
        <f t="shared" si="70"/>
        <v>4.6075599059895E-2</v>
      </c>
      <c r="AB305" s="22">
        <f t="shared" si="70"/>
        <v>4.666057526853875E-2</v>
      </c>
      <c r="AC305" s="22">
        <f t="shared" si="70"/>
        <v>4.7177797153361963E-2</v>
      </c>
      <c r="AD305" s="22">
        <f t="shared" si="70"/>
        <v>4.762476340679795E-2</v>
      </c>
      <c r="AE305" s="22">
        <f t="shared" si="70"/>
        <v>4.7999511889239711E-2</v>
      </c>
      <c r="AF305" s="22">
        <f t="shared" si="70"/>
        <v>4.8300272482139597E-2</v>
      </c>
      <c r="AG305" s="22">
        <f t="shared" si="70"/>
        <v>4.8525470849872195E-2</v>
      </c>
      <c r="AH305" s="22">
        <f t="shared" si="70"/>
        <v>4.8674159183630092E-2</v>
      </c>
      <c r="AI305" s="22">
        <f t="shared" si="70"/>
        <v>4.8745846953258828E-2</v>
      </c>
      <c r="AJ305" s="22">
        <f t="shared" si="70"/>
        <v>6.3546724312553964E-3</v>
      </c>
      <c r="AK305" s="22">
        <f t="shared" si="70"/>
        <v>6.4013115626169702E-3</v>
      </c>
      <c r="AL305" s="22">
        <f t="shared" si="70"/>
        <v>6.446794570043473E-3</v>
      </c>
      <c r="AM305" s="22">
        <f t="shared" si="70"/>
        <v>6.4911899708581184E-3</v>
      </c>
      <c r="AN305" s="22">
        <f t="shared" si="70"/>
        <v>6.5345767491159093E-3</v>
      </c>
      <c r="AO305" s="22">
        <f t="shared" si="70"/>
        <v>6.5767770115873272E-3</v>
      </c>
      <c r="AP305" s="22">
        <f t="shared" si="70"/>
        <v>6.6176736088844742E-3</v>
      </c>
      <c r="AQ305" s="22">
        <f t="shared" si="70"/>
        <v>6.6572579134014679E-3</v>
      </c>
      <c r="AR305" s="22">
        <f t="shared" si="70"/>
        <v>6.6953903792422425E-3</v>
      </c>
      <c r="AS305" s="22">
        <f t="shared" si="70"/>
        <v>6.7319156561258262E-3</v>
      </c>
      <c r="AT305" s="22">
        <f t="shared" si="70"/>
        <v>6.7668201581545509E-3</v>
      </c>
      <c r="AU305" s="22">
        <f t="shared" si="70"/>
        <v>6.8001333252020657E-3</v>
      </c>
      <c r="AV305" s="22">
        <f t="shared" si="70"/>
        <v>6.8318771364297487E-3</v>
      </c>
      <c r="AW305" s="22">
        <f t="shared" si="70"/>
        <v>6.8619001030845884E-3</v>
      </c>
      <c r="AY305" s="79"/>
    </row>
    <row r="306" spans="1:51" x14ac:dyDescent="0.25">
      <c r="A306" s="95" t="str">
        <f t="shared" si="45"/>
        <v>FA MM Leaching</v>
      </c>
      <c r="B306" s="95" t="s">
        <v>962</v>
      </c>
      <c r="C306" s="95" t="s">
        <v>1333</v>
      </c>
      <c r="D306" t="s">
        <v>369</v>
      </c>
      <c r="E306" t="s">
        <v>64</v>
      </c>
      <c r="F306" t="s">
        <v>63</v>
      </c>
      <c r="G306" t="s">
        <v>1182</v>
      </c>
      <c r="H306" t="s">
        <v>1321</v>
      </c>
      <c r="I306" t="s">
        <v>139</v>
      </c>
      <c r="J306" t="s">
        <v>287</v>
      </c>
      <c r="K306" s="22">
        <f t="shared" si="65"/>
        <v>7.7585797913229351E-2</v>
      </c>
      <c r="L306" s="22">
        <f t="shared" si="70"/>
        <v>7.8607464197542484E-2</v>
      </c>
      <c r="M306" s="22">
        <f t="shared" si="70"/>
        <v>8.0248553313821205E-2</v>
      </c>
      <c r="N306" s="22">
        <f t="shared" si="70"/>
        <v>8.0719757945382303E-2</v>
      </c>
      <c r="O306" s="22">
        <f t="shared" si="70"/>
        <v>8.0430818839717741E-2</v>
      </c>
      <c r="P306" s="22">
        <f t="shared" si="70"/>
        <v>7.938481013134728E-2</v>
      </c>
      <c r="Q306" s="22">
        <f t="shared" si="70"/>
        <v>7.8944464359385638E-2</v>
      </c>
      <c r="R306" s="22">
        <f t="shared" si="70"/>
        <v>7.8604018955287347E-2</v>
      </c>
      <c r="S306" s="22">
        <f t="shared" si="70"/>
        <v>6.8551548491341041E-2</v>
      </c>
      <c r="T306" s="22">
        <f t="shared" si="70"/>
        <v>7.3739546332348721E-2</v>
      </c>
      <c r="U306" s="22">
        <f t="shared" si="70"/>
        <v>0.32063801867343739</v>
      </c>
      <c r="V306" s="22">
        <f t="shared" si="70"/>
        <v>0.3263865261169076</v>
      </c>
      <c r="W306" s="22">
        <f t="shared" si="70"/>
        <v>0.3314934571329114</v>
      </c>
      <c r="X306" s="22">
        <f t="shared" si="70"/>
        <v>0.33598061783359728</v>
      </c>
      <c r="Y306" s="22">
        <f t="shared" si="70"/>
        <v>0.33990898947079762</v>
      </c>
      <c r="Z306" s="22">
        <f t="shared" si="70"/>
        <v>0.3432491056284519</v>
      </c>
      <c r="AA306" s="22">
        <f t="shared" si="70"/>
        <v>0.345978344064029</v>
      </c>
      <c r="AB306" s="22">
        <f t="shared" si="70"/>
        <v>0.34807446920762175</v>
      </c>
      <c r="AC306" s="22">
        <f t="shared" si="70"/>
        <v>0.34951764979405581</v>
      </c>
      <c r="AD306" s="22">
        <f t="shared" si="70"/>
        <v>0.35029436297093797</v>
      </c>
      <c r="AE306" s="22">
        <f t="shared" si="70"/>
        <v>0.3503920713528586</v>
      </c>
      <c r="AF306" s="22">
        <f t="shared" si="70"/>
        <v>0.34980401942204614</v>
      </c>
      <c r="AG306" s="22">
        <f t="shared" si="70"/>
        <v>0.34852938630195235</v>
      </c>
      <c r="AH306" s="22">
        <f t="shared" si="70"/>
        <v>0.34656807266355577</v>
      </c>
      <c r="AI306" s="22">
        <f t="shared" si="70"/>
        <v>0.34392301643743828</v>
      </c>
      <c r="AJ306" s="22">
        <f t="shared" si="70"/>
        <v>-7.3441689918994316E-2</v>
      </c>
      <c r="AK306" s="22">
        <f t="shared" si="70"/>
        <v>-7.3545621673456185E-2</v>
      </c>
      <c r="AL306" s="22">
        <f t="shared" si="70"/>
        <v>-7.3639730110431498E-2</v>
      </c>
      <c r="AM306" s="22">
        <f t="shared" si="70"/>
        <v>-7.3724815505769356E-2</v>
      </c>
      <c r="AN306" s="22">
        <f t="shared" si="70"/>
        <v>-7.3801792793217899E-2</v>
      </c>
      <c r="AO306" s="22">
        <f t="shared" si="70"/>
        <v>-7.386851362361406E-2</v>
      </c>
      <c r="AP306" s="22">
        <f t="shared" si="70"/>
        <v>-7.3923604247027361E-2</v>
      </c>
      <c r="AQ306" s="22">
        <f t="shared" si="70"/>
        <v>-7.3967002295391979E-2</v>
      </c>
      <c r="AR306" s="22">
        <f t="shared" si="70"/>
        <v>-7.3997124044251614E-2</v>
      </c>
      <c r="AS306" s="22">
        <f t="shared" si="70"/>
        <v>-7.4012242065131795E-2</v>
      </c>
      <c r="AT306" s="22">
        <f t="shared" si="70"/>
        <v>-7.4012306856669818E-2</v>
      </c>
      <c r="AU306" s="22">
        <f t="shared" si="70"/>
        <v>-7.3997766932053066E-2</v>
      </c>
      <c r="AV306" s="22">
        <f t="shared" si="70"/>
        <v>-7.3968978731960316E-2</v>
      </c>
      <c r="AW306" s="22">
        <f t="shared" si="70"/>
        <v>-7.3924322860586755E-2</v>
      </c>
      <c r="AY306" s="79"/>
    </row>
    <row r="307" spans="1:51" x14ac:dyDescent="0.25">
      <c r="B307" s="101"/>
    </row>
    <row r="308" spans="1:51" x14ac:dyDescent="0.25">
      <c r="B308" s="101"/>
    </row>
    <row r="309" spans="1:51" x14ac:dyDescent="0.25">
      <c r="B309" s="101"/>
    </row>
    <row r="310" spans="1:51" x14ac:dyDescent="0.25">
      <c r="A310" s="95" t="str">
        <f t="shared" ref="A310:A373" si="71">B310&amp;" "&amp;C310</f>
        <v>GS Cattle</v>
      </c>
      <c r="B310" s="95" t="s">
        <v>1021</v>
      </c>
      <c r="C310" s="95" t="s">
        <v>1108</v>
      </c>
      <c r="D310" t="s">
        <v>15</v>
      </c>
      <c r="E310" t="s">
        <v>16</v>
      </c>
      <c r="F310" t="s">
        <v>6</v>
      </c>
      <c r="G310" t="s">
        <v>136</v>
      </c>
      <c r="H310" t="s">
        <v>1020</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73.223011790998029</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73.83596289834658</v>
      </c>
      <c r="P310" s="93">
        <f>IF('Net zero activities &amp; levers'!$C$7="Off",(('Activity data'!AI5*EF!$H4)*kgtoGg),IF('Net zero activities &amp; levers'!$C$7="On",((('Net zero supporting data'!G76*EF!$H4)+('Net zero supporting data'!G71*'Net zero supporting data'!G56))*kgtoGg),"ERROR"))</f>
        <v>73.954711561483919</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74.518042528471327</v>
      </c>
      <c r="S310" s="93">
        <f>IF('Net zero activities &amp; levers'!$C$7="Off",(('Activity data'!AL5*EF!$H4)*kgtoGg),IF('Net zero activities &amp; levers'!$C$7="On",((('Net zero supporting data'!J76*EF!$H4)+('Net zero supporting data'!J71*'Net zero supporting data'!J56))*kgtoGg),"ERROR"))</f>
        <v>72.400641735612226</v>
      </c>
      <c r="T310" s="93">
        <f>IF('Net zero activities &amp; levers'!$C$7="Off",(('Activity data'!AM5*EF!$H4)*kgtoGg),IF('Net zero activities &amp; levers'!$C$7="On",((('Net zero supporting data'!K76*EF!$H4)+('Net zero supporting data'!K71*'Net zero supporting data'!K56))*kgtoGg),"ERROR"))</f>
        <v>73.646397311613569</v>
      </c>
      <c r="U310" s="93">
        <f>IF('Net zero activities &amp; levers'!$C$7="Off",(('Activity data'!AN5*EF!$H4)*kgtoGg),IF('Net zero activities &amp; levers'!$C$7="On",((('Net zero supporting data'!L76*EF!$H4)+('Net zero supporting data'!L71*'Net zero supporting data'!L56))*kgtoGg),"ERROR"))</f>
        <v>126.71451623908638</v>
      </c>
      <c r="V310" s="93">
        <f>IF('Net zero activities &amp; levers'!$C$7="Off",(('Activity data'!AO5*EF!$H4)*kgtoGg),IF('Net zero activities &amp; levers'!$C$7="On",((('Net zero supporting data'!M76*EF!$H4)+('Net zero supporting data'!M71*'Net zero supporting data'!M56))*kgtoGg),"ERROR"))</f>
        <v>128.24200058803578</v>
      </c>
      <c r="W310" s="93">
        <f>IF('Net zero activities &amp; levers'!$C$7="Off",(('Activity data'!AP5*EF!$H4)*kgtoGg),IF('Net zero activities &amp; levers'!$C$7="On",((('Net zero supporting data'!N76*EF!$H4)+('Net zero supporting data'!N71*'Net zero supporting data'!N56))*kgtoGg),"ERROR"))</f>
        <v>129.70248573615504</v>
      </c>
      <c r="X310" s="93">
        <f>IF('Net zero activities &amp; levers'!$C$7="Off",(('Activity data'!AQ5*EF!$H4)*kgtoGg),IF('Net zero activities &amp; levers'!$C$7="On",((('Net zero supporting data'!O76*EF!$H4)+('Net zero supporting data'!O71*'Net zero supporting data'!O56))*kgtoGg),"ERROR"))</f>
        <v>131.07112915343163</v>
      </c>
      <c r="Y310" s="93">
        <f>IF('Net zero activities &amp; levers'!$C$7="Off",(('Activity data'!AR5*EF!$H4)*kgtoGg),IF('Net zero activities &amp; levers'!$C$7="On",((('Net zero supporting data'!P76*EF!$H4)+('Net zero supporting data'!P71*'Net zero supporting data'!P56))*kgtoGg),"ERROR"))</f>
        <v>132.31138089682617</v>
      </c>
      <c r="Z310" s="93">
        <f>IF('Net zero activities &amp; levers'!$C$7="Off",(('Activity data'!AS5*EF!$H4)*kgtoGg),IF('Net zero activities &amp; levers'!$C$7="On",((('Net zero supporting data'!Q76*EF!$H4)+('Net zero supporting data'!Q71*'Net zero supporting data'!Q56))*kgtoGg),"ERROR"))</f>
        <v>133.41744896278323</v>
      </c>
      <c r="AA310" s="93">
        <f>IF('Net zero activities &amp; levers'!$C$7="Off",(('Activity data'!AT5*EF!$H4)*kgtoGg),IF('Net zero activities &amp; levers'!$C$7="On",((('Net zero supporting data'!R76*EF!$H4)+('Net zero supporting data'!R71*'Net zero supporting data'!R56))*kgtoGg),"ERROR"))</f>
        <v>134.38288992099422</v>
      </c>
      <c r="AB310" s="93">
        <f>IF('Net zero activities &amp; levers'!$C$7="Off",(('Activity data'!AU5*EF!$H4)*kgtoGg),IF('Net zero activities &amp; levers'!$C$7="On",((('Net zero supporting data'!S76*EF!$H4)+('Net zero supporting data'!S71*'Net zero supporting data'!S56))*kgtoGg),"ERROR"))</f>
        <v>135.20282704552554</v>
      </c>
      <c r="AC310" s="93">
        <f>IF('Net zero activities &amp; levers'!$C$7="Off",(('Activity data'!AV5*EF!$H4)*kgtoGg),IF('Net zero activities &amp; levers'!$C$7="On",((('Net zero supporting data'!T76*EF!$H4)+('Net zero supporting data'!T71*'Net zero supporting data'!T56))*kgtoGg),"ERROR"))</f>
        <v>135.87339274665732</v>
      </c>
      <c r="AD310" s="93">
        <f>IF('Net zero activities &amp; levers'!$C$7="Off",(('Activity data'!AW5*EF!$H4)*kgtoGg),IF('Net zero activities &amp; levers'!$C$7="On",((('Net zero supporting data'!U76*EF!$H4)+('Net zero supporting data'!U71*'Net zero supporting data'!U56))*kgtoGg),"ERROR"))</f>
        <v>136.39052131842715</v>
      </c>
      <c r="AE310" s="93">
        <f>IF('Net zero activities &amp; levers'!$C$7="Off",(('Activity data'!AX5*EF!$H4)*kgtoGg),IF('Net zero activities &amp; levers'!$C$7="On",((('Net zero supporting data'!V76*EF!$H4)+('Net zero supporting data'!V71*'Net zero supporting data'!V56))*kgtoGg),"ERROR"))</f>
        <v>136.75177878147903</v>
      </c>
      <c r="AF310" s="93">
        <f>IF('Net zero activities &amp; levers'!$C$7="Off",(('Activity data'!AY5*EF!$H4)*kgtoGg),IF('Net zero activities &amp; levers'!$C$7="On",((('Net zero supporting data'!W76*EF!$H4)+('Net zero supporting data'!W71*'Net zero supporting data'!W56))*kgtoGg),"ERROR"))</f>
        <v>136.95483040988077</v>
      </c>
      <c r="AG310" s="93">
        <f>IF('Net zero activities &amp; levers'!$C$7="Off",(('Activity data'!AZ5*EF!$H4)*kgtoGg),IF('Net zero activities &amp; levers'!$C$7="On",((('Net zero supporting data'!X76*EF!$H4)+('Net zero supporting data'!X71*'Net zero supporting data'!X56))*kgtoGg),"ERROR"))</f>
        <v>136.99742056904799</v>
      </c>
      <c r="AH310" s="93">
        <f>IF('Net zero activities &amp; levers'!$C$7="Off",(('Activity data'!BA5*EF!$H4)*kgtoGg),IF('Net zero activities &amp; levers'!$C$7="On",((('Net zero supporting data'!Y76*EF!$H4)+('Net zero supporting data'!Y71*'Net zero supporting data'!Y56))*kgtoGg),"ERROR"))</f>
        <v>136.87913733677345</v>
      </c>
      <c r="AI310" s="93">
        <f>IF('Net zero activities &amp; levers'!$C$7="Off",(('Activity data'!BB5*EF!$H4)*kgtoGg),IF('Net zero activities &amp; levers'!$C$7="On",((('Net zero supporting data'!Z76*EF!$H4)+('Net zero supporting data'!Z71*'Net zero supporting data'!Z56))*kgtoGg),"ERROR"))</f>
        <v>136.60065411000454</v>
      </c>
      <c r="AJ310" s="93">
        <f>IF('Net zero activities &amp; levers'!$C$7="Off",(('Activity data'!BC5*EF!$H4)*kgtoGg),IF('Net zero activities &amp; levers'!$C$7="On",((('Net zero supporting data'!AA76*EF!$H4)+('Net zero supporting data'!AA71*'Net zero supporting data'!AA56))*kgtoGg),"ERROR"))</f>
        <v>43.218084806671186</v>
      </c>
      <c r="AK310" s="93">
        <f>IF('Net zero activities &amp; levers'!$C$7="Off",(('Activity data'!BD5*EF!$H4)*kgtoGg),IF('Net zero activities &amp; levers'!$C$7="On",((('Net zero supporting data'!AB76*EF!$H4)+('Net zero supporting data'!AB71*'Net zero supporting data'!AB56))*kgtoGg),"ERROR"))</f>
        <v>43.249633283301115</v>
      </c>
      <c r="AL310" s="93">
        <f>IF('Net zero activities &amp; levers'!$C$7="Off",(('Activity data'!BE5*EF!$H4)*kgtoGg),IF('Net zero activities &amp; levers'!$C$7="On",((('Net zero supporting data'!AC76*EF!$H4)+('Net zero supporting data'!AC71*'Net zero supporting data'!AC56))*kgtoGg),"ERROR"))</f>
        <v>43.278910692305409</v>
      </c>
      <c r="AM310" s="93">
        <f>IF('Net zero activities &amp; levers'!$C$7="Off",(('Activity data'!BF5*EF!$H4)*kgtoGg),IF('Net zero activities &amp; levers'!$C$7="On",((('Net zero supporting data'!AD76*EF!$H4)+('Net zero supporting data'!AD71*'Net zero supporting data'!AD56))*kgtoGg),"ERROR"))</f>
        <v>43.306115085271941</v>
      </c>
      <c r="AN310" s="93">
        <f>IF('Net zero activities &amp; levers'!$C$7="Off",(('Activity data'!BG5*EF!$H4)*kgtoGg),IF('Net zero activities &amp; levers'!$C$7="On",((('Net zero supporting data'!AE76*EF!$H4)+('Net zero supporting data'!AE71*'Net zero supporting data'!AE56))*kgtoGg),"ERROR"))</f>
        <v>43.331490420249878</v>
      </c>
      <c r="AO310" s="93">
        <f>IF('Net zero activities &amp; levers'!$C$7="Off",(('Activity data'!BH5*EF!$H4)*kgtoGg),IF('Net zero activities &amp; levers'!$C$7="On",((('Net zero supporting data'!AF76*EF!$H4)+('Net zero supporting data'!AF71*'Net zero supporting data'!AF56))*kgtoGg),"ERROR"))</f>
        <v>43.354240288744201</v>
      </c>
      <c r="AP310" s="93">
        <f>IF('Net zero activities &amp; levers'!$C$7="Off",(('Activity data'!BI5*EF!$H4)*kgtoGg),IF('Net zero activities &amp; levers'!$C$7="On",((('Net zero supporting data'!AG76*EF!$H4)+('Net zero supporting data'!AG71*'Net zero supporting data'!AG56))*kgtoGg),"ERROR"))</f>
        <v>43.373829871792871</v>
      </c>
      <c r="AQ310" s="93">
        <f>IF('Net zero activities &amp; levers'!$C$7="Off",(('Activity data'!BJ5*EF!$H4)*kgtoGg),IF('Net zero activities &amp; levers'!$C$7="On",((('Net zero supporting data'!AH76*EF!$H4)+('Net zero supporting data'!AH71*'Net zero supporting data'!AH56))*kgtoGg),"ERROR"))</f>
        <v>43.390173404871973</v>
      </c>
      <c r="AR310" s="93">
        <f>IF('Net zero activities &amp; levers'!$C$7="Off",(('Activity data'!BK5*EF!$H4)*kgtoGg),IF('Net zero activities &amp; levers'!$C$7="On",((('Net zero supporting data'!AI76*EF!$H4)+('Net zero supporting data'!AI71*'Net zero supporting data'!AI56))*kgtoGg),"ERROR"))</f>
        <v>43.402664060341642</v>
      </c>
      <c r="AS310" s="93">
        <f>IF('Net zero activities &amp; levers'!$C$7="Off",(('Activity data'!BL5*EF!$H4)*kgtoGg),IF('Net zero activities &amp; levers'!$C$7="On",((('Net zero supporting data'!AJ76*EF!$H4)+('Net zero supporting data'!AJ71*'Net zero supporting data'!AJ56))*kgtoGg),"ERROR"))</f>
        <v>43.410643013134724</v>
      </c>
      <c r="AT310" s="93">
        <f>IF('Net zero activities &amp; levers'!$C$7="Off",(('Activity data'!BM5*EF!$H4)*kgtoGg),IF('Net zero activities &amp; levers'!$C$7="On",((('Net zero supporting data'!AK76*EF!$H4)+('Net zero supporting data'!AK71*'Net zero supporting data'!AK56))*kgtoGg),"ERROR"))</f>
        <v>43.414028889166616</v>
      </c>
      <c r="AU310" s="93">
        <f>IF('Net zero activities &amp; levers'!$C$7="Off",(('Activity data'!BN5*EF!$H4)*kgtoGg),IF('Net zero activities &amp; levers'!$C$7="On",((('Net zero supporting data'!AL76*EF!$H4)+('Net zero supporting data'!AL71*'Net zero supporting data'!AL56))*kgtoGg),"ERROR"))</f>
        <v>43.412915266479416</v>
      </c>
      <c r="AV310" s="93">
        <f>IF('Net zero activities &amp; levers'!$C$7="Off",(('Activity data'!BO5*EF!$H4)*kgtoGg),IF('Net zero activities &amp; levers'!$C$7="On",((('Net zero supporting data'!AM76*EF!$H4)+('Net zero supporting data'!AM71*'Net zero supporting data'!AM56))*kgtoGg),"ERROR"))</f>
        <v>43.407367404961896</v>
      </c>
      <c r="AW310" s="93">
        <f>IF('Net zero activities &amp; levers'!$C$7="Off",(('Activity data'!BP5*EF!$H4)*kgtoGg),IF('Net zero activities &amp; levers'!$C$7="On",((('Net zero supporting data'!AN76*EF!$H4)+('Net zero supporting data'!AN71*'Net zero supporting data'!AN56))*kgtoGg),"ERROR"))</f>
        <v>43.396765644330657</v>
      </c>
      <c r="AY310" s="79"/>
    </row>
    <row r="311" spans="1:51" x14ac:dyDescent="0.25">
      <c r="A311" s="95" t="str">
        <f t="shared" si="71"/>
        <v>GS Cattle</v>
      </c>
      <c r="B311" s="95" t="s">
        <v>1021</v>
      </c>
      <c r="C311" s="95" t="s">
        <v>1108</v>
      </c>
      <c r="D311" t="s">
        <v>15</v>
      </c>
      <c r="E311" t="s">
        <v>16</v>
      </c>
      <c r="F311" t="s">
        <v>6</v>
      </c>
      <c r="G311" t="s">
        <v>137</v>
      </c>
      <c r="H311" t="s">
        <v>1020</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58.564977012483297</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59.055225455337663</v>
      </c>
      <c r="P311" s="93">
        <f>IF('Net zero activities &amp; levers'!$C$7="Off",(('Activity data'!AI6*EF!$H5)*kgtoGg),IF('Net zero activities &amp; levers'!$C$7="On",((('Net zero supporting data'!G77*EF!$H5)+('Net zero supporting data'!G72*'Net zero supporting data'!G52))*kgtoGg),"ERROR"))</f>
        <v>59.150202601958618</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59.600764035107616</v>
      </c>
      <c r="S311" s="93">
        <f>IF('Net zero activities &amp; levers'!$C$7="Off",(('Activity data'!AL6*EF!$H5)*kgtoGg),IF('Net zero activities &amp; levers'!$C$7="On",((('Net zero supporting data'!J77*EF!$H5)+('Net zero supporting data'!J72*'Net zero supporting data'!J52))*kgtoGg),"ERROR"))</f>
        <v>57.907231828129312</v>
      </c>
      <c r="T311" s="93">
        <f>IF('Net zero activities &amp; levers'!$C$7="Off",(('Activity data'!AM6*EF!$H5)*kgtoGg),IF('Net zero activities &amp; levers'!$C$7="On",((('Net zero supporting data'!K77*EF!$H5)+('Net zero supporting data'!K72*'Net zero supporting data'!K52))*kgtoGg),"ERROR"))</f>
        <v>58.903607760874827</v>
      </c>
      <c r="U311" s="93">
        <f>IF('Net zero activities &amp; levers'!$C$7="Off",(('Activity data'!AN6*EF!$H5)*kgtoGg),IF('Net zero activities &amp; levers'!$C$7="On",((('Net zero supporting data'!L77*EF!$H5)+('Net zero supporting data'!L72*'Net zero supporting data'!L52))*kgtoGg),"ERROR"))</f>
        <v>101.34836780371782</v>
      </c>
      <c r="V311" s="93">
        <f>IF('Net zero activities &amp; levers'!$C$7="Off",(('Activity data'!AO6*EF!$H5)*kgtoGg),IF('Net zero activities &amp; levers'!$C$7="On",((('Net zero supporting data'!M77*EF!$H5)+('Net zero supporting data'!M72*'Net zero supporting data'!M52))*kgtoGg),"ERROR"))</f>
        <v>102.57007507299116</v>
      </c>
      <c r="W311" s="93">
        <f>IF('Net zero activities &amp; levers'!$C$7="Off",(('Activity data'!AP6*EF!$H5)*kgtoGg),IF('Net zero activities &amp; levers'!$C$7="On",((('Net zero supporting data'!N77*EF!$H5)+('Net zero supporting data'!N72*'Net zero supporting data'!N52))*kgtoGg),"ERROR"))</f>
        <v>103.73819527229158</v>
      </c>
      <c r="X311" s="93">
        <f>IF('Net zero activities &amp; levers'!$C$7="Off",(('Activity data'!AQ6*EF!$H5)*kgtoGg),IF('Net zero activities &amp; levers'!$C$7="On",((('Net zero supporting data'!O77*EF!$H5)+('Net zero supporting data'!O72*'Net zero supporting data'!O52))*kgtoGg),"ERROR"))</f>
        <v>104.83285893485541</v>
      </c>
      <c r="Y311" s="93">
        <f>IF('Net zero activities &amp; levers'!$C$7="Off",(('Activity data'!AR6*EF!$H5)*kgtoGg),IF('Net zero activities &amp; levers'!$C$7="On",((('Net zero supporting data'!P77*EF!$H5)+('Net zero supporting data'!P72*'Net zero supporting data'!P52))*kgtoGg),"ERROR"))</f>
        <v>105.82483281116795</v>
      </c>
      <c r="Z311" s="93">
        <f>IF('Net zero activities &amp; levers'!$C$7="Off",(('Activity data'!AS6*EF!$H5)*kgtoGg),IF('Net zero activities &amp; levers'!$C$7="On",((('Net zero supporting data'!Q77*EF!$H5)+('Net zero supporting data'!Q72*'Net zero supporting data'!Q52))*kgtoGg),"ERROR"))</f>
        <v>106.70948436090084</v>
      </c>
      <c r="AA311" s="93">
        <f>IF('Net zero activities &amp; levers'!$C$7="Off",(('Activity data'!AT6*EF!$H5)*kgtoGg),IF('Net zero activities &amp; levers'!$C$7="On",((('Net zero supporting data'!R77*EF!$H5)+('Net zero supporting data'!R72*'Net zero supporting data'!R52))*kgtoGg),"ERROR"))</f>
        <v>107.48166002182452</v>
      </c>
      <c r="AB311" s="93">
        <f>IF('Net zero activities &amp; levers'!$C$7="Off",(('Activity data'!AU6*EF!$H5)*kgtoGg),IF('Net zero activities &amp; levers'!$C$7="On",((('Net zero supporting data'!S77*EF!$H5)+('Net zero supporting data'!S72*'Net zero supporting data'!S52))*kgtoGg),"ERROR"))</f>
        <v>108.13745930780478</v>
      </c>
      <c r="AC311" s="93">
        <f>IF('Net zero activities &amp; levers'!$C$7="Off",(('Activity data'!AV6*EF!$H5)*kgtoGg),IF('Net zero activities &amp; levers'!$C$7="On",((('Net zero supporting data'!T77*EF!$H5)+('Net zero supporting data'!T72*'Net zero supporting data'!T52))*kgtoGg),"ERROR"))</f>
        <v>108.67378885655694</v>
      </c>
      <c r="AD311" s="93">
        <f>IF('Net zero activities &amp; levers'!$C$7="Off",(('Activity data'!AW6*EF!$H5)*kgtoGg),IF('Net zero activities &amp; levers'!$C$7="On",((('Net zero supporting data'!U77*EF!$H5)+('Net zero supporting data'!U72*'Net zero supporting data'!U52))*kgtoGg),"ERROR"))</f>
        <v>109.087396849146</v>
      </c>
      <c r="AE311" s="93">
        <f>IF('Net zero activities &amp; levers'!$C$7="Off",(('Activity data'!AX6*EF!$H5)*kgtoGg),IF('Net zero activities &amp; levers'!$C$7="On",((('Net zero supporting data'!V77*EF!$H5)+('Net zero supporting data'!V72*'Net zero supporting data'!V52))*kgtoGg),"ERROR"))</f>
        <v>109.37633654858924</v>
      </c>
      <c r="AF311" s="93">
        <f>IF('Net zero activities &amp; levers'!$C$7="Off",(('Activity data'!AY6*EF!$H5)*kgtoGg),IF('Net zero activities &amp; levers'!$C$7="On",((('Net zero supporting data'!W77*EF!$H5)+('Net zero supporting data'!W72*'Net zero supporting data'!W52))*kgtoGg),"ERROR"))</f>
        <v>109.5387406024356</v>
      </c>
      <c r="AG311" s="93">
        <f>IF('Net zero activities &amp; levers'!$C$7="Off",(('Activity data'!AZ6*EF!$H5)*kgtoGg),IF('Net zero activities &amp; levers'!$C$7="On",((('Net zero supporting data'!X77*EF!$H5)+('Net zero supporting data'!X72*'Net zero supporting data'!X52))*kgtoGg),"ERROR"))</f>
        <v>109.57280491680314</v>
      </c>
      <c r="AH311" s="93">
        <f>IF('Net zero activities &amp; levers'!$C$7="Off",(('Activity data'!BA6*EF!$H5)*kgtoGg),IF('Net zero activities &amp; levers'!$C$7="On",((('Net zero supporting data'!Y77*EF!$H5)+('Net zero supporting data'!Y72*'Net zero supporting data'!Y52))*kgtoGg),"ERROR"))</f>
        <v>109.47820002949129</v>
      </c>
      <c r="AI311" s="93">
        <f>IF('Net zero activities &amp; levers'!$C$7="Off",(('Activity data'!BB6*EF!$H5)*kgtoGg),IF('Net zero activities &amp; levers'!$C$7="On",((('Net zero supporting data'!Z77*EF!$H5)+('Net zero supporting data'!Z72*'Net zero supporting data'!Z52))*kgtoGg),"ERROR"))</f>
        <v>109.25546453452645</v>
      </c>
      <c r="AJ311" s="93">
        <f>IF('Net zero activities &amp; levers'!$C$7="Off",(('Activity data'!BC6*EF!$H5)*kgtoGg),IF('Net zero activities &amp; levers'!$C$7="On",((('Net zero supporting data'!AA77*EF!$H5)+('Net zero supporting data'!AA72*'Net zero supporting data'!AA52))*kgtoGg),"ERROR"))</f>
        <v>34.566539689062871</v>
      </c>
      <c r="AK311" s="93">
        <f>IF('Net zero activities &amp; levers'!$C$7="Off",(('Activity data'!BD6*EF!$H5)*kgtoGg),IF('Net zero activities &amp; levers'!$C$7="On",((('Net zero supporting data'!AB77*EF!$H5)+('Net zero supporting data'!AB72*'Net zero supporting data'!AB52))*kgtoGg),"ERROR"))</f>
        <v>34.591772682945773</v>
      </c>
      <c r="AL311" s="93">
        <f>IF('Net zero activities &amp; levers'!$C$7="Off",(('Activity data'!BE6*EF!$H5)*kgtoGg),IF('Net zero activities &amp; levers'!$C$7="On",((('Net zero supporting data'!AC77*EF!$H5)+('Net zero supporting data'!AC72*'Net zero supporting data'!AC52))*kgtoGg),"ERROR"))</f>
        <v>34.61518923934495</v>
      </c>
      <c r="AM311" s="93">
        <f>IF('Net zero activities &amp; levers'!$C$7="Off",(('Activity data'!BF6*EF!$H5)*kgtoGg),IF('Net zero activities &amp; levers'!$C$7="On",((('Net zero supporting data'!AD77*EF!$H5)+('Net zero supporting data'!AD72*'Net zero supporting data'!AD52))*kgtoGg),"ERROR"))</f>
        <v>34.636947763199053</v>
      </c>
      <c r="AN311" s="93">
        <f>IF('Net zero activities &amp; levers'!$C$7="Off",(('Activity data'!BG6*EF!$H5)*kgtoGg),IF('Net zero activities &amp; levers'!$C$7="On",((('Net zero supporting data'!AE77*EF!$H5)+('Net zero supporting data'!AE72*'Net zero supporting data'!AE52))*kgtoGg),"ERROR"))</f>
        <v>34.657243376194444</v>
      </c>
      <c r="AO311" s="93">
        <f>IF('Net zero activities &amp; levers'!$C$7="Off",(('Activity data'!BH6*EF!$H5)*kgtoGg),IF('Net zero activities &amp; levers'!$C$7="On",((('Net zero supporting data'!AF77*EF!$H5)+('Net zero supporting data'!AF72*'Net zero supporting data'!AF52))*kgtoGg),"ERROR"))</f>
        <v>34.675439097632541</v>
      </c>
      <c r="AP311" s="93">
        <f>IF('Net zero activities &amp; levers'!$C$7="Off",(('Activity data'!BI6*EF!$H5)*kgtoGg),IF('Net zero activities &amp; levers'!$C$7="On",((('Net zero supporting data'!AG77*EF!$H5)+('Net zero supporting data'!AG72*'Net zero supporting data'!AG52))*kgtoGg),"ERROR"))</f>
        <v>34.691107170453741</v>
      </c>
      <c r="AQ311" s="93">
        <f>IF('Net zero activities &amp; levers'!$C$7="Off",(('Activity data'!BJ6*EF!$H5)*kgtoGg),IF('Net zero activities &amp; levers'!$C$7="On",((('Net zero supporting data'!AH77*EF!$H5)+('Net zero supporting data'!AH72*'Net zero supporting data'!AH52))*kgtoGg),"ERROR"))</f>
        <v>34.704178998772043</v>
      </c>
      <c r="AR311" s="93">
        <f>IF('Net zero activities &amp; levers'!$C$7="Off",(('Activity data'!BK6*EF!$H5)*kgtoGg),IF('Net zero activities &amp; levers'!$C$7="On",((('Net zero supporting data'!AI77*EF!$H5)+('Net zero supporting data'!AI72*'Net zero supporting data'!AI52))*kgtoGg),"ERROR"))</f>
        <v>34.714169231795225</v>
      </c>
      <c r="AS311" s="93">
        <f>IF('Net zero activities &amp; levers'!$C$7="Off",(('Activity data'!BL6*EF!$H5)*kgtoGg),IF('Net zero activities &amp; levers'!$C$7="On",((('Net zero supporting data'!AJ77*EF!$H5)+('Net zero supporting data'!AJ72*'Net zero supporting data'!AJ52))*kgtoGg),"ERROR"))</f>
        <v>34.720550930327988</v>
      </c>
      <c r="AT311" s="93">
        <f>IF('Net zero activities &amp; levers'!$C$7="Off",(('Activity data'!BM6*EF!$H5)*kgtoGg),IF('Net zero activities &amp; levers'!$C$7="On",((('Net zero supporting data'!AK77*EF!$H5)+('Net zero supporting data'!AK72*'Net zero supporting data'!AK52))*kgtoGg),"ERROR"))</f>
        <v>34.723259010030318</v>
      </c>
      <c r="AU311" s="93">
        <f>IF('Net zero activities &amp; levers'!$C$7="Off",(('Activity data'!BN6*EF!$H5)*kgtoGg),IF('Net zero activities &amp; levers'!$C$7="On",((('Net zero supporting data'!AL77*EF!$H5)+('Net zero supporting data'!AL72*'Net zero supporting data'!AL52))*kgtoGg),"ERROR"))</f>
        <v>34.722368316169444</v>
      </c>
      <c r="AV311" s="93">
        <f>IF('Net zero activities &amp; levers'!$C$7="Off",(('Activity data'!BO6*EF!$H5)*kgtoGg),IF('Net zero activities &amp; levers'!$C$7="On",((('Net zero supporting data'!AM77*EF!$H5)+('Net zero supporting data'!AM72*'Net zero supporting data'!AM52))*kgtoGg),"ERROR"))</f>
        <v>34.717931044684789</v>
      </c>
      <c r="AW311" s="93">
        <f>IF('Net zero activities &amp; levers'!$C$7="Off",(('Activity data'!BP6*EF!$H5)*kgtoGg),IF('Net zero activities &amp; levers'!$C$7="On",((('Net zero supporting data'!AN77*EF!$H5)+('Net zero supporting data'!AN72*'Net zero supporting data'!AN52))*kgtoGg),"ERROR"))</f>
        <v>34.709451581023373</v>
      </c>
      <c r="AY311" s="79"/>
    </row>
    <row r="312" spans="1:51" x14ac:dyDescent="0.25">
      <c r="A312" s="95" t="str">
        <f t="shared" si="71"/>
        <v>GS Cattle</v>
      </c>
      <c r="B312" s="95" t="s">
        <v>1021</v>
      </c>
      <c r="C312" s="95" t="s">
        <v>1108</v>
      </c>
      <c r="D312" t="s">
        <v>15</v>
      </c>
      <c r="E312" t="s">
        <v>16</v>
      </c>
      <c r="F312" t="s">
        <v>67</v>
      </c>
      <c r="G312" t="s">
        <v>307</v>
      </c>
      <c r="H312" t="s">
        <v>1020</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26.479482964607669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26.701143177813606</v>
      </c>
      <c r="P312" s="93">
        <f>IF('Net zero activities &amp; levers'!$C$7="Off",(('Activity data'!AI7*EF!$H6)*kgtoGg),IF('Net zero activities &amp; levers'!$C$7="On",((('Net zero supporting data'!G78*EF!$H6)+('Net zero supporting data'!G73*'Net zero supporting data'!G58))*kgtoGg),"ERROR"))</f>
        <v>26.744086005835896</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26.947802192577253</v>
      </c>
      <c r="S312" s="93">
        <f>IF('Net zero activities &amp; levers'!$C$7="Off",(('Activity data'!AL7*EF!$H6)*kgtoGg),IF('Net zero activities &amp; levers'!$C$7="On",((('Net zero supporting data'!J78*EF!$H6)+('Net zero supporting data'!J73*'Net zero supporting data'!J58))*kgtoGg),"ERROR"))</f>
        <v>26.182091019923025</v>
      </c>
      <c r="T312" s="93">
        <f>IF('Net zero activities &amp; levers'!$C$7="Off",(('Activity data'!AM7*EF!$H6)*kgtoGg),IF('Net zero activities &amp; levers'!$C$7="On",((('Net zero supporting data'!K78*EF!$H6)+('Net zero supporting data'!K73*'Net zero supporting data'!K58))*kgtoGg),"ERROR"))</f>
        <v>26.632590975414445</v>
      </c>
      <c r="U312" s="93">
        <f>IF('Net zero activities &amp; levers'!$C$7="Off",(('Activity data'!AN7*EF!$H6)*kgtoGg),IF('Net zero activities &amp; levers'!$C$7="On",((('Net zero supporting data'!L78*EF!$H6)+('Net zero supporting data'!L73*'Net zero supporting data'!L58))*kgtoGg),"ERROR"))</f>
        <v>45.823502640107073</v>
      </c>
      <c r="V312" s="93">
        <f>IF('Net zero activities &amp; levers'!$C$7="Off",(('Activity data'!AO7*EF!$H6)*kgtoGg),IF('Net zero activities &amp; levers'!$C$7="On",((('Net zero supporting data'!M78*EF!$H6)+('Net zero supporting data'!M73*'Net zero supporting data'!M58))*kgtoGg),"ERROR"))</f>
        <v>46.375883576200764</v>
      </c>
      <c r="W312" s="93">
        <f>IF('Net zero activities &amp; levers'!$C$7="Off",(('Activity data'!AP7*EF!$H6)*kgtoGg),IF('Net zero activities &amp; levers'!$C$7="On",((('Net zero supporting data'!N78*EF!$H6)+('Net zero supporting data'!N73*'Net zero supporting data'!N58))*kgtoGg),"ERROR"))</f>
        <v>46.904035732930822</v>
      </c>
      <c r="X312" s="93">
        <f>IF('Net zero activities &amp; levers'!$C$7="Off",(('Activity data'!AQ7*EF!$H6)*kgtoGg),IF('Net zero activities &amp; levers'!$C$7="On",((('Net zero supporting data'!O78*EF!$H6)+('Net zero supporting data'!O73*'Net zero supporting data'!O58))*kgtoGg),"ERROR"))</f>
        <v>47.398975358684552</v>
      </c>
      <c r="Y312" s="93">
        <f>IF('Net zero activities &amp; levers'!$C$7="Off",(('Activity data'!AR7*EF!$H6)*kgtoGg),IF('Net zero activities &amp; levers'!$C$7="On",((('Net zero supporting data'!P78*EF!$H6)+('Net zero supporting data'!P73*'Net zero supporting data'!P58))*kgtoGg),"ERROR"))</f>
        <v>47.847484974825178</v>
      </c>
      <c r="Z312" s="93">
        <f>IF('Net zero activities &amp; levers'!$C$7="Off",(('Activity data'!AS7*EF!$H6)*kgtoGg),IF('Net zero activities &amp; levers'!$C$7="On",((('Net zero supporting data'!Q78*EF!$H6)+('Net zero supporting data'!Q73*'Net zero supporting data'!Q58))*kgtoGg),"ERROR"))</f>
        <v>48.2474700313509</v>
      </c>
      <c r="AA312" s="93">
        <f>IF('Net zero activities &amp; levers'!$C$7="Off",(('Activity data'!AT7*EF!$H6)*kgtoGg),IF('Net zero activities &amp; levers'!$C$7="On",((('Net zero supporting data'!R78*EF!$H6)+('Net zero supporting data'!R73*'Net zero supporting data'!R58))*kgtoGg),"ERROR"))</f>
        <v>48.5966004041803</v>
      </c>
      <c r="AB312" s="93">
        <f>IF('Net zero activities &amp; levers'!$C$7="Off",(('Activity data'!AU7*EF!$H6)*kgtoGg),IF('Net zero activities &amp; levers'!$C$7="On",((('Net zero supporting data'!S78*EF!$H6)+('Net zero supporting data'!S73*'Net zero supporting data'!S58))*kgtoGg),"ERROR"))</f>
        <v>48.893112533223132</v>
      </c>
      <c r="AC312" s="93">
        <f>IF('Net zero activities &amp; levers'!$C$7="Off",(('Activity data'!AV7*EF!$H6)*kgtoGg),IF('Net zero activities &amp; levers'!$C$7="On",((('Net zero supporting data'!T78*EF!$H6)+('Net zero supporting data'!T73*'Net zero supporting data'!T58))*kgtoGg),"ERROR"))</f>
        <v>49.135607790184835</v>
      </c>
      <c r="AD312" s="93">
        <f>IF('Net zero activities &amp; levers'!$C$7="Off",(('Activity data'!AW7*EF!$H6)*kgtoGg),IF('Net zero activities &amp; levers'!$C$7="On",((('Net zero supporting data'!U78*EF!$H6)+('Net zero supporting data'!U73*'Net zero supporting data'!U58))*kgtoGg),"ERROR"))</f>
        <v>49.322615902412963</v>
      </c>
      <c r="AE312" s="93">
        <f>IF('Net zero activities &amp; levers'!$C$7="Off",(('Activity data'!AX7*EF!$H6)*kgtoGg),IF('Net zero activities &amp; levers'!$C$7="On",((('Net zero supporting data'!V78*EF!$H6)+('Net zero supporting data'!V73*'Net zero supporting data'!V58))*kgtoGg),"ERROR"))</f>
        <v>49.453256675098231</v>
      </c>
      <c r="AF312" s="93">
        <f>IF('Net zero activities &amp; levers'!$C$7="Off",(('Activity data'!AY7*EF!$H6)*kgtoGg),IF('Net zero activities &amp; levers'!$C$7="On",((('Net zero supporting data'!W78*EF!$H6)+('Net zero supporting data'!W73*'Net zero supporting data'!W58))*kgtoGg),"ERROR"))</f>
        <v>49.526685806237325</v>
      </c>
      <c r="AG312" s="93">
        <f>IF('Net zero activities &amp; levers'!$C$7="Off",(('Activity data'!AZ7*EF!$H6)*kgtoGg),IF('Net zero activities &amp; levers'!$C$7="On",((('Net zero supporting data'!X78*EF!$H6)+('Net zero supporting data'!X73*'Net zero supporting data'!X58))*kgtoGg),"ERROR"))</f>
        <v>49.542087595463748</v>
      </c>
      <c r="AH312" s="93">
        <f>IF('Net zero activities &amp; levers'!$C$7="Off",(('Activity data'!BA7*EF!$H6)*kgtoGg),IF('Net zero activities &amp; levers'!$C$7="On",((('Net zero supporting data'!Y78*EF!$H6)+('Net zero supporting data'!Y73*'Net zero supporting data'!Y58))*kgtoGg),"ERROR"))</f>
        <v>49.499313080220467</v>
      </c>
      <c r="AI312" s="93">
        <f>IF('Net zero activities &amp; levers'!$C$7="Off",(('Activity data'!BB7*EF!$H6)*kgtoGg),IF('Net zero activities &amp; levers'!$C$7="On",((('Net zero supporting data'!Z78*EF!$H6)+('Net zero supporting data'!Z73*'Net zero supporting data'!Z58))*kgtoGg),"ERROR"))</f>
        <v>49.398605779622059</v>
      </c>
      <c r="AJ312" s="93">
        <f>IF('Net zero activities &amp; levers'!$C$7="Off",(('Activity data'!BC7*EF!$H6)*kgtoGg),IF('Net zero activities &amp; levers'!$C$7="On",((('Net zero supporting data'!AA78*EF!$H6)+('Net zero supporting data'!AA73*'Net zero supporting data'!AA58))*kgtoGg),"ERROR"))</f>
        <v>15.628864648010964</v>
      </c>
      <c r="AK312" s="93">
        <f>IF('Net zero activities &amp; levers'!$C$7="Off",(('Activity data'!BD7*EF!$H6)*kgtoGg),IF('Net zero activities &amp; levers'!$C$7="On",((('Net zero supporting data'!AB78*EF!$H6)+('Net zero supporting data'!AB73*'Net zero supporting data'!AB58))*kgtoGg),"ERROR"))</f>
        <v>15.640273456922923</v>
      </c>
      <c r="AL312" s="93">
        <f>IF('Net zero activities &amp; levers'!$C$7="Off",(('Activity data'!BE7*EF!$H6)*kgtoGg),IF('Net zero activities &amp; levers'!$C$7="On",((('Net zero supporting data'!AC78*EF!$H6)+('Net zero supporting data'!AC73*'Net zero supporting data'!AC58))*kgtoGg),"ERROR"))</f>
        <v>15.650860984450333</v>
      </c>
      <c r="AM312" s="93">
        <f>IF('Net zero activities &amp; levers'!$C$7="Off",(('Activity data'!BF7*EF!$H6)*kgtoGg),IF('Net zero activities &amp; levers'!$C$7="On",((('Net zero supporting data'!AD78*EF!$H6)+('Net zero supporting data'!AD73*'Net zero supporting data'!AD58))*kgtoGg),"ERROR"))</f>
        <v>15.660698851570245</v>
      </c>
      <c r="AN312" s="93">
        <f>IF('Net zero activities &amp; levers'!$C$7="Off",(('Activity data'!BG7*EF!$H6)*kgtoGg),IF('Net zero activities &amp; levers'!$C$7="On",((('Net zero supporting data'!AE78*EF!$H6)+('Net zero supporting data'!AE73*'Net zero supporting data'!AE58))*kgtoGg),"ERROR"))</f>
        <v>15.669875280316276</v>
      </c>
      <c r="AO312" s="93">
        <f>IF('Net zero activities &amp; levers'!$C$7="Off",(('Activity data'!BH7*EF!$H6)*kgtoGg),IF('Net zero activities &amp; levers'!$C$7="On",((('Net zero supporting data'!AF78*EF!$H6)+('Net zero supporting data'!AF73*'Net zero supporting data'!AF58))*kgtoGg),"ERROR"))</f>
        <v>15.678102267167921</v>
      </c>
      <c r="AP312" s="93">
        <f>IF('Net zero activities &amp; levers'!$C$7="Off",(('Activity data'!BI7*EF!$H6)*kgtoGg),IF('Net zero activities &amp; levers'!$C$7="On",((('Net zero supporting data'!AG78*EF!$H6)+('Net zero supporting data'!AG73*'Net zero supporting data'!AG58))*kgtoGg),"ERROR"))</f>
        <v>15.685186406674521</v>
      </c>
      <c r="AQ312" s="93">
        <f>IF('Net zero activities &amp; levers'!$C$7="Off",(('Activity data'!BJ7*EF!$H6)*kgtoGg),IF('Net zero activities &amp; levers'!$C$7="On",((('Net zero supporting data'!AH78*EF!$H6)+('Net zero supporting data'!AH73*'Net zero supporting data'!AH58))*kgtoGg),"ERROR"))</f>
        <v>15.691096683992601</v>
      </c>
      <c r="AR312" s="93">
        <f>IF('Net zero activities &amp; levers'!$C$7="Off",(('Activity data'!BK7*EF!$H6)*kgtoGg),IF('Net zero activities &amp; levers'!$C$7="On",((('Net zero supporting data'!AI78*EF!$H6)+('Net zero supporting data'!AI73*'Net zero supporting data'!AI58))*kgtoGg),"ERROR"))</f>
        <v>15.695613653325545</v>
      </c>
      <c r="AS312" s="93">
        <f>IF('Net zero activities &amp; levers'!$C$7="Off",(('Activity data'!BL7*EF!$H6)*kgtoGg),IF('Net zero activities &amp; levers'!$C$7="On",((('Net zero supporting data'!AJ78*EF!$H6)+('Net zero supporting data'!AJ73*'Net zero supporting data'!AJ58))*kgtoGg),"ERROR"))</f>
        <v>15.698499065157048</v>
      </c>
      <c r="AT312" s="93">
        <f>IF('Net zero activities &amp; levers'!$C$7="Off",(('Activity data'!BM7*EF!$H6)*kgtoGg),IF('Net zero activities &amp; levers'!$C$7="On",((('Net zero supporting data'!AK78*EF!$H6)+('Net zero supporting data'!AK73*'Net zero supporting data'!AK58))*kgtoGg),"ERROR"))</f>
        <v>15.699723492348907</v>
      </c>
      <c r="AU312" s="93">
        <f>IF('Net zero activities &amp; levers'!$C$7="Off",(('Activity data'!BN7*EF!$H6)*kgtoGg),IF('Net zero activities &amp; levers'!$C$7="On",((('Net zero supporting data'!AL78*EF!$H6)+('Net zero supporting data'!AL73*'Net zero supporting data'!AL58))*kgtoGg),"ERROR"))</f>
        <v>15.699320775330669</v>
      </c>
      <c r="AV312" s="93">
        <f>IF('Net zero activities &amp; levers'!$C$7="Off",(('Activity data'!BO7*EF!$H6)*kgtoGg),IF('Net zero activities &amp; levers'!$C$7="On",((('Net zero supporting data'!AM78*EF!$H6)+('Net zero supporting data'!AM73*'Net zero supporting data'!AM58))*kgtoGg),"ERROR"))</f>
        <v>15.697314513897963</v>
      </c>
      <c r="AW312" s="93">
        <f>IF('Net zero activities &amp; levers'!$C$7="Off",(('Activity data'!BP7*EF!$H6)*kgtoGg),IF('Net zero activities &amp; levers'!$C$7="On",((('Net zero supporting data'!AN78*EF!$H6)+('Net zero supporting data'!AN73*'Net zero supporting data'!AN58))*kgtoGg),"ERROR"))</f>
        <v>15.693480621612418</v>
      </c>
      <c r="AY312" s="79"/>
    </row>
    <row r="313" spans="1:51" x14ac:dyDescent="0.25">
      <c r="A313" s="95" t="str">
        <f t="shared" si="71"/>
        <v>GS Cattle</v>
      </c>
      <c r="B313" s="95" t="s">
        <v>1021</v>
      </c>
      <c r="C313" s="95" t="s">
        <v>1108</v>
      </c>
      <c r="D313" t="s">
        <v>15</v>
      </c>
      <c r="E313" t="s">
        <v>16</v>
      </c>
      <c r="F313" t="s">
        <v>67</v>
      </c>
      <c r="G313" t="s">
        <v>122</v>
      </c>
      <c r="H313" t="s">
        <v>1020</v>
      </c>
      <c r="I313" t="s">
        <v>121</v>
      </c>
      <c r="J313" t="s">
        <v>286</v>
      </c>
      <c r="K313" s="93">
        <f>IF('Net zero activities &amp; levers'!$C$7="Off",(('Activity data'!AD8*EF!$H7)*kgtoGg),IF('Net zero activities &amp; levers'!$C$7="On",((('Net zero supporting data'!B79*EF!$H7)+('Net zero supporting data'!B74*'Net zero supporting data'!B59))*kgtoGg),"ERROR"))</f>
        <v>463.23498593143177</v>
      </c>
      <c r="L313" s="93">
        <f>IF('Net zero activities &amp; levers'!$C$7="Off",(('Activity data'!AE8*EF!$H7)*kgtoGg),IF('Net zero activities &amp; levers'!$C$7="On",((('Net zero supporting data'!C79*EF!$H7)+('Net zero supporting data'!C74*'Net zero supporting data'!C59))*kgtoGg),"ERROR"))</f>
        <v>459.21749683621613</v>
      </c>
      <c r="M313" s="93">
        <f>IF('Net zero activities &amp; levers'!$C$7="Off",(('Activity data'!AF8*EF!$H7)*kgtoGg),IF('Net zero activities &amp; levers'!$C$7="On",((('Net zero supporting data'!D79*EF!$H7)+('Net zero supporting data'!D74*'Net zero supporting data'!D59))*kgtoGg),"ERROR"))</f>
        <v>457.68816035731243</v>
      </c>
      <c r="N313" s="93">
        <f>IF('Net zero activities &amp; levers'!$C$7="Off",(('Activity data'!AG8*EF!$H7)*kgtoGg),IF('Net zero activities &amp; levers'!$C$7="On",((('Net zero supporting data'!E79*EF!$H7)+('Net zero supporting data'!E74*'Net zero supporting data'!E59))*kgtoGg),"ERROR"))</f>
        <v>451.57633407663542</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431.25721304480419</v>
      </c>
      <c r="Q313" s="93">
        <f>IF('Net zero activities &amp; levers'!$C$7="Off",(('Activity data'!AJ8*EF!$H7)*kgtoGg),IF('Net zero activities &amp; levers'!$C$7="On",((('Net zero supporting data'!H79*EF!$H7)+('Net zero supporting data'!H74*'Net zero supporting data'!H59))*kgtoGg),"ERROR"))</f>
        <v>422.22811200839209</v>
      </c>
      <c r="R313" s="93">
        <f>IF('Net zero activities &amp; levers'!$C$7="Off",(('Activity data'!AK8*EF!$H7)*kgtoGg),IF('Net zero activities &amp; levers'!$C$7="On",((('Net zero supporting data'!I79*EF!$H7)+('Net zero supporting data'!I74*'Net zero supporting data'!I59))*kgtoGg),"ERROR"))</f>
        <v>413.6855559628558</v>
      </c>
      <c r="S313" s="93">
        <f>IF('Net zero activities &amp; levers'!$C$7="Off",(('Activity data'!AL8*EF!$H7)*kgtoGg),IF('Net zero activities &amp; levers'!$C$7="On",((('Net zero supporting data'!J79*EF!$H7)+('Net zero supporting data'!J74*'Net zero supporting data'!J59))*kgtoGg),"ERROR"))</f>
        <v>369.96675064639845</v>
      </c>
      <c r="T313" s="93">
        <f>IF('Net zero activities &amp; levers'!$C$7="Off",(('Activity data'!AM8*EF!$H7)*kgtoGg),IF('Net zero activities &amp; levers'!$C$7="On",((('Net zero supporting data'!K79*EF!$H7)+('Net zero supporting data'!K74*'Net zero supporting data'!K59))*kgtoGg),"ERROR"))</f>
        <v>384.22044526495358</v>
      </c>
      <c r="U313" s="93">
        <f>IF('Net zero activities &amp; levers'!$C$7="Off",(('Activity data'!AN8*EF!$H7)*kgtoGg),IF('Net zero activities &amp; levers'!$C$7="On",((('Net zero supporting data'!L79*EF!$H7)+('Net zero supporting data'!L74*'Net zero supporting data'!L59))*kgtoGg),"ERROR"))</f>
        <v>1210.9459030996998</v>
      </c>
      <c r="V313" s="93">
        <f>IF('Net zero activities &amp; levers'!$C$7="Off",(('Activity data'!AO8*EF!$H7)*kgtoGg),IF('Net zero activities &amp; levers'!$C$7="On",((('Net zero supporting data'!M79*EF!$H7)+('Net zero supporting data'!M74*'Net zero supporting data'!M59))*kgtoGg),"ERROR"))</f>
        <v>1216.7867544029255</v>
      </c>
      <c r="W313" s="93">
        <f>IF('Net zero activities &amp; levers'!$C$7="Off",(('Activity data'!AP8*EF!$H7)*kgtoGg),IF('Net zero activities &amp; levers'!$C$7="On",((('Net zero supporting data'!N79*EF!$H7)+('Net zero supporting data'!N74*'Net zero supporting data'!N59))*kgtoGg),"ERROR"))</f>
        <v>1220.5248847970281</v>
      </c>
      <c r="X313" s="93">
        <f>IF('Net zero activities &amp; levers'!$C$7="Off",(('Activity data'!AQ8*EF!$H7)*kgtoGg),IF('Net zero activities &amp; levers'!$C$7="On",((('Net zero supporting data'!O79*EF!$H7)+('Net zero supporting data'!O74*'Net zero supporting data'!O59))*kgtoGg),"ERROR"))</f>
        <v>1222.1595328966084</v>
      </c>
      <c r="Y313" s="93">
        <f>IF('Net zero activities &amp; levers'!$C$7="Off",(('Activity data'!AR8*EF!$H7)*kgtoGg),IF('Net zero activities &amp; levers'!$C$7="On",((('Net zero supporting data'!P79*EF!$H7)+('Net zero supporting data'!P74*'Net zero supporting data'!P59))*kgtoGg),"ERROR"))</f>
        <v>1221.7253267296187</v>
      </c>
      <c r="Z313" s="93">
        <f>IF('Net zero activities &amp; levers'!$C$7="Off",(('Activity data'!AS8*EF!$H7)*kgtoGg),IF('Net zero activities &amp; levers'!$C$7="On",((('Net zero supporting data'!Q79*EF!$H7)+('Net zero supporting data'!Q74*'Net zero supporting data'!Q59))*kgtoGg),"ERROR"))</f>
        <v>1219.2014537371233</v>
      </c>
      <c r="AA313" s="93">
        <f>IF('Net zero activities &amp; levers'!$C$7="Off",(('Activity data'!AT8*EF!$H7)*kgtoGg),IF('Net zero activities &amp; levers'!$C$7="On",((('Net zero supporting data'!R79*EF!$H7)+('Net zero supporting data'!R74*'Net zero supporting data'!R59))*kgtoGg),"ERROR"))</f>
        <v>1214.5817314826613</v>
      </c>
      <c r="AB313" s="93">
        <f>IF('Net zero activities &amp; levers'!$C$7="Off",(('Activity data'!AU8*EF!$H7)*kgtoGg),IF('Net zero activities &amp; levers'!$C$7="On",((('Net zero supporting data'!S79*EF!$H7)+('Net zero supporting data'!S74*'Net zero supporting data'!S59))*kgtoGg),"ERROR"))</f>
        <v>1207.8699823574666</v>
      </c>
      <c r="AC313" s="93">
        <f>IF('Net zero activities &amp; levers'!$C$7="Off",(('Activity data'!AV8*EF!$H7)*kgtoGg),IF('Net zero activities &amp; levers'!$C$7="On",((('Net zero supporting data'!T79*EF!$H7)+('Net zero supporting data'!T74*'Net zero supporting data'!T59))*kgtoGg),"ERROR"))</f>
        <v>1199.081298415254</v>
      </c>
      <c r="AD313" s="93">
        <f>IF('Net zero activities &amp; levers'!$C$7="Off",(('Activity data'!AW8*EF!$H7)*kgtoGg),IF('Net zero activities &amp; levers'!$C$7="On",((('Net zero supporting data'!U79*EF!$H7)+('Net zero supporting data'!U74*'Net zero supporting data'!U59))*kgtoGg),"ERROR"))</f>
        <v>1178.2591392805034</v>
      </c>
      <c r="AE313" s="93">
        <f>IF('Net zero activities &amp; levers'!$C$7="Off",(('Activity data'!AX8*EF!$H7)*kgtoGg),IF('Net zero activities &amp; levers'!$C$7="On",((('Net zero supporting data'!V79*EF!$H7)+('Net zero supporting data'!V74*'Net zero supporting data'!V59))*kgtoGg),"ERROR"))</f>
        <v>1155.4756644581196</v>
      </c>
      <c r="AF313" s="93">
        <f>IF('Net zero activities &amp; levers'!$C$7="Off",(('Activity data'!AY8*EF!$H7)*kgtoGg),IF('Net zero activities &amp; levers'!$C$7="On",((('Net zero supporting data'!W79*EF!$H7)+('Net zero supporting data'!W74*'Net zero supporting data'!W59))*kgtoGg),"ERROR"))</f>
        <v>1130.8332446231877</v>
      </c>
      <c r="AG313" s="93">
        <f>IF('Net zero activities &amp; levers'!$C$7="Off",(('Activity data'!AZ8*EF!$H7)*kgtoGg),IF('Net zero activities &amp; levers'!$C$7="On",((('Net zero supporting data'!X79*EF!$H7)+('Net zero supporting data'!X74*'Net zero supporting data'!X59))*kgtoGg),"ERROR"))</f>
        <v>1104.4458826711734</v>
      </c>
      <c r="AH313" s="93">
        <f>IF('Net zero activities &amp; levers'!$C$7="Off",(('Activity data'!BA8*EF!$H7)*kgtoGg),IF('Net zero activities &amp; levers'!$C$7="On",((('Net zero supporting data'!Y79*EF!$H7)+('Net zero supporting data'!Y74*'Net zero supporting data'!Y59))*kgtoGg),"ERROR"))</f>
        <v>1076.4349444121476</v>
      </c>
      <c r="AI313" s="93">
        <f>IF('Net zero activities &amp; levers'!$C$7="Off",(('Activity data'!BB8*EF!$H7)*kgtoGg),IF('Net zero activities &amp; levers'!$C$7="On",((('Net zero supporting data'!Z79*EF!$H7)+('Net zero supporting data'!Z74*'Net zero supporting data'!Z59))*kgtoGg),"ERROR"))</f>
        <v>1046.9296670550386</v>
      </c>
      <c r="AJ313" s="93">
        <f>IF('Net zero activities &amp; levers'!$C$7="Off",(('Activity data'!BC8*EF!$H7)*kgtoGg),IF('Net zero activities &amp; levers'!$C$7="On",((('Net zero supporting data'!AA79*EF!$H7)+('Net zero supporting data'!AA74*'Net zero supporting data'!AA59))*kgtoGg),"ERROR"))</f>
        <v>-80.836782317903939</v>
      </c>
      <c r="AK313" s="93">
        <f>IF('Net zero activities &amp; levers'!$C$7="Off",(('Activity data'!BD8*EF!$H7)*kgtoGg),IF('Net zero activities &amp; levers'!$C$7="On",((('Net zero supporting data'!AB79*EF!$H7)+('Net zero supporting data'!AB74*'Net zero supporting data'!AB59))*kgtoGg),"ERROR"))</f>
        <v>-78.890466200610106</v>
      </c>
      <c r="AL313" s="93">
        <f>IF('Net zero activities &amp; levers'!$C$7="Off",(('Activity data'!BE8*EF!$H7)*kgtoGg),IF('Net zero activities &amp; levers'!$C$7="On",((('Net zero supporting data'!AC79*EF!$H7)+('Net zero supporting data'!AC74*'Net zero supporting data'!AC59))*kgtoGg),"ERROR"))</f>
        <v>-76.96440050927697</v>
      </c>
      <c r="AM313" s="93">
        <f>IF('Net zero activities &amp; levers'!$C$7="Off",(('Activity data'!BF8*EF!$H7)*kgtoGg),IF('Net zero activities &amp; levers'!$C$7="On",((('Net zero supporting data'!AD79*EF!$H7)+('Net zero supporting data'!AD74*'Net zero supporting data'!AD59))*kgtoGg),"ERROR"))</f>
        <v>-75.058386316845628</v>
      </c>
      <c r="AN313" s="93">
        <f>IF('Net zero activities &amp; levers'!$C$7="Off",(('Activity data'!BG8*EF!$H7)*kgtoGg),IF('Net zero activities &amp; levers'!$C$7="On",((('Net zero supporting data'!AE79*EF!$H7)+('Net zero supporting data'!AE74*'Net zero supporting data'!AE59))*kgtoGg),"ERROR"))</f>
        <v>-73.545633197869449</v>
      </c>
      <c r="AO313" s="93">
        <f>IF('Net zero activities &amp; levers'!$C$7="Off",(('Activity data'!BH8*EF!$H7)*kgtoGg),IF('Net zero activities &amp; levers'!$C$7="On",((('Net zero supporting data'!AF79*EF!$H7)+('Net zero supporting data'!AF74*'Net zero supporting data'!AF59))*kgtoGg),"ERROR"))</f>
        <v>-72.047230196727966</v>
      </c>
      <c r="AP313" s="93">
        <f>IF('Net zero activities &amp; levers'!$C$7="Off",(('Activity data'!BI8*EF!$H7)*kgtoGg),IF('Net zero activities &amp; levers'!$C$7="On",((('Net zero supporting data'!AG79*EF!$H7)+('Net zero supporting data'!AG74*'Net zero supporting data'!AG59))*kgtoGg),"ERROR"))</f>
        <v>-70.562062843287677</v>
      </c>
      <c r="AQ313" s="93">
        <f>IF('Net zero activities &amp; levers'!$C$7="Off",(('Activity data'!BJ8*EF!$H7)*kgtoGg),IF('Net zero activities &amp; levers'!$C$7="On",((('Net zero supporting data'!AH79*EF!$H7)+('Net zero supporting data'!AH74*'Net zero supporting data'!AH59))*kgtoGg),"ERROR"))</f>
        <v>-69.089763252231094</v>
      </c>
      <c r="AR313" s="93">
        <f>IF('Net zero activities &amp; levers'!$C$7="Off",(('Activity data'!BK8*EF!$H7)*kgtoGg),IF('Net zero activities &amp; levers'!$C$7="On",((('Net zero supporting data'!AI79*EF!$H7)+('Net zero supporting data'!AI74*'Net zero supporting data'!AI59))*kgtoGg),"ERROR"))</f>
        <v>-67.629255024927176</v>
      </c>
      <c r="AS313" s="93">
        <f>IF('Net zero activities &amp; levers'!$C$7="Off",(('Activity data'!BL8*EF!$H7)*kgtoGg),IF('Net zero activities &amp; levers'!$C$7="On",((('Net zero supporting data'!AJ79*EF!$H7)+('Net zero supporting data'!AJ74*'Net zero supporting data'!AJ59))*kgtoGg),"ERROR"))</f>
        <v>-66.179484044667291</v>
      </c>
      <c r="AT313" s="93">
        <f>IF('Net zero activities &amp; levers'!$C$7="Off",(('Activity data'!BM8*EF!$H7)*kgtoGg),IF('Net zero activities &amp; levers'!$C$7="On",((('Net zero supporting data'!AK79*EF!$H7)+('Net zero supporting data'!AK74*'Net zero supporting data'!AK59))*kgtoGg),"ERROR"))</f>
        <v>-64.740281014136201</v>
      </c>
      <c r="AU313" s="93">
        <f>IF('Net zero activities &amp; levers'!$C$7="Off",(('Activity data'!BN8*EF!$H7)*kgtoGg),IF('Net zero activities &amp; levers'!$C$7="On",((('Net zero supporting data'!AL79*EF!$H7)+('Net zero supporting data'!AL74*'Net zero supporting data'!AL59))*kgtoGg),"ERROR"))</f>
        <v>-63.311734849146887</v>
      </c>
      <c r="AV313" s="93">
        <f>IF('Net zero activities &amp; levers'!$C$7="Off",(('Activity data'!BO8*EF!$H7)*kgtoGg),IF('Net zero activities &amp; levers'!$C$7="On",((('Net zero supporting data'!AM79*EF!$H7)+('Net zero supporting data'!AM74*'Net zero supporting data'!AM59))*kgtoGg),"ERROR"))</f>
        <v>-61.893900094857884</v>
      </c>
      <c r="AW313" s="93">
        <f>IF('Net zero activities &amp; levers'!$C$7="Off",(('Activity data'!BP8*EF!$H7)*kgtoGg),IF('Net zero activities &amp; levers'!$C$7="On",((('Net zero supporting data'!AN79*EF!$H7)+('Net zero supporting data'!AN74*'Net zero supporting data'!AN59))*kgtoGg),"ERROR"))</f>
        <v>-60.485962401496174</v>
      </c>
      <c r="AY313" s="79"/>
    </row>
    <row r="314" spans="1:51" x14ac:dyDescent="0.25">
      <c r="A314" s="95" t="str">
        <f t="shared" si="71"/>
        <v>GS Cattle</v>
      </c>
      <c r="B314" s="95" t="s">
        <v>1021</v>
      </c>
      <c r="C314" s="95" t="s">
        <v>1108</v>
      </c>
      <c r="D314" t="s">
        <v>15</v>
      </c>
      <c r="E314" t="s">
        <v>16</v>
      </c>
      <c r="F314" t="s">
        <v>67</v>
      </c>
      <c r="G314" t="s">
        <v>123</v>
      </c>
      <c r="H314" t="s">
        <v>1020</v>
      </c>
      <c r="I314" t="s">
        <v>121</v>
      </c>
      <c r="J314" t="s">
        <v>286</v>
      </c>
      <c r="K314" s="27">
        <f t="shared" ref="K314:Z323" si="72">K1383</f>
        <v>326.20040935577731</v>
      </c>
      <c r="L314" s="27">
        <f t="shared" si="72"/>
        <v>323.37137738012325</v>
      </c>
      <c r="M314" s="27">
        <f t="shared" si="72"/>
        <v>322.29445054900742</v>
      </c>
      <c r="N314" s="27">
        <f t="shared" si="72"/>
        <v>317.99063003627231</v>
      </c>
      <c r="O314" s="27">
        <f t="shared" si="72"/>
        <v>311.74352945546792</v>
      </c>
      <c r="P314" s="27">
        <f t="shared" si="72"/>
        <v>303.68232906672068</v>
      </c>
      <c r="Q314" s="27">
        <f t="shared" si="72"/>
        <v>297.32422455466593</v>
      </c>
      <c r="R314" s="27">
        <f t="shared" si="72"/>
        <v>291.30873487096767</v>
      </c>
      <c r="S314" s="27">
        <f t="shared" si="72"/>
        <v>260.52286458075423</v>
      </c>
      <c r="T314" s="27">
        <f t="shared" si="72"/>
        <v>270.56001885582697</v>
      </c>
      <c r="U314" s="27">
        <f t="shared" si="72"/>
        <v>852.72283246173731</v>
      </c>
      <c r="V314" s="27">
        <f t="shared" si="72"/>
        <v>856.83583805061244</v>
      </c>
      <c r="W314" s="27">
        <f t="shared" si="72"/>
        <v>859.46815145917253</v>
      </c>
      <c r="X314" s="27">
        <f t="shared" si="72"/>
        <v>860.61923653571034</v>
      </c>
      <c r="Y314" s="27">
        <f t="shared" si="72"/>
        <v>860.31347761482039</v>
      </c>
      <c r="Z314" s="27">
        <f t="shared" si="72"/>
        <v>858.53621892685965</v>
      </c>
      <c r="AA314" s="27">
        <f t="shared" ref="AA314:AW314" si="73">AA1383</f>
        <v>855.28310692910031</v>
      </c>
      <c r="AB314" s="27">
        <f t="shared" si="73"/>
        <v>850.55683326967551</v>
      </c>
      <c r="AC314" s="27">
        <f t="shared" si="73"/>
        <v>844.36802545783894</v>
      </c>
      <c r="AD314" s="27">
        <f t="shared" si="73"/>
        <v>829.70549555464197</v>
      </c>
      <c r="AE314" s="27">
        <f t="shared" si="73"/>
        <v>813.66184807696902</v>
      </c>
      <c r="AF314" s="27">
        <f t="shared" si="73"/>
        <v>796.30917031773436</v>
      </c>
      <c r="AG314" s="27">
        <f t="shared" si="73"/>
        <v>777.72774073667881</v>
      </c>
      <c r="AH314" s="27">
        <f t="shared" si="73"/>
        <v>758.0030226043441</v>
      </c>
      <c r="AI314" s="27">
        <f t="shared" si="73"/>
        <v>737.22602206606996</v>
      </c>
      <c r="AJ314" s="27">
        <f t="shared" si="73"/>
        <v>-56.923575040610757</v>
      </c>
      <c r="AK314" s="27">
        <f t="shared" si="73"/>
        <v>-55.553019850526375</v>
      </c>
      <c r="AL314" s="27">
        <f t="shared" si="73"/>
        <v>-54.19672458777611</v>
      </c>
      <c r="AM314" s="27">
        <f t="shared" si="73"/>
        <v>-52.854549172076716</v>
      </c>
      <c r="AN314" s="27">
        <f t="shared" si="73"/>
        <v>-51.78929999692631</v>
      </c>
      <c r="AO314" s="27">
        <f t="shared" si="73"/>
        <v>-50.734155875267454</v>
      </c>
      <c r="AP314" s="27">
        <f t="shared" si="73"/>
        <v>-49.688332020491153</v>
      </c>
      <c r="AQ314" s="27">
        <f t="shared" si="73"/>
        <v>-48.651569375434605</v>
      </c>
      <c r="AR314" s="27">
        <f t="shared" si="73"/>
        <v>-47.623109962646353</v>
      </c>
      <c r="AS314" s="27">
        <f t="shared" si="73"/>
        <v>-46.60221149513962</v>
      </c>
      <c r="AT314" s="27">
        <f t="shared" si="73"/>
        <v>-45.588754757278259</v>
      </c>
      <c r="AU314" s="27">
        <f t="shared" si="73"/>
        <v>-44.582802361722123</v>
      </c>
      <c r="AV314" s="27">
        <f t="shared" si="73"/>
        <v>-43.584392718033477</v>
      </c>
      <c r="AW314" s="27">
        <f t="shared" si="73"/>
        <v>-42.59295237809765</v>
      </c>
      <c r="AY314" s="79"/>
    </row>
    <row r="315" spans="1:51" x14ac:dyDescent="0.25">
      <c r="A315" s="95" t="str">
        <f t="shared" si="71"/>
        <v>GS Cattle</v>
      </c>
      <c r="B315" s="95" t="s">
        <v>1021</v>
      </c>
      <c r="C315" s="95" t="s">
        <v>1108</v>
      </c>
      <c r="D315" t="s">
        <v>15</v>
      </c>
      <c r="E315" t="s">
        <v>16</v>
      </c>
      <c r="F315" t="s">
        <v>67</v>
      </c>
      <c r="G315" t="s">
        <v>135</v>
      </c>
      <c r="H315" t="s">
        <v>1020</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32.967337371253549</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35.195504797614667</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36.435327957872921</v>
      </c>
      <c r="Q315" s="93">
        <f>IF('Net zero activities &amp; levers'!$C$7="Off",(('Activity data'!AJ10*EF!$H9)*kgtoGg),IF('Net zero activities &amp; levers'!$C$7="On",((('Net zero supporting data'!H80*EF!$H9)+('Net zero supporting data'!H75*'Net zero supporting data'!H60))*kgtoGg),"ERROR"))</f>
        <v>37.125912791560353</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35.21788884404873</v>
      </c>
      <c r="T315" s="93">
        <f>IF('Net zero activities &amp; levers'!$C$7="Off",(('Activity data'!AM10*EF!$H9)*kgtoGg),IF('Net zero activities &amp; levers'!$C$7="On",((('Net zero supporting data'!K80*EF!$H9)+('Net zero supporting data'!K75*'Net zero supporting data'!K60))*kgtoGg),"ERROR"))</f>
        <v>37.455910775606171</v>
      </c>
      <c r="U315" s="93">
        <f>IF('Net zero activities &amp; levers'!$C$7="Off",(('Activity data'!AN10*EF!$H9)*kgtoGg),IF('Net zero activities &amp; levers'!$C$7="On",((('Net zero supporting data'!L80*EF!$H9)+('Net zero supporting data'!L75*'Net zero supporting data'!L60))*kgtoGg),"ERROR"))</f>
        <v>120.85470894098397</v>
      </c>
      <c r="V315" s="93">
        <f>IF('Net zero activities &amp; levers'!$C$7="Off",(('Activity data'!AO10*EF!$H9)*kgtoGg),IF('Net zero activities &amp; levers'!$C$7="On",((('Net zero supporting data'!M80*EF!$H9)+('Net zero supporting data'!M75*'Net zero supporting data'!M60))*kgtoGg),"ERROR"))</f>
        <v>124.28654564348025</v>
      </c>
      <c r="W315" s="93">
        <f>IF('Net zero activities &amp; levers'!$C$7="Off",(('Activity data'!AP10*EF!$H9)*kgtoGg),IF('Net zero activities &amp; levers'!$C$7="On",((('Net zero supporting data'!N80*EF!$H9)+('Net zero supporting data'!N75*'Net zero supporting data'!N60))*kgtoGg),"ERROR"))</f>
        <v>127.55864590441264</v>
      </c>
      <c r="X315" s="93">
        <f>IF('Net zero activities &amp; levers'!$C$7="Off",(('Activity data'!AQ10*EF!$H9)*kgtoGg),IF('Net zero activities &amp; levers'!$C$7="On",((('Net zero supporting data'!O80*EF!$H9)+('Net zero supporting data'!O75*'Net zero supporting data'!O60))*kgtoGg),"ERROR"))</f>
        <v>130.65843671178916</v>
      </c>
      <c r="Y315" s="93">
        <f>IF('Net zero activities &amp; levers'!$C$7="Off",(('Activity data'!AR10*EF!$H9)*kgtoGg),IF('Net zero activities &amp; levers'!$C$7="On",((('Net zero supporting data'!P80*EF!$H9)+('Net zero supporting data'!P75*'Net zero supporting data'!P60))*kgtoGg),"ERROR"))</f>
        <v>133.57680599902966</v>
      </c>
      <c r="Z315" s="93">
        <f>IF('Net zero activities &amp; levers'!$C$7="Off",(('Activity data'!AS10*EF!$H9)*kgtoGg),IF('Net zero activities &amp; levers'!$C$7="On",((('Net zero supporting data'!Q80*EF!$H9)+('Net zero supporting data'!Q75*'Net zero supporting data'!Q60))*kgtoGg),"ERROR"))</f>
        <v>136.29836120715478</v>
      </c>
      <c r="AA315" s="93">
        <f>IF('Net zero activities &amp; levers'!$C$7="Off",(('Activity data'!AT10*EF!$H9)*kgtoGg),IF('Net zero activities &amp; levers'!$C$7="On",((('Net zero supporting data'!R80*EF!$H9)+('Net zero supporting data'!R75*'Net zero supporting data'!R60))*kgtoGg),"ERROR"))</f>
        <v>138.8087353610496</v>
      </c>
      <c r="AB315" s="93">
        <f>IF('Net zero activities &amp; levers'!$C$7="Off",(('Activity data'!AU10*EF!$H9)*kgtoGg),IF('Net zero activities &amp; levers'!$C$7="On",((('Net zero supporting data'!S80*EF!$H9)+('Net zero supporting data'!S75*'Net zero supporting data'!S60))*kgtoGg),"ERROR"))</f>
        <v>141.09420138271955</v>
      </c>
      <c r="AC315" s="93">
        <f>IF('Net zero activities &amp; levers'!$C$7="Off",(('Activity data'!AV10*EF!$H9)*kgtoGg),IF('Net zero activities &amp; levers'!$C$7="On",((('Net zero supporting data'!T80*EF!$H9)+('Net zero supporting data'!T75*'Net zero supporting data'!T60))*kgtoGg),"ERROR"))</f>
        <v>143.14192494700313</v>
      </c>
      <c r="AD315" s="93">
        <f>IF('Net zero activities &amp; levers'!$C$7="Off",(('Activity data'!AW10*EF!$H9)*kgtoGg),IF('Net zero activities &amp; levers'!$C$7="On",((('Net zero supporting data'!U80*EF!$H9)+('Net zero supporting data'!U75*'Net zero supporting data'!U60))*kgtoGg),"ERROR"))</f>
        <v>145.32079439837173</v>
      </c>
      <c r="AE315" s="93">
        <f>IF('Net zero activities &amp; levers'!$C$7="Off",(('Activity data'!AX10*EF!$H9)*kgtoGg),IF('Net zero activities &amp; levers'!$C$7="On",((('Net zero supporting data'!V80*EF!$H9)+('Net zero supporting data'!V75*'Net zero supporting data'!V60))*kgtoGg),"ERROR"))</f>
        <v>147.24589460251983</v>
      </c>
      <c r="AF315" s="93">
        <f>IF('Net zero activities &amp; levers'!$C$7="Off",(('Activity data'!AY10*EF!$H9)*kgtoGg),IF('Net zero activities &amp; levers'!$C$7="On",((('Net zero supporting data'!W80*EF!$H9)+('Net zero supporting data'!W75*'Net zero supporting data'!W60))*kgtoGg),"ERROR"))</f>
        <v>148.90595700146477</v>
      </c>
      <c r="AG315" s="93">
        <f>IF('Net zero activities &amp; levers'!$C$7="Off",(('Activity data'!AZ10*EF!$H9)*kgtoGg),IF('Net zero activities &amp; levers'!$C$7="On",((('Net zero supporting data'!X80*EF!$H9)+('Net zero supporting data'!X75*'Net zero supporting data'!X60))*kgtoGg),"ERROR"))</f>
        <v>150.29119988084832</v>
      </c>
      <c r="AH315" s="93">
        <f>IF('Net zero activities &amp; levers'!$C$7="Off",(('Activity data'!BA10*EF!$H9)*kgtoGg),IF('Net zero activities &amp; levers'!$C$7="On",((('Net zero supporting data'!Y80*EF!$H9)+('Net zero supporting data'!Y75*'Net zero supporting data'!Y60))*kgtoGg),"ERROR"))</f>
        <v>151.39298806651198</v>
      </c>
      <c r="AI315" s="93">
        <f>IF('Net zero activities &amp; levers'!$C$7="Off",(('Activity data'!BB10*EF!$H9)*kgtoGg),IF('Net zero activities &amp; levers'!$C$7="On",((('Net zero supporting data'!Z80*EF!$H9)+('Net zero supporting data'!Z75*'Net zero supporting data'!Z60))*kgtoGg),"ERROR"))</f>
        <v>152.2040963869018</v>
      </c>
      <c r="AJ315" s="93">
        <f>IF('Net zero activities &amp; levers'!$C$7="Off",(('Activity data'!BC10*EF!$H9)*kgtoGg),IF('Net zero activities &amp; levers'!$C$7="On",((('Net zero supporting data'!AA80*EF!$H9)+('Net zero supporting data'!AA75*'Net zero supporting data'!AA60))*kgtoGg),"ERROR"))</f>
        <v>-12.150089844770541</v>
      </c>
      <c r="AK315" s="93">
        <f>IF('Net zero activities &amp; levers'!$C$7="Off",(('Activity data'!BD10*EF!$H9)*kgtoGg),IF('Net zero activities &amp; levers'!$C$7="On",((('Net zero supporting data'!AB80*EF!$H9)+('Net zero supporting data'!AB75*'Net zero supporting data'!AB60))*kgtoGg),"ERROR"))</f>
        <v>-12.261292624366734</v>
      </c>
      <c r="AL315" s="93">
        <f>IF('Net zero activities &amp; levers'!$C$7="Off",(('Activity data'!BE10*EF!$H9)*kgtoGg),IF('Net zero activities &amp; levers'!$C$7="On",((('Net zero supporting data'!AC80*EF!$H9)+('Net zero supporting data'!AC75*'Net zero supporting data'!AC60))*kgtoGg),"ERROR"))</f>
        <v>-12.371760078813706</v>
      </c>
      <c r="AM315" s="93">
        <f>IF('Net zero activities &amp; levers'!$C$7="Off",(('Activity data'!BF10*EF!$H9)*kgtoGg),IF('Net zero activities &amp; levers'!$C$7="On",((('Net zero supporting data'!AD80*EF!$H9)+('Net zero supporting data'!AD75*'Net zero supporting data'!AD60))*kgtoGg),"ERROR"))</f>
        <v>-12.481547229069234</v>
      </c>
      <c r="AN315" s="93">
        <f>IF('Net zero activities &amp; levers'!$C$7="Off",(('Activity data'!BG10*EF!$H9)*kgtoGg),IF('Net zero activities &amp; levers'!$C$7="On",((('Net zero supporting data'!AE80*EF!$H9)+('Net zero supporting data'!AE75*'Net zero supporting data'!AE60))*kgtoGg),"ERROR"))</f>
        <v>-12.575061773814197</v>
      </c>
      <c r="AO315" s="93">
        <f>IF('Net zero activities &amp; levers'!$C$7="Off",(('Activity data'!BH10*EF!$H9)*kgtoGg),IF('Net zero activities &amp; levers'!$C$7="On",((('Net zero supporting data'!AF80*EF!$H9)+('Net zero supporting data'!AF75*'Net zero supporting data'!AF60))*kgtoGg),"ERROR"))</f>
        <v>-12.667641248223251</v>
      </c>
      <c r="AP315" s="93">
        <f>IF('Net zero activities &amp; levers'!$C$7="Off",(('Activity data'!BI10*EF!$H9)*kgtoGg),IF('Net zero activities &amp; levers'!$C$7="On",((('Net zero supporting data'!AG80*EF!$H9)+('Net zero supporting data'!AG75*'Net zero supporting data'!AG60))*kgtoGg),"ERROR"))</f>
        <v>-12.759143955764493</v>
      </c>
      <c r="AQ315" s="93">
        <f>IF('Net zero activities &amp; levers'!$C$7="Off",(('Activity data'!BJ10*EF!$H9)*kgtoGg),IF('Net zero activities &amp; levers'!$C$7="On",((('Net zero supporting data'!AH80*EF!$H9)+('Net zero supporting data'!AH75*'Net zero supporting data'!AH60))*kgtoGg),"ERROR"))</f>
        <v>-12.849544731083009</v>
      </c>
      <c r="AR315" s="93">
        <f>IF('Net zero activities &amp; levers'!$C$7="Off",(('Activity data'!BK10*EF!$H9)*kgtoGg),IF('Net zero activities &amp; levers'!$C$7="On",((('Net zero supporting data'!AI80*EF!$H9)+('Net zero supporting data'!AI75*'Net zero supporting data'!AI60))*kgtoGg),"ERROR"))</f>
        <v>-12.938674897522816</v>
      </c>
      <c r="AS315" s="93">
        <f>IF('Net zero activities &amp; levers'!$C$7="Off",(('Activity data'!BL10*EF!$H9)*kgtoGg),IF('Net zero activities &amp; levers'!$C$7="On",((('Net zero supporting data'!AJ80*EF!$H9)+('Net zero supporting data'!AJ75*'Net zero supporting data'!AJ60))*kgtoGg),"ERROR"))</f>
        <v>-13.02634616662869</v>
      </c>
      <c r="AT315" s="93">
        <f>IF('Net zero activities &amp; levers'!$C$7="Off",(('Activity data'!BM10*EF!$H9)*kgtoGg),IF('Net zero activities &amp; levers'!$C$7="On",((('Net zero supporting data'!AK80*EF!$H9)+('Net zero supporting data'!AK75*'Net zero supporting data'!AK60))*kgtoGg),"ERROR"))</f>
        <v>-13.112524146200343</v>
      </c>
      <c r="AU315" s="93">
        <f>IF('Net zero activities &amp; levers'!$C$7="Off",(('Activity data'!BN10*EF!$H9)*kgtoGg),IF('Net zero activities &amp; levers'!$C$7="On",((('Net zero supporting data'!AL80*EF!$H9)+('Net zero supporting data'!AL75*'Net zero supporting data'!AL60))*kgtoGg),"ERROR"))</f>
        <v>-13.197221864241371</v>
      </c>
      <c r="AV315" s="93">
        <f>IF('Net zero activities &amp; levers'!$C$7="Off",(('Activity data'!BO10*EF!$H9)*kgtoGg),IF('Net zero activities &amp; levers'!$C$7="On",((('Net zero supporting data'!AM80*EF!$H9)+('Net zero supporting data'!AM75*'Net zero supporting data'!AM60))*kgtoGg),"ERROR"))</f>
        <v>-13.28044453197926</v>
      </c>
      <c r="AW315" s="93">
        <f>IF('Net zero activities &amp; levers'!$C$7="Off",(('Activity data'!BP10*EF!$H9)*kgtoGg),IF('Net zero activities &amp; levers'!$C$7="On",((('Net zero supporting data'!AN80*EF!$H9)+('Net zero supporting data'!AN75*'Net zero supporting data'!AN60))*kgtoGg),"ERROR"))</f>
        <v>-13.362004258887673</v>
      </c>
      <c r="AY315" s="79"/>
    </row>
    <row r="316" spans="1:51" x14ac:dyDescent="0.25">
      <c r="A316" s="95" t="str">
        <f t="shared" si="71"/>
        <v>GS Sheep</v>
      </c>
      <c r="B316" s="95" t="s">
        <v>1021</v>
      </c>
      <c r="C316" s="95" t="s">
        <v>152</v>
      </c>
      <c r="D316" t="s">
        <v>15</v>
      </c>
      <c r="E316" t="s">
        <v>16</v>
      </c>
      <c r="F316" t="s">
        <v>18</v>
      </c>
      <c r="G316" t="s">
        <v>122</v>
      </c>
      <c r="H316" t="s">
        <v>1020</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134.51556530099631</v>
      </c>
      <c r="T316" s="27">
        <f t="shared" si="74"/>
        <v>134.60509112337468</v>
      </c>
      <c r="U316" s="27">
        <f t="shared" si="74"/>
        <v>136.35833424652054</v>
      </c>
      <c r="V316" s="27">
        <f t="shared" si="74"/>
        <v>136.40110324414033</v>
      </c>
      <c r="W316" s="27">
        <f t="shared" si="74"/>
        <v>136.58404654274005</v>
      </c>
      <c r="X316" s="27">
        <f t="shared" si="74"/>
        <v>136.84849552124783</v>
      </c>
      <c r="Y316" s="27">
        <f t="shared" si="74"/>
        <v>137.09415955987274</v>
      </c>
      <c r="Z316" s="27">
        <f t="shared" si="74"/>
        <v>137.32408030952666</v>
      </c>
      <c r="AA316" s="27">
        <f t="shared" si="74"/>
        <v>137.53703172758449</v>
      </c>
      <c r="AB316" s="27">
        <f t="shared" si="74"/>
        <v>137.73493252382224</v>
      </c>
      <c r="AC316" s="27">
        <f t="shared" si="74"/>
        <v>137.92078465176073</v>
      </c>
      <c r="AD316" s="27">
        <f t="shared" si="74"/>
        <v>138.09441299579947</v>
      </c>
      <c r="AE316" s="27">
        <f t="shared" si="74"/>
        <v>138.25859465521103</v>
      </c>
      <c r="AF316" s="27">
        <f t="shared" si="74"/>
        <v>138.41372705764812</v>
      </c>
      <c r="AG316" s="27">
        <f t="shared" si="74"/>
        <v>138.55768393469623</v>
      </c>
      <c r="AH316" s="27">
        <f t="shared" si="74"/>
        <v>138.69178217062699</v>
      </c>
      <c r="AI316" s="27">
        <f t="shared" si="74"/>
        <v>138.81816108295814</v>
      </c>
      <c r="AJ316" s="27">
        <f t="shared" si="74"/>
        <v>135.77163521502163</v>
      </c>
      <c r="AK316" s="27">
        <f t="shared" si="74"/>
        <v>135.89648953385836</v>
      </c>
      <c r="AL316" s="27">
        <f t="shared" si="74"/>
        <v>136.01294647652736</v>
      </c>
      <c r="AM316" s="27">
        <f t="shared" si="74"/>
        <v>136.12171776801748</v>
      </c>
      <c r="AN316" s="27">
        <f t="shared" si="74"/>
        <v>136.22366859450332</v>
      </c>
      <c r="AO316" s="27">
        <f t="shared" si="74"/>
        <v>136.31611723482146</v>
      </c>
      <c r="AP316" s="27">
        <f t="shared" si="74"/>
        <v>136.39727280638544</v>
      </c>
      <c r="AQ316" s="27">
        <f t="shared" si="74"/>
        <v>136.46687299989276</v>
      </c>
      <c r="AR316" s="27">
        <f t="shared" si="74"/>
        <v>136.52287982045266</v>
      </c>
      <c r="AS316" s="27">
        <f t="shared" si="74"/>
        <v>136.56307802336653</v>
      </c>
      <c r="AT316" s="27">
        <f t="shared" si="74"/>
        <v>136.58721779491506</v>
      </c>
      <c r="AU316" s="27">
        <f t="shared" si="74"/>
        <v>136.59564346547165</v>
      </c>
      <c r="AV316" s="27">
        <f t="shared" si="74"/>
        <v>136.58860148831764</v>
      </c>
      <c r="AW316" s="27">
        <f t="shared" si="74"/>
        <v>136.56400681676968</v>
      </c>
      <c r="AY316" s="79"/>
    </row>
    <row r="317" spans="1:51" x14ac:dyDescent="0.25">
      <c r="A317" s="95" t="str">
        <f t="shared" si="71"/>
        <v>GS Sheep</v>
      </c>
      <c r="B317" s="95" t="s">
        <v>1021</v>
      </c>
      <c r="C317" s="95" t="s">
        <v>152</v>
      </c>
      <c r="D317" t="s">
        <v>15</v>
      </c>
      <c r="E317" t="s">
        <v>16</v>
      </c>
      <c r="F317" t="s">
        <v>18</v>
      </c>
      <c r="G317" t="s">
        <v>123</v>
      </c>
      <c r="H317" t="s">
        <v>1020</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14.577965145623706</v>
      </c>
      <c r="T317" s="27">
        <f t="shared" si="75"/>
        <v>14.587667400640397</v>
      </c>
      <c r="U317" s="27">
        <f t="shared" si="75"/>
        <v>14.777673048565481</v>
      </c>
      <c r="V317" s="27">
        <f t="shared" si="75"/>
        <v>14.782308088051206</v>
      </c>
      <c r="W317" s="27">
        <f t="shared" si="75"/>
        <v>14.802134351462762</v>
      </c>
      <c r="X317" s="27">
        <f t="shared" si="75"/>
        <v>14.830793696445298</v>
      </c>
      <c r="Y317" s="27">
        <f t="shared" si="75"/>
        <v>14.857417245806248</v>
      </c>
      <c r="Z317" s="27">
        <f t="shared" si="75"/>
        <v>14.882334634862383</v>
      </c>
      <c r="AA317" s="27">
        <f t="shared" si="75"/>
        <v>14.905412992695631</v>
      </c>
      <c r="AB317" s="27">
        <f t="shared" si="75"/>
        <v>14.926860257206538</v>
      </c>
      <c r="AC317" s="27">
        <f t="shared" si="75"/>
        <v>14.947001761554121</v>
      </c>
      <c r="AD317" s="27">
        <f t="shared" si="75"/>
        <v>14.965818527792479</v>
      </c>
      <c r="AE317" s="27">
        <f t="shared" si="75"/>
        <v>14.983611520767653</v>
      </c>
      <c r="AF317" s="27">
        <f t="shared" si="75"/>
        <v>15.000423811231022</v>
      </c>
      <c r="AG317" s="27">
        <f t="shared" si="75"/>
        <v>15.016024967360309</v>
      </c>
      <c r="AH317" s="27">
        <f t="shared" si="75"/>
        <v>15.030557704929484</v>
      </c>
      <c r="AI317" s="27">
        <f t="shared" si="75"/>
        <v>15.044253869941933</v>
      </c>
      <c r="AJ317" s="27">
        <f t="shared" si="75"/>
        <v>14.714090235580054</v>
      </c>
      <c r="AK317" s="27">
        <f t="shared" si="75"/>
        <v>14.727621174577411</v>
      </c>
      <c r="AL317" s="27">
        <f t="shared" si="75"/>
        <v>14.740242057873667</v>
      </c>
      <c r="AM317" s="27">
        <f t="shared" si="75"/>
        <v>14.752030017821943</v>
      </c>
      <c r="AN317" s="27">
        <f t="shared" si="75"/>
        <v>14.763078817949665</v>
      </c>
      <c r="AO317" s="27">
        <f t="shared" si="75"/>
        <v>14.773097829900454</v>
      </c>
      <c r="AP317" s="27">
        <f t="shared" si="75"/>
        <v>14.781892968894116</v>
      </c>
      <c r="AQ317" s="27">
        <f t="shared" si="75"/>
        <v>14.789435807470511</v>
      </c>
      <c r="AR317" s="27">
        <f t="shared" si="75"/>
        <v>14.795505480346009</v>
      </c>
      <c r="AS317" s="27">
        <f t="shared" si="75"/>
        <v>14.799861912998866</v>
      </c>
      <c r="AT317" s="27">
        <f t="shared" si="75"/>
        <v>14.802478032162998</v>
      </c>
      <c r="AU317" s="27">
        <f t="shared" si="75"/>
        <v>14.803391154234989</v>
      </c>
      <c r="AV317" s="27">
        <f t="shared" si="75"/>
        <v>14.802627988297443</v>
      </c>
      <c r="AW317" s="27">
        <f t="shared" si="75"/>
        <v>14.799962569884396</v>
      </c>
      <c r="AY317" s="79"/>
    </row>
    <row r="318" spans="1:51" x14ac:dyDescent="0.25">
      <c r="A318" s="95" t="str">
        <f t="shared" si="71"/>
        <v>GS Goats</v>
      </c>
      <c r="B318" s="95" t="s">
        <v>1021</v>
      </c>
      <c r="C318" s="95" t="s">
        <v>153</v>
      </c>
      <c r="D318" t="s">
        <v>15</v>
      </c>
      <c r="E318" t="s">
        <v>16</v>
      </c>
      <c r="F318" t="s">
        <v>19</v>
      </c>
      <c r="G318" t="s">
        <v>122</v>
      </c>
      <c r="H318" t="s">
        <v>1020</v>
      </c>
      <c r="I318" t="s">
        <v>121</v>
      </c>
      <c r="J318" t="s">
        <v>286</v>
      </c>
      <c r="K318" s="27">
        <f t="shared" si="72"/>
        <v>15.123414197798359</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15.545788610572222</v>
      </c>
      <c r="R318" s="27">
        <f t="shared" si="76"/>
        <v>15.648067752449878</v>
      </c>
      <c r="S318" s="27">
        <f t="shared" si="76"/>
        <v>15.609909908763072</v>
      </c>
      <c r="T318" s="27">
        <f t="shared" si="76"/>
        <v>15.635455939498677</v>
      </c>
      <c r="U318" s="27">
        <f t="shared" si="76"/>
        <v>15.95246888070791</v>
      </c>
      <c r="V318" s="27">
        <f t="shared" si="76"/>
        <v>15.966791142533616</v>
      </c>
      <c r="W318" s="27">
        <f t="shared" si="76"/>
        <v>16.004709527553434</v>
      </c>
      <c r="X318" s="27">
        <f t="shared" si="76"/>
        <v>16.055885293055152</v>
      </c>
      <c r="Y318" s="27">
        <f t="shared" si="76"/>
        <v>16.102820608505493</v>
      </c>
      <c r="Z318" s="27">
        <f t="shared" si="76"/>
        <v>16.146135876832972</v>
      </c>
      <c r="AA318" s="27">
        <f t="shared" si="76"/>
        <v>16.185698238107559</v>
      </c>
      <c r="AB318" s="27">
        <f t="shared" si="76"/>
        <v>16.22191395009931</v>
      </c>
      <c r="AC318" s="27">
        <f t="shared" si="76"/>
        <v>16.25536732746065</v>
      </c>
      <c r="AD318" s="27">
        <f t="shared" si="76"/>
        <v>16.286085323517181</v>
      </c>
      <c r="AE318" s="27">
        <f t="shared" si="76"/>
        <v>16.31459834375584</v>
      </c>
      <c r="AF318" s="27">
        <f t="shared" si="76"/>
        <v>16.341020303059434</v>
      </c>
      <c r="AG318" s="27">
        <f t="shared" si="76"/>
        <v>16.365028601066268</v>
      </c>
      <c r="AH318" s="27">
        <f t="shared" si="76"/>
        <v>16.386889120844085</v>
      </c>
      <c r="AI318" s="27">
        <f t="shared" si="76"/>
        <v>16.407003513902541</v>
      </c>
      <c r="AJ318" s="27">
        <f t="shared" si="76"/>
        <v>15.886156568564889</v>
      </c>
      <c r="AK318" s="27">
        <f t="shared" si="76"/>
        <v>15.906232465615583</v>
      </c>
      <c r="AL318" s="27">
        <f t="shared" si="76"/>
        <v>15.924511297002383</v>
      </c>
      <c r="AM318" s="27">
        <f t="shared" si="76"/>
        <v>15.941140997111155</v>
      </c>
      <c r="AN318" s="27">
        <f t="shared" si="76"/>
        <v>15.956292884471127</v>
      </c>
      <c r="AO318" s="27">
        <f t="shared" si="76"/>
        <v>15.969536826708435</v>
      </c>
      <c r="AP318" s="27">
        <f t="shared" si="76"/>
        <v>15.980594577453482</v>
      </c>
      <c r="AQ318" s="27">
        <f t="shared" si="76"/>
        <v>15.989445822984647</v>
      </c>
      <c r="AR318" s="27">
        <f t="shared" si="76"/>
        <v>15.995770985939464</v>
      </c>
      <c r="AS318" s="27">
        <f t="shared" si="76"/>
        <v>15.999221862064399</v>
      </c>
      <c r="AT318" s="27">
        <f t="shared" si="76"/>
        <v>15.999780644603296</v>
      </c>
      <c r="AU318" s="27">
        <f t="shared" si="76"/>
        <v>15.99752803776004</v>
      </c>
      <c r="AV318" s="27">
        <f t="shared" si="76"/>
        <v>15.992527037206958</v>
      </c>
      <c r="AW318" s="27">
        <f t="shared" si="76"/>
        <v>15.984450939829935</v>
      </c>
      <c r="AY318" s="79"/>
    </row>
    <row r="319" spans="1:51" x14ac:dyDescent="0.25">
      <c r="A319" s="95" t="str">
        <f t="shared" si="71"/>
        <v>GS Goats</v>
      </c>
      <c r="B319" s="95" t="s">
        <v>1021</v>
      </c>
      <c r="C319" s="95" t="s">
        <v>153</v>
      </c>
      <c r="D319" t="s">
        <v>15</v>
      </c>
      <c r="E319" t="s">
        <v>16</v>
      </c>
      <c r="F319" t="s">
        <v>19</v>
      </c>
      <c r="G319" t="s">
        <v>123</v>
      </c>
      <c r="H319" t="s">
        <v>1020</v>
      </c>
      <c r="I319" t="s">
        <v>121</v>
      </c>
      <c r="J319" t="s">
        <v>286</v>
      </c>
      <c r="K319" s="27">
        <f t="shared" si="72"/>
        <v>22.381101687842744</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23.101065436464115</v>
      </c>
      <c r="T319" s="27">
        <f t="shared" si="77"/>
        <v>23.138870941499981</v>
      </c>
      <c r="U319" s="27">
        <f t="shared" si="77"/>
        <v>23.608017576034321</v>
      </c>
      <c r="V319" s="27">
        <f t="shared" si="77"/>
        <v>23.62921305439183</v>
      </c>
      <c r="W319" s="27">
        <f t="shared" si="77"/>
        <v>23.685328374640804</v>
      </c>
      <c r="X319" s="27">
        <f t="shared" si="77"/>
        <v>23.761063258091507</v>
      </c>
      <c r="Y319" s="27">
        <f t="shared" si="77"/>
        <v>23.830522710441766</v>
      </c>
      <c r="Z319" s="27">
        <f t="shared" si="77"/>
        <v>23.894624864386248</v>
      </c>
      <c r="AA319" s="27">
        <f t="shared" si="77"/>
        <v>23.953173100856997</v>
      </c>
      <c r="AB319" s="27">
        <f t="shared" si="77"/>
        <v>24.006768639680701</v>
      </c>
      <c r="AC319" s="27">
        <f t="shared" si="77"/>
        <v>24.0562762066053</v>
      </c>
      <c r="AD319" s="27">
        <f t="shared" si="77"/>
        <v>24.101735689787876</v>
      </c>
      <c r="AE319" s="27">
        <f t="shared" si="77"/>
        <v>24.143932034941329</v>
      </c>
      <c r="AF319" s="27">
        <f t="shared" si="77"/>
        <v>24.183033824407083</v>
      </c>
      <c r="AG319" s="27">
        <f t="shared" si="77"/>
        <v>24.218563642741437</v>
      </c>
      <c r="AH319" s="27">
        <f t="shared" si="77"/>
        <v>24.250914969610982</v>
      </c>
      <c r="AI319" s="27">
        <f t="shared" si="77"/>
        <v>24.280682208049512</v>
      </c>
      <c r="AJ319" s="27">
        <f t="shared" si="77"/>
        <v>23.509882156226475</v>
      </c>
      <c r="AK319" s="27">
        <f t="shared" si="77"/>
        <v>23.53959242452235</v>
      </c>
      <c r="AL319" s="27">
        <f t="shared" si="77"/>
        <v>23.566643219974505</v>
      </c>
      <c r="AM319" s="27">
        <f t="shared" si="77"/>
        <v>23.591253470299264</v>
      </c>
      <c r="AN319" s="27">
        <f t="shared" si="77"/>
        <v>23.613676709346407</v>
      </c>
      <c r="AO319" s="27">
        <f t="shared" si="77"/>
        <v>23.633276385324617</v>
      </c>
      <c r="AP319" s="27">
        <f t="shared" si="77"/>
        <v>23.649640722148757</v>
      </c>
      <c r="AQ319" s="27">
        <f t="shared" si="77"/>
        <v>23.662739657594557</v>
      </c>
      <c r="AR319" s="27">
        <f t="shared" si="77"/>
        <v>23.672100249947082</v>
      </c>
      <c r="AS319" s="27">
        <f t="shared" si="77"/>
        <v>23.67720719262908</v>
      </c>
      <c r="AT319" s="27">
        <f t="shared" si="77"/>
        <v>23.678034133468028</v>
      </c>
      <c r="AU319" s="27">
        <f t="shared" si="77"/>
        <v>23.674700506407216</v>
      </c>
      <c r="AV319" s="27">
        <f t="shared" si="77"/>
        <v>23.667299538579741</v>
      </c>
      <c r="AW319" s="27">
        <f t="shared" si="77"/>
        <v>23.655347742889163</v>
      </c>
      <c r="AY319" s="79"/>
    </row>
    <row r="320" spans="1:51" x14ac:dyDescent="0.25">
      <c r="A320" s="95" t="str">
        <f t="shared" si="71"/>
        <v>GS Horses</v>
      </c>
      <c r="B320" s="95" t="s">
        <v>1021</v>
      </c>
      <c r="C320" s="95" t="s">
        <v>3</v>
      </c>
      <c r="D320" t="s">
        <v>15</v>
      </c>
      <c r="E320" t="s">
        <v>16</v>
      </c>
      <c r="F320" t="s">
        <v>20</v>
      </c>
      <c r="G320" t="s">
        <v>3</v>
      </c>
      <c r="H320" t="s">
        <v>1020</v>
      </c>
      <c r="I320" t="s">
        <v>121</v>
      </c>
      <c r="J320" t="s">
        <v>286</v>
      </c>
      <c r="K320" s="27">
        <f t="shared" si="72"/>
        <v>5.5526214800767901</v>
      </c>
      <c r="L320" s="27">
        <f t="shared" ref="L320:AW320" si="78">L1389</f>
        <v>5.5795235710196529</v>
      </c>
      <c r="M320" s="27">
        <f t="shared" si="78"/>
        <v>5.6203482259438022</v>
      </c>
      <c r="N320" s="27">
        <f t="shared" si="78"/>
        <v>5.6290756550083767</v>
      </c>
      <c r="O320" s="27">
        <f t="shared" si="78"/>
        <v>5.6165815405282284</v>
      </c>
      <c r="P320" s="27">
        <f t="shared" si="78"/>
        <v>5.5833231296706112</v>
      </c>
      <c r="Q320" s="27">
        <f t="shared" si="78"/>
        <v>5.5648827699457364</v>
      </c>
      <c r="R320" s="27">
        <f t="shared" si="78"/>
        <v>5.5483103177944031</v>
      </c>
      <c r="S320" s="27">
        <f t="shared" si="78"/>
        <v>5.301317756839599</v>
      </c>
      <c r="T320" s="27">
        <f t="shared" si="78"/>
        <v>5.4334519326298842</v>
      </c>
      <c r="U320" s="27">
        <f t="shared" si="78"/>
        <v>11.663279711908721</v>
      </c>
      <c r="V320" s="27">
        <f t="shared" si="78"/>
        <v>11.812653235838557</v>
      </c>
      <c r="W320" s="27">
        <f t="shared" si="78"/>
        <v>11.932954790442608</v>
      </c>
      <c r="X320" s="27">
        <f t="shared" si="78"/>
        <v>12.029772886609605</v>
      </c>
      <c r="Y320" s="27">
        <f t="shared" si="78"/>
        <v>12.113873667726716</v>
      </c>
      <c r="Z320" s="27">
        <f t="shared" si="78"/>
        <v>12.184301808011908</v>
      </c>
      <c r="AA320" s="27">
        <f t="shared" si="78"/>
        <v>12.240662308750712</v>
      </c>
      <c r="AB320" s="27">
        <f t="shared" si="78"/>
        <v>12.282268429354316</v>
      </c>
      <c r="AC320" s="27">
        <f t="shared" si="78"/>
        <v>12.308384588149881</v>
      </c>
      <c r="AD320" s="27">
        <f t="shared" si="78"/>
        <v>12.31872545788376</v>
      </c>
      <c r="AE320" s="27">
        <f t="shared" si="78"/>
        <v>12.312750989800492</v>
      </c>
      <c r="AF320" s="27">
        <f t="shared" si="78"/>
        <v>12.290286651516004</v>
      </c>
      <c r="AG320" s="27">
        <f t="shared" si="78"/>
        <v>12.251535501678408</v>
      </c>
      <c r="AH320" s="27">
        <f t="shared" si="78"/>
        <v>12.196396092630039</v>
      </c>
      <c r="AI320" s="27">
        <f t="shared" si="78"/>
        <v>12.124769930026071</v>
      </c>
      <c r="AJ320" s="27">
        <f t="shared" si="78"/>
        <v>1.7851056965565462</v>
      </c>
      <c r="AK320" s="27">
        <f t="shared" si="78"/>
        <v>1.7851056965565462</v>
      </c>
      <c r="AL320" s="27">
        <f t="shared" si="78"/>
        <v>1.7851056965565462</v>
      </c>
      <c r="AM320" s="27">
        <f t="shared" si="78"/>
        <v>1.7851056965565462</v>
      </c>
      <c r="AN320" s="27">
        <f t="shared" si="78"/>
        <v>1.7851056965565462</v>
      </c>
      <c r="AO320" s="27">
        <f t="shared" si="78"/>
        <v>1.7851056965565462</v>
      </c>
      <c r="AP320" s="27">
        <f t="shared" si="78"/>
        <v>1.7851056965565462</v>
      </c>
      <c r="AQ320" s="27">
        <f t="shared" si="78"/>
        <v>1.7851056965565462</v>
      </c>
      <c r="AR320" s="27">
        <f t="shared" si="78"/>
        <v>1.7851056965565462</v>
      </c>
      <c r="AS320" s="27">
        <f t="shared" si="78"/>
        <v>1.7851056965565462</v>
      </c>
      <c r="AT320" s="27">
        <f t="shared" si="78"/>
        <v>1.7851056965565462</v>
      </c>
      <c r="AU320" s="27">
        <f t="shared" si="78"/>
        <v>1.7851056965565462</v>
      </c>
      <c r="AV320" s="27">
        <f t="shared" si="78"/>
        <v>1.7851056965565462</v>
      </c>
      <c r="AW320" s="27">
        <f t="shared" si="78"/>
        <v>1.7851056965565462</v>
      </c>
      <c r="AY320" s="79"/>
    </row>
    <row r="321" spans="1:51" x14ac:dyDescent="0.25">
      <c r="A321" s="95" t="str">
        <f t="shared" si="71"/>
        <v>GS Mules&amp;Asses</v>
      </c>
      <c r="B321" s="95" t="s">
        <v>1021</v>
      </c>
      <c r="C321" s="95" t="s">
        <v>1323</v>
      </c>
      <c r="D321" t="s">
        <v>15</v>
      </c>
      <c r="E321" t="s">
        <v>16</v>
      </c>
      <c r="F321" t="s">
        <v>140</v>
      </c>
      <c r="G321" t="s">
        <v>124</v>
      </c>
      <c r="H321" t="s">
        <v>1020</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25">
      <c r="A322" s="95" t="str">
        <f t="shared" si="71"/>
        <v>GS Swine</v>
      </c>
      <c r="B322" s="95" t="s">
        <v>1021</v>
      </c>
      <c r="C322" s="95" t="s">
        <v>155</v>
      </c>
      <c r="D322" t="s">
        <v>15</v>
      </c>
      <c r="E322" t="s">
        <v>16</v>
      </c>
      <c r="F322" t="s">
        <v>21</v>
      </c>
      <c r="G322" t="s">
        <v>122</v>
      </c>
      <c r="H322" t="s">
        <v>1020</v>
      </c>
      <c r="I322" t="s">
        <v>121</v>
      </c>
      <c r="J322" t="s">
        <v>286</v>
      </c>
      <c r="K322" s="27">
        <f t="shared" si="72"/>
        <v>1.8400999552016302</v>
      </c>
      <c r="L322" s="27">
        <f t="shared" ref="L322:AW322" si="80">L1391</f>
        <v>1.8300977880312248</v>
      </c>
      <c r="M322" s="27">
        <f t="shared" si="80"/>
        <v>1.8309187348828151</v>
      </c>
      <c r="N322" s="27">
        <f t="shared" si="80"/>
        <v>1.8141094978660448</v>
      </c>
      <c r="O322" s="27">
        <f t="shared" si="80"/>
        <v>1.7866561368117295</v>
      </c>
      <c r="P322" s="27">
        <f t="shared" si="80"/>
        <v>1.7489975228040082</v>
      </c>
      <c r="Q322" s="27">
        <f t="shared" si="80"/>
        <v>1.721653192801009</v>
      </c>
      <c r="R322" s="27">
        <f t="shared" si="80"/>
        <v>1.6967284692901872</v>
      </c>
      <c r="S322" s="27">
        <f t="shared" si="80"/>
        <v>1.5265878305982445</v>
      </c>
      <c r="T322" s="27">
        <f t="shared" si="80"/>
        <v>1.5810995176609606</v>
      </c>
      <c r="U322" s="27">
        <f t="shared" si="80"/>
        <v>5.0540136125986557</v>
      </c>
      <c r="V322" s="27">
        <f t="shared" si="80"/>
        <v>5.0678679159640359</v>
      </c>
      <c r="W322" s="27">
        <f t="shared" si="80"/>
        <v>5.0729847165704873</v>
      </c>
      <c r="X322" s="27">
        <f t="shared" si="80"/>
        <v>5.0695948867136602</v>
      </c>
      <c r="Y322" s="27">
        <f t="shared" si="80"/>
        <v>5.0582098272592386</v>
      </c>
      <c r="Z322" s="27">
        <f t="shared" si="80"/>
        <v>5.0387249592432335</v>
      </c>
      <c r="AA322" s="27">
        <f t="shared" si="80"/>
        <v>5.0111122815709459</v>
      </c>
      <c r="AB322" s="27">
        <f t="shared" si="80"/>
        <v>4.9753743834920021</v>
      </c>
      <c r="AC322" s="27">
        <f t="shared" si="80"/>
        <v>4.9315571021349269</v>
      </c>
      <c r="AD322" s="27">
        <f t="shared" si="80"/>
        <v>4.8797732145240138</v>
      </c>
      <c r="AE322" s="27">
        <f t="shared" si="80"/>
        <v>4.8201653478957827</v>
      </c>
      <c r="AF322" s="27">
        <f t="shared" si="80"/>
        <v>4.7529350466048701</v>
      </c>
      <c r="AG322" s="27">
        <f t="shared" si="80"/>
        <v>4.6783405786979539</v>
      </c>
      <c r="AH322" s="27">
        <f t="shared" si="80"/>
        <v>4.5966617003060959</v>
      </c>
      <c r="AI322" s="27">
        <f t="shared" si="80"/>
        <v>4.5082123470458679</v>
      </c>
      <c r="AJ322" s="27">
        <f t="shared" si="80"/>
        <v>-0.42008552544106242</v>
      </c>
      <c r="AK322" s="27">
        <f t="shared" si="80"/>
        <v>-0.41553771612775497</v>
      </c>
      <c r="AL322" s="27">
        <f t="shared" si="80"/>
        <v>-0.41097379422953517</v>
      </c>
      <c r="AM322" s="27">
        <f t="shared" si="80"/>
        <v>-0.40639849459231969</v>
      </c>
      <c r="AN322" s="27">
        <f t="shared" si="80"/>
        <v>-0.40181705013442426</v>
      </c>
      <c r="AO322" s="27">
        <f t="shared" si="80"/>
        <v>-0.39721731633182522</v>
      </c>
      <c r="AP322" s="27">
        <f t="shared" si="80"/>
        <v>-0.39259212331291987</v>
      </c>
      <c r="AQ322" s="27">
        <f t="shared" si="80"/>
        <v>-0.38794191787285037</v>
      </c>
      <c r="AR322" s="27">
        <f t="shared" si="80"/>
        <v>-0.38325899383328277</v>
      </c>
      <c r="AS322" s="27">
        <f t="shared" si="80"/>
        <v>-0.37853535700522173</v>
      </c>
      <c r="AT322" s="27">
        <f t="shared" si="80"/>
        <v>-0.37377234804073223</v>
      </c>
      <c r="AU322" s="27">
        <f t="shared" si="80"/>
        <v>-0.36897393039459231</v>
      </c>
      <c r="AV322" s="27">
        <f t="shared" si="80"/>
        <v>-0.36414349435249727</v>
      </c>
      <c r="AW322" s="27">
        <f t="shared" si="80"/>
        <v>-0.35927435241905337</v>
      </c>
      <c r="AY322" s="79"/>
    </row>
    <row r="323" spans="1:51" x14ac:dyDescent="0.25">
      <c r="A323" s="95" t="str">
        <f t="shared" si="71"/>
        <v>GS Swine</v>
      </c>
      <c r="B323" s="95" t="s">
        <v>1021</v>
      </c>
      <c r="C323" s="95" t="s">
        <v>155</v>
      </c>
      <c r="D323" t="s">
        <v>15</v>
      </c>
      <c r="E323" t="s">
        <v>16</v>
      </c>
      <c r="F323" t="s">
        <v>21</v>
      </c>
      <c r="G323" t="s">
        <v>123</v>
      </c>
      <c r="H323" t="s">
        <v>1020</v>
      </c>
      <c r="I323" t="s">
        <v>121</v>
      </c>
      <c r="J323" t="s">
        <v>286</v>
      </c>
      <c r="K323" s="27">
        <f t="shared" si="72"/>
        <v>0.25496723934882604</v>
      </c>
      <c r="L323" s="27">
        <f t="shared" ref="L323:AW323" si="81">L1392</f>
        <v>0.25358132281546891</v>
      </c>
      <c r="M323" s="27">
        <f t="shared" si="81"/>
        <v>0.25369507454499335</v>
      </c>
      <c r="N323" s="27">
        <f t="shared" si="81"/>
        <v>0.25136595935447842</v>
      </c>
      <c r="O323" s="27">
        <f t="shared" si="81"/>
        <v>0.247561977044127</v>
      </c>
      <c r="P323" s="27">
        <f t="shared" si="81"/>
        <v>0.24234393830437845</v>
      </c>
      <c r="Q323" s="27">
        <f t="shared" si="81"/>
        <v>0.23855506351363695</v>
      </c>
      <c r="R323" s="27">
        <f t="shared" si="81"/>
        <v>0.23510145332951485</v>
      </c>
      <c r="S323" s="27">
        <f t="shared" si="81"/>
        <v>0.21152649000988519</v>
      </c>
      <c r="T323" s="27">
        <f t="shared" si="81"/>
        <v>0.21907971793282416</v>
      </c>
      <c r="U323" s="27">
        <f t="shared" si="81"/>
        <v>0.70029233726842122</v>
      </c>
      <c r="V323" s="27">
        <f t="shared" si="81"/>
        <v>0.70221201205140604</v>
      </c>
      <c r="W323" s="27">
        <f t="shared" si="81"/>
        <v>0.7029210042565508</v>
      </c>
      <c r="X323" s="27">
        <f t="shared" si="81"/>
        <v>0.70245130392423227</v>
      </c>
      <c r="Y323" s="27">
        <f t="shared" si="81"/>
        <v>0.70087377158925745</v>
      </c>
      <c r="Z323" s="27">
        <f t="shared" si="81"/>
        <v>0.6981739166204699</v>
      </c>
      <c r="AA323" s="27">
        <f t="shared" si="81"/>
        <v>0.69434785914069519</v>
      </c>
      <c r="AB323" s="27">
        <f t="shared" si="81"/>
        <v>0.68939595792056851</v>
      </c>
      <c r="AC323" s="27">
        <f t="shared" si="81"/>
        <v>0.68332456422708854</v>
      </c>
      <c r="AD323" s="27">
        <f t="shared" si="81"/>
        <v>0.67614930462796652</v>
      </c>
      <c r="AE323" s="27">
        <f t="shared" si="81"/>
        <v>0.66788994178481698</v>
      </c>
      <c r="AF323" s="27">
        <f t="shared" si="81"/>
        <v>0.65857440201086193</v>
      </c>
      <c r="AG323" s="27">
        <f t="shared" si="81"/>
        <v>0.64823847134624946</v>
      </c>
      <c r="AH323" s="27">
        <f t="shared" si="81"/>
        <v>0.63692091325501032</v>
      </c>
      <c r="AI323" s="27">
        <f t="shared" si="81"/>
        <v>0.62466522716621964</v>
      </c>
      <c r="AJ323" s="27">
        <f t="shared" si="81"/>
        <v>-5.8207732905668316E-2</v>
      </c>
      <c r="AK323" s="27">
        <f t="shared" si="81"/>
        <v>-5.7577581058524868E-2</v>
      </c>
      <c r="AL323" s="27">
        <f t="shared" si="81"/>
        <v>-5.6945196625438323E-2</v>
      </c>
      <c r="AM323" s="27">
        <f t="shared" si="81"/>
        <v>-5.6311235674351458E-2</v>
      </c>
      <c r="AN323" s="27">
        <f t="shared" si="81"/>
        <v>-5.5676423286927873E-2</v>
      </c>
      <c r="AO323" s="27">
        <f t="shared" si="81"/>
        <v>-5.5039076698188007E-2</v>
      </c>
      <c r="AP323" s="27">
        <f t="shared" si="81"/>
        <v>-5.4398202439073888E-2</v>
      </c>
      <c r="AQ323" s="27">
        <f t="shared" si="81"/>
        <v>-5.3753862418246326E-2</v>
      </c>
      <c r="AR323" s="27">
        <f t="shared" si="81"/>
        <v>-5.3104988855115366E-2</v>
      </c>
      <c r="AS323" s="27">
        <f t="shared" si="81"/>
        <v>-5.2450474061865898E-2</v>
      </c>
      <c r="AT323" s="27">
        <f t="shared" si="81"/>
        <v>-5.1790503801426135E-2</v>
      </c>
      <c r="AU323" s="27">
        <f t="shared" si="81"/>
        <v>-5.1125627256529457E-2</v>
      </c>
      <c r="AV323" s="27">
        <f t="shared" si="81"/>
        <v>-5.0456314190669899E-2</v>
      </c>
      <c r="AW323" s="27">
        <f t="shared" si="81"/>
        <v>-4.9781637973620729E-2</v>
      </c>
      <c r="AY323" s="79"/>
    </row>
    <row r="324" spans="1:51" x14ac:dyDescent="0.25">
      <c r="A324" s="95" t="str">
        <f t="shared" si="71"/>
        <v>GS Cattle MMCH4</v>
      </c>
      <c r="B324" s="95" t="s">
        <v>1021</v>
      </c>
      <c r="C324" s="95" t="s">
        <v>1229</v>
      </c>
      <c r="D324" t="s">
        <v>15</v>
      </c>
      <c r="E324" t="s">
        <v>22</v>
      </c>
      <c r="F324" t="s">
        <v>6</v>
      </c>
      <c r="G324" t="s">
        <v>136</v>
      </c>
      <c r="H324" t="s">
        <v>1227</v>
      </c>
      <c r="I324" t="s">
        <v>121</v>
      </c>
      <c r="J324" t="s">
        <v>286</v>
      </c>
      <c r="K324" s="27">
        <f>K1393</f>
        <v>7.351330651107908</v>
      </c>
      <c r="L324" s="27">
        <f t="shared" ref="L324:AW331" si="82">L1393</f>
        <v>7.3924283487896005</v>
      </c>
      <c r="M324" s="27">
        <f t="shared" si="82"/>
        <v>7.4507389435191715</v>
      </c>
      <c r="N324" s="27">
        <f t="shared" si="82"/>
        <v>7.4882097119910753</v>
      </c>
      <c r="O324" s="27">
        <f t="shared" si="82"/>
        <v>7.5131092090175455</v>
      </c>
      <c r="P324" s="27">
        <f t="shared" si="82"/>
        <v>7.5251923679492423</v>
      </c>
      <c r="Q324" s="27">
        <f t="shared" si="82"/>
        <v>7.5518885629203734</v>
      </c>
      <c r="R324" s="27">
        <f t="shared" si="82"/>
        <v>7.5825135825669054</v>
      </c>
      <c r="S324" s="27">
        <f t="shared" si="82"/>
        <v>7.3670594492211752</v>
      </c>
      <c r="T324" s="27">
        <f t="shared" si="82"/>
        <v>7.4938201403917679</v>
      </c>
      <c r="U324" s="27">
        <f t="shared" si="82"/>
        <v>12.893716848831154</v>
      </c>
      <c r="V324" s="27">
        <f t="shared" si="82"/>
        <v>13.049144587269693</v>
      </c>
      <c r="W324" s="27">
        <f t="shared" si="82"/>
        <v>13.19775488481636</v>
      </c>
      <c r="X324" s="27">
        <f t="shared" si="82"/>
        <v>13.337019913111025</v>
      </c>
      <c r="Y324" s="27">
        <f t="shared" si="82"/>
        <v>13.463220566952655</v>
      </c>
      <c r="Z324" s="27">
        <f t="shared" si="82"/>
        <v>13.575767486447466</v>
      </c>
      <c r="AA324" s="27">
        <f t="shared" si="82"/>
        <v>13.674005026382902</v>
      </c>
      <c r="AB324" s="27">
        <f t="shared" si="82"/>
        <v>13.757436960081838</v>
      </c>
      <c r="AC324" s="27">
        <f t="shared" si="82"/>
        <v>13.825669744576842</v>
      </c>
      <c r="AD324" s="27">
        <f t="shared" si="82"/>
        <v>13.878289677767924</v>
      </c>
      <c r="AE324" s="27">
        <f t="shared" si="82"/>
        <v>13.915049092366717</v>
      </c>
      <c r="AF324" s="27">
        <f t="shared" si="82"/>
        <v>13.935710420523995</v>
      </c>
      <c r="AG324" s="27">
        <f t="shared" si="82"/>
        <v>13.940044142256493</v>
      </c>
      <c r="AH324" s="27">
        <f t="shared" si="82"/>
        <v>13.928008342806061</v>
      </c>
      <c r="AI324" s="27">
        <f t="shared" si="82"/>
        <v>13.899671543047996</v>
      </c>
      <c r="AJ324" s="27">
        <f t="shared" si="82"/>
        <v>4.3976157174808597</v>
      </c>
      <c r="AK324" s="27">
        <f t="shared" si="82"/>
        <v>4.4008259031545416</v>
      </c>
      <c r="AL324" s="27">
        <f t="shared" si="82"/>
        <v>4.403804998470318</v>
      </c>
      <c r="AM324" s="27">
        <f t="shared" si="82"/>
        <v>4.4065731559819081</v>
      </c>
      <c r="AN324" s="27">
        <f t="shared" si="82"/>
        <v>4.4091551994119804</v>
      </c>
      <c r="AO324" s="27">
        <f t="shared" si="82"/>
        <v>4.4114700909604787</v>
      </c>
      <c r="AP324" s="27">
        <f t="shared" si="82"/>
        <v>4.4134634106251305</v>
      </c>
      <c r="AQ324" s="27">
        <f t="shared" si="82"/>
        <v>4.4151264315171801</v>
      </c>
      <c r="AR324" s="27">
        <f t="shared" si="82"/>
        <v>4.4163974064588221</v>
      </c>
      <c r="AS324" s="27">
        <f t="shared" si="82"/>
        <v>4.4172092973227706</v>
      </c>
      <c r="AT324" s="27">
        <f t="shared" si="82"/>
        <v>4.4175538239653074</v>
      </c>
      <c r="AU324" s="27">
        <f t="shared" si="82"/>
        <v>4.4174405083324073</v>
      </c>
      <c r="AV324" s="27">
        <f t="shared" si="82"/>
        <v>4.4168759908828958</v>
      </c>
      <c r="AW324" s="27">
        <f t="shared" si="82"/>
        <v>4.4157972186653511</v>
      </c>
      <c r="AY324" s="79"/>
    </row>
    <row r="325" spans="1:51" x14ac:dyDescent="0.25">
      <c r="A325" s="95" t="str">
        <f t="shared" si="71"/>
        <v>GS Cattle MMCH4</v>
      </c>
      <c r="B325" s="95" t="s">
        <v>1021</v>
      </c>
      <c r="C325" s="95" t="s">
        <v>1229</v>
      </c>
      <c r="D325" t="s">
        <v>15</v>
      </c>
      <c r="E325" t="s">
        <v>22</v>
      </c>
      <c r="F325" t="s">
        <v>6</v>
      </c>
      <c r="G325" t="s">
        <v>137</v>
      </c>
      <c r="H325" t="s">
        <v>1227</v>
      </c>
      <c r="I325" t="s">
        <v>121</v>
      </c>
      <c r="J325" t="s">
        <v>286</v>
      </c>
      <c r="K325" s="27">
        <f t="shared" ref="K325:Z359" si="83">K1394</f>
        <v>2.0944490884992821</v>
      </c>
      <c r="L325" s="27">
        <f t="shared" si="83"/>
        <v>2.1061581299686476</v>
      </c>
      <c r="M325" s="27">
        <f t="shared" si="83"/>
        <v>2.1227712545548472</v>
      </c>
      <c r="N325" s="27">
        <f t="shared" si="83"/>
        <v>2.1334469567638776</v>
      </c>
      <c r="O325" s="27">
        <f t="shared" si="83"/>
        <v>2.1405410097083362</v>
      </c>
      <c r="P325" s="27">
        <f t="shared" si="83"/>
        <v>2.1439835920667925</v>
      </c>
      <c r="Q325" s="27">
        <f t="shared" si="83"/>
        <v>2.151589537694508</v>
      </c>
      <c r="R325" s="27">
        <f t="shared" si="83"/>
        <v>2.1603148348588097</v>
      </c>
      <c r="S325" s="27">
        <f t="shared" si="83"/>
        <v>2.0989303407289799</v>
      </c>
      <c r="T325" s="27">
        <f t="shared" si="83"/>
        <v>2.1350454097797478</v>
      </c>
      <c r="U325" s="27">
        <f t="shared" si="83"/>
        <v>3.6735163718057389</v>
      </c>
      <c r="V325" s="27">
        <f t="shared" si="83"/>
        <v>3.7177988970450366</v>
      </c>
      <c r="W325" s="27">
        <f t="shared" si="83"/>
        <v>3.7601390823815941</v>
      </c>
      <c r="X325" s="27">
        <f t="shared" si="83"/>
        <v>3.7998167306081263</v>
      </c>
      <c r="Y325" s="27">
        <f t="shared" si="83"/>
        <v>3.8357722408349422</v>
      </c>
      <c r="Z325" s="27">
        <f t="shared" si="83"/>
        <v>3.8678377000200475</v>
      </c>
      <c r="AA325" s="27">
        <f t="shared" si="82"/>
        <v>3.8958263099383315</v>
      </c>
      <c r="AB325" s="27">
        <f t="shared" si="82"/>
        <v>3.919596691897838</v>
      </c>
      <c r="AC325" s="27">
        <f t="shared" si="82"/>
        <v>3.9390367225635514</v>
      </c>
      <c r="AD325" s="27">
        <f t="shared" si="82"/>
        <v>3.9540285351128004</v>
      </c>
      <c r="AE325" s="27">
        <f t="shared" si="82"/>
        <v>3.9645015672826429</v>
      </c>
      <c r="AF325" s="27">
        <f t="shared" si="82"/>
        <v>3.9703881342158924</v>
      </c>
      <c r="AG325" s="27">
        <f t="shared" si="82"/>
        <v>3.9716228439525687</v>
      </c>
      <c r="AH325" s="27">
        <f t="shared" si="82"/>
        <v>3.9681937546645596</v>
      </c>
      <c r="AI325" s="27">
        <f t="shared" si="82"/>
        <v>3.9601203884617591</v>
      </c>
      <c r="AJ325" s="27">
        <f t="shared" si="82"/>
        <v>1.2529136109065901</v>
      </c>
      <c r="AK325" s="27">
        <f t="shared" si="82"/>
        <v>1.2538282168163573</v>
      </c>
      <c r="AL325" s="27">
        <f t="shared" si="82"/>
        <v>1.2546769833546632</v>
      </c>
      <c r="AM325" s="27">
        <f t="shared" si="82"/>
        <v>1.2554656521347973</v>
      </c>
      <c r="AN325" s="27">
        <f t="shared" si="82"/>
        <v>1.2562012956210231</v>
      </c>
      <c r="AO325" s="27">
        <f t="shared" si="82"/>
        <v>1.2568608255379636</v>
      </c>
      <c r="AP325" s="27">
        <f t="shared" si="82"/>
        <v>1.2574287372199238</v>
      </c>
      <c r="AQ325" s="27">
        <f t="shared" si="82"/>
        <v>1.257902544311023</v>
      </c>
      <c r="AR325" s="27">
        <f t="shared" si="82"/>
        <v>1.2582646545784513</v>
      </c>
      <c r="AS325" s="27">
        <f t="shared" si="82"/>
        <v>1.2584959683583183</v>
      </c>
      <c r="AT325" s="27">
        <f t="shared" si="82"/>
        <v>1.2585941265757443</v>
      </c>
      <c r="AU325" s="27">
        <f t="shared" si="82"/>
        <v>1.2585618421043605</v>
      </c>
      <c r="AV325" s="27">
        <f t="shared" si="82"/>
        <v>1.2584010068605544</v>
      </c>
      <c r="AW325" s="27">
        <f t="shared" si="82"/>
        <v>1.2580936565868464</v>
      </c>
      <c r="AY325" s="79"/>
    </row>
    <row r="326" spans="1:51" x14ac:dyDescent="0.25">
      <c r="A326" s="95" t="str">
        <f t="shared" si="71"/>
        <v>GS Cattle MMCH4</v>
      </c>
      <c r="B326" s="95" t="s">
        <v>1021</v>
      </c>
      <c r="C326" s="95" t="s">
        <v>1229</v>
      </c>
      <c r="D326" t="s">
        <v>15</v>
      </c>
      <c r="E326" t="s">
        <v>22</v>
      </c>
      <c r="F326" t="s">
        <v>67</v>
      </c>
      <c r="G326" t="s">
        <v>307</v>
      </c>
      <c r="H326" t="s">
        <v>1227</v>
      </c>
      <c r="I326" t="s">
        <v>121</v>
      </c>
      <c r="J326" t="s">
        <v>286</v>
      </c>
      <c r="K326" s="27">
        <f t="shared" si="83"/>
        <v>0.43258377187145641</v>
      </c>
      <c r="L326" s="27">
        <f t="shared" si="82"/>
        <v>0.43500213637199753</v>
      </c>
      <c r="M326" s="27">
        <f t="shared" si="82"/>
        <v>0.43843338143569016</v>
      </c>
      <c r="N326" s="27">
        <f t="shared" si="82"/>
        <v>0.44063832189202168</v>
      </c>
      <c r="O326" s="27">
        <f t="shared" si="82"/>
        <v>0.44210351490980404</v>
      </c>
      <c r="P326" s="27">
        <f t="shared" si="82"/>
        <v>0.44281453971808249</v>
      </c>
      <c r="Q326" s="27">
        <f t="shared" si="82"/>
        <v>0.44438545813589125</v>
      </c>
      <c r="R326" s="27">
        <f t="shared" si="82"/>
        <v>0.44618756541973903</v>
      </c>
      <c r="S326" s="27">
        <f t="shared" si="82"/>
        <v>0.43350932169879508</v>
      </c>
      <c r="T326" s="27">
        <f t="shared" si="82"/>
        <v>0.44096846352141772</v>
      </c>
      <c r="U326" s="27">
        <f t="shared" si="82"/>
        <v>0.75872150670699801</v>
      </c>
      <c r="V326" s="27">
        <f t="shared" si="82"/>
        <v>0.76786754033521754</v>
      </c>
      <c r="W326" s="27">
        <f t="shared" si="82"/>
        <v>0.77661240655096708</v>
      </c>
      <c r="X326" s="27">
        <f t="shared" si="82"/>
        <v>0.78480735711007588</v>
      </c>
      <c r="Y326" s="27">
        <f t="shared" si="82"/>
        <v>0.79223354393833789</v>
      </c>
      <c r="Z326" s="27">
        <f t="shared" si="82"/>
        <v>0.79885628657612706</v>
      </c>
      <c r="AA326" s="27">
        <f t="shared" si="82"/>
        <v>0.80463700405184546</v>
      </c>
      <c r="AB326" s="27">
        <f t="shared" si="82"/>
        <v>0.80954649626310582</v>
      </c>
      <c r="AC326" s="27">
        <f t="shared" si="82"/>
        <v>0.81356160545666301</v>
      </c>
      <c r="AD326" s="27">
        <f t="shared" si="82"/>
        <v>0.81665798762959563</v>
      </c>
      <c r="AE326" s="27">
        <f t="shared" si="82"/>
        <v>0.81882106897821283</v>
      </c>
      <c r="AF326" s="27">
        <f t="shared" si="82"/>
        <v>0.82003686999306757</v>
      </c>
      <c r="AG326" s="27">
        <f t="shared" si="82"/>
        <v>0.82029188473560344</v>
      </c>
      <c r="AH326" s="27">
        <f t="shared" si="82"/>
        <v>0.81958364676198259</v>
      </c>
      <c r="AI326" s="27">
        <f t="shared" si="82"/>
        <v>0.81791618813389544</v>
      </c>
      <c r="AJ326" s="27">
        <f t="shared" si="82"/>
        <v>0.2587745381881813</v>
      </c>
      <c r="AK326" s="27">
        <f t="shared" si="82"/>
        <v>0.25896343925834608</v>
      </c>
      <c r="AL326" s="27">
        <f t="shared" si="82"/>
        <v>0.25913874198238679</v>
      </c>
      <c r="AM326" s="27">
        <f t="shared" si="82"/>
        <v>0.25930163222285196</v>
      </c>
      <c r="AN326" s="27">
        <f t="shared" si="82"/>
        <v>0.25945357071387171</v>
      </c>
      <c r="AO326" s="27">
        <f t="shared" si="82"/>
        <v>0.25958978884430933</v>
      </c>
      <c r="AP326" s="27">
        <f t="shared" si="82"/>
        <v>0.25970708430821976</v>
      </c>
      <c r="AQ326" s="27">
        <f t="shared" si="82"/>
        <v>0.25980494357810247</v>
      </c>
      <c r="AR326" s="27">
        <f t="shared" si="82"/>
        <v>0.25987973318563101</v>
      </c>
      <c r="AS326" s="27">
        <f t="shared" si="82"/>
        <v>0.25992750832035744</v>
      </c>
      <c r="AT326" s="27">
        <f t="shared" si="82"/>
        <v>0.2599477817431719</v>
      </c>
      <c r="AU326" s="27">
        <f t="shared" si="82"/>
        <v>0.25994111376614593</v>
      </c>
      <c r="AV326" s="27">
        <f t="shared" si="82"/>
        <v>0.25990789514230944</v>
      </c>
      <c r="AW326" s="27">
        <f t="shared" si="82"/>
        <v>0.2598444155660255</v>
      </c>
      <c r="AY326" s="79"/>
    </row>
    <row r="327" spans="1:51" x14ac:dyDescent="0.25">
      <c r="A327" s="95" t="str">
        <f t="shared" si="71"/>
        <v>GS Cattle MMCH4</v>
      </c>
      <c r="B327" s="95" t="s">
        <v>1021</v>
      </c>
      <c r="C327" s="95" t="s">
        <v>1229</v>
      </c>
      <c r="D327" t="s">
        <v>15</v>
      </c>
      <c r="E327" t="s">
        <v>22</v>
      </c>
      <c r="F327" t="s">
        <v>67</v>
      </c>
      <c r="G327" t="s">
        <v>122</v>
      </c>
      <c r="H327" t="s">
        <v>1227</v>
      </c>
      <c r="I327" t="s">
        <v>121</v>
      </c>
      <c r="J327" t="s">
        <v>286</v>
      </c>
      <c r="K327" s="27">
        <f t="shared" si="83"/>
        <v>9.4871637196006525E-2</v>
      </c>
      <c r="L327" s="27">
        <f t="shared" si="82"/>
        <v>9.4048845784615531E-2</v>
      </c>
      <c r="M327" s="27">
        <f t="shared" si="82"/>
        <v>9.3735634002294232E-2</v>
      </c>
      <c r="N327" s="27">
        <f t="shared" si="82"/>
        <v>9.2483917307495112E-2</v>
      </c>
      <c r="O327" s="27">
        <f t="shared" si="82"/>
        <v>9.0667019955957343E-2</v>
      </c>
      <c r="P327" s="27">
        <f t="shared" si="82"/>
        <v>8.8322512540543879E-2</v>
      </c>
      <c r="Q327" s="27">
        <f t="shared" si="82"/>
        <v>8.6473330972337878E-2</v>
      </c>
      <c r="R327" s="27">
        <f t="shared" si="82"/>
        <v>8.4723794986300269E-2</v>
      </c>
      <c r="S327" s="27">
        <f t="shared" si="82"/>
        <v>7.5770078702790261E-2</v>
      </c>
      <c r="T327" s="27">
        <f t="shared" si="82"/>
        <v>7.8689269579177143E-2</v>
      </c>
      <c r="U327" s="27">
        <f t="shared" si="82"/>
        <v>0.24800462804394147</v>
      </c>
      <c r="V327" s="27">
        <f t="shared" si="82"/>
        <v>0.24920084841283532</v>
      </c>
      <c r="W327" s="27">
        <f t="shared" si="82"/>
        <v>0.24996642649158854</v>
      </c>
      <c r="X327" s="27">
        <f t="shared" si="82"/>
        <v>0.2503012063466436</v>
      </c>
      <c r="Y327" s="27">
        <f t="shared" si="82"/>
        <v>0.25021227988125561</v>
      </c>
      <c r="Z327" s="27">
        <f t="shared" si="82"/>
        <v>0.2496953846333905</v>
      </c>
      <c r="AA327" s="27">
        <f t="shared" si="82"/>
        <v>0.24874925442521903</v>
      </c>
      <c r="AB327" s="27">
        <f t="shared" si="82"/>
        <v>0.24737467209164213</v>
      </c>
      <c r="AC327" s="27">
        <f t="shared" si="82"/>
        <v>0.24557472852149176</v>
      </c>
      <c r="AD327" s="27">
        <f t="shared" si="82"/>
        <v>0.24131030034343104</v>
      </c>
      <c r="AE327" s="27">
        <f t="shared" si="82"/>
        <v>0.23664419000405892</v>
      </c>
      <c r="AF327" s="27">
        <f t="shared" si="82"/>
        <v>0.23159736326339173</v>
      </c>
      <c r="AG327" s="27">
        <f t="shared" si="82"/>
        <v>0.22619316818810492</v>
      </c>
      <c r="AH327" s="27">
        <f t="shared" si="82"/>
        <v>0.22045646078746098</v>
      </c>
      <c r="AI327" s="27">
        <f t="shared" si="82"/>
        <v>0.21441370915210514</v>
      </c>
      <c r="AJ327" s="27">
        <f t="shared" si="82"/>
        <v>-1.6555567081653722E-2</v>
      </c>
      <c r="AK327" s="27">
        <f t="shared" si="82"/>
        <v>-1.6156956868356984E-2</v>
      </c>
      <c r="AL327" s="27">
        <f t="shared" si="82"/>
        <v>-1.5762493990911713E-2</v>
      </c>
      <c r="AM327" s="27">
        <f t="shared" si="82"/>
        <v>-1.5372137708578686E-2</v>
      </c>
      <c r="AN327" s="27">
        <f t="shared" si="82"/>
        <v>-1.5062322238181812E-2</v>
      </c>
      <c r="AO327" s="27">
        <f t="shared" si="82"/>
        <v>-1.4755445706367474E-2</v>
      </c>
      <c r="AP327" s="27">
        <f t="shared" si="82"/>
        <v>-1.4451279866976845E-2</v>
      </c>
      <c r="AQ327" s="27">
        <f t="shared" si="82"/>
        <v>-1.4149749376213728E-2</v>
      </c>
      <c r="AR327" s="27">
        <f t="shared" si="82"/>
        <v>-1.3850633785054411E-2</v>
      </c>
      <c r="AS327" s="27">
        <f t="shared" si="82"/>
        <v>-1.3553717207866358E-2</v>
      </c>
      <c r="AT327" s="27">
        <f t="shared" si="82"/>
        <v>-1.3258964972152997E-2</v>
      </c>
      <c r="AU327" s="27">
        <f t="shared" si="82"/>
        <v>-1.296639528808627E-2</v>
      </c>
      <c r="AV327" s="27">
        <f t="shared" si="82"/>
        <v>-1.26760193266456E-2</v>
      </c>
      <c r="AW327" s="27">
        <f t="shared" si="82"/>
        <v>-1.2387670307042478E-2</v>
      </c>
      <c r="AY327" s="79"/>
    </row>
    <row r="328" spans="1:51" x14ac:dyDescent="0.25">
      <c r="A328" s="95" t="str">
        <f t="shared" si="71"/>
        <v>GS Cattle MMCH4</v>
      </c>
      <c r="B328" s="95" t="s">
        <v>1021</v>
      </c>
      <c r="C328" s="95" t="s">
        <v>1229</v>
      </c>
      <c r="D328" t="s">
        <v>15</v>
      </c>
      <c r="E328" t="s">
        <v>22</v>
      </c>
      <c r="F328" t="s">
        <v>67</v>
      </c>
      <c r="G328" t="s">
        <v>123</v>
      </c>
      <c r="H328" t="s">
        <v>1227</v>
      </c>
      <c r="I328" t="s">
        <v>121</v>
      </c>
      <c r="J328" t="s">
        <v>286</v>
      </c>
      <c r="K328" s="27">
        <f t="shared" si="83"/>
        <v>6.968944973410629E-2</v>
      </c>
      <c r="L328" s="27">
        <f t="shared" si="82"/>
        <v>6.908505539244103E-2</v>
      </c>
      <c r="M328" s="27">
        <f t="shared" si="82"/>
        <v>6.8854980763127779E-2</v>
      </c>
      <c r="N328" s="27">
        <f t="shared" si="82"/>
        <v>6.7935512624264296E-2</v>
      </c>
      <c r="O328" s="27">
        <f t="shared" si="82"/>
        <v>6.660088216573827E-2</v>
      </c>
      <c r="P328" s="27">
        <f t="shared" si="82"/>
        <v>6.487868745605771E-2</v>
      </c>
      <c r="Q328" s="27">
        <f t="shared" si="82"/>
        <v>6.3520342119606055E-2</v>
      </c>
      <c r="R328" s="27">
        <f t="shared" si="82"/>
        <v>6.2235193009075984E-2</v>
      </c>
      <c r="S328" s="27">
        <f t="shared" si="82"/>
        <v>5.5658100220174651E-2</v>
      </c>
      <c r="T328" s="27">
        <f t="shared" si="82"/>
        <v>5.7802437683476982E-2</v>
      </c>
      <c r="U328" s="27">
        <f t="shared" si="82"/>
        <v>0.182175690972702</v>
      </c>
      <c r="V328" s="27">
        <f t="shared" si="82"/>
        <v>0.18305439341457844</v>
      </c>
      <c r="W328" s="27">
        <f t="shared" si="82"/>
        <v>0.18361676080501965</v>
      </c>
      <c r="X328" s="27">
        <f t="shared" si="82"/>
        <v>0.18386267860058431</v>
      </c>
      <c r="Y328" s="27">
        <f t="shared" si="82"/>
        <v>0.18379735627008756</v>
      </c>
      <c r="Z328" s="27">
        <f t="shared" si="82"/>
        <v>0.18341766275515989</v>
      </c>
      <c r="AA328" s="27">
        <f t="shared" si="82"/>
        <v>0.18272266796500922</v>
      </c>
      <c r="AB328" s="27">
        <f t="shared" si="82"/>
        <v>0.18171294694329559</v>
      </c>
      <c r="AC328" s="27">
        <f t="shared" si="82"/>
        <v>0.1803907701509096</v>
      </c>
      <c r="AD328" s="27">
        <f t="shared" si="82"/>
        <v>0.17725826751953122</v>
      </c>
      <c r="AE328" s="27">
        <f t="shared" si="82"/>
        <v>0.17383070295376282</v>
      </c>
      <c r="AF328" s="27">
        <f t="shared" si="82"/>
        <v>0.17012347718159837</v>
      </c>
      <c r="AG328" s="27">
        <f t="shared" si="82"/>
        <v>0.16615374089176904</v>
      </c>
      <c r="AH328" s="27">
        <f t="shared" si="82"/>
        <v>0.16193975245589462</v>
      </c>
      <c r="AI328" s="27">
        <f t="shared" si="82"/>
        <v>0.1575009544252694</v>
      </c>
      <c r="AJ328" s="27">
        <f t="shared" si="82"/>
        <v>-1.2161151573392443E-2</v>
      </c>
      <c r="AK328" s="27">
        <f t="shared" si="82"/>
        <v>-1.1868346186618603E-2</v>
      </c>
      <c r="AL328" s="27">
        <f t="shared" si="82"/>
        <v>-1.1578587290470338E-2</v>
      </c>
      <c r="AM328" s="27">
        <f t="shared" si="82"/>
        <v>-1.1291844958198401E-2</v>
      </c>
      <c r="AN328" s="27">
        <f t="shared" si="82"/>
        <v>-1.1064265143100825E-2</v>
      </c>
      <c r="AO328" s="27">
        <f t="shared" si="82"/>
        <v>-1.0838844171453966E-2</v>
      </c>
      <c r="AP328" s="27">
        <f t="shared" si="82"/>
        <v>-1.0615414381460443E-2</v>
      </c>
      <c r="AQ328" s="27">
        <f t="shared" si="82"/>
        <v>-1.039392042815254E-2</v>
      </c>
      <c r="AR328" s="27">
        <f t="shared" si="82"/>
        <v>-1.017420037724082E-2</v>
      </c>
      <c r="AS328" s="27">
        <f t="shared" si="82"/>
        <v>-9.956095646546443E-3</v>
      </c>
      <c r="AT328" s="27">
        <f t="shared" si="82"/>
        <v>-9.739580766843E-3</v>
      </c>
      <c r="AU328" s="27">
        <f t="shared" si="82"/>
        <v>-9.5246691146980388E-3</v>
      </c>
      <c r="AV328" s="27">
        <f t="shared" si="82"/>
        <v>-9.3113688959297666E-3</v>
      </c>
      <c r="AW328" s="27">
        <f t="shared" si="82"/>
        <v>-9.0995575990930264E-3</v>
      </c>
      <c r="AY328" s="79"/>
    </row>
    <row r="329" spans="1:51" x14ac:dyDescent="0.25">
      <c r="A329" s="95" t="str">
        <f t="shared" si="71"/>
        <v>GS Cattle MMCH4</v>
      </c>
      <c r="B329" s="95" t="s">
        <v>1021</v>
      </c>
      <c r="C329" s="95" t="s">
        <v>1229</v>
      </c>
      <c r="D329" t="s">
        <v>15</v>
      </c>
      <c r="E329" t="s">
        <v>22</v>
      </c>
      <c r="F329" t="s">
        <v>67</v>
      </c>
      <c r="G329" t="s">
        <v>135</v>
      </c>
      <c r="H329" t="s">
        <v>1227</v>
      </c>
      <c r="I329" t="s">
        <v>121</v>
      </c>
      <c r="J329" t="s">
        <v>286</v>
      </c>
      <c r="K329" s="27">
        <f t="shared" si="83"/>
        <v>0.47107022937833831</v>
      </c>
      <c r="L329" s="27">
        <f t="shared" si="82"/>
        <v>0.48695387967725956</v>
      </c>
      <c r="M329" s="27">
        <f t="shared" si="82"/>
        <v>0.50580611066616787</v>
      </c>
      <c r="N329" s="27">
        <f t="shared" si="82"/>
        <v>0.51986569055899423</v>
      </c>
      <c r="O329" s="27">
        <f t="shared" si="82"/>
        <v>0.5307082628613855</v>
      </c>
      <c r="P329" s="27">
        <f t="shared" si="82"/>
        <v>0.53817886796858139</v>
      </c>
      <c r="Q329" s="27">
        <f t="shared" si="82"/>
        <v>0.54837935702304763</v>
      </c>
      <c r="R329" s="27">
        <f t="shared" si="82"/>
        <v>0.55907244781022658</v>
      </c>
      <c r="S329" s="27">
        <f t="shared" si="82"/>
        <v>0.52019632078645839</v>
      </c>
      <c r="T329" s="27">
        <f t="shared" si="82"/>
        <v>0.55325369057346974</v>
      </c>
      <c r="U329" s="27">
        <f t="shared" si="82"/>
        <v>1.7851204886019707</v>
      </c>
      <c r="V329" s="27">
        <f t="shared" si="82"/>
        <v>1.8358114551753451</v>
      </c>
      <c r="W329" s="27">
        <f t="shared" si="82"/>
        <v>1.8841429870431068</v>
      </c>
      <c r="X329" s="27">
        <f t="shared" si="82"/>
        <v>1.9299293707853407</v>
      </c>
      <c r="Y329" s="27">
        <f t="shared" si="82"/>
        <v>1.9730360139075687</v>
      </c>
      <c r="Z329" s="27">
        <f t="shared" si="82"/>
        <v>2.0132355560309785</v>
      </c>
      <c r="AA329" s="27">
        <f t="shared" si="82"/>
        <v>2.0503157854688139</v>
      </c>
      <c r="AB329" s="27">
        <f t="shared" si="82"/>
        <v>2.0840739423253991</v>
      </c>
      <c r="AC329" s="27">
        <f t="shared" si="82"/>
        <v>2.1143204533767861</v>
      </c>
      <c r="AD329" s="27">
        <f t="shared" si="82"/>
        <v>2.1465040938299391</v>
      </c>
      <c r="AE329" s="27">
        <f t="shared" si="82"/>
        <v>2.1749393600032643</v>
      </c>
      <c r="AF329" s="27">
        <f t="shared" si="82"/>
        <v>2.1994598063034698</v>
      </c>
      <c r="AG329" s="27">
        <f t="shared" si="82"/>
        <v>2.2199209490040412</v>
      </c>
      <c r="AH329" s="27">
        <f t="shared" si="82"/>
        <v>2.2361952396921123</v>
      </c>
      <c r="AI329" s="27">
        <f t="shared" si="82"/>
        <v>2.2481759568184136</v>
      </c>
      <c r="AJ329" s="27">
        <f t="shared" si="82"/>
        <v>-0.17946652232513363</v>
      </c>
      <c r="AK329" s="27">
        <f t="shared" si="82"/>
        <v>-0.18110907611543389</v>
      </c>
      <c r="AL329" s="27">
        <f t="shared" si="82"/>
        <v>-0.18274076856651822</v>
      </c>
      <c r="AM329" s="27">
        <f t="shared" si="82"/>
        <v>-0.18436241238183759</v>
      </c>
      <c r="AN329" s="27">
        <f t="shared" si="82"/>
        <v>-0.18574369682883446</v>
      </c>
      <c r="AO329" s="27">
        <f t="shared" si="82"/>
        <v>-0.18711116954081883</v>
      </c>
      <c r="AP329" s="27">
        <f t="shared" si="82"/>
        <v>-0.18846273754694579</v>
      </c>
      <c r="AQ329" s="27">
        <f t="shared" si="82"/>
        <v>-0.18979802913484242</v>
      </c>
      <c r="AR329" s="27">
        <f t="shared" si="82"/>
        <v>-0.19111455281570203</v>
      </c>
      <c r="AS329" s="27">
        <f t="shared" si="82"/>
        <v>-0.19240952741879389</v>
      </c>
      <c r="AT329" s="27">
        <f t="shared" si="82"/>
        <v>-0.19368244494387601</v>
      </c>
      <c r="AU329" s="27">
        <f t="shared" si="82"/>
        <v>-0.19493349782495742</v>
      </c>
      <c r="AV329" s="27">
        <f t="shared" si="82"/>
        <v>-0.19616276303602645</v>
      </c>
      <c r="AW329" s="27">
        <f t="shared" si="82"/>
        <v>-0.19736746528407936</v>
      </c>
      <c r="AY329" s="79"/>
    </row>
    <row r="330" spans="1:51" x14ac:dyDescent="0.25">
      <c r="A330" s="95" t="str">
        <f t="shared" si="71"/>
        <v>GS Sheep MMCH4</v>
      </c>
      <c r="B330" s="95" t="s">
        <v>1021</v>
      </c>
      <c r="C330" s="95" t="s">
        <v>1324</v>
      </c>
      <c r="D330" t="s">
        <v>15</v>
      </c>
      <c r="E330" t="s">
        <v>22</v>
      </c>
      <c r="F330" t="s">
        <v>18</v>
      </c>
      <c r="G330" t="s">
        <v>122</v>
      </c>
      <c r="H330" t="s">
        <v>1227</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3.6578192116978575E-2</v>
      </c>
      <c r="T330" s="27">
        <f t="shared" si="82"/>
        <v>3.6602536457524273E-2</v>
      </c>
      <c r="U330" s="27">
        <f t="shared" si="82"/>
        <v>3.7079287706665597E-2</v>
      </c>
      <c r="V330" s="27">
        <f t="shared" si="82"/>
        <v>3.7090917681294085E-2</v>
      </c>
      <c r="W330" s="27">
        <f t="shared" si="82"/>
        <v>3.7140664601717173E-2</v>
      </c>
      <c r="X330" s="27">
        <f t="shared" si="82"/>
        <v>3.7212574982641126E-2</v>
      </c>
      <c r="Y330" s="27">
        <f t="shared" si="82"/>
        <v>3.7279377262220796E-2</v>
      </c>
      <c r="Z330" s="27">
        <f t="shared" si="82"/>
        <v>3.7341898542443672E-2</v>
      </c>
      <c r="AA330" s="27">
        <f t="shared" si="82"/>
        <v>3.7399805431240309E-2</v>
      </c>
      <c r="AB330" s="27">
        <f t="shared" si="82"/>
        <v>3.7453619674437284E-2</v>
      </c>
      <c r="AC330" s="27">
        <f t="shared" si="82"/>
        <v>3.7504157579295157E-2</v>
      </c>
      <c r="AD330" s="27">
        <f t="shared" si="82"/>
        <v>3.755137152744302E-2</v>
      </c>
      <c r="AE330" s="27">
        <f t="shared" si="82"/>
        <v>3.7596016682571363E-2</v>
      </c>
      <c r="AF330" s="27">
        <f t="shared" si="82"/>
        <v>3.7638201115333593E-2</v>
      </c>
      <c r="AG330" s="27">
        <f t="shared" si="82"/>
        <v>3.7677346639447794E-2</v>
      </c>
      <c r="AH330" s="27">
        <f t="shared" si="82"/>
        <v>3.7713811349129885E-2</v>
      </c>
      <c r="AI330" s="27">
        <f t="shared" si="82"/>
        <v>3.7748176979043722E-2</v>
      </c>
      <c r="AJ330" s="27">
        <f t="shared" si="82"/>
        <v>3.6919749367433322E-2</v>
      </c>
      <c r="AK330" s="27">
        <f t="shared" si="82"/>
        <v>3.6953700421728228E-2</v>
      </c>
      <c r="AL330" s="27">
        <f t="shared" si="82"/>
        <v>3.6985368016573254E-2</v>
      </c>
      <c r="AM330" s="27">
        <f t="shared" si="82"/>
        <v>3.7014945688034803E-2</v>
      </c>
      <c r="AN330" s="27">
        <f t="shared" si="82"/>
        <v>3.7042668702165847E-2</v>
      </c>
      <c r="AO330" s="27">
        <f t="shared" si="82"/>
        <v>3.7067807831001554E-2</v>
      </c>
      <c r="AP330" s="27">
        <f t="shared" si="82"/>
        <v>3.7089876088168584E-2</v>
      </c>
      <c r="AQ330" s="27">
        <f t="shared" si="82"/>
        <v>3.710880214511815E-2</v>
      </c>
      <c r="AR330" s="27">
        <f t="shared" si="82"/>
        <v>3.7124031819377158E-2</v>
      </c>
      <c r="AS330" s="27">
        <f t="shared" si="82"/>
        <v>3.7134962729756575E-2</v>
      </c>
      <c r="AT330" s="27">
        <f t="shared" si="82"/>
        <v>3.7141526945573433E-2</v>
      </c>
      <c r="AU330" s="27">
        <f t="shared" si="82"/>
        <v>3.7143818098984892E-2</v>
      </c>
      <c r="AV330" s="27">
        <f t="shared" si="82"/>
        <v>3.7141903206885624E-2</v>
      </c>
      <c r="AW330" s="27">
        <f t="shared" si="82"/>
        <v>3.7135215292227401E-2</v>
      </c>
      <c r="AY330" s="79"/>
    </row>
    <row r="331" spans="1:51" x14ac:dyDescent="0.25">
      <c r="A331" s="95" t="str">
        <f t="shared" si="71"/>
        <v>GS Sheep MMCH4</v>
      </c>
      <c r="B331" s="95" t="s">
        <v>1021</v>
      </c>
      <c r="C331" s="95" t="s">
        <v>1324</v>
      </c>
      <c r="D331" t="s">
        <v>15</v>
      </c>
      <c r="E331" t="s">
        <v>22</v>
      </c>
      <c r="F331" t="s">
        <v>18</v>
      </c>
      <c r="G331" t="s">
        <v>123</v>
      </c>
      <c r="H331" t="s">
        <v>1227</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4.1774038907199012E-3</v>
      </c>
      <c r="T331" s="27">
        <f t="shared" si="84"/>
        <v>4.1801841304481904E-3</v>
      </c>
      <c r="U331" s="27">
        <f t="shared" si="84"/>
        <v>4.2346313955480986E-3</v>
      </c>
      <c r="V331" s="27">
        <f t="shared" si="84"/>
        <v>4.2359595940852672E-3</v>
      </c>
      <c r="W331" s="27">
        <f t="shared" si="84"/>
        <v>4.24164092951765E-3</v>
      </c>
      <c r="X331" s="27">
        <f t="shared" si="84"/>
        <v>4.2498534377819787E-3</v>
      </c>
      <c r="Y331" s="27">
        <f t="shared" si="84"/>
        <v>4.2574825765248842E-3</v>
      </c>
      <c r="Z331" s="27">
        <f t="shared" si="84"/>
        <v>4.2646228047357425E-3</v>
      </c>
      <c r="AA331" s="27">
        <f t="shared" si="84"/>
        <v>4.2712360474510998E-3</v>
      </c>
      <c r="AB331" s="27">
        <f t="shared" si="84"/>
        <v>4.2773818905312679E-3</v>
      </c>
      <c r="AC331" s="27">
        <f t="shared" si="84"/>
        <v>4.2831535601563532E-3</v>
      </c>
      <c r="AD331" s="27">
        <f t="shared" si="84"/>
        <v>4.2885456180814241E-3</v>
      </c>
      <c r="AE331" s="27">
        <f t="shared" si="84"/>
        <v>4.2936443075994434E-3</v>
      </c>
      <c r="AF331" s="27">
        <f t="shared" si="84"/>
        <v>4.2984619708941515E-3</v>
      </c>
      <c r="AG331" s="27">
        <f t="shared" si="84"/>
        <v>4.3029325763362138E-3</v>
      </c>
      <c r="AH331" s="27">
        <f t="shared" si="84"/>
        <v>4.3070970199919519E-3</v>
      </c>
      <c r="AI331" s="27">
        <f t="shared" si="84"/>
        <v>4.3110217387328335E-3</v>
      </c>
      <c r="AJ331" s="27">
        <f t="shared" si="84"/>
        <v>4.2164113567638812E-3</v>
      </c>
      <c r="AK331" s="27">
        <f t="shared" si="84"/>
        <v>4.2202887289929962E-3</v>
      </c>
      <c r="AL331" s="27">
        <f t="shared" si="84"/>
        <v>4.2239053192687616E-3</v>
      </c>
      <c r="AM331" s="27">
        <f t="shared" si="84"/>
        <v>4.2272832303324572E-3</v>
      </c>
      <c r="AN331" s="27">
        <f t="shared" si="84"/>
        <v>4.2304493306887332E-3</v>
      </c>
      <c r="AO331" s="27">
        <f t="shared" si="84"/>
        <v>4.2333203390281212E-3</v>
      </c>
      <c r="AP331" s="27">
        <f t="shared" si="84"/>
        <v>4.235840639185552E-3</v>
      </c>
      <c r="AQ331" s="27">
        <f t="shared" si="84"/>
        <v>4.2380020851007644E-3</v>
      </c>
      <c r="AR331" s="27">
        <f t="shared" si="84"/>
        <v>4.2397413864938057E-3</v>
      </c>
      <c r="AS331" s="27">
        <f t="shared" si="84"/>
        <v>4.2409897485616204E-3</v>
      </c>
      <c r="AT331" s="27">
        <f t="shared" si="84"/>
        <v>4.241739413296421E-3</v>
      </c>
      <c r="AU331" s="27">
        <f t="shared" si="84"/>
        <v>4.2420010739368554E-3</v>
      </c>
      <c r="AV331" s="27">
        <f t="shared" si="84"/>
        <v>4.2417823841317337E-3</v>
      </c>
      <c r="AW331" s="27">
        <f t="shared" si="84"/>
        <v>4.2410185923996346E-3</v>
      </c>
      <c r="AY331" s="79"/>
    </row>
    <row r="332" spans="1:51" x14ac:dyDescent="0.25">
      <c r="A332" s="95" t="str">
        <f t="shared" si="71"/>
        <v>GS Goats MMCH4</v>
      </c>
      <c r="B332" s="95" t="s">
        <v>1021</v>
      </c>
      <c r="C332" s="95" t="s">
        <v>1325</v>
      </c>
      <c r="D332" t="s">
        <v>15</v>
      </c>
      <c r="E332" t="s">
        <v>22</v>
      </c>
      <c r="F332" t="s">
        <v>19</v>
      </c>
      <c r="G332" t="s">
        <v>122</v>
      </c>
      <c r="H332" t="s">
        <v>1227</v>
      </c>
      <c r="I332" t="s">
        <v>121</v>
      </c>
      <c r="J332" t="s">
        <v>286</v>
      </c>
      <c r="K332" s="27">
        <f t="shared" si="83"/>
        <v>1.5789672763163301E-2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1.6230654784419023E-2</v>
      </c>
      <c r="R332" s="27">
        <f t="shared" si="84"/>
        <v>1.6337439810579345E-2</v>
      </c>
      <c r="S332" s="27">
        <f t="shared" si="84"/>
        <v>1.6297600931786334E-2</v>
      </c>
      <c r="T332" s="27">
        <f t="shared" si="84"/>
        <v>1.6324272387083224E-2</v>
      </c>
      <c r="U332" s="27">
        <f t="shared" si="84"/>
        <v>1.6655251261159847E-2</v>
      </c>
      <c r="V332" s="27">
        <f t="shared" si="84"/>
        <v>1.6670204486965774E-2</v>
      </c>
      <c r="W332" s="27">
        <f t="shared" si="84"/>
        <v>1.6709793357794805E-2</v>
      </c>
      <c r="X332" s="27">
        <f t="shared" si="84"/>
        <v>1.6763223659981074E-2</v>
      </c>
      <c r="Y332" s="27">
        <f t="shared" si="84"/>
        <v>1.6812226700055496E-2</v>
      </c>
      <c r="Z332" s="27">
        <f t="shared" si="84"/>
        <v>1.6857450212656173E-2</v>
      </c>
      <c r="AA332" s="27">
        <f t="shared" si="84"/>
        <v>1.6898755484739163E-2</v>
      </c>
      <c r="AB332" s="27">
        <f t="shared" si="84"/>
        <v>1.6936566671667971E-2</v>
      </c>
      <c r="AC332" s="27">
        <f t="shared" si="84"/>
        <v>1.697149382994385E-2</v>
      </c>
      <c r="AD332" s="27">
        <f t="shared" si="84"/>
        <v>1.7003565100315018E-2</v>
      </c>
      <c r="AE332" s="27">
        <f t="shared" si="84"/>
        <v>1.7033334255161247E-2</v>
      </c>
      <c r="AF332" s="27">
        <f t="shared" si="84"/>
        <v>1.7060920227859537E-2</v>
      </c>
      <c r="AG332" s="27">
        <f t="shared" si="84"/>
        <v>1.7085986205962782E-2</v>
      </c>
      <c r="AH332" s="27">
        <f t="shared" si="84"/>
        <v>1.7108809785956688E-2</v>
      </c>
      <c r="AI332" s="27">
        <f t="shared" si="84"/>
        <v>1.712981031401661E-2</v>
      </c>
      <c r="AJ332" s="27">
        <f t="shared" si="84"/>
        <v>1.6586017575220102E-2</v>
      </c>
      <c r="AK332" s="27">
        <f t="shared" si="84"/>
        <v>1.6606977911339412E-2</v>
      </c>
      <c r="AL332" s="27">
        <f t="shared" si="84"/>
        <v>1.6626062012476617E-2</v>
      </c>
      <c r="AM332" s="27">
        <f t="shared" si="84"/>
        <v>1.664342433023323E-2</v>
      </c>
      <c r="AN332" s="27">
        <f t="shared" si="84"/>
        <v>1.6659243730537236E-2</v>
      </c>
      <c r="AO332" s="27">
        <f t="shared" si="84"/>
        <v>1.6673071131631082E-2</v>
      </c>
      <c r="AP332" s="27">
        <f t="shared" si="84"/>
        <v>1.6684616029064781E-2</v>
      </c>
      <c r="AQ332" s="27">
        <f t="shared" si="84"/>
        <v>1.6693857214200334E-2</v>
      </c>
      <c r="AR332" s="27">
        <f t="shared" si="84"/>
        <v>1.6700461030767416E-2</v>
      </c>
      <c r="AS332" s="27">
        <f t="shared" si="84"/>
        <v>1.6704063934453468E-2</v>
      </c>
      <c r="AT332" s="27">
        <f t="shared" si="84"/>
        <v>1.6704647334029751E-2</v>
      </c>
      <c r="AU332" s="27">
        <f t="shared" si="84"/>
        <v>1.6702295489105456E-2</v>
      </c>
      <c r="AV332" s="27">
        <f t="shared" si="84"/>
        <v>1.6697074170612902E-2</v>
      </c>
      <c r="AW332" s="27">
        <f t="shared" si="84"/>
        <v>1.668864228260674E-2</v>
      </c>
      <c r="AY332" s="79"/>
    </row>
    <row r="333" spans="1:51" x14ac:dyDescent="0.25">
      <c r="A333" s="95" t="str">
        <f t="shared" si="71"/>
        <v>GS Goats MMCH4</v>
      </c>
      <c r="B333" s="95" t="s">
        <v>1021</v>
      </c>
      <c r="C333" s="95" t="s">
        <v>1325</v>
      </c>
      <c r="D333" t="s">
        <v>15</v>
      </c>
      <c r="E333" t="s">
        <v>22</v>
      </c>
      <c r="F333" t="s">
        <v>19</v>
      </c>
      <c r="G333" t="s">
        <v>123</v>
      </c>
      <c r="H333" t="s">
        <v>1227</v>
      </c>
      <c r="I333" t="s">
        <v>121</v>
      </c>
      <c r="J333" t="s">
        <v>286</v>
      </c>
      <c r="K333" s="27">
        <f t="shared" si="83"/>
        <v>2.6592218800664803E-2</v>
      </c>
      <c r="L333" s="27">
        <f t="shared" si="84"/>
        <v>2.6661345733624896E-2</v>
      </c>
      <c r="M333" s="27">
        <f t="shared" si="84"/>
        <v>2.6756703894783639E-2</v>
      </c>
      <c r="N333" s="27">
        <f t="shared" si="84"/>
        <v>2.6872875319249701E-2</v>
      </c>
      <c r="O333" s="27">
        <f t="shared" si="84"/>
        <v>2.7009694315810229E-2</v>
      </c>
      <c r="P333" s="27">
        <f t="shared" si="84"/>
        <v>2.7166328132291764E-2</v>
      </c>
      <c r="Q333" s="27">
        <f t="shared" si="84"/>
        <v>2.7334899828466052E-2</v>
      </c>
      <c r="R333" s="27">
        <f t="shared" si="84"/>
        <v>2.7514742110372921E-2</v>
      </c>
      <c r="S333" s="27">
        <f t="shared" si="84"/>
        <v>2.7447647358155608E-2</v>
      </c>
      <c r="T333" s="27">
        <f t="shared" si="84"/>
        <v>2.7492566159553547E-2</v>
      </c>
      <c r="U333" s="27">
        <f t="shared" si="84"/>
        <v>2.8049985098492974E-2</v>
      </c>
      <c r="V333" s="27">
        <f t="shared" si="84"/>
        <v>2.80751686129566E-2</v>
      </c>
      <c r="W333" s="27">
        <f t="shared" si="84"/>
        <v>2.81418423136056E-2</v>
      </c>
      <c r="X333" s="27">
        <f t="shared" si="84"/>
        <v>2.8231827097181202E-2</v>
      </c>
      <c r="Y333" s="27">
        <f t="shared" si="84"/>
        <v>2.8314355695658353E-2</v>
      </c>
      <c r="Z333" s="27">
        <f t="shared" si="84"/>
        <v>2.8390518993026845E-2</v>
      </c>
      <c r="AA333" s="27">
        <f t="shared" si="84"/>
        <v>2.8460083375349849E-2</v>
      </c>
      <c r="AB333" s="27">
        <f t="shared" si="84"/>
        <v>2.8523763184995402E-2</v>
      </c>
      <c r="AC333" s="27">
        <f t="shared" si="84"/>
        <v>2.8582585850220259E-2</v>
      </c>
      <c r="AD333" s="27">
        <f t="shared" si="84"/>
        <v>2.8636598764339351E-2</v>
      </c>
      <c r="AE333" s="27">
        <f t="shared" si="84"/>
        <v>2.8686734564558631E-2</v>
      </c>
      <c r="AF333" s="27">
        <f t="shared" si="84"/>
        <v>2.873319355283693E-2</v>
      </c>
      <c r="AG333" s="27">
        <f t="shared" si="84"/>
        <v>2.8775408485608011E-2</v>
      </c>
      <c r="AH333" s="27">
        <f t="shared" si="84"/>
        <v>2.8813846877721389E-2</v>
      </c>
      <c r="AI333" s="27">
        <f t="shared" si="84"/>
        <v>2.884921497213825E-2</v>
      </c>
      <c r="AJ333" s="27">
        <f t="shared" si="84"/>
        <v>2.7933385004716402E-2</v>
      </c>
      <c r="AK333" s="27">
        <f t="shared" si="84"/>
        <v>2.7968685409771071E-2</v>
      </c>
      <c r="AL333" s="27">
        <f t="shared" si="84"/>
        <v>2.8000825948759214E-2</v>
      </c>
      <c r="AM333" s="27">
        <f t="shared" si="84"/>
        <v>2.8030066741750678E-2</v>
      </c>
      <c r="AN333" s="27">
        <f t="shared" si="84"/>
        <v>2.8056709026267227E-2</v>
      </c>
      <c r="AO333" s="27">
        <f t="shared" si="84"/>
        <v>2.8079996480088933E-2</v>
      </c>
      <c r="AP333" s="27">
        <f t="shared" si="84"/>
        <v>2.8099439849384365E-2</v>
      </c>
      <c r="AQ333" s="27">
        <f t="shared" si="84"/>
        <v>2.8115003415570192E-2</v>
      </c>
      <c r="AR333" s="27">
        <f t="shared" si="84"/>
        <v>2.8126125250563565E-2</v>
      </c>
      <c r="AS333" s="27">
        <f t="shared" si="84"/>
        <v>2.8132193090256906E-2</v>
      </c>
      <c r="AT333" s="27">
        <f t="shared" si="84"/>
        <v>2.8133175624183573E-2</v>
      </c>
      <c r="AU333" s="27">
        <f t="shared" si="84"/>
        <v>2.8129214758385396E-2</v>
      </c>
      <c r="AV333" s="27">
        <f t="shared" si="84"/>
        <v>2.8120421261150549E-2</v>
      </c>
      <c r="AW333" s="27">
        <f t="shared" si="84"/>
        <v>2.8106220674847984E-2</v>
      </c>
      <c r="AY333" s="79"/>
    </row>
    <row r="334" spans="1:51" x14ac:dyDescent="0.25">
      <c r="A334" s="95" t="str">
        <f t="shared" si="71"/>
        <v>GS Horses MMCH4</v>
      </c>
      <c r="B334" s="95" t="s">
        <v>1021</v>
      </c>
      <c r="C334" s="95" t="s">
        <v>1326</v>
      </c>
      <c r="D334" t="s">
        <v>15</v>
      </c>
      <c r="E334" t="s">
        <v>22</v>
      </c>
      <c r="F334" t="s">
        <v>20</v>
      </c>
      <c r="G334" t="s">
        <v>3</v>
      </c>
      <c r="H334" t="s">
        <v>1227</v>
      </c>
      <c r="I334" t="s">
        <v>121</v>
      </c>
      <c r="J334" t="s">
        <v>286</v>
      </c>
      <c r="K334" s="27">
        <f t="shared" si="83"/>
        <v>4.1336182129460552E-3</v>
      </c>
      <c r="L334" s="27">
        <f t="shared" si="84"/>
        <v>4.1536453250924088E-3</v>
      </c>
      <c r="M334" s="27">
        <f t="shared" si="84"/>
        <v>4.1840370126470534E-3</v>
      </c>
      <c r="N334" s="27">
        <f t="shared" si="84"/>
        <v>4.1905340987284578E-3</v>
      </c>
      <c r="O334" s="27">
        <f t="shared" si="84"/>
        <v>4.1812329246154597E-3</v>
      </c>
      <c r="P334" s="27">
        <f t="shared" si="84"/>
        <v>4.1564738854214557E-3</v>
      </c>
      <c r="Q334" s="27">
        <f t="shared" si="84"/>
        <v>4.142746062070715E-3</v>
      </c>
      <c r="R334" s="27">
        <f t="shared" si="84"/>
        <v>4.130408792135833E-3</v>
      </c>
      <c r="S334" s="27">
        <f t="shared" si="84"/>
        <v>3.9465365523139234E-3</v>
      </c>
      <c r="T334" s="27">
        <f t="shared" si="84"/>
        <v>4.0449031054022467E-3</v>
      </c>
      <c r="U334" s="27">
        <f t="shared" si="84"/>
        <v>8.6826637855320493E-3</v>
      </c>
      <c r="V334" s="27">
        <f t="shared" si="84"/>
        <v>8.7938640755687025E-3</v>
      </c>
      <c r="W334" s="27">
        <f t="shared" si="84"/>
        <v>8.8834218995517203E-3</v>
      </c>
      <c r="X334" s="27">
        <f t="shared" si="84"/>
        <v>8.9554975933649264E-3</v>
      </c>
      <c r="Y334" s="27">
        <f t="shared" si="84"/>
        <v>9.018105952641001E-3</v>
      </c>
      <c r="Z334" s="27">
        <f t="shared" si="84"/>
        <v>9.0705357904088645E-3</v>
      </c>
      <c r="AA334" s="27">
        <f t="shared" si="84"/>
        <v>9.1124930520699761E-3</v>
      </c>
      <c r="AB334" s="27">
        <f t="shared" si="84"/>
        <v>9.143466497408213E-3</v>
      </c>
      <c r="AC334" s="27">
        <f t="shared" si="84"/>
        <v>9.1629085267338015E-3</v>
      </c>
      <c r="AD334" s="27">
        <f t="shared" si="84"/>
        <v>9.1706067297579116E-3</v>
      </c>
      <c r="AE334" s="27">
        <f t="shared" si="84"/>
        <v>9.1661590701848112E-3</v>
      </c>
      <c r="AF334" s="27">
        <f t="shared" si="84"/>
        <v>9.149435618350802E-3</v>
      </c>
      <c r="AG334" s="27">
        <f t="shared" si="84"/>
        <v>9.120587540138371E-3</v>
      </c>
      <c r="AH334" s="27">
        <f t="shared" si="84"/>
        <v>9.0795393134023624E-3</v>
      </c>
      <c r="AI334" s="27">
        <f t="shared" si="84"/>
        <v>9.0262176145749634E-3</v>
      </c>
      <c r="AJ334" s="27">
        <f t="shared" si="84"/>
        <v>1.3289120185476511E-3</v>
      </c>
      <c r="AK334" s="27">
        <f t="shared" si="84"/>
        <v>1.3289120185476511E-3</v>
      </c>
      <c r="AL334" s="27">
        <f t="shared" si="84"/>
        <v>1.3289120185476511E-3</v>
      </c>
      <c r="AM334" s="27">
        <f t="shared" si="84"/>
        <v>1.3289120185476511E-3</v>
      </c>
      <c r="AN334" s="27">
        <f t="shared" si="84"/>
        <v>1.3289120185476511E-3</v>
      </c>
      <c r="AO334" s="27">
        <f t="shared" si="84"/>
        <v>1.3289120185476511E-3</v>
      </c>
      <c r="AP334" s="27">
        <f t="shared" si="84"/>
        <v>1.3289120185476511E-3</v>
      </c>
      <c r="AQ334" s="27">
        <f t="shared" si="84"/>
        <v>1.3289120185476511E-3</v>
      </c>
      <c r="AR334" s="27">
        <f t="shared" si="84"/>
        <v>1.3289120185476511E-3</v>
      </c>
      <c r="AS334" s="27">
        <f t="shared" si="84"/>
        <v>1.3289120185476511E-3</v>
      </c>
      <c r="AT334" s="27">
        <f t="shared" si="84"/>
        <v>1.3289120185476511E-3</v>
      </c>
      <c r="AU334" s="27">
        <f t="shared" si="84"/>
        <v>1.3289120185476511E-3</v>
      </c>
      <c r="AV334" s="27">
        <f t="shared" si="84"/>
        <v>1.3289120185476511E-3</v>
      </c>
      <c r="AW334" s="27">
        <f t="shared" si="84"/>
        <v>1.3289120185476511E-3</v>
      </c>
      <c r="AY334" s="79"/>
    </row>
    <row r="335" spans="1:51" x14ac:dyDescent="0.25">
      <c r="A335" s="95" t="str">
        <f t="shared" si="71"/>
        <v>GS Mules MMCH4</v>
      </c>
      <c r="B335" s="95" t="s">
        <v>1021</v>
      </c>
      <c r="C335" s="95" t="s">
        <v>1327</v>
      </c>
      <c r="D335" t="s">
        <v>15</v>
      </c>
      <c r="E335" t="s">
        <v>22</v>
      </c>
      <c r="F335" t="s">
        <v>140</v>
      </c>
      <c r="G335" t="s">
        <v>124</v>
      </c>
      <c r="H335" t="s">
        <v>1227</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25">
      <c r="A336" s="95" t="str">
        <f t="shared" si="71"/>
        <v>GS Swine MMCH4</v>
      </c>
      <c r="B336" s="95" t="s">
        <v>1021</v>
      </c>
      <c r="C336" s="95" t="s">
        <v>1230</v>
      </c>
      <c r="D336" t="s">
        <v>15</v>
      </c>
      <c r="E336" t="s">
        <v>22</v>
      </c>
      <c r="F336" t="s">
        <v>21</v>
      </c>
      <c r="G336" t="s">
        <v>122</v>
      </c>
      <c r="H336" t="s">
        <v>1227</v>
      </c>
      <c r="I336" t="s">
        <v>121</v>
      </c>
      <c r="J336" t="s">
        <v>286</v>
      </c>
      <c r="K336" s="27">
        <f t="shared" si="83"/>
        <v>23.279067868377393</v>
      </c>
      <c r="L336" s="27">
        <f t="shared" si="84"/>
        <v>23.152530650802596</v>
      </c>
      <c r="M336" s="27">
        <f t="shared" si="84"/>
        <v>23.162916433064304</v>
      </c>
      <c r="N336" s="27">
        <f t="shared" si="84"/>
        <v>22.950263110497293</v>
      </c>
      <c r="O336" s="27">
        <f t="shared" si="84"/>
        <v>22.602951186820601</v>
      </c>
      <c r="P336" s="27">
        <f t="shared" si="84"/>
        <v>22.12653281137495</v>
      </c>
      <c r="Q336" s="27">
        <f t="shared" si="84"/>
        <v>21.780600237355962</v>
      </c>
      <c r="R336" s="27">
        <f t="shared" si="84"/>
        <v>21.465278056857681</v>
      </c>
      <c r="S336" s="27">
        <f t="shared" si="84"/>
        <v>19.312832226900145</v>
      </c>
      <c r="T336" s="27">
        <f t="shared" si="84"/>
        <v>20.002458493758922</v>
      </c>
      <c r="U336" s="27">
        <f t="shared" si="84"/>
        <v>63.938225509328625</v>
      </c>
      <c r="V336" s="27">
        <f t="shared" si="84"/>
        <v>64.113496025150383</v>
      </c>
      <c r="W336" s="27">
        <f t="shared" si="84"/>
        <v>64.178228567667873</v>
      </c>
      <c r="X336" s="27">
        <f t="shared" si="84"/>
        <v>64.135343897693133</v>
      </c>
      <c r="Y336" s="27">
        <f t="shared" si="84"/>
        <v>63.991311737388052</v>
      </c>
      <c r="Z336" s="27">
        <f t="shared" si="84"/>
        <v>63.744809060362954</v>
      </c>
      <c r="AA336" s="27">
        <f t="shared" si="84"/>
        <v>63.395481625326759</v>
      </c>
      <c r="AB336" s="27">
        <f t="shared" si="84"/>
        <v>62.943362188824892</v>
      </c>
      <c r="AC336" s="27">
        <f t="shared" si="84"/>
        <v>62.389030635456976</v>
      </c>
      <c r="AD336" s="27">
        <f t="shared" si="84"/>
        <v>61.733913705110233</v>
      </c>
      <c r="AE336" s="27">
        <f t="shared" si="84"/>
        <v>60.979815772111941</v>
      </c>
      <c r="AF336" s="27">
        <f t="shared" si="84"/>
        <v>60.129286570076758</v>
      </c>
      <c r="AG336" s="27">
        <f t="shared" si="84"/>
        <v>59.185593442917096</v>
      </c>
      <c r="AH336" s="27">
        <f t="shared" si="84"/>
        <v>58.152275579872715</v>
      </c>
      <c r="AI336" s="27">
        <f t="shared" si="84"/>
        <v>57.033304574173563</v>
      </c>
      <c r="AJ336" s="27">
        <f t="shared" si="84"/>
        <v>-5.3144936119483299</v>
      </c>
      <c r="AK336" s="27">
        <f t="shared" si="84"/>
        <v>-5.2569593669429695</v>
      </c>
      <c r="AL336" s="27">
        <f t="shared" si="84"/>
        <v>-5.1992212819469339</v>
      </c>
      <c r="AM336" s="27">
        <f t="shared" si="84"/>
        <v>-5.1413392574015706</v>
      </c>
      <c r="AN336" s="27">
        <f t="shared" si="84"/>
        <v>-5.0833794948522248</v>
      </c>
      <c r="AO336" s="27">
        <f t="shared" si="84"/>
        <v>-5.0251883541674571</v>
      </c>
      <c r="AP336" s="27">
        <f t="shared" si="84"/>
        <v>-4.9666751294444857</v>
      </c>
      <c r="AQ336" s="27">
        <f t="shared" si="84"/>
        <v>-4.9078454730797514</v>
      </c>
      <c r="AR336" s="27">
        <f t="shared" si="84"/>
        <v>-4.8486018943647</v>
      </c>
      <c r="AS336" s="27">
        <f t="shared" si="84"/>
        <v>-4.7888432589736398</v>
      </c>
      <c r="AT336" s="27">
        <f t="shared" si="84"/>
        <v>-4.7285865274691332</v>
      </c>
      <c r="AU336" s="27">
        <f t="shared" si="84"/>
        <v>-4.667881841438601</v>
      </c>
      <c r="AV336" s="27">
        <f t="shared" si="84"/>
        <v>-4.6067720913188221</v>
      </c>
      <c r="AW336" s="27">
        <f t="shared" si="84"/>
        <v>-4.5451726737388229</v>
      </c>
      <c r="AY336" s="79"/>
    </row>
    <row r="337" spans="1:51" x14ac:dyDescent="0.25">
      <c r="A337" s="95" t="str">
        <f t="shared" si="71"/>
        <v>GS Swine MMCH4</v>
      </c>
      <c r="B337" s="95" t="s">
        <v>1021</v>
      </c>
      <c r="C337" s="95" t="s">
        <v>1230</v>
      </c>
      <c r="D337" t="s">
        <v>15</v>
      </c>
      <c r="E337" t="s">
        <v>22</v>
      </c>
      <c r="F337" t="s">
        <v>21</v>
      </c>
      <c r="G337" t="s">
        <v>123</v>
      </c>
      <c r="H337" t="s">
        <v>1227</v>
      </c>
      <c r="I337" t="s">
        <v>121</v>
      </c>
      <c r="J337" t="s">
        <v>286</v>
      </c>
      <c r="K337" s="27">
        <f t="shared" si="83"/>
        <v>7.7932061732677776E-2</v>
      </c>
      <c r="L337" s="27">
        <f t="shared" si="84"/>
        <v>7.7508449141861113E-2</v>
      </c>
      <c r="M337" s="27">
        <f t="shared" si="84"/>
        <v>7.7543217949140597E-2</v>
      </c>
      <c r="N337" s="27">
        <f t="shared" si="84"/>
        <v>7.6831311787104617E-2</v>
      </c>
      <c r="O337" s="27">
        <f t="shared" si="84"/>
        <v>7.5668604825232008E-2</v>
      </c>
      <c r="P337" s="27">
        <f t="shared" si="84"/>
        <v>7.4073684167079393E-2</v>
      </c>
      <c r="Q337" s="27">
        <f t="shared" si="84"/>
        <v>7.2915594897087016E-2</v>
      </c>
      <c r="R337" s="27">
        <f t="shared" si="84"/>
        <v>7.1859980996426681E-2</v>
      </c>
      <c r="S337" s="27">
        <f t="shared" si="84"/>
        <v>6.4654170942306688E-2</v>
      </c>
      <c r="T337" s="27">
        <f t="shared" si="84"/>
        <v>6.6962854309922146E-2</v>
      </c>
      <c r="U337" s="27">
        <f t="shared" si="84"/>
        <v>0.21404799219815959</v>
      </c>
      <c r="V337" s="27">
        <f t="shared" si="84"/>
        <v>0.21463475077183489</v>
      </c>
      <c r="W337" s="27">
        <f t="shared" si="84"/>
        <v>0.21485145792386132</v>
      </c>
      <c r="X337" s="27">
        <f t="shared" si="84"/>
        <v>0.21470789157632744</v>
      </c>
      <c r="Y337" s="27">
        <f t="shared" si="84"/>
        <v>0.21422571061994838</v>
      </c>
      <c r="Z337" s="27">
        <f t="shared" si="84"/>
        <v>0.21340048591800548</v>
      </c>
      <c r="AA337" s="27">
        <f t="shared" si="84"/>
        <v>0.21223103156587736</v>
      </c>
      <c r="AB337" s="27">
        <f t="shared" si="84"/>
        <v>0.21071745722367313</v>
      </c>
      <c r="AC337" s="27">
        <f t="shared" si="84"/>
        <v>0.20886170418915742</v>
      </c>
      <c r="AD337" s="27">
        <f t="shared" si="84"/>
        <v>0.20666854880396013</v>
      </c>
      <c r="AE337" s="27">
        <f t="shared" si="84"/>
        <v>0.20414403162830727</v>
      </c>
      <c r="AF337" s="27">
        <f t="shared" si="84"/>
        <v>0.20129668848496379</v>
      </c>
      <c r="AG337" s="27">
        <f t="shared" si="84"/>
        <v>0.19813745756307569</v>
      </c>
      <c r="AH337" s="27">
        <f t="shared" si="84"/>
        <v>0.19467818711687174</v>
      </c>
      <c r="AI337" s="27">
        <f t="shared" si="84"/>
        <v>0.19093217297290849</v>
      </c>
      <c r="AJ337" s="27">
        <f t="shared" si="84"/>
        <v>-1.7791496059294212E-2</v>
      </c>
      <c r="AK337" s="27">
        <f t="shared" si="84"/>
        <v>-1.759888687241214E-2</v>
      </c>
      <c r="AL337" s="27">
        <f t="shared" si="84"/>
        <v>-1.7405595284034153E-2</v>
      </c>
      <c r="AM337" s="27">
        <f t="shared" si="84"/>
        <v>-1.7211821824736444E-2</v>
      </c>
      <c r="AN337" s="27">
        <f t="shared" si="84"/>
        <v>-1.7017788119497636E-2</v>
      </c>
      <c r="AO337" s="27">
        <f t="shared" si="84"/>
        <v>-1.6822979822456646E-2</v>
      </c>
      <c r="AP337" s="27">
        <f t="shared" si="84"/>
        <v>-1.6627093274633003E-2</v>
      </c>
      <c r="AQ337" s="27">
        <f t="shared" ref="L337:AW344" si="85">AQ1406</f>
        <v>-1.6430147398730621E-2</v>
      </c>
      <c r="AR337" s="27">
        <f t="shared" si="85"/>
        <v>-1.6231815822063071E-2</v>
      </c>
      <c r="AS337" s="27">
        <f t="shared" si="85"/>
        <v>-1.6031759974093191E-2</v>
      </c>
      <c r="AT337" s="27">
        <f t="shared" si="85"/>
        <v>-1.5830036634225372E-2</v>
      </c>
      <c r="AU337" s="27">
        <f t="shared" si="85"/>
        <v>-1.5626813663016086E-2</v>
      </c>
      <c r="AV337" s="27">
        <f t="shared" si="85"/>
        <v>-1.5422234646118577E-2</v>
      </c>
      <c r="AW337" s="27">
        <f t="shared" si="85"/>
        <v>-1.5216016354188486E-2</v>
      </c>
      <c r="AY337" s="79"/>
    </row>
    <row r="338" spans="1:51" x14ac:dyDescent="0.25">
      <c r="A338" s="95" t="str">
        <f t="shared" si="71"/>
        <v>GS Poultry MMCH4</v>
      </c>
      <c r="B338" s="95" t="s">
        <v>1021</v>
      </c>
      <c r="C338" s="95" t="s">
        <v>1231</v>
      </c>
      <c r="D338" t="s">
        <v>15</v>
      </c>
      <c r="E338" t="s">
        <v>22</v>
      </c>
      <c r="F338" t="s">
        <v>28</v>
      </c>
      <c r="G338" t="s">
        <v>131</v>
      </c>
      <c r="H338" t="s">
        <v>1227</v>
      </c>
      <c r="I338" t="s">
        <v>121</v>
      </c>
      <c r="J338" t="s">
        <v>286</v>
      </c>
      <c r="K338" s="27">
        <f t="shared" si="83"/>
        <v>0.55586528215230246</v>
      </c>
      <c r="L338" s="27">
        <f t="shared" si="85"/>
        <v>0.56716712532642333</v>
      </c>
      <c r="M338" s="27">
        <f t="shared" si="85"/>
        <v>0.58037790885594753</v>
      </c>
      <c r="N338" s="27">
        <f t="shared" si="85"/>
        <v>0.59052015237226141</v>
      </c>
      <c r="O338" s="27">
        <f t="shared" si="85"/>
        <v>0.5986618277459016</v>
      </c>
      <c r="P338" s="27">
        <f t="shared" si="85"/>
        <v>0.60475451589519713</v>
      </c>
      <c r="Q338" s="27">
        <f t="shared" si="85"/>
        <v>0.61256702388185857</v>
      </c>
      <c r="R338" s="27">
        <f t="shared" si="85"/>
        <v>0.62068986953889782</v>
      </c>
      <c r="S338" s="27">
        <f t="shared" si="85"/>
        <v>0.59622101179856346</v>
      </c>
      <c r="T338" s="27">
        <f t="shared" si="85"/>
        <v>0.61809135680643945</v>
      </c>
      <c r="U338" s="27">
        <f t="shared" si="85"/>
        <v>1.373668837271812</v>
      </c>
      <c r="V338" s="27">
        <f t="shared" si="85"/>
        <v>1.4038681554321815</v>
      </c>
      <c r="W338" s="27">
        <f t="shared" si="85"/>
        <v>1.4328290155562637</v>
      </c>
      <c r="X338" s="27">
        <f t="shared" si="85"/>
        <v>1.460295648957926</v>
      </c>
      <c r="Y338" s="27">
        <f t="shared" si="85"/>
        <v>1.4859212180508141</v>
      </c>
      <c r="Z338" s="27">
        <f t="shared" si="85"/>
        <v>1.5095937275054243</v>
      </c>
      <c r="AA338" s="27">
        <f t="shared" si="85"/>
        <v>1.5311992010813591</v>
      </c>
      <c r="AB338" s="27">
        <f t="shared" si="85"/>
        <v>1.5506393195302268</v>
      </c>
      <c r="AC338" s="27">
        <f t="shared" si="85"/>
        <v>1.5678278043895033</v>
      </c>
      <c r="AD338" s="27">
        <f t="shared" si="85"/>
        <v>1.5826815313976288</v>
      </c>
      <c r="AE338" s="27">
        <f t="shared" si="85"/>
        <v>1.5951352940969563</v>
      </c>
      <c r="AF338" s="27">
        <f t="shared" si="85"/>
        <v>1.6051302673357504</v>
      </c>
      <c r="AG338" s="27">
        <f t="shared" si="85"/>
        <v>1.6126141322836316</v>
      </c>
      <c r="AH338" s="27">
        <f t="shared" si="85"/>
        <v>1.6175553910519496</v>
      </c>
      <c r="AI338" s="27">
        <f t="shared" si="85"/>
        <v>1.6199377421840562</v>
      </c>
      <c r="AJ338" s="27">
        <f t="shared" si="85"/>
        <v>0.21118052827101272</v>
      </c>
      <c r="AK338" s="27">
        <f t="shared" si="85"/>
        <v>0.21273045495969528</v>
      </c>
      <c r="AL338" s="27">
        <f t="shared" si="85"/>
        <v>0.21424196096407097</v>
      </c>
      <c r="AM338" s="27">
        <f t="shared" si="85"/>
        <v>0.21571732327397183</v>
      </c>
      <c r="AN338" s="27">
        <f t="shared" si="85"/>
        <v>0.21715916671304386</v>
      </c>
      <c r="AO338" s="27">
        <f t="shared" si="85"/>
        <v>0.2185615794759829</v>
      </c>
      <c r="AP338" s="27">
        <f t="shared" si="85"/>
        <v>0.21992066841646388</v>
      </c>
      <c r="AQ338" s="27">
        <f t="shared" si="85"/>
        <v>0.22123614681909931</v>
      </c>
      <c r="AR338" s="27">
        <f t="shared" si="85"/>
        <v>0.22250337724956543</v>
      </c>
      <c r="AS338" s="27">
        <f t="shared" si="85"/>
        <v>0.22371719705711082</v>
      </c>
      <c r="AT338" s="27">
        <f t="shared" si="85"/>
        <v>0.22487715475079265</v>
      </c>
      <c r="AU338" s="27">
        <f t="shared" si="85"/>
        <v>0.22598422868600801</v>
      </c>
      <c r="AV338" s="27">
        <f t="shared" si="85"/>
        <v>0.22703914928135227</v>
      </c>
      <c r="AW338" s="27">
        <f t="shared" si="85"/>
        <v>0.22803688221361912</v>
      </c>
      <c r="AY338" s="79"/>
    </row>
    <row r="339" spans="1:51" x14ac:dyDescent="0.25">
      <c r="A339" s="95" t="str">
        <f t="shared" si="71"/>
        <v>GS Poultry MMCH4</v>
      </c>
      <c r="B339" s="95" t="s">
        <v>1021</v>
      </c>
      <c r="C339" s="95" t="s">
        <v>1231</v>
      </c>
      <c r="D339" t="s">
        <v>15</v>
      </c>
      <c r="E339" t="s">
        <v>22</v>
      </c>
      <c r="F339" t="s">
        <v>28</v>
      </c>
      <c r="G339" t="s">
        <v>132</v>
      </c>
      <c r="H339" t="s">
        <v>1227</v>
      </c>
      <c r="I339" t="s">
        <v>121</v>
      </c>
      <c r="J339" t="s">
        <v>286</v>
      </c>
      <c r="K339" s="27">
        <f t="shared" si="83"/>
        <v>2.2100196981344116</v>
      </c>
      <c r="L339" s="27">
        <f t="shared" si="85"/>
        <v>2.2391217074451495</v>
      </c>
      <c r="M339" s="27">
        <f t="shared" si="85"/>
        <v>2.2858678822724832</v>
      </c>
      <c r="N339" s="27">
        <f t="shared" si="85"/>
        <v>2.29929007480786</v>
      </c>
      <c r="O339" s="27">
        <f t="shared" si="85"/>
        <v>2.2910596881616572</v>
      </c>
      <c r="P339" s="27">
        <f t="shared" si="85"/>
        <v>2.2612642885898926</v>
      </c>
      <c r="Q339" s="27">
        <f t="shared" si="85"/>
        <v>2.2487211059946213</v>
      </c>
      <c r="R339" s="27">
        <f t="shared" si="85"/>
        <v>2.2390235702415184</v>
      </c>
      <c r="S339" s="27">
        <f t="shared" si="85"/>
        <v>1.9526804721775937</v>
      </c>
      <c r="T339" s="27">
        <f t="shared" si="85"/>
        <v>2.100459804618418</v>
      </c>
      <c r="U339" s="27">
        <f t="shared" si="85"/>
        <v>9.1333253803948828</v>
      </c>
      <c r="V339" s="27">
        <f t="shared" si="85"/>
        <v>9.2970707439361586</v>
      </c>
      <c r="W339" s="27">
        <f t="shared" si="85"/>
        <v>9.4425409001496003</v>
      </c>
      <c r="X339" s="27">
        <f t="shared" si="85"/>
        <v>9.5703569928358032</v>
      </c>
      <c r="Y339" s="27">
        <f t="shared" si="85"/>
        <v>9.6822560637136306</v>
      </c>
      <c r="Z339" s="27">
        <f t="shared" si="85"/>
        <v>9.7773987663862059</v>
      </c>
      <c r="AA339" s="27">
        <f t="shared" si="85"/>
        <v>9.8551407097026438</v>
      </c>
      <c r="AB339" s="27">
        <f t="shared" si="85"/>
        <v>9.9148485168231666</v>
      </c>
      <c r="AC339" s="27">
        <f t="shared" si="85"/>
        <v>9.9559572971640158</v>
      </c>
      <c r="AD339" s="27">
        <f t="shared" si="85"/>
        <v>9.9780818543236887</v>
      </c>
      <c r="AE339" s="27">
        <f t="shared" si="85"/>
        <v>9.9808650627783955</v>
      </c>
      <c r="AF339" s="27">
        <f t="shared" si="85"/>
        <v>9.9641144926279814</v>
      </c>
      <c r="AG339" s="27">
        <f t="shared" si="85"/>
        <v>9.9278067613283412</v>
      </c>
      <c r="AH339" s="27">
        <f t="shared" si="85"/>
        <v>9.8719390395073479</v>
      </c>
      <c r="AI339" s="27">
        <f t="shared" si="85"/>
        <v>9.7965950136724871</v>
      </c>
      <c r="AJ339" s="27">
        <f t="shared" si="85"/>
        <v>-2.0919754098137773</v>
      </c>
      <c r="AK339" s="27">
        <f t="shared" si="85"/>
        <v>-2.0949358900923882</v>
      </c>
      <c r="AL339" s="27">
        <f t="shared" si="85"/>
        <v>-2.0976165546607759</v>
      </c>
      <c r="AM339" s="27">
        <f t="shared" si="85"/>
        <v>-2.1000401992552491</v>
      </c>
      <c r="AN339" s="27">
        <f t="shared" si="85"/>
        <v>-2.1022328856249954</v>
      </c>
      <c r="AO339" s="27">
        <f t="shared" si="85"/>
        <v>-2.1041334183696132</v>
      </c>
      <c r="AP339" s="27">
        <f t="shared" si="85"/>
        <v>-2.1057026664304765</v>
      </c>
      <c r="AQ339" s="27">
        <f t="shared" si="85"/>
        <v>-2.1069388532626809</v>
      </c>
      <c r="AR339" s="27">
        <f t="shared" si="85"/>
        <v>-2.107796866715046</v>
      </c>
      <c r="AS339" s="27">
        <f t="shared" si="85"/>
        <v>-2.1082275012492091</v>
      </c>
      <c r="AT339" s="27">
        <f t="shared" si="85"/>
        <v>-2.1082293468263522</v>
      </c>
      <c r="AU339" s="27">
        <f t="shared" si="85"/>
        <v>-2.1078151792766633</v>
      </c>
      <c r="AV339" s="27">
        <f t="shared" si="85"/>
        <v>-2.1069951517588699</v>
      </c>
      <c r="AW339" s="27">
        <f t="shared" si="85"/>
        <v>-2.1057231360288351</v>
      </c>
      <c r="AY339" s="79"/>
    </row>
    <row r="340" spans="1:51" x14ac:dyDescent="0.25">
      <c r="A340" s="95" t="str">
        <f t="shared" si="71"/>
        <v>GS Poultry MMCH4</v>
      </c>
      <c r="B340" s="95" t="s">
        <v>1021</v>
      </c>
      <c r="C340" s="95" t="s">
        <v>1231</v>
      </c>
      <c r="D340" t="s">
        <v>15</v>
      </c>
      <c r="E340" t="s">
        <v>22</v>
      </c>
      <c r="F340" t="s">
        <v>28</v>
      </c>
      <c r="G340" t="s">
        <v>134</v>
      </c>
      <c r="H340" t="s">
        <v>1227</v>
      </c>
      <c r="I340" t="s">
        <v>121</v>
      </c>
      <c r="J340" t="s">
        <v>286</v>
      </c>
      <c r="K340" s="27">
        <f t="shared" si="83"/>
        <v>2.3161053423012629E-2</v>
      </c>
      <c r="L340" s="27">
        <f t="shared" si="85"/>
        <v>2.3631963555267661E-2</v>
      </c>
      <c r="M340" s="27">
        <f t="shared" si="85"/>
        <v>2.4182412868997839E-2</v>
      </c>
      <c r="N340" s="27">
        <f t="shared" si="85"/>
        <v>2.4605006348844244E-2</v>
      </c>
      <c r="O340" s="27">
        <f t="shared" si="85"/>
        <v>2.4944242822745925E-2</v>
      </c>
      <c r="P340" s="27">
        <f t="shared" si="85"/>
        <v>2.5198104828966571E-2</v>
      </c>
      <c r="Q340" s="27">
        <f t="shared" si="85"/>
        <v>2.5523625995077459E-2</v>
      </c>
      <c r="R340" s="27">
        <f t="shared" si="85"/>
        <v>2.5862077897454101E-2</v>
      </c>
      <c r="S340" s="27">
        <f t="shared" si="85"/>
        <v>2.4842542158273501E-2</v>
      </c>
      <c r="T340" s="27">
        <f t="shared" si="85"/>
        <v>2.5753806533601667E-2</v>
      </c>
      <c r="U340" s="27">
        <f t="shared" si="85"/>
        <v>5.7236201552992215E-2</v>
      </c>
      <c r="V340" s="27">
        <f t="shared" si="85"/>
        <v>5.8494506476340941E-2</v>
      </c>
      <c r="W340" s="27">
        <f t="shared" si="85"/>
        <v>5.9701208981511052E-2</v>
      </c>
      <c r="X340" s="27">
        <f t="shared" si="85"/>
        <v>6.0845652039913642E-2</v>
      </c>
      <c r="Y340" s="27">
        <f t="shared" si="85"/>
        <v>6.1913384085450655E-2</v>
      </c>
      <c r="Z340" s="27">
        <f t="shared" si="85"/>
        <v>6.2899738646059397E-2</v>
      </c>
      <c r="AA340" s="27">
        <f t="shared" si="85"/>
        <v>6.3799966711723347E-2</v>
      </c>
      <c r="AB340" s="27">
        <f t="shared" si="85"/>
        <v>6.4609971647092854E-2</v>
      </c>
      <c r="AC340" s="27">
        <f t="shared" si="85"/>
        <v>6.5326158516229374E-2</v>
      </c>
      <c r="AD340" s="27">
        <f t="shared" si="85"/>
        <v>6.5945063808234589E-2</v>
      </c>
      <c r="AE340" s="27">
        <f t="shared" si="85"/>
        <v>6.6463970587373244E-2</v>
      </c>
      <c r="AF340" s="27">
        <f t="shared" si="85"/>
        <v>6.6880427805656326E-2</v>
      </c>
      <c r="AG340" s="27">
        <f t="shared" si="85"/>
        <v>6.7192255511818053E-2</v>
      </c>
      <c r="AH340" s="27">
        <f t="shared" si="85"/>
        <v>6.7398141293831301E-2</v>
      </c>
      <c r="AI340" s="27">
        <f t="shared" si="85"/>
        <v>6.7497405924335729E-2</v>
      </c>
      <c r="AJ340" s="27">
        <f t="shared" si="85"/>
        <v>8.7991886779588708E-3</v>
      </c>
      <c r="AK340" s="27">
        <f t="shared" si="85"/>
        <v>8.8637689566539793E-3</v>
      </c>
      <c r="AL340" s="27">
        <f t="shared" si="85"/>
        <v>8.9267483735029646E-3</v>
      </c>
      <c r="AM340" s="27">
        <f t="shared" si="85"/>
        <v>8.9882218030821696E-3</v>
      </c>
      <c r="AN340" s="27">
        <f t="shared" si="85"/>
        <v>9.0482986130435011E-3</v>
      </c>
      <c r="AO340" s="27">
        <f t="shared" si="85"/>
        <v>9.1067324781659627E-3</v>
      </c>
      <c r="AP340" s="27">
        <f t="shared" si="85"/>
        <v>9.1633611840193346E-3</v>
      </c>
      <c r="AQ340" s="27">
        <f t="shared" si="85"/>
        <v>9.2181727841291489E-3</v>
      </c>
      <c r="AR340" s="27">
        <f t="shared" si="85"/>
        <v>9.2709740520652353E-3</v>
      </c>
      <c r="AS340" s="27">
        <f t="shared" si="85"/>
        <v>9.3215498773796274E-3</v>
      </c>
      <c r="AT340" s="27">
        <f t="shared" si="85"/>
        <v>9.3698814479497017E-3</v>
      </c>
      <c r="AU340" s="27">
        <f t="shared" si="85"/>
        <v>9.4160095285836763E-3</v>
      </c>
      <c r="AV340" s="27">
        <f t="shared" si="85"/>
        <v>9.4599645533896878E-3</v>
      </c>
      <c r="AW340" s="27">
        <f t="shared" si="85"/>
        <v>9.5015367589008064E-3</v>
      </c>
      <c r="AY340" s="79"/>
    </row>
    <row r="341" spans="1:51" x14ac:dyDescent="0.25">
      <c r="A341" s="95" t="str">
        <f t="shared" si="71"/>
        <v>GS Poultry MMCH4</v>
      </c>
      <c r="B341" s="95" t="s">
        <v>1021</v>
      </c>
      <c r="C341" s="95" t="s">
        <v>1231</v>
      </c>
      <c r="D341" t="s">
        <v>15</v>
      </c>
      <c r="E341" t="s">
        <v>22</v>
      </c>
      <c r="F341" t="s">
        <v>28</v>
      </c>
      <c r="G341" t="s">
        <v>133</v>
      </c>
      <c r="H341" t="s">
        <v>1227</v>
      </c>
      <c r="I341" t="s">
        <v>121</v>
      </c>
      <c r="J341" t="s">
        <v>286</v>
      </c>
      <c r="K341" s="27">
        <f t="shared" si="83"/>
        <v>9.2084154088933889E-2</v>
      </c>
      <c r="L341" s="27">
        <f t="shared" si="85"/>
        <v>9.3296737810214664E-2</v>
      </c>
      <c r="M341" s="27">
        <f t="shared" si="85"/>
        <v>9.5244495094686882E-2</v>
      </c>
      <c r="N341" s="27">
        <f t="shared" si="85"/>
        <v>9.5803753116994267E-2</v>
      </c>
      <c r="O341" s="27">
        <f t="shared" si="85"/>
        <v>9.5460820340069155E-2</v>
      </c>
      <c r="P341" s="27">
        <f t="shared" si="85"/>
        <v>9.4219345357912279E-2</v>
      </c>
      <c r="Q341" s="27">
        <f t="shared" si="85"/>
        <v>9.3696712749775993E-2</v>
      </c>
      <c r="R341" s="27">
        <f t="shared" si="85"/>
        <v>9.3292648760063338E-2</v>
      </c>
      <c r="S341" s="27">
        <f t="shared" si="85"/>
        <v>8.1361686340733153E-2</v>
      </c>
      <c r="T341" s="27">
        <f t="shared" si="85"/>
        <v>8.7519158525767499E-2</v>
      </c>
      <c r="U341" s="27">
        <f t="shared" si="85"/>
        <v>0.38055522418312043</v>
      </c>
      <c r="V341" s="27">
        <f t="shared" si="85"/>
        <v>0.38737794766400691</v>
      </c>
      <c r="W341" s="27">
        <f t="shared" si="85"/>
        <v>0.39343920417290035</v>
      </c>
      <c r="X341" s="27">
        <f t="shared" si="85"/>
        <v>0.39876487470149208</v>
      </c>
      <c r="Y341" s="27">
        <f t="shared" si="85"/>
        <v>0.40342733598806829</v>
      </c>
      <c r="Z341" s="27">
        <f t="shared" si="85"/>
        <v>0.40739161526609236</v>
      </c>
      <c r="AA341" s="27">
        <f t="shared" si="85"/>
        <v>0.41063086290427719</v>
      </c>
      <c r="AB341" s="27">
        <f t="shared" si="85"/>
        <v>0.41311868820096576</v>
      </c>
      <c r="AC341" s="27">
        <f t="shared" si="85"/>
        <v>0.41483155404850092</v>
      </c>
      <c r="AD341" s="27">
        <f t="shared" si="85"/>
        <v>0.4157534105968208</v>
      </c>
      <c r="AE341" s="27">
        <f t="shared" si="85"/>
        <v>0.41586937761576692</v>
      </c>
      <c r="AF341" s="27">
        <f t="shared" si="85"/>
        <v>0.41517143719283295</v>
      </c>
      <c r="AG341" s="27">
        <f t="shared" si="85"/>
        <v>0.41365861505534796</v>
      </c>
      <c r="AH341" s="27">
        <f t="shared" si="85"/>
        <v>0.41133079331280648</v>
      </c>
      <c r="AI341" s="27">
        <f t="shared" si="85"/>
        <v>0.40819145890302061</v>
      </c>
      <c r="AJ341" s="27">
        <f t="shared" si="85"/>
        <v>-8.7165642075574146E-2</v>
      </c>
      <c r="AK341" s="27">
        <f t="shared" si="85"/>
        <v>-8.7288995420516255E-2</v>
      </c>
      <c r="AL341" s="27">
        <f t="shared" si="85"/>
        <v>-8.7400689777532417E-2</v>
      </c>
      <c r="AM341" s="27">
        <f t="shared" si="85"/>
        <v>-8.7501674968968782E-2</v>
      </c>
      <c r="AN341" s="27">
        <f t="shared" si="85"/>
        <v>-8.759303690104156E-2</v>
      </c>
      <c r="AO341" s="27">
        <f t="shared" si="85"/>
        <v>-8.7672225765400638E-2</v>
      </c>
      <c r="AP341" s="27">
        <f t="shared" si="85"/>
        <v>-8.773761110126993E-2</v>
      </c>
      <c r="AQ341" s="27">
        <f t="shared" si="85"/>
        <v>-8.7789118885945122E-2</v>
      </c>
      <c r="AR341" s="27">
        <f t="shared" si="85"/>
        <v>-8.7824869446460341E-2</v>
      </c>
      <c r="AS341" s="27">
        <f t="shared" si="85"/>
        <v>-8.7842812552050467E-2</v>
      </c>
      <c r="AT341" s="27">
        <f t="shared" si="85"/>
        <v>-8.7842889451098083E-2</v>
      </c>
      <c r="AU341" s="27">
        <f t="shared" si="85"/>
        <v>-8.7825632469861054E-2</v>
      </c>
      <c r="AV341" s="27">
        <f t="shared" si="85"/>
        <v>-8.7791464656619661E-2</v>
      </c>
      <c r="AW341" s="27">
        <f t="shared" si="85"/>
        <v>-8.7738464001201541E-2</v>
      </c>
      <c r="AY341" s="79"/>
    </row>
    <row r="342" spans="1:51" x14ac:dyDescent="0.25">
      <c r="A342" s="95" t="str">
        <f t="shared" si="71"/>
        <v>GS Cattle MMN2O</v>
      </c>
      <c r="B342" s="95" t="s">
        <v>1021</v>
      </c>
      <c r="C342" s="95" t="s">
        <v>1232</v>
      </c>
      <c r="D342" t="s">
        <v>15</v>
      </c>
      <c r="E342" t="s">
        <v>657</v>
      </c>
      <c r="F342" t="s">
        <v>6</v>
      </c>
      <c r="G342" t="s">
        <v>136</v>
      </c>
      <c r="H342" t="s">
        <v>1227</v>
      </c>
      <c r="I342" t="s">
        <v>139</v>
      </c>
      <c r="J342" t="s">
        <v>287</v>
      </c>
      <c r="K342" s="27">
        <f t="shared" si="83"/>
        <v>5.9474079071945893E-2</v>
      </c>
      <c r="L342" s="27">
        <f t="shared" si="85"/>
        <v>5.9806569587962537E-2</v>
      </c>
      <c r="M342" s="27">
        <f t="shared" si="85"/>
        <v>6.0278316688762053E-2</v>
      </c>
      <c r="N342" s="27">
        <f t="shared" si="85"/>
        <v>6.0581464452445992E-2</v>
      </c>
      <c r="O342" s="27">
        <f t="shared" si="85"/>
        <v>6.0782907527895308E-2</v>
      </c>
      <c r="P342" s="27">
        <f t="shared" si="85"/>
        <v>6.0880663265441164E-2</v>
      </c>
      <c r="Q342" s="27">
        <f t="shared" si="85"/>
        <v>6.1096642070638009E-2</v>
      </c>
      <c r="R342" s="27">
        <f t="shared" si="85"/>
        <v>6.1344406036983781E-2</v>
      </c>
      <c r="S342" s="27">
        <f t="shared" si="85"/>
        <v>5.9601328930113273E-2</v>
      </c>
      <c r="T342" s="27">
        <f t="shared" si="85"/>
        <v>6.0626854202705693E-2</v>
      </c>
      <c r="U342" s="27">
        <f t="shared" si="85"/>
        <v>0.10431335111869787</v>
      </c>
      <c r="V342" s="27">
        <f t="shared" si="85"/>
        <v>0.10557079987792001</v>
      </c>
      <c r="W342" s="27">
        <f t="shared" si="85"/>
        <v>0.10677309385797164</v>
      </c>
      <c r="X342" s="27">
        <f t="shared" si="85"/>
        <v>0.10789978230362134</v>
      </c>
      <c r="Y342" s="27">
        <f t="shared" si="85"/>
        <v>0.10892077673602073</v>
      </c>
      <c r="Z342" s="27">
        <f t="shared" si="85"/>
        <v>0.10983130908819148</v>
      </c>
      <c r="AA342" s="27">
        <f t="shared" si="85"/>
        <v>0.11062607502856897</v>
      </c>
      <c r="AB342" s="27">
        <f t="shared" si="85"/>
        <v>0.11130105996088024</v>
      </c>
      <c r="AC342" s="27">
        <f t="shared" si="85"/>
        <v>0.11185308002540331</v>
      </c>
      <c r="AD342" s="27">
        <f t="shared" si="85"/>
        <v>0.11227878827005904</v>
      </c>
      <c r="AE342" s="27">
        <f t="shared" si="85"/>
        <v>0.11257618100536711</v>
      </c>
      <c r="AF342" s="27">
        <f t="shared" si="85"/>
        <v>0.11274333624880213</v>
      </c>
      <c r="AG342" s="27">
        <f t="shared" si="85"/>
        <v>0.11277839712706036</v>
      </c>
      <c r="AH342" s="27">
        <f t="shared" si="85"/>
        <v>0.11268102453940491</v>
      </c>
      <c r="AI342" s="27">
        <f t="shared" si="85"/>
        <v>0.11245177283662604</v>
      </c>
      <c r="AJ342" s="27">
        <f t="shared" si="85"/>
        <v>3.5577796363991845E-2</v>
      </c>
      <c r="AK342" s="27">
        <f t="shared" si="85"/>
        <v>3.5603767558276704E-2</v>
      </c>
      <c r="AL342" s="27">
        <f t="shared" si="85"/>
        <v>3.5627869174539424E-2</v>
      </c>
      <c r="AM342" s="27">
        <f t="shared" si="85"/>
        <v>3.5650264251912672E-2</v>
      </c>
      <c r="AN342" s="27">
        <f t="shared" si="85"/>
        <v>3.5671153620438649E-2</v>
      </c>
      <c r="AO342" s="27">
        <f t="shared" si="85"/>
        <v>3.5689881664317018E-2</v>
      </c>
      <c r="AP342" s="27">
        <f t="shared" si="85"/>
        <v>3.5706008112300056E-2</v>
      </c>
      <c r="AQ342" s="27">
        <f t="shared" si="85"/>
        <v>3.5719462361704167E-2</v>
      </c>
      <c r="AR342" s="27">
        <f t="shared" si="85"/>
        <v>3.5729744862623404E-2</v>
      </c>
      <c r="AS342" s="27">
        <f t="shared" si="85"/>
        <v>3.5736313260064892E-2</v>
      </c>
      <c r="AT342" s="27">
        <f t="shared" si="85"/>
        <v>3.5739100565622635E-2</v>
      </c>
      <c r="AU342" s="27">
        <f t="shared" si="85"/>
        <v>3.5738183814189306E-2</v>
      </c>
      <c r="AV342" s="27">
        <f t="shared" si="85"/>
        <v>3.5733616728715514E-2</v>
      </c>
      <c r="AW342" s="27">
        <f t="shared" si="85"/>
        <v>3.5724889195264529E-2</v>
      </c>
      <c r="AY342" s="79"/>
    </row>
    <row r="343" spans="1:51" x14ac:dyDescent="0.25">
      <c r="A343" s="95" t="str">
        <f t="shared" si="71"/>
        <v>GS Cattle MMN2O</v>
      </c>
      <c r="B343" s="95" t="s">
        <v>1021</v>
      </c>
      <c r="C343" s="95" t="s">
        <v>1232</v>
      </c>
      <c r="D343" t="s">
        <v>15</v>
      </c>
      <c r="E343" t="s">
        <v>657</v>
      </c>
      <c r="F343" t="s">
        <v>6</v>
      </c>
      <c r="G343" t="s">
        <v>137</v>
      </c>
      <c r="H343" t="s">
        <v>1227</v>
      </c>
      <c r="I343" t="s">
        <v>139</v>
      </c>
      <c r="J343" t="s">
        <v>287</v>
      </c>
      <c r="K343" s="27">
        <f t="shared" si="83"/>
        <v>0.26041511380118898</v>
      </c>
      <c r="L343" s="27">
        <f t="shared" si="85"/>
        <v>0.26187096745907495</v>
      </c>
      <c r="M343" s="27">
        <f t="shared" si="85"/>
        <v>0.26393657447404822</v>
      </c>
      <c r="N343" s="27">
        <f t="shared" si="85"/>
        <v>0.26526394701365208</v>
      </c>
      <c r="O343" s="27">
        <f t="shared" si="85"/>
        <v>0.26614599213711054</v>
      </c>
      <c r="P343" s="27">
        <f t="shared" si="85"/>
        <v>0.26657402855087214</v>
      </c>
      <c r="Q343" s="27">
        <f t="shared" si="85"/>
        <v>0.26751972028770321</v>
      </c>
      <c r="R343" s="27">
        <f t="shared" si="85"/>
        <v>0.26860458755254507</v>
      </c>
      <c r="S343" s="27">
        <f t="shared" si="85"/>
        <v>0.26097229411928624</v>
      </c>
      <c r="T343" s="27">
        <f t="shared" si="85"/>
        <v>0.26546269203272144</v>
      </c>
      <c r="U343" s="27">
        <f t="shared" si="85"/>
        <v>0.45674979127794169</v>
      </c>
      <c r="V343" s="27">
        <f t="shared" si="85"/>
        <v>0.46225569682270645</v>
      </c>
      <c r="W343" s="27">
        <f t="shared" si="85"/>
        <v>0.46752009987901733</v>
      </c>
      <c r="X343" s="27">
        <f t="shared" si="85"/>
        <v>0.47245345411284095</v>
      </c>
      <c r="Y343" s="27">
        <f t="shared" si="85"/>
        <v>0.47692401314381044</v>
      </c>
      <c r="Z343" s="27">
        <f t="shared" si="85"/>
        <v>0.48091089936063391</v>
      </c>
      <c r="AA343" s="27">
        <f t="shared" si="85"/>
        <v>0.48439088704666999</v>
      </c>
      <c r="AB343" s="27">
        <f t="shared" si="85"/>
        <v>0.48734639776167055</v>
      </c>
      <c r="AC343" s="27">
        <f t="shared" si="85"/>
        <v>0.48976349055514479</v>
      </c>
      <c r="AD343" s="27">
        <f t="shared" si="85"/>
        <v>0.49162751035516583</v>
      </c>
      <c r="AE343" s="27">
        <f t="shared" si="85"/>
        <v>0.49292968374258739</v>
      </c>
      <c r="AF343" s="27">
        <f t="shared" si="85"/>
        <v>0.49366159506296176</v>
      </c>
      <c r="AG343" s="27">
        <f t="shared" si="85"/>
        <v>0.49381511375117121</v>
      </c>
      <c r="AH343" s="27">
        <f t="shared" si="85"/>
        <v>0.4933887550098322</v>
      </c>
      <c r="AI343" s="27">
        <f t="shared" si="85"/>
        <v>0.49238494613712885</v>
      </c>
      <c r="AJ343" s="27">
        <f t="shared" si="85"/>
        <v>0.15578208243824307</v>
      </c>
      <c r="AK343" s="27">
        <f t="shared" si="85"/>
        <v>0.15589580074411316</v>
      </c>
      <c r="AL343" s="27">
        <f t="shared" si="85"/>
        <v>0.15600133285557738</v>
      </c>
      <c r="AM343" s="27">
        <f t="shared" si="85"/>
        <v>0.1560993926610211</v>
      </c>
      <c r="AN343" s="27">
        <f t="shared" si="85"/>
        <v>0.15619085952132081</v>
      </c>
      <c r="AO343" s="27">
        <f t="shared" si="85"/>
        <v>0.15627286273606522</v>
      </c>
      <c r="AP343" s="27">
        <f t="shared" si="85"/>
        <v>0.15634347451942091</v>
      </c>
      <c r="AQ343" s="27">
        <f t="shared" si="85"/>
        <v>0.15640238572820886</v>
      </c>
      <c r="AR343" s="27">
        <f t="shared" si="85"/>
        <v>0.15644740901715809</v>
      </c>
      <c r="AS343" s="27">
        <f t="shared" si="85"/>
        <v>0.15647616961326835</v>
      </c>
      <c r="AT343" s="27">
        <f t="shared" si="85"/>
        <v>0.15648837419895245</v>
      </c>
      <c r="AU343" s="27">
        <f t="shared" si="85"/>
        <v>0.15648436008166708</v>
      </c>
      <c r="AV343" s="27">
        <f t="shared" si="85"/>
        <v>0.15646436249445</v>
      </c>
      <c r="AW343" s="27">
        <f t="shared" si="85"/>
        <v>0.15642614783602549</v>
      </c>
      <c r="AY343" s="79"/>
    </row>
    <row r="344" spans="1:51" x14ac:dyDescent="0.25">
      <c r="A344" s="95" t="str">
        <f t="shared" si="71"/>
        <v>GS Cattle MMN2O</v>
      </c>
      <c r="B344" s="95" t="s">
        <v>1021</v>
      </c>
      <c r="C344" s="95" t="s">
        <v>1232</v>
      </c>
      <c r="D344" t="s">
        <v>15</v>
      </c>
      <c r="E344" t="s">
        <v>657</v>
      </c>
      <c r="F344" t="s">
        <v>67</v>
      </c>
      <c r="G344" t="s">
        <v>307</v>
      </c>
      <c r="H344" t="s">
        <v>1227</v>
      </c>
      <c r="I344" t="s">
        <v>139</v>
      </c>
      <c r="J344" t="s">
        <v>287</v>
      </c>
      <c r="K344" s="27">
        <f t="shared" si="83"/>
        <v>1.1586934798802538E-2</v>
      </c>
      <c r="L344" s="27">
        <f t="shared" si="85"/>
        <v>1.1651711689683767E-2</v>
      </c>
      <c r="M344" s="27">
        <f t="shared" si="85"/>
        <v>1.1743619004328788E-2</v>
      </c>
      <c r="N344" s="27">
        <f t="shared" si="85"/>
        <v>1.1802679244134426E-2</v>
      </c>
      <c r="O344" s="27">
        <f t="shared" si="85"/>
        <v>1.1841925043604104E-2</v>
      </c>
      <c r="P344" s="27">
        <f t="shared" si="85"/>
        <v>1.186097013643829E-2</v>
      </c>
      <c r="Q344" s="27">
        <f t="shared" si="85"/>
        <v>1.1903047834366352E-2</v>
      </c>
      <c r="R344" s="27">
        <f t="shared" si="85"/>
        <v>1.1951318021451862E-2</v>
      </c>
      <c r="S344" s="27">
        <f t="shared" si="85"/>
        <v>1.1611726032777913E-2</v>
      </c>
      <c r="T344" s="27">
        <f t="shared" si="85"/>
        <v>1.1811522223882912E-2</v>
      </c>
      <c r="U344" s="27">
        <f t="shared" si="85"/>
        <v>2.0322668579614574E-2</v>
      </c>
      <c r="V344" s="27">
        <f t="shared" si="85"/>
        <v>2.0567648863686182E-2</v>
      </c>
      <c r="W344" s="27">
        <f t="shared" si="85"/>
        <v>2.0801883713106869E-2</v>
      </c>
      <c r="X344" s="27">
        <f t="shared" si="85"/>
        <v>2.1021388844788085E-2</v>
      </c>
      <c r="Y344" s="27">
        <f t="shared" si="85"/>
        <v>2.1220302322773034E-2</v>
      </c>
      <c r="Z344" s="27">
        <f t="shared" si="85"/>
        <v>2.1397695216642653E-2</v>
      </c>
      <c r="AA344" s="27">
        <f t="shared" si="85"/>
        <v>2.1552534119155507E-2</v>
      </c>
      <c r="AB344" s="27">
        <f t="shared" si="85"/>
        <v>2.1684036893522194E-2</v>
      </c>
      <c r="AC344" s="27">
        <f t="shared" si="85"/>
        <v>2.1791583249767946E-2</v>
      </c>
      <c r="AD344" s="27">
        <f t="shared" si="85"/>
        <v>2.1874521123731019E-2</v>
      </c>
      <c r="AE344" s="27">
        <f t="shared" si="85"/>
        <v>2.1932460150066901E-2</v>
      </c>
      <c r="AF344" s="27">
        <f t="shared" ref="L344:AW351" si="86">AF1413</f>
        <v>2.1965025881847573E-2</v>
      </c>
      <c r="AG344" s="27">
        <f t="shared" si="86"/>
        <v>2.1971856556936734E-2</v>
      </c>
      <c r="AH344" s="27">
        <f t="shared" si="86"/>
        <v>2.1952886110618599E-2</v>
      </c>
      <c r="AI344" s="27">
        <f t="shared" si="86"/>
        <v>2.190822254332906E-2</v>
      </c>
      <c r="AJ344" s="27">
        <f t="shared" si="86"/>
        <v>6.931382766868284E-3</v>
      </c>
      <c r="AK344" s="27">
        <f t="shared" si="86"/>
        <v>6.9364425599667493E-3</v>
      </c>
      <c r="AL344" s="27">
        <f t="shared" si="86"/>
        <v>6.9411381157540699E-3</v>
      </c>
      <c r="AM344" s="27">
        <f t="shared" si="86"/>
        <v>6.9455011980478565E-3</v>
      </c>
      <c r="AN344" s="27">
        <f t="shared" si="86"/>
        <v>6.9495709332144289E-3</v>
      </c>
      <c r="AO344" s="27">
        <f t="shared" si="86"/>
        <v>6.9532195920371295E-3</v>
      </c>
      <c r="AP344" s="27">
        <f t="shared" si="86"/>
        <v>6.9563613994300545E-3</v>
      </c>
      <c r="AQ344" s="27">
        <f t="shared" si="86"/>
        <v>6.9589826003472414E-3</v>
      </c>
      <c r="AR344" s="27">
        <f t="shared" si="86"/>
        <v>6.9609858708405197E-3</v>
      </c>
      <c r="AS344" s="27">
        <f t="shared" si="86"/>
        <v>6.9622655475345486E-3</v>
      </c>
      <c r="AT344" s="27">
        <f t="shared" si="86"/>
        <v>6.9628085795287523E-3</v>
      </c>
      <c r="AU344" s="27">
        <f t="shared" si="86"/>
        <v>6.9626299750131342E-3</v>
      </c>
      <c r="AV344" s="27">
        <f t="shared" si="86"/>
        <v>6.9617402004688092E-3</v>
      </c>
      <c r="AW344" s="27">
        <f t="shared" si="86"/>
        <v>6.960039873828548E-3</v>
      </c>
      <c r="AY344" s="79"/>
    </row>
    <row r="345" spans="1:51" x14ac:dyDescent="0.25">
      <c r="A345" s="95" t="str">
        <f t="shared" si="71"/>
        <v>GS Cattle MMN2O</v>
      </c>
      <c r="B345" s="95" t="s">
        <v>1021</v>
      </c>
      <c r="C345" s="95" t="s">
        <v>1232</v>
      </c>
      <c r="D345" t="s">
        <v>15</v>
      </c>
      <c r="E345" t="s">
        <v>657</v>
      </c>
      <c r="F345" t="s">
        <v>67</v>
      </c>
      <c r="G345" t="s">
        <v>122</v>
      </c>
      <c r="H345" t="s">
        <v>1227</v>
      </c>
      <c r="I345" t="s">
        <v>139</v>
      </c>
      <c r="J345" t="s">
        <v>287</v>
      </c>
      <c r="K345" s="27">
        <f t="shared" si="83"/>
        <v>0.52525224947331295</v>
      </c>
      <c r="L345" s="27">
        <f t="shared" si="86"/>
        <v>0.5206969044571037</v>
      </c>
      <c r="M345" s="27">
        <f t="shared" si="86"/>
        <v>0.51896282251134873</v>
      </c>
      <c r="N345" s="27">
        <f t="shared" si="86"/>
        <v>0.51203275332440923</v>
      </c>
      <c r="O345" s="27">
        <f t="shared" si="86"/>
        <v>0.50197358865556674</v>
      </c>
      <c r="P345" s="27">
        <f t="shared" si="86"/>
        <v>0.48899333628247277</v>
      </c>
      <c r="Q345" s="27">
        <f t="shared" si="86"/>
        <v>0.47875543160314166</v>
      </c>
      <c r="R345" s="27">
        <f t="shared" si="86"/>
        <v>0.46906920988966783</v>
      </c>
      <c r="S345" s="27">
        <f t="shared" si="86"/>
        <v>0.41949739097667643</v>
      </c>
      <c r="T345" s="27">
        <f t="shared" si="86"/>
        <v>0.43565935064957972</v>
      </c>
      <c r="U345" s="27">
        <f t="shared" si="86"/>
        <v>1.3730656770552265</v>
      </c>
      <c r="V345" s="27">
        <f t="shared" si="86"/>
        <v>1.3796884935069886</v>
      </c>
      <c r="W345" s="27">
        <f t="shared" si="86"/>
        <v>1.3839270796629521</v>
      </c>
      <c r="X345" s="27">
        <f t="shared" si="86"/>
        <v>1.3857805722044871</v>
      </c>
      <c r="Y345" s="27">
        <f t="shared" si="86"/>
        <v>1.3852882351123565</v>
      </c>
      <c r="Z345" s="27">
        <f t="shared" si="86"/>
        <v>1.3824264694708266</v>
      </c>
      <c r="AA345" s="27">
        <f t="shared" si="86"/>
        <v>1.3771882651473364</v>
      </c>
      <c r="AB345" s="27">
        <f t="shared" si="86"/>
        <v>1.3695779562696064</v>
      </c>
      <c r="AC345" s="27">
        <f t="shared" si="86"/>
        <v>1.3596126553947701</v>
      </c>
      <c r="AD345" s="27">
        <f t="shared" si="86"/>
        <v>1.33600285419975</v>
      </c>
      <c r="AE345" s="27">
        <f t="shared" si="86"/>
        <v>1.3101691590672178</v>
      </c>
      <c r="AF345" s="27">
        <f t="shared" si="86"/>
        <v>1.2822276459176047</v>
      </c>
      <c r="AG345" s="27">
        <f t="shared" si="86"/>
        <v>1.2523075801974097</v>
      </c>
      <c r="AH345" s="27">
        <f t="shared" si="86"/>
        <v>1.2205465760046283</v>
      </c>
      <c r="AI345" s="27">
        <f t="shared" si="86"/>
        <v>1.1870911726481781</v>
      </c>
      <c r="AJ345" s="27">
        <f t="shared" si="86"/>
        <v>-9.1659099684125458E-2</v>
      </c>
      <c r="AK345" s="27">
        <f t="shared" si="86"/>
        <v>-8.9452213438823466E-2</v>
      </c>
      <c r="AL345" s="27">
        <f t="shared" si="86"/>
        <v>-8.7268288718690495E-2</v>
      </c>
      <c r="AM345" s="27">
        <f t="shared" si="86"/>
        <v>-8.5107099964586319E-2</v>
      </c>
      <c r="AN345" s="27">
        <f t="shared" si="86"/>
        <v>-8.3391821536204336E-2</v>
      </c>
      <c r="AO345" s="27">
        <f t="shared" si="86"/>
        <v>-8.1692814399719135E-2</v>
      </c>
      <c r="AP345" s="27">
        <f t="shared" si="86"/>
        <v>-8.0008814881266738E-2</v>
      </c>
      <c r="AQ345" s="27">
        <f t="shared" si="86"/>
        <v>-7.8339405843548718E-2</v>
      </c>
      <c r="AR345" s="27">
        <f t="shared" si="86"/>
        <v>-7.6683366781164067E-2</v>
      </c>
      <c r="AS345" s="27">
        <f t="shared" si="86"/>
        <v>-7.5039502453707246E-2</v>
      </c>
      <c r="AT345" s="27">
        <f t="shared" si="86"/>
        <v>-7.3407620898571099E-2</v>
      </c>
      <c r="AU345" s="27">
        <f t="shared" si="86"/>
        <v>-7.1787822935495418E-2</v>
      </c>
      <c r="AV345" s="27">
        <f t="shared" si="86"/>
        <v>-7.0180170412069726E-2</v>
      </c>
      <c r="AW345" s="27">
        <f t="shared" si="86"/>
        <v>-6.8583739954492046E-2</v>
      </c>
      <c r="AY345" s="79"/>
    </row>
    <row r="346" spans="1:51" x14ac:dyDescent="0.25">
      <c r="A346" s="95" t="str">
        <f t="shared" si="71"/>
        <v>GS Cattle MMN2O</v>
      </c>
      <c r="B346" s="95" t="s">
        <v>1021</v>
      </c>
      <c r="C346" s="95" t="s">
        <v>1232</v>
      </c>
      <c r="D346" t="s">
        <v>15</v>
      </c>
      <c r="E346" t="s">
        <v>657</v>
      </c>
      <c r="F346" t="s">
        <v>67</v>
      </c>
      <c r="G346" t="s">
        <v>123</v>
      </c>
      <c r="H346" t="s">
        <v>1227</v>
      </c>
      <c r="I346" t="s">
        <v>139</v>
      </c>
      <c r="J346" t="s">
        <v>287</v>
      </c>
      <c r="K346" s="27">
        <f t="shared" si="83"/>
        <v>0.80452586370517853</v>
      </c>
      <c r="L346" s="27">
        <f t="shared" si="86"/>
        <v>0.79754846782098077</v>
      </c>
      <c r="M346" s="27">
        <f t="shared" si="86"/>
        <v>0.79489238443144161</v>
      </c>
      <c r="N346" s="27">
        <f t="shared" si="86"/>
        <v>0.78427763712907461</v>
      </c>
      <c r="O346" s="27">
        <f t="shared" si="86"/>
        <v>0.76887007218962322</v>
      </c>
      <c r="P346" s="27">
        <f t="shared" si="86"/>
        <v>0.74898829393537247</v>
      </c>
      <c r="Q346" s="27">
        <f t="shared" si="86"/>
        <v>0.73330695394505496</v>
      </c>
      <c r="R346" s="27">
        <f t="shared" si="86"/>
        <v>0.71847062359542468</v>
      </c>
      <c r="S346" s="27">
        <f t="shared" si="86"/>
        <v>0.64254175234089539</v>
      </c>
      <c r="T346" s="27">
        <f t="shared" si="86"/>
        <v>0.66729693345254038</v>
      </c>
      <c r="U346" s="27">
        <f t="shared" si="86"/>
        <v>2.1031168374137881</v>
      </c>
      <c r="V346" s="27">
        <f t="shared" si="86"/>
        <v>2.1132609674605565</v>
      </c>
      <c r="W346" s="27">
        <f t="shared" si="86"/>
        <v>2.1197531856118057</v>
      </c>
      <c r="X346" s="27">
        <f t="shared" si="86"/>
        <v>2.1225921695273335</v>
      </c>
      <c r="Y346" s="27">
        <f t="shared" si="86"/>
        <v>2.1218380596217075</v>
      </c>
      <c r="Z346" s="27">
        <f t="shared" si="86"/>
        <v>2.1174547095707896</v>
      </c>
      <c r="AA346" s="27">
        <f t="shared" si="86"/>
        <v>2.1094313819946655</v>
      </c>
      <c r="AB346" s="27">
        <f t="shared" si="86"/>
        <v>2.0977747154519557</v>
      </c>
      <c r="AC346" s="27">
        <f t="shared" si="86"/>
        <v>2.0825109211484589</v>
      </c>
      <c r="AD346" s="27">
        <f t="shared" si="86"/>
        <v>2.0463479238126498</v>
      </c>
      <c r="AE346" s="27">
        <f t="shared" si="86"/>
        <v>2.0067786008634618</v>
      </c>
      <c r="AF346" s="27">
        <f t="shared" si="86"/>
        <v>1.9639807451237425</v>
      </c>
      <c r="AG346" s="27">
        <f t="shared" si="86"/>
        <v>1.9181523517379118</v>
      </c>
      <c r="AH346" s="27">
        <f t="shared" si="86"/>
        <v>1.8695042034320957</v>
      </c>
      <c r="AI346" s="27">
        <f t="shared" si="86"/>
        <v>1.8182607536268967</v>
      </c>
      <c r="AJ346" s="27">
        <f t="shared" si="86"/>
        <v>-0.14039371828250841</v>
      </c>
      <c r="AK346" s="27">
        <f t="shared" si="86"/>
        <v>-0.13701344325392734</v>
      </c>
      <c r="AL346" s="27">
        <f t="shared" si="86"/>
        <v>-0.13366833826200414</v>
      </c>
      <c r="AM346" s="27">
        <f t="shared" si="86"/>
        <v>-0.13035805781909493</v>
      </c>
      <c r="AN346" s="27">
        <f t="shared" si="86"/>
        <v>-0.12773077566947513</v>
      </c>
      <c r="AO346" s="27">
        <f t="shared" si="86"/>
        <v>-0.12512841616450843</v>
      </c>
      <c r="AP346" s="27">
        <f t="shared" si="86"/>
        <v>-0.12254904374217125</v>
      </c>
      <c r="AQ346" s="27">
        <f t="shared" si="86"/>
        <v>-0.11999201947565157</v>
      </c>
      <c r="AR346" s="27">
        <f t="shared" si="86"/>
        <v>-0.11745547392381339</v>
      </c>
      <c r="AS346" s="27">
        <f t="shared" si="86"/>
        <v>-0.11493757634376978</v>
      </c>
      <c r="AT346" s="27">
        <f t="shared" si="86"/>
        <v>-0.11243803270749411</v>
      </c>
      <c r="AU346" s="27">
        <f t="shared" si="86"/>
        <v>-0.10995699744000494</v>
      </c>
      <c r="AV346" s="27">
        <f t="shared" si="86"/>
        <v>-0.10749456527290084</v>
      </c>
      <c r="AW346" s="27">
        <f t="shared" si="86"/>
        <v>-0.10504932187981528</v>
      </c>
      <c r="AY346" s="79"/>
    </row>
    <row r="347" spans="1:51" x14ac:dyDescent="0.25">
      <c r="A347" s="95" t="str">
        <f t="shared" si="71"/>
        <v>GS Cattle MMN2O</v>
      </c>
      <c r="B347" s="95" t="s">
        <v>1021</v>
      </c>
      <c r="C347" s="95" t="s">
        <v>1232</v>
      </c>
      <c r="D347" t="s">
        <v>15</v>
      </c>
      <c r="E347" t="s">
        <v>657</v>
      </c>
      <c r="F347" t="s">
        <v>67</v>
      </c>
      <c r="G347" t="s">
        <v>135</v>
      </c>
      <c r="H347" t="s">
        <v>1227</v>
      </c>
      <c r="I347" t="s">
        <v>139</v>
      </c>
      <c r="J347" t="s">
        <v>287</v>
      </c>
      <c r="K347" s="27">
        <f t="shared" si="83"/>
        <v>0.97926119892671493</v>
      </c>
      <c r="L347" s="27">
        <f t="shared" si="86"/>
        <v>1.0122801448609147</v>
      </c>
      <c r="M347" s="27">
        <f t="shared" si="86"/>
        <v>1.0514701788925804</v>
      </c>
      <c r="N347" s="27">
        <f t="shared" si="86"/>
        <v>1.0806972456941155</v>
      </c>
      <c r="O347" s="27">
        <f t="shared" si="86"/>
        <v>1.1032367943433714</v>
      </c>
      <c r="P347" s="27">
        <f t="shared" si="86"/>
        <v>1.1187666946803869</v>
      </c>
      <c r="Q347" s="27">
        <f t="shared" si="86"/>
        <v>1.1399714801203364</v>
      </c>
      <c r="R347" s="27">
        <f t="shared" si="86"/>
        <v>1.1622002864669057</v>
      </c>
      <c r="S347" s="27">
        <f t="shared" si="86"/>
        <v>1.0813845600959935</v>
      </c>
      <c r="T347" s="27">
        <f t="shared" si="86"/>
        <v>1.1501042489069657</v>
      </c>
      <c r="U347" s="27">
        <f t="shared" si="86"/>
        <v>3.7109100106027491</v>
      </c>
      <c r="V347" s="27">
        <f t="shared" si="86"/>
        <v>3.81628643561459</v>
      </c>
      <c r="W347" s="27">
        <f t="shared" si="86"/>
        <v>3.9167580657264067</v>
      </c>
      <c r="X347" s="27">
        <f t="shared" si="86"/>
        <v>4.0119388397207816</v>
      </c>
      <c r="Y347" s="27">
        <f t="shared" si="86"/>
        <v>4.1015489666041693</v>
      </c>
      <c r="Z347" s="27">
        <f t="shared" si="86"/>
        <v>4.185115809425092</v>
      </c>
      <c r="AA347" s="27">
        <f t="shared" si="86"/>
        <v>4.2621982223461794</v>
      </c>
      <c r="AB347" s="27">
        <f t="shared" si="86"/>
        <v>4.332374707921506</v>
      </c>
      <c r="AC347" s="27">
        <f t="shared" si="86"/>
        <v>4.3952511811697104</v>
      </c>
      <c r="AD347" s="27">
        <f t="shared" si="86"/>
        <v>4.4621545606882416</v>
      </c>
      <c r="AE347" s="27">
        <f t="shared" si="86"/>
        <v>4.5212658165225097</v>
      </c>
      <c r="AF347" s="27">
        <f t="shared" si="86"/>
        <v>4.572238941429692</v>
      </c>
      <c r="AG347" s="27">
        <f t="shared" si="86"/>
        <v>4.6147735825145579</v>
      </c>
      <c r="AH347" s="27">
        <f t="shared" si="86"/>
        <v>4.6486045920264791</v>
      </c>
      <c r="AI347" s="27">
        <f t="shared" si="86"/>
        <v>4.6735101171168392</v>
      </c>
      <c r="AJ347" s="27">
        <f t="shared" si="86"/>
        <v>-0.37307516132200708</v>
      </c>
      <c r="AK347" s="27">
        <f t="shared" si="86"/>
        <v>-0.37648970355727795</v>
      </c>
      <c r="AL347" s="27">
        <f t="shared" si="86"/>
        <v>-0.37988166723122341</v>
      </c>
      <c r="AM347" s="27">
        <f t="shared" si="86"/>
        <v>-0.38325274179247815</v>
      </c>
      <c r="AN347" s="27">
        <f t="shared" si="86"/>
        <v>-0.3861241570916577</v>
      </c>
      <c r="AO347" s="27">
        <f t="shared" si="86"/>
        <v>-0.38896686054418655</v>
      </c>
      <c r="AP347" s="27">
        <f t="shared" si="86"/>
        <v>-0.39177650128046815</v>
      </c>
      <c r="AQ347" s="27">
        <f t="shared" si="86"/>
        <v>-0.39455230658450102</v>
      </c>
      <c r="AR347" s="27">
        <f t="shared" si="86"/>
        <v>-0.39728909714720628</v>
      </c>
      <c r="AS347" s="27">
        <f t="shared" si="86"/>
        <v>-0.39998109146847105</v>
      </c>
      <c r="AT347" s="27">
        <f t="shared" si="86"/>
        <v>-0.40262723351695445</v>
      </c>
      <c r="AU347" s="27">
        <f t="shared" si="86"/>
        <v>-0.4052279233246403</v>
      </c>
      <c r="AV347" s="27">
        <f t="shared" si="86"/>
        <v>-0.40778332090512204</v>
      </c>
      <c r="AW347" s="27">
        <f t="shared" si="86"/>
        <v>-0.41028765697691083</v>
      </c>
      <c r="AY347" s="79"/>
    </row>
    <row r="348" spans="1:51" x14ac:dyDescent="0.25">
      <c r="A348" s="95" t="str">
        <f t="shared" si="71"/>
        <v>GS Sheep MMN2O</v>
      </c>
      <c r="B348" s="95" t="s">
        <v>1021</v>
      </c>
      <c r="C348" s="95" t="s">
        <v>1328</v>
      </c>
      <c r="D348" t="s">
        <v>15</v>
      </c>
      <c r="E348" t="s">
        <v>657</v>
      </c>
      <c r="F348" t="s">
        <v>18</v>
      </c>
      <c r="G348" t="s">
        <v>122</v>
      </c>
      <c r="H348" t="s">
        <v>1227</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0.11888990250365807</v>
      </c>
      <c r="T348" s="27">
        <f t="shared" si="86"/>
        <v>0.1189690287837306</v>
      </c>
      <c r="U348" s="27">
        <f t="shared" si="86"/>
        <v>0.12051861082287679</v>
      </c>
      <c r="V348" s="27">
        <f t="shared" si="86"/>
        <v>0.1205564116673056</v>
      </c>
      <c r="W348" s="27">
        <f t="shared" si="86"/>
        <v>0.1207181038170992</v>
      </c>
      <c r="X348" s="27">
        <f t="shared" si="86"/>
        <v>0.1209518337442019</v>
      </c>
      <c r="Y348" s="27">
        <f t="shared" si="86"/>
        <v>0.12116896083678347</v>
      </c>
      <c r="Z348" s="27">
        <f t="shared" si="86"/>
        <v>0.12137217342001694</v>
      </c>
      <c r="AA348" s="27">
        <f t="shared" si="86"/>
        <v>0.1215603878714394</v>
      </c>
      <c r="AB348" s="27">
        <f t="shared" si="86"/>
        <v>0.12173530001872475</v>
      </c>
      <c r="AC348" s="27">
        <f t="shared" si="86"/>
        <v>0.12189956310100271</v>
      </c>
      <c r="AD348" s="27">
        <f t="shared" si="86"/>
        <v>0.12205302234453672</v>
      </c>
      <c r="AE348" s="27">
        <f t="shared" si="86"/>
        <v>0.12219813225383717</v>
      </c>
      <c r="AF348" s="27">
        <f t="shared" si="86"/>
        <v>0.12233524409037175</v>
      </c>
      <c r="AG348" s="27">
        <f t="shared" si="86"/>
        <v>0.12246247857835596</v>
      </c>
      <c r="AH348" s="27">
        <f t="shared" si="86"/>
        <v>0.12258099962950754</v>
      </c>
      <c r="AI348" s="27">
        <f t="shared" si="86"/>
        <v>0.1226926980528978</v>
      </c>
      <c r="AJ348" s="27">
        <f t="shared" si="86"/>
        <v>0.12000006421083369</v>
      </c>
      <c r="AK348" s="27">
        <f t="shared" si="86"/>
        <v>0.12011041514130365</v>
      </c>
      <c r="AL348" s="27">
        <f t="shared" si="86"/>
        <v>0.12021334415571779</v>
      </c>
      <c r="AM348" s="27">
        <f t="shared" si="86"/>
        <v>0.12030948030331916</v>
      </c>
      <c r="AN348" s="27">
        <f t="shared" si="86"/>
        <v>0.12039958826810335</v>
      </c>
      <c r="AO348" s="27">
        <f t="shared" si="86"/>
        <v>0.12048129784431058</v>
      </c>
      <c r="AP348" s="27">
        <f t="shared" si="86"/>
        <v>0.12055302618273207</v>
      </c>
      <c r="AQ348" s="27">
        <f t="shared" si="86"/>
        <v>0.12061454144456668</v>
      </c>
      <c r="AR348" s="27">
        <f t="shared" si="86"/>
        <v>0.12066404237348154</v>
      </c>
      <c r="AS348" s="27">
        <f t="shared" si="86"/>
        <v>0.12069957105311468</v>
      </c>
      <c r="AT348" s="27">
        <f t="shared" si="86"/>
        <v>0.12072090668873016</v>
      </c>
      <c r="AU348" s="27">
        <f t="shared" si="86"/>
        <v>0.12072835361242823</v>
      </c>
      <c r="AV348" s="27">
        <f t="shared" si="86"/>
        <v>0.12072212964886384</v>
      </c>
      <c r="AW348" s="27">
        <f t="shared" si="86"/>
        <v>0.12070039195556491</v>
      </c>
      <c r="AY348" s="79"/>
    </row>
    <row r="349" spans="1:51" x14ac:dyDescent="0.25">
      <c r="A349" s="95" t="str">
        <f t="shared" si="71"/>
        <v>GS Sheep MMN2O</v>
      </c>
      <c r="B349" s="95" t="s">
        <v>1021</v>
      </c>
      <c r="C349" s="95" t="s">
        <v>1328</v>
      </c>
      <c r="D349" t="s">
        <v>15</v>
      </c>
      <c r="E349" t="s">
        <v>657</v>
      </c>
      <c r="F349" t="s">
        <v>18</v>
      </c>
      <c r="G349" t="s">
        <v>123</v>
      </c>
      <c r="H349" t="s">
        <v>1227</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6.3575358075834407E-2</v>
      </c>
      <c r="T349" s="27">
        <f t="shared" si="86"/>
        <v>6.3617670177054816E-2</v>
      </c>
      <c r="U349" s="27">
        <f t="shared" si="86"/>
        <v>6.4446295913404186E-2</v>
      </c>
      <c r="V349" s="27">
        <f t="shared" si="86"/>
        <v>6.4466509591517507E-2</v>
      </c>
      <c r="W349" s="27">
        <f t="shared" si="86"/>
        <v>6.4552973085091836E-2</v>
      </c>
      <c r="X349" s="27">
        <f t="shared" si="86"/>
        <v>6.4677958163687016E-2</v>
      </c>
      <c r="Y349" s="27">
        <f t="shared" si="86"/>
        <v>6.479406501858509E-2</v>
      </c>
      <c r="Z349" s="27">
        <f t="shared" si="86"/>
        <v>6.4902731208669517E-2</v>
      </c>
      <c r="AA349" s="27">
        <f t="shared" si="86"/>
        <v>6.500337727610038E-2</v>
      </c>
      <c r="AB349" s="27">
        <f t="shared" si="86"/>
        <v>6.5096910050215798E-2</v>
      </c>
      <c r="AC349" s="27">
        <f t="shared" si="86"/>
        <v>6.518474832793783E-2</v>
      </c>
      <c r="AD349" s="27">
        <f t="shared" si="86"/>
        <v>6.5266809345335172E-2</v>
      </c>
      <c r="AE349" s="27">
        <f t="shared" si="86"/>
        <v>6.5344405627692656E-2</v>
      </c>
      <c r="AF349" s="27">
        <f t="shared" si="86"/>
        <v>6.5417725009074529E-2</v>
      </c>
      <c r="AG349" s="27">
        <f t="shared" si="86"/>
        <v>6.5485762562835198E-2</v>
      </c>
      <c r="AH349" s="27">
        <f t="shared" si="86"/>
        <v>6.5549140680806597E-2</v>
      </c>
      <c r="AI349" s="27">
        <f t="shared" si="86"/>
        <v>6.560887045696083E-2</v>
      </c>
      <c r="AJ349" s="27">
        <f t="shared" si="86"/>
        <v>6.4169007549586779E-2</v>
      </c>
      <c r="AK349" s="27">
        <f t="shared" si="86"/>
        <v>6.42280167654318E-2</v>
      </c>
      <c r="AL349" s="27">
        <f t="shared" si="86"/>
        <v>6.4283057175171951E-2</v>
      </c>
      <c r="AM349" s="27">
        <f t="shared" si="86"/>
        <v>6.4334465157507542E-2</v>
      </c>
      <c r="AN349" s="27">
        <f t="shared" si="86"/>
        <v>6.4382649620662147E-2</v>
      </c>
      <c r="AO349" s="27">
        <f t="shared" si="86"/>
        <v>6.4426343117386445E-2</v>
      </c>
      <c r="AP349" s="27">
        <f t="shared" si="86"/>
        <v>6.4464699232609876E-2</v>
      </c>
      <c r="AQ349" s="27">
        <f t="shared" si="86"/>
        <v>6.4497593992517213E-2</v>
      </c>
      <c r="AR349" s="27">
        <f t="shared" si="86"/>
        <v>6.452406419069702E-2</v>
      </c>
      <c r="AS349" s="27">
        <f t="shared" si="86"/>
        <v>6.4543062848127733E-2</v>
      </c>
      <c r="AT349" s="27">
        <f t="shared" si="86"/>
        <v>6.4554471896713567E-2</v>
      </c>
      <c r="AU349" s="27">
        <f t="shared" si="86"/>
        <v>6.4558454075441099E-2</v>
      </c>
      <c r="AV349" s="27">
        <f t="shared" si="86"/>
        <v>6.4555125864180746E-2</v>
      </c>
      <c r="AW349" s="27">
        <f t="shared" si="86"/>
        <v>6.4543501818688898E-2</v>
      </c>
      <c r="AY349" s="79"/>
    </row>
    <row r="350" spans="1:51" x14ac:dyDescent="0.25">
      <c r="A350" s="95" t="str">
        <f t="shared" si="71"/>
        <v>GS Goats MMN2O</v>
      </c>
      <c r="B350" s="95" t="s">
        <v>1021</v>
      </c>
      <c r="C350" s="95" t="s">
        <v>1329</v>
      </c>
      <c r="D350" t="s">
        <v>15</v>
      </c>
      <c r="E350" t="s">
        <v>657</v>
      </c>
      <c r="F350" t="s">
        <v>19</v>
      </c>
      <c r="G350" t="s">
        <v>122</v>
      </c>
      <c r="H350" t="s">
        <v>1227</v>
      </c>
      <c r="I350" t="s">
        <v>139</v>
      </c>
      <c r="J350" t="s">
        <v>287</v>
      </c>
      <c r="K350" s="27">
        <f t="shared" si="83"/>
        <v>1.4486129996083084E-2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1.4890706011157261E-2</v>
      </c>
      <c r="R350" s="27">
        <f t="shared" si="86"/>
        <v>1.4988675221399694E-2</v>
      </c>
      <c r="S350" s="27">
        <f t="shared" si="86"/>
        <v>1.4952125307683931E-2</v>
      </c>
      <c r="T350" s="27">
        <f t="shared" si="86"/>
        <v>1.497659485650934E-2</v>
      </c>
      <c r="U350" s="27">
        <f t="shared" si="86"/>
        <v>1.5280249217669807E-2</v>
      </c>
      <c r="V350" s="27">
        <f t="shared" si="86"/>
        <v>1.5293967954982137E-2</v>
      </c>
      <c r="W350" s="27">
        <f t="shared" si="86"/>
        <v>1.5330288500558316E-2</v>
      </c>
      <c r="X350" s="27">
        <f t="shared" si="86"/>
        <v>1.5379307775042967E-2</v>
      </c>
      <c r="Y350" s="27">
        <f t="shared" si="86"/>
        <v>1.5424265287422665E-2</v>
      </c>
      <c r="Z350" s="27">
        <f t="shared" si="86"/>
        <v>1.5465755297522263E-2</v>
      </c>
      <c r="AA350" s="27">
        <f t="shared" si="86"/>
        <v>1.5503650543984475E-2</v>
      </c>
      <c r="AB350" s="27">
        <f t="shared" si="86"/>
        <v>1.5538340165319426E-2</v>
      </c>
      <c r="AC350" s="27">
        <f t="shared" si="86"/>
        <v>1.5570383853796523E-2</v>
      </c>
      <c r="AD350" s="27">
        <f t="shared" si="86"/>
        <v>1.5599807426957595E-2</v>
      </c>
      <c r="AE350" s="27">
        <f t="shared" si="86"/>
        <v>1.5627118939580072E-2</v>
      </c>
      <c r="AF350" s="27">
        <f t="shared" si="86"/>
        <v>1.5652427506297684E-2</v>
      </c>
      <c r="AG350" s="27">
        <f t="shared" si="86"/>
        <v>1.5675424120776597E-2</v>
      </c>
      <c r="AH350" s="27">
        <f t="shared" si="86"/>
        <v>1.5696363462061685E-2</v>
      </c>
      <c r="AI350" s="27">
        <f t="shared" si="86"/>
        <v>1.5715630256505467E-2</v>
      </c>
      <c r="AJ350" s="27">
        <f t="shared" si="86"/>
        <v>1.5216731234132433E-2</v>
      </c>
      <c r="AK350" s="27">
        <f t="shared" si="86"/>
        <v>1.5235961154748286E-2</v>
      </c>
      <c r="AL350" s="27">
        <f t="shared" si="86"/>
        <v>1.5253469736089939E-2</v>
      </c>
      <c r="AM350" s="27">
        <f t="shared" si="86"/>
        <v>1.5269398678749371E-2</v>
      </c>
      <c r="AN350" s="27">
        <f t="shared" si="86"/>
        <v>1.5283912082079585E-2</v>
      </c>
      <c r="AO350" s="27">
        <f t="shared" si="86"/>
        <v>1.5296597939016455E-2</v>
      </c>
      <c r="AP350" s="27">
        <f t="shared" si="86"/>
        <v>1.530718972818932E-2</v>
      </c>
      <c r="AQ350" s="27">
        <f t="shared" si="86"/>
        <v>1.5315667991874672E-2</v>
      </c>
      <c r="AR350" s="27">
        <f t="shared" si="86"/>
        <v>1.5321726619352006E-2</v>
      </c>
      <c r="AS350" s="27">
        <f t="shared" si="86"/>
        <v>1.5325032079315765E-2</v>
      </c>
      <c r="AT350" s="27">
        <f t="shared" si="86"/>
        <v>1.5325567315367106E-2</v>
      </c>
      <c r="AU350" s="27">
        <f t="shared" si="86"/>
        <v>1.5323409630922659E-2</v>
      </c>
      <c r="AV350" s="27">
        <f t="shared" si="86"/>
        <v>1.5318619367085746E-2</v>
      </c>
      <c r="AW350" s="27">
        <f t="shared" si="86"/>
        <v>1.5310883587655623E-2</v>
      </c>
      <c r="AY350" s="79"/>
    </row>
    <row r="351" spans="1:51" x14ac:dyDescent="0.25">
      <c r="A351" s="95" t="str">
        <f t="shared" si="71"/>
        <v>GS Goats MMN2O</v>
      </c>
      <c r="B351" s="95" t="s">
        <v>1021</v>
      </c>
      <c r="C351" s="95" t="s">
        <v>1329</v>
      </c>
      <c r="D351" t="s">
        <v>15</v>
      </c>
      <c r="E351" t="s">
        <v>657</v>
      </c>
      <c r="F351" t="s">
        <v>19</v>
      </c>
      <c r="G351" t="s">
        <v>123</v>
      </c>
      <c r="H351" t="s">
        <v>1227</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0.11664735601685972</v>
      </c>
      <c r="P351" s="27">
        <f t="shared" si="86"/>
        <v>0.11732381389682567</v>
      </c>
      <c r="Q351" s="27">
        <f t="shared" si="86"/>
        <v>0.11805182815822728</v>
      </c>
      <c r="R351" s="27">
        <f t="shared" si="86"/>
        <v>0.11882851694408277</v>
      </c>
      <c r="S351" s="27">
        <f t="shared" si="86"/>
        <v>0.11853875337411246</v>
      </c>
      <c r="T351" s="27">
        <f t="shared" si="86"/>
        <v>0.11873274518154472</v>
      </c>
      <c r="U351" s="27">
        <f t="shared" ref="L351:AW357" si="87">U1420</f>
        <v>0.12114008251238399</v>
      </c>
      <c r="V351" s="27">
        <f t="shared" si="87"/>
        <v>0.12124884310563787</v>
      </c>
      <c r="W351" s="27">
        <f t="shared" si="87"/>
        <v>0.12153678827101554</v>
      </c>
      <c r="X351" s="27">
        <f t="shared" si="87"/>
        <v>0.12192540751872388</v>
      </c>
      <c r="Y351" s="27">
        <f t="shared" si="87"/>
        <v>0.12228182557720234</v>
      </c>
      <c r="Z351" s="27">
        <f t="shared" si="87"/>
        <v>0.12261075367093349</v>
      </c>
      <c r="AA351" s="27">
        <f t="shared" si="87"/>
        <v>0.12291118288631245</v>
      </c>
      <c r="AB351" s="27">
        <f t="shared" si="87"/>
        <v>0.12318619826930632</v>
      </c>
      <c r="AC351" s="27">
        <f t="shared" si="87"/>
        <v>0.12344023699673938</v>
      </c>
      <c r="AD351" s="27">
        <f t="shared" si="87"/>
        <v>0.12367350374715462</v>
      </c>
      <c r="AE351" s="27">
        <f t="shared" si="87"/>
        <v>0.12389002632119744</v>
      </c>
      <c r="AF351" s="27">
        <f t="shared" si="87"/>
        <v>0.12409066976730669</v>
      </c>
      <c r="AG351" s="27">
        <f t="shared" si="87"/>
        <v>0.12427298431831933</v>
      </c>
      <c r="AH351" s="27">
        <f t="shared" si="87"/>
        <v>0.12443898904081413</v>
      </c>
      <c r="AI351" s="27">
        <f t="shared" si="87"/>
        <v>0.12459173400167312</v>
      </c>
      <c r="AJ351" s="27">
        <f t="shared" si="87"/>
        <v>0.12063651914393841</v>
      </c>
      <c r="AK351" s="27">
        <f t="shared" si="87"/>
        <v>0.12078897177327232</v>
      </c>
      <c r="AL351" s="27">
        <f t="shared" si="87"/>
        <v>0.12092777782009714</v>
      </c>
      <c r="AM351" s="27">
        <f t="shared" si="87"/>
        <v>0.12105406067063253</v>
      </c>
      <c r="AN351" s="27">
        <f t="shared" si="87"/>
        <v>0.12116912128593484</v>
      </c>
      <c r="AO351" s="27">
        <f t="shared" si="87"/>
        <v>0.12126969332073484</v>
      </c>
      <c r="AP351" s="27">
        <f t="shared" si="87"/>
        <v>0.12135366382383837</v>
      </c>
      <c r="AQ351" s="27">
        <f t="shared" si="87"/>
        <v>0.12142087853662052</v>
      </c>
      <c r="AR351" s="27">
        <f t="shared" si="87"/>
        <v>0.12146891064801223</v>
      </c>
      <c r="AS351" s="27">
        <f t="shared" si="87"/>
        <v>0.12149511595965648</v>
      </c>
      <c r="AT351" s="27">
        <f t="shared" si="87"/>
        <v>0.12149935925035804</v>
      </c>
      <c r="AU351" s="27">
        <f t="shared" si="87"/>
        <v>0.12148225337283523</v>
      </c>
      <c r="AV351" s="27">
        <f t="shared" si="87"/>
        <v>0.12144427670451041</v>
      </c>
      <c r="AW351" s="27">
        <f t="shared" si="87"/>
        <v>0.12138294832268144</v>
      </c>
      <c r="AY351" s="79"/>
    </row>
    <row r="352" spans="1:51" x14ac:dyDescent="0.25">
      <c r="A352" s="95" t="str">
        <f t="shared" si="71"/>
        <v>GS Horses MMN2O</v>
      </c>
      <c r="B352" s="95" t="s">
        <v>1021</v>
      </c>
      <c r="C352" s="95" t="s">
        <v>1330</v>
      </c>
      <c r="D352" t="s">
        <v>15</v>
      </c>
      <c r="E352" t="s">
        <v>657</v>
      </c>
      <c r="F352" t="s">
        <v>20</v>
      </c>
      <c r="G352" t="s">
        <v>3</v>
      </c>
      <c r="H352" t="s">
        <v>1227</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25">
      <c r="A353" s="95" t="str">
        <f t="shared" si="71"/>
        <v>GS Mules MMN2O</v>
      </c>
      <c r="B353" s="95" t="s">
        <v>1021</v>
      </c>
      <c r="C353" s="95" t="s">
        <v>1331</v>
      </c>
      <c r="D353" t="s">
        <v>15</v>
      </c>
      <c r="E353" t="s">
        <v>657</v>
      </c>
      <c r="F353" t="s">
        <v>140</v>
      </c>
      <c r="G353" t="s">
        <v>124</v>
      </c>
      <c r="H353" t="s">
        <v>1227</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25">
      <c r="A354" s="95" t="str">
        <f t="shared" si="71"/>
        <v>GS Swine MMN2O</v>
      </c>
      <c r="B354" s="95" t="s">
        <v>1021</v>
      </c>
      <c r="C354" s="95" t="s">
        <v>1233</v>
      </c>
      <c r="D354" t="s">
        <v>15</v>
      </c>
      <c r="E354" t="s">
        <v>657</v>
      </c>
      <c r="F354" t="s">
        <v>21</v>
      </c>
      <c r="G354" t="s">
        <v>122</v>
      </c>
      <c r="H354" t="s">
        <v>1227</v>
      </c>
      <c r="I354" t="s">
        <v>139</v>
      </c>
      <c r="J354" t="s">
        <v>287</v>
      </c>
      <c r="K354" s="27">
        <f t="shared" si="83"/>
        <v>9.7466979224281824E-2</v>
      </c>
      <c r="L354" s="27">
        <f t="shared" si="87"/>
        <v>9.6937181363551519E-2</v>
      </c>
      <c r="M354" s="27">
        <f t="shared" si="87"/>
        <v>9.6980665528366608E-2</v>
      </c>
      <c r="N354" s="27">
        <f t="shared" si="87"/>
        <v>9.6090308702663593E-2</v>
      </c>
      <c r="O354" s="27">
        <f t="shared" si="87"/>
        <v>9.4636150647850484E-2</v>
      </c>
      <c r="P354" s="27">
        <f t="shared" si="87"/>
        <v>9.2641437622218339E-2</v>
      </c>
      <c r="Q354" s="27">
        <f t="shared" si="87"/>
        <v>9.1193054757597189E-2</v>
      </c>
      <c r="R354" s="27">
        <f t="shared" si="87"/>
        <v>8.9872834352323558E-2</v>
      </c>
      <c r="S354" s="27">
        <f t="shared" si="87"/>
        <v>8.0860772779409465E-2</v>
      </c>
      <c r="T354" s="27">
        <f t="shared" si="87"/>
        <v>8.3748164551472229E-2</v>
      </c>
      <c r="U354" s="27">
        <f t="shared" si="87"/>
        <v>0.26770254430249885</v>
      </c>
      <c r="V354" s="27">
        <f t="shared" si="87"/>
        <v>0.26843638329557273</v>
      </c>
      <c r="W354" s="27">
        <f t="shared" si="87"/>
        <v>0.26870741156063732</v>
      </c>
      <c r="X354" s="27">
        <f t="shared" si="87"/>
        <v>0.26852785801231227</v>
      </c>
      <c r="Y354" s="27">
        <f t="shared" si="87"/>
        <v>0.26792481068861962</v>
      </c>
      <c r="Z354" s="27">
        <f t="shared" si="87"/>
        <v>0.26689273021889548</v>
      </c>
      <c r="AA354" s="27">
        <f t="shared" si="87"/>
        <v>0.26543013343256128</v>
      </c>
      <c r="AB354" s="27">
        <f t="shared" si="87"/>
        <v>0.26353715747778594</v>
      </c>
      <c r="AC354" s="27">
        <f t="shared" si="87"/>
        <v>0.26121623026966229</v>
      </c>
      <c r="AD354" s="27">
        <f t="shared" si="87"/>
        <v>0.25847332541622875</v>
      </c>
      <c r="AE354" s="27">
        <f t="shared" si="87"/>
        <v>0.25531599764072704</v>
      </c>
      <c r="AF354" s="27">
        <f t="shared" si="87"/>
        <v>0.25175492240639524</v>
      </c>
      <c r="AG354" s="27">
        <f t="shared" si="87"/>
        <v>0.2478037797344021</v>
      </c>
      <c r="AH354" s="27">
        <f t="shared" si="87"/>
        <v>0.24347738783336567</v>
      </c>
      <c r="AI354" s="27">
        <f t="shared" si="87"/>
        <v>0.23879237534138331</v>
      </c>
      <c r="AJ354" s="27">
        <f t="shared" si="87"/>
        <v>-2.2251219051901461E-2</v>
      </c>
      <c r="AK354" s="27">
        <f t="shared" si="87"/>
        <v>-2.2010329292297307E-2</v>
      </c>
      <c r="AL354" s="27">
        <f t="shared" si="87"/>
        <v>-2.1768586076349947E-2</v>
      </c>
      <c r="AM354" s="27">
        <f t="shared" si="87"/>
        <v>-2.1526240200831197E-2</v>
      </c>
      <c r="AN354" s="27">
        <f t="shared" si="87"/>
        <v>-2.1283568844564598E-2</v>
      </c>
      <c r="AO354" s="27">
        <f t="shared" si="87"/>
        <v>-2.1039928732674035E-2</v>
      </c>
      <c r="AP354" s="27">
        <f t="shared" si="87"/>
        <v>-2.0794940089199746E-2</v>
      </c>
      <c r="AQ354" s="27">
        <f t="shared" si="87"/>
        <v>-2.054862658012397E-2</v>
      </c>
      <c r="AR354" s="27">
        <f t="shared" si="87"/>
        <v>-2.0300580022227385E-2</v>
      </c>
      <c r="AS354" s="27">
        <f t="shared" si="87"/>
        <v>-2.0050376976853562E-2</v>
      </c>
      <c r="AT354" s="27">
        <f t="shared" si="87"/>
        <v>-1.9798088456072588E-2</v>
      </c>
      <c r="AU354" s="27">
        <f t="shared" si="87"/>
        <v>-1.9543924397373666E-2</v>
      </c>
      <c r="AV354" s="27">
        <f t="shared" si="87"/>
        <v>-1.9288064378450123E-2</v>
      </c>
      <c r="AW354" s="27">
        <f t="shared" si="87"/>
        <v>-1.9030154173993289E-2</v>
      </c>
      <c r="AY354" s="79"/>
    </row>
    <row r="355" spans="1:51" x14ac:dyDescent="0.25">
      <c r="A355" s="95" t="str">
        <f t="shared" si="71"/>
        <v>GS Swine MMN2O</v>
      </c>
      <c r="B355" s="95" t="s">
        <v>1021</v>
      </c>
      <c r="C355" s="95" t="s">
        <v>1233</v>
      </c>
      <c r="D355" t="s">
        <v>15</v>
      </c>
      <c r="E355" t="s">
        <v>657</v>
      </c>
      <c r="F355" t="s">
        <v>21</v>
      </c>
      <c r="G355" t="s">
        <v>123</v>
      </c>
      <c r="H355" t="s">
        <v>1227</v>
      </c>
      <c r="I355" t="s">
        <v>139</v>
      </c>
      <c r="J355" t="s">
        <v>287</v>
      </c>
      <c r="K355" s="27">
        <f t="shared" si="83"/>
        <v>3.8131055665722169E-2</v>
      </c>
      <c r="L355" s="27">
        <f t="shared" si="87"/>
        <v>3.7923788015899962E-2</v>
      </c>
      <c r="M355" s="27">
        <f t="shared" si="87"/>
        <v>3.7940799901590251E-2</v>
      </c>
      <c r="N355" s="27">
        <f t="shared" si="87"/>
        <v>3.759247428451009E-2</v>
      </c>
      <c r="O355" s="27">
        <f t="shared" si="87"/>
        <v>3.7023578211438569E-2</v>
      </c>
      <c r="P355" s="27">
        <f t="shared" si="87"/>
        <v>3.6243206089281214E-2</v>
      </c>
      <c r="Q355" s="27">
        <f t="shared" si="87"/>
        <v>3.567656938754183E-2</v>
      </c>
      <c r="R355" s="27">
        <f t="shared" si="87"/>
        <v>3.5160072434777256E-2</v>
      </c>
      <c r="S355" s="27">
        <f t="shared" si="87"/>
        <v>3.1634371482160743E-2</v>
      </c>
      <c r="T355" s="27">
        <f t="shared" si="87"/>
        <v>3.2763977603798337E-2</v>
      </c>
      <c r="U355" s="27">
        <f t="shared" si="87"/>
        <v>0.10473065544757326</v>
      </c>
      <c r="V355" s="27">
        <f t="shared" si="87"/>
        <v>0.10501774811954566</v>
      </c>
      <c r="W355" s="27">
        <f t="shared" si="87"/>
        <v>0.10512377986429053</v>
      </c>
      <c r="X355" s="27">
        <f t="shared" si="87"/>
        <v>0.10505353488080327</v>
      </c>
      <c r="Y355" s="27">
        <f t="shared" si="87"/>
        <v>0.10481761055800391</v>
      </c>
      <c r="Z355" s="27">
        <f t="shared" si="87"/>
        <v>0.10441383978193423</v>
      </c>
      <c r="AA355" s="27">
        <f t="shared" si="87"/>
        <v>0.10384164230623445</v>
      </c>
      <c r="AB355" s="27">
        <f t="shared" si="87"/>
        <v>0.10310107178604509</v>
      </c>
      <c r="AC355" s="27">
        <f t="shared" si="87"/>
        <v>0.10219307807090795</v>
      </c>
      <c r="AD355" s="27">
        <f t="shared" si="87"/>
        <v>0.10111999815723396</v>
      </c>
      <c r="AE355" s="27">
        <f t="shared" si="87"/>
        <v>9.9884787605714245E-2</v>
      </c>
      <c r="AF355" s="27">
        <f t="shared" si="87"/>
        <v>9.8491622873711313E-2</v>
      </c>
      <c r="AG355" s="27">
        <f t="shared" si="87"/>
        <v>9.6945855862482944E-2</v>
      </c>
      <c r="AH355" s="27">
        <f t="shared" si="87"/>
        <v>9.5253283755261486E-2</v>
      </c>
      <c r="AI355" s="27">
        <f t="shared" si="87"/>
        <v>9.3420412011947257E-2</v>
      </c>
      <c r="AJ355" s="27">
        <f t="shared" si="87"/>
        <v>-8.7051274087999644E-3</v>
      </c>
      <c r="AK355" s="27">
        <f t="shared" si="87"/>
        <v>-8.6108864575991286E-3</v>
      </c>
      <c r="AL355" s="27">
        <f t="shared" si="87"/>
        <v>-8.5163116169970788E-3</v>
      </c>
      <c r="AM355" s="27">
        <f t="shared" si="87"/>
        <v>-8.4215010037687853E-3</v>
      </c>
      <c r="AN355" s="27">
        <f t="shared" si="87"/>
        <v>-8.3265630558819938E-3</v>
      </c>
      <c r="AO355" s="27">
        <f t="shared" si="87"/>
        <v>-8.2312461111809163E-3</v>
      </c>
      <c r="AP355" s="27">
        <f t="shared" si="87"/>
        <v>-8.135401593620856E-3</v>
      </c>
      <c r="AQ355" s="27">
        <f t="shared" si="87"/>
        <v>-8.0390387618132202E-3</v>
      </c>
      <c r="AR355" s="27">
        <f t="shared" si="87"/>
        <v>-7.9419979262182108E-3</v>
      </c>
      <c r="AS355" s="27">
        <f t="shared" si="87"/>
        <v>-7.8441134290601709E-3</v>
      </c>
      <c r="AT355" s="27">
        <f t="shared" si="87"/>
        <v>-7.7454130516986675E-3</v>
      </c>
      <c r="AU355" s="27">
        <f t="shared" si="87"/>
        <v>-7.6459789259300508E-3</v>
      </c>
      <c r="AV355" s="27">
        <f t="shared" si="87"/>
        <v>-7.5458813061838152E-3</v>
      </c>
      <c r="AW355" s="27">
        <f t="shared" si="87"/>
        <v>-7.444981612347289E-3</v>
      </c>
      <c r="AY355" s="79"/>
    </row>
    <row r="356" spans="1:51" x14ac:dyDescent="0.25">
      <c r="A356" s="95" t="str">
        <f t="shared" si="71"/>
        <v>GS Poultry MMN2O</v>
      </c>
      <c r="B356" s="95" t="s">
        <v>1021</v>
      </c>
      <c r="C356" s="95" t="s">
        <v>1234</v>
      </c>
      <c r="D356" t="s">
        <v>15</v>
      </c>
      <c r="E356" t="s">
        <v>657</v>
      </c>
      <c r="F356" t="s">
        <v>28</v>
      </c>
      <c r="G356" t="s">
        <v>131</v>
      </c>
      <c r="H356" t="s">
        <v>1227</v>
      </c>
      <c r="I356" t="s">
        <v>139</v>
      </c>
      <c r="J356" t="s">
        <v>287</v>
      </c>
      <c r="K356" s="27">
        <f t="shared" si="83"/>
        <v>0.3278422472608899</v>
      </c>
      <c r="L356" s="27">
        <f t="shared" si="87"/>
        <v>0.33450793008613738</v>
      </c>
      <c r="M356" s="27">
        <f t="shared" si="87"/>
        <v>0.34229948156355033</v>
      </c>
      <c r="N356" s="27">
        <f t="shared" si="87"/>
        <v>0.34828124731402305</v>
      </c>
      <c r="O356" s="27">
        <f t="shared" si="87"/>
        <v>0.35308310351311478</v>
      </c>
      <c r="P356" s="27">
        <f t="shared" si="87"/>
        <v>0.35667649320457162</v>
      </c>
      <c r="Q356" s="27">
        <f t="shared" si="87"/>
        <v>0.36128421068096001</v>
      </c>
      <c r="R356" s="27">
        <f t="shared" si="87"/>
        <v>0.36607496135357975</v>
      </c>
      <c r="S356" s="27">
        <f t="shared" si="87"/>
        <v>0.35164354142672727</v>
      </c>
      <c r="T356" s="27">
        <f t="shared" si="87"/>
        <v>0.36454239171647873</v>
      </c>
      <c r="U356" s="27">
        <f t="shared" si="87"/>
        <v>0.81017234402499216</v>
      </c>
      <c r="V356" s="27">
        <f t="shared" si="87"/>
        <v>0.82798351635276735</v>
      </c>
      <c r="W356" s="27">
        <f t="shared" si="87"/>
        <v>0.84506426194084328</v>
      </c>
      <c r="X356" s="27">
        <f t="shared" si="87"/>
        <v>0.86126373168327053</v>
      </c>
      <c r="Y356" s="27">
        <f t="shared" si="87"/>
        <v>0.8763773651993314</v>
      </c>
      <c r="Z356" s="27">
        <f t="shared" si="87"/>
        <v>0.89033910907341196</v>
      </c>
      <c r="AA356" s="27">
        <f t="shared" si="87"/>
        <v>0.90308174157394194</v>
      </c>
      <c r="AB356" s="27">
        <f t="shared" si="87"/>
        <v>0.91454727526335933</v>
      </c>
      <c r="AC356" s="27">
        <f t="shared" si="87"/>
        <v>0.92468482420589437</v>
      </c>
      <c r="AD356" s="27">
        <f t="shared" si="87"/>
        <v>0.93344536277323964</v>
      </c>
      <c r="AE356" s="27">
        <f t="shared" si="87"/>
        <v>0.94079043302909848</v>
      </c>
      <c r="AF356" s="27">
        <f t="shared" si="87"/>
        <v>0.94668534064993604</v>
      </c>
      <c r="AG356" s="27">
        <f t="shared" si="87"/>
        <v>0.95109922865749519</v>
      </c>
      <c r="AH356" s="27">
        <f t="shared" si="87"/>
        <v>0.95401351999914974</v>
      </c>
      <c r="AI356" s="27">
        <f t="shared" si="87"/>
        <v>0.95541860028387315</v>
      </c>
      <c r="AJ356" s="27">
        <f t="shared" si="87"/>
        <v>0.12455157965260578</v>
      </c>
      <c r="AK356" s="27">
        <f t="shared" si="87"/>
        <v>0.12546570662729262</v>
      </c>
      <c r="AL356" s="27">
        <f t="shared" si="87"/>
        <v>0.12635717357285206</v>
      </c>
      <c r="AM356" s="27">
        <f t="shared" si="87"/>
        <v>0.12722732342881915</v>
      </c>
      <c r="AN356" s="27">
        <f t="shared" si="87"/>
        <v>0.12807770428267184</v>
      </c>
      <c r="AO356" s="27">
        <f t="shared" si="87"/>
        <v>0.12890482942711159</v>
      </c>
      <c r="AP356" s="27">
        <f t="shared" si="87"/>
        <v>0.12970640273413572</v>
      </c>
      <c r="AQ356" s="27">
        <f t="shared" si="87"/>
        <v>0.13048225510266878</v>
      </c>
      <c r="AR356" s="27">
        <f t="shared" si="87"/>
        <v>0.13122965143314799</v>
      </c>
      <c r="AS356" s="27">
        <f t="shared" si="87"/>
        <v>0.13194554686006624</v>
      </c>
      <c r="AT356" s="27">
        <f t="shared" si="87"/>
        <v>0.1326296750998292</v>
      </c>
      <c r="AU356" s="27">
        <f t="shared" si="87"/>
        <v>0.13328261317396048</v>
      </c>
      <c r="AV356" s="27">
        <f t="shared" si="87"/>
        <v>0.1339047918740231</v>
      </c>
      <c r="AW356" s="27">
        <f t="shared" si="87"/>
        <v>0.13449324202045793</v>
      </c>
      <c r="AY356" s="79"/>
    </row>
    <row r="357" spans="1:51" x14ac:dyDescent="0.25">
      <c r="A357" s="95" t="str">
        <f t="shared" si="71"/>
        <v>GS Poultry MMN2O</v>
      </c>
      <c r="B357" s="95" t="s">
        <v>1021</v>
      </c>
      <c r="C357" s="95" t="s">
        <v>1234</v>
      </c>
      <c r="D357" t="s">
        <v>15</v>
      </c>
      <c r="E357" t="s">
        <v>657</v>
      </c>
      <c r="F357" t="s">
        <v>28</v>
      </c>
      <c r="G357" t="s">
        <v>132</v>
      </c>
      <c r="H357" t="s">
        <v>1227</v>
      </c>
      <c r="I357" t="s">
        <v>139</v>
      </c>
      <c r="J357" t="s">
        <v>287</v>
      </c>
      <c r="K357" s="27">
        <f t="shared" si="83"/>
        <v>1.7017151675634967</v>
      </c>
      <c r="L357" s="27">
        <f t="shared" si="87"/>
        <v>1.724123714732765</v>
      </c>
      <c r="M357" s="27">
        <f t="shared" si="87"/>
        <v>1.7601182693498119</v>
      </c>
      <c r="N357" s="27">
        <f t="shared" si="87"/>
        <v>1.7704533576020518</v>
      </c>
      <c r="O357" s="27">
        <f t="shared" si="87"/>
        <v>1.7641159598844758</v>
      </c>
      <c r="P357" s="27">
        <f t="shared" si="87"/>
        <v>1.741173502214217</v>
      </c>
      <c r="Q357" s="27">
        <f t="shared" si="87"/>
        <v>1.7315152516158581</v>
      </c>
      <c r="R357" s="27">
        <f t="shared" si="87"/>
        <v>1.7240481490859689</v>
      </c>
      <c r="S357" s="27">
        <f t="shared" si="87"/>
        <v>1.5035639635767468</v>
      </c>
      <c r="T357" s="27">
        <f t="shared" si="87"/>
        <v>1.6173540495561818</v>
      </c>
      <c r="U357" s="27">
        <f t="shared" si="87"/>
        <v>7.0326605429040603</v>
      </c>
      <c r="V357" s="27">
        <f t="shared" si="87"/>
        <v>7.1587444728308389</v>
      </c>
      <c r="W357" s="27">
        <f t="shared" si="87"/>
        <v>7.2707564931151909</v>
      </c>
      <c r="X357" s="27">
        <f t="shared" si="87"/>
        <v>7.3691748844835665</v>
      </c>
      <c r="Y357" s="27">
        <f t="shared" si="87"/>
        <v>7.4553371690594963</v>
      </c>
      <c r="Z357" s="27">
        <f t="shared" si="87"/>
        <v>7.5285970501173791</v>
      </c>
      <c r="AA357" s="27">
        <f t="shared" si="87"/>
        <v>7.5884583464710351</v>
      </c>
      <c r="AB357" s="27">
        <f t="shared" si="87"/>
        <v>7.6344333579538368</v>
      </c>
      <c r="AC357" s="27">
        <f t="shared" si="87"/>
        <v>7.6660871188162911</v>
      </c>
      <c r="AD357" s="27">
        <f t="shared" si="87"/>
        <v>7.6831230278292386</v>
      </c>
      <c r="AE357" s="27">
        <f t="shared" si="87"/>
        <v>7.6852660983393646</v>
      </c>
      <c r="AF357" s="27">
        <f t="shared" si="87"/>
        <v>7.6723681593235442</v>
      </c>
      <c r="AG357" s="27">
        <f t="shared" si="87"/>
        <v>7.6444112062228218</v>
      </c>
      <c r="AH357" s="27">
        <f t="shared" si="87"/>
        <v>7.601393060420655</v>
      </c>
      <c r="AI357" s="27">
        <f t="shared" si="87"/>
        <v>7.5433781605278138</v>
      </c>
      <c r="AJ357" s="27">
        <f t="shared" si="87"/>
        <v>-1.6108210655566082</v>
      </c>
      <c r="AK357" s="27">
        <f t="shared" si="87"/>
        <v>-1.613100635371139</v>
      </c>
      <c r="AL357" s="27">
        <f t="shared" si="87"/>
        <v>-1.6151647470887973</v>
      </c>
      <c r="AM357" s="27">
        <f t="shared" si="87"/>
        <v>-1.6170309534265412</v>
      </c>
      <c r="AN357" s="27">
        <f t="shared" si="87"/>
        <v>-1.6187193219312461</v>
      </c>
      <c r="AO357" s="27">
        <f t="shared" si="87"/>
        <v>-1.6201827321446018</v>
      </c>
      <c r="AP357" s="27">
        <f t="shared" si="87"/>
        <v>-1.6213910531514668</v>
      </c>
      <c r="AQ357" s="27">
        <f t="shared" si="87"/>
        <v>-1.6223429170122639</v>
      </c>
      <c r="AR357" s="27">
        <f t="shared" si="87"/>
        <v>-1.623003587370585</v>
      </c>
      <c r="AS357" s="27">
        <f t="shared" si="87"/>
        <v>-1.6233351759618906</v>
      </c>
      <c r="AT357" s="27">
        <f t="shared" si="87"/>
        <v>-1.623336597056291</v>
      </c>
      <c r="AU357" s="27">
        <f t="shared" si="87"/>
        <v>-1.6230176880430305</v>
      </c>
      <c r="AV357" s="27">
        <f t="shared" ref="L357:AW359" si="88">AV1426</f>
        <v>-1.6223862668543294</v>
      </c>
      <c r="AW357" s="27">
        <f t="shared" si="88"/>
        <v>-1.6214068147422027</v>
      </c>
      <c r="AY357" s="79"/>
    </row>
    <row r="358" spans="1:51" x14ac:dyDescent="0.25">
      <c r="A358" s="95" t="str">
        <f t="shared" si="71"/>
        <v>GS Poultry MMN2O</v>
      </c>
      <c r="B358" s="95" t="s">
        <v>1021</v>
      </c>
      <c r="C358" s="95" t="s">
        <v>1234</v>
      </c>
      <c r="D358" t="s">
        <v>15</v>
      </c>
      <c r="E358" t="s">
        <v>657</v>
      </c>
      <c r="F358" t="s">
        <v>28</v>
      </c>
      <c r="G358" t="s">
        <v>134</v>
      </c>
      <c r="H358" t="s">
        <v>1227</v>
      </c>
      <c r="I358" t="s">
        <v>139</v>
      </c>
      <c r="J358" t="s">
        <v>287</v>
      </c>
      <c r="K358" s="27">
        <f t="shared" si="83"/>
        <v>1.3660093635870426E-2</v>
      </c>
      <c r="L358" s="27">
        <f t="shared" si="88"/>
        <v>1.3937830420255738E-2</v>
      </c>
      <c r="M358" s="27">
        <f t="shared" si="88"/>
        <v>1.4262478398481276E-2</v>
      </c>
      <c r="N358" s="27">
        <f t="shared" si="88"/>
        <v>1.4511718638084306E-2</v>
      </c>
      <c r="O358" s="27">
        <f t="shared" si="88"/>
        <v>1.4711795979713132E-2</v>
      </c>
      <c r="P358" s="27">
        <f t="shared" si="88"/>
        <v>1.4861520550190495E-2</v>
      </c>
      <c r="Q358" s="27">
        <f t="shared" si="88"/>
        <v>1.5053508778373347E-2</v>
      </c>
      <c r="R358" s="27">
        <f t="shared" si="88"/>
        <v>1.5253123389732505E-2</v>
      </c>
      <c r="S358" s="27">
        <f t="shared" si="88"/>
        <v>1.4651814226113646E-2</v>
      </c>
      <c r="T358" s="27">
        <f t="shared" si="88"/>
        <v>1.5189266321519962E-2</v>
      </c>
      <c r="U358" s="27">
        <f t="shared" si="88"/>
        <v>3.3757181001041366E-2</v>
      </c>
      <c r="V358" s="27">
        <f t="shared" si="88"/>
        <v>3.4499313181365336E-2</v>
      </c>
      <c r="W358" s="27">
        <f t="shared" si="88"/>
        <v>3.5211010914201833E-2</v>
      </c>
      <c r="X358" s="27">
        <f t="shared" si="88"/>
        <v>3.5885988820136307E-2</v>
      </c>
      <c r="Y358" s="27">
        <f t="shared" si="88"/>
        <v>3.6515723549972179E-2</v>
      </c>
      <c r="Z358" s="27">
        <f t="shared" si="88"/>
        <v>3.7097462878058866E-2</v>
      </c>
      <c r="AA358" s="27">
        <f t="shared" si="88"/>
        <v>3.7628405898914287E-2</v>
      </c>
      <c r="AB358" s="27">
        <f t="shared" si="88"/>
        <v>3.8106136469306676E-2</v>
      </c>
      <c r="AC358" s="27">
        <f t="shared" si="88"/>
        <v>3.85285343419123E-2</v>
      </c>
      <c r="AD358" s="27">
        <f t="shared" si="88"/>
        <v>3.8893556782218362E-2</v>
      </c>
      <c r="AE358" s="27">
        <f t="shared" si="88"/>
        <v>3.9199601376212471E-2</v>
      </c>
      <c r="AF358" s="27">
        <f t="shared" si="88"/>
        <v>3.9445222527080714E-2</v>
      </c>
      <c r="AG358" s="27">
        <f t="shared" si="88"/>
        <v>3.9629134527395672E-2</v>
      </c>
      <c r="AH358" s="27">
        <f t="shared" si="88"/>
        <v>3.9750563333297947E-2</v>
      </c>
      <c r="AI358" s="27">
        <f t="shared" si="88"/>
        <v>3.9809108345161416E-2</v>
      </c>
      <c r="AJ358" s="27">
        <f t="shared" si="88"/>
        <v>5.189649152191912E-3</v>
      </c>
      <c r="AK358" s="27">
        <f t="shared" si="88"/>
        <v>5.2277377761371976E-3</v>
      </c>
      <c r="AL358" s="27">
        <f t="shared" si="88"/>
        <v>5.2648822322021753E-3</v>
      </c>
      <c r="AM358" s="27">
        <f t="shared" si="88"/>
        <v>5.3011384762008023E-3</v>
      </c>
      <c r="AN358" s="27">
        <f t="shared" si="88"/>
        <v>5.3365710117779979E-3</v>
      </c>
      <c r="AO358" s="27">
        <f t="shared" si="88"/>
        <v>5.3710345594629892E-3</v>
      </c>
      <c r="AP358" s="27">
        <f t="shared" si="88"/>
        <v>5.4044334472556589E-3</v>
      </c>
      <c r="AQ358" s="27">
        <f t="shared" si="88"/>
        <v>5.4367606292778717E-3</v>
      </c>
      <c r="AR358" s="27">
        <f t="shared" si="88"/>
        <v>5.4679021430478368E-3</v>
      </c>
      <c r="AS358" s="27">
        <f t="shared" si="88"/>
        <v>5.4977311191694326E-3</v>
      </c>
      <c r="AT358" s="27">
        <f t="shared" si="88"/>
        <v>5.5262364624928872E-3</v>
      </c>
      <c r="AU358" s="27">
        <f t="shared" si="88"/>
        <v>5.5534422155816918E-3</v>
      </c>
      <c r="AV358" s="27">
        <f t="shared" si="88"/>
        <v>5.5793663280842998E-3</v>
      </c>
      <c r="AW358" s="27">
        <f t="shared" si="88"/>
        <v>5.6038850841857524E-3</v>
      </c>
      <c r="AY358" s="79"/>
    </row>
    <row r="359" spans="1:51" x14ac:dyDescent="0.25">
      <c r="A359" s="95" t="str">
        <f t="shared" si="71"/>
        <v>GS Poultry MMN2O</v>
      </c>
      <c r="B359" s="95" t="s">
        <v>1021</v>
      </c>
      <c r="C359" s="95" t="s">
        <v>1234</v>
      </c>
      <c r="D359" t="s">
        <v>15</v>
      </c>
      <c r="E359" t="s">
        <v>657</v>
      </c>
      <c r="F359" t="s">
        <v>28</v>
      </c>
      <c r="G359" t="s">
        <v>133</v>
      </c>
      <c r="H359" t="s">
        <v>1227</v>
      </c>
      <c r="I359" t="s">
        <v>139</v>
      </c>
      <c r="J359" t="s">
        <v>287</v>
      </c>
      <c r="K359" s="27">
        <f t="shared" si="83"/>
        <v>7.0904798648479081E-2</v>
      </c>
      <c r="L359" s="27">
        <f t="shared" si="88"/>
        <v>7.183848811386527E-2</v>
      </c>
      <c r="M359" s="27">
        <f t="shared" si="88"/>
        <v>7.3338261222908901E-2</v>
      </c>
      <c r="N359" s="27">
        <f t="shared" si="88"/>
        <v>7.3768889900085566E-2</v>
      </c>
      <c r="O359" s="27">
        <f t="shared" si="88"/>
        <v>7.3504831661853232E-2</v>
      </c>
      <c r="P359" s="27">
        <f t="shared" si="88"/>
        <v>7.2548895925592438E-2</v>
      </c>
      <c r="Q359" s="27">
        <f t="shared" si="88"/>
        <v>7.2146468817327503E-2</v>
      </c>
      <c r="R359" s="27">
        <f t="shared" si="88"/>
        <v>7.1835339545248775E-2</v>
      </c>
      <c r="S359" s="27">
        <f t="shared" si="88"/>
        <v>6.264849848236452E-2</v>
      </c>
      <c r="T359" s="27">
        <f t="shared" si="88"/>
        <v>6.7389752064840963E-2</v>
      </c>
      <c r="U359" s="27">
        <f t="shared" si="88"/>
        <v>0.29302752262100273</v>
      </c>
      <c r="V359" s="27">
        <f t="shared" si="88"/>
        <v>0.29828101970128529</v>
      </c>
      <c r="W359" s="27">
        <f t="shared" si="88"/>
        <v>0.30294818721313321</v>
      </c>
      <c r="X359" s="27">
        <f t="shared" si="88"/>
        <v>0.30704895352014883</v>
      </c>
      <c r="Y359" s="27">
        <f t="shared" si="88"/>
        <v>0.31063904871081255</v>
      </c>
      <c r="Z359" s="27">
        <f t="shared" si="88"/>
        <v>0.31369154375489111</v>
      </c>
      <c r="AA359" s="27">
        <f t="shared" si="88"/>
        <v>0.31618576443629343</v>
      </c>
      <c r="AB359" s="27">
        <f t="shared" si="88"/>
        <v>0.31810138991474352</v>
      </c>
      <c r="AC359" s="27">
        <f t="shared" si="88"/>
        <v>0.31942029661734572</v>
      </c>
      <c r="AD359" s="27">
        <f t="shared" si="88"/>
        <v>0.320130126159552</v>
      </c>
      <c r="AE359" s="27">
        <f t="shared" si="88"/>
        <v>0.32021942076414051</v>
      </c>
      <c r="AF359" s="27">
        <f t="shared" si="88"/>
        <v>0.31968200663848134</v>
      </c>
      <c r="AG359" s="27">
        <f t="shared" si="88"/>
        <v>0.31851713359261785</v>
      </c>
      <c r="AH359" s="27">
        <f t="shared" si="88"/>
        <v>0.31672471085086101</v>
      </c>
      <c r="AI359" s="27">
        <f t="shared" si="88"/>
        <v>0.31430742335532585</v>
      </c>
      <c r="AJ359" s="27">
        <f t="shared" si="88"/>
        <v>-6.7117544398192078E-2</v>
      </c>
      <c r="AK359" s="27">
        <f t="shared" si="88"/>
        <v>-6.7212526473797524E-2</v>
      </c>
      <c r="AL359" s="27">
        <f t="shared" si="88"/>
        <v>-6.7298531128699962E-2</v>
      </c>
      <c r="AM359" s="27">
        <f t="shared" si="88"/>
        <v>-6.7376289726105959E-2</v>
      </c>
      <c r="AN359" s="27">
        <f t="shared" si="88"/>
        <v>-6.7446638413801982E-2</v>
      </c>
      <c r="AO359" s="27">
        <f t="shared" si="88"/>
        <v>-6.750761383935848E-2</v>
      </c>
      <c r="AP359" s="27">
        <f t="shared" si="88"/>
        <v>-6.7557960547977858E-2</v>
      </c>
      <c r="AQ359" s="27">
        <f t="shared" si="88"/>
        <v>-6.759762154217773E-2</v>
      </c>
      <c r="AR359" s="27">
        <f t="shared" si="88"/>
        <v>-6.7625149473774446E-2</v>
      </c>
      <c r="AS359" s="27">
        <f t="shared" si="88"/>
        <v>-6.7638965665078848E-2</v>
      </c>
      <c r="AT359" s="27">
        <f t="shared" si="88"/>
        <v>-6.7639024877345522E-2</v>
      </c>
      <c r="AU359" s="27">
        <f t="shared" si="88"/>
        <v>-6.7625737001792988E-2</v>
      </c>
      <c r="AV359" s="27">
        <f t="shared" si="88"/>
        <v>-6.7599427785597133E-2</v>
      </c>
      <c r="AW359" s="27">
        <f t="shared" si="88"/>
        <v>-6.7558617280925187E-2</v>
      </c>
      <c r="AY359" s="79"/>
    </row>
    <row r="360" spans="1:51" x14ac:dyDescent="0.25">
      <c r="A360" s="95" t="str">
        <f t="shared" si="71"/>
        <v>GS Synthetic</v>
      </c>
      <c r="B360" s="95" t="s">
        <v>1021</v>
      </c>
      <c r="C360" s="95" t="s">
        <v>1126</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6.6035651430821094</v>
      </c>
      <c r="U360" s="22">
        <f t="shared" si="89"/>
        <v>6.6008394987584191</v>
      </c>
      <c r="V360" s="22">
        <f t="shared" si="89"/>
        <v>6.5354261970149441</v>
      </c>
      <c r="W360" s="22">
        <f t="shared" si="89"/>
        <v>6.5337920332710731</v>
      </c>
      <c r="X360" s="22">
        <f t="shared" si="89"/>
        <v>6.5322793572104443</v>
      </c>
      <c r="Y360" s="22">
        <f t="shared" si="89"/>
        <v>6.5308880056970544</v>
      </c>
      <c r="Z360" s="22">
        <f t="shared" si="89"/>
        <v>6.5296169227266478</v>
      </c>
      <c r="AA360" s="22">
        <f t="shared" si="89"/>
        <v>6.5284672118777083</v>
      </c>
      <c r="AB360" s="22">
        <f t="shared" si="89"/>
        <v>6.5274397960506132</v>
      </c>
      <c r="AC360" s="22">
        <f t="shared" si="89"/>
        <v>6.5265355793719113</v>
      </c>
      <c r="AD360" s="22">
        <f t="shared" si="89"/>
        <v>6.5257554079256641</v>
      </c>
      <c r="AE360" s="22">
        <f t="shared" si="89"/>
        <v>6.5250999875184093</v>
      </c>
      <c r="AF360" s="22">
        <f t="shared" si="89"/>
        <v>6.524570013447069</v>
      </c>
      <c r="AG360" s="22">
        <f t="shared" si="89"/>
        <v>6.524166065107158</v>
      </c>
      <c r="AH360" s="22">
        <f t="shared" si="89"/>
        <v>6.5238886062718322</v>
      </c>
      <c r="AI360" s="22">
        <f t="shared" si="89"/>
        <v>6.523738107982866</v>
      </c>
      <c r="AJ360" s="22">
        <f t="shared" si="89"/>
        <v>6.5237149971504902</v>
      </c>
      <c r="AK360" s="22">
        <f t="shared" si="89"/>
        <v>6.7170770118746468</v>
      </c>
      <c r="AL360" s="22">
        <f t="shared" si="89"/>
        <v>6.7172409254060446</v>
      </c>
      <c r="AM360" s="22">
        <f t="shared" si="89"/>
        <v>6.7174011054610014</v>
      </c>
      <c r="AN360" s="22">
        <f t="shared" si="89"/>
        <v>6.717557770633813</v>
      </c>
      <c r="AO360" s="22">
        <f t="shared" si="89"/>
        <v>6.7177111790148194</v>
      </c>
      <c r="AP360" s="22">
        <f t="shared" si="89"/>
        <v>6.7178606782023653</v>
      </c>
      <c r="AQ360" s="22">
        <f t="shared" si="89"/>
        <v>6.7180058277133394</v>
      </c>
      <c r="AR360" s="22">
        <f t="shared" si="89"/>
        <v>6.7181465717092257</v>
      </c>
      <c r="AS360" s="22">
        <f t="shared" si="89"/>
        <v>6.7182823869267976</v>
      </c>
      <c r="AT360" s="22">
        <f t="shared" si="89"/>
        <v>6.7184126908492701</v>
      </c>
      <c r="AU360" s="22">
        <f t="shared" si="89"/>
        <v>6.7185374065365453</v>
      </c>
      <c r="AV360" s="22">
        <f t="shared" si="89"/>
        <v>6.7186566123512304</v>
      </c>
      <c r="AW360" s="22">
        <f t="shared" si="89"/>
        <v>6.7187703615819192</v>
      </c>
      <c r="AY360" s="79"/>
    </row>
    <row r="361" spans="1:51" x14ac:dyDescent="0.25">
      <c r="A361" s="95" t="str">
        <f t="shared" si="71"/>
        <v>GS Organic</v>
      </c>
      <c r="B361" s="95" t="s">
        <v>1021</v>
      </c>
      <c r="C361" s="95" t="s">
        <v>1127</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4.358352994434192E-2</v>
      </c>
      <c r="U361" s="22">
        <f t="shared" si="90"/>
        <v>4.3565540691805578E-2</v>
      </c>
      <c r="V361" s="22">
        <f t="shared" si="90"/>
        <v>4.3133812900298642E-2</v>
      </c>
      <c r="W361" s="22">
        <f t="shared" si="90"/>
        <v>4.312302741958908E-2</v>
      </c>
      <c r="X361" s="22">
        <f t="shared" si="90"/>
        <v>4.3113043757588947E-2</v>
      </c>
      <c r="Y361" s="22">
        <f t="shared" si="90"/>
        <v>4.3103860837600566E-2</v>
      </c>
      <c r="Z361" s="22">
        <f t="shared" si="90"/>
        <v>4.3095471689995883E-2</v>
      </c>
      <c r="AA361" s="22">
        <f t="shared" si="89"/>
        <v>4.3087883598392877E-2</v>
      </c>
      <c r="AB361" s="22">
        <f t="shared" si="89"/>
        <v>4.3081102653934056E-2</v>
      </c>
      <c r="AC361" s="22">
        <f t="shared" si="89"/>
        <v>4.3075134823854618E-2</v>
      </c>
      <c r="AD361" s="22">
        <f t="shared" si="89"/>
        <v>4.3069985692309382E-2</v>
      </c>
      <c r="AE361" s="22">
        <f t="shared" si="89"/>
        <v>4.3065659917621506E-2</v>
      </c>
      <c r="AF361" s="22">
        <f t="shared" si="89"/>
        <v>4.3062162088750661E-2</v>
      </c>
      <c r="AG361" s="22">
        <f t="shared" si="89"/>
        <v>4.3059496029707253E-2</v>
      </c>
      <c r="AH361" s="22">
        <f t="shared" si="89"/>
        <v>4.3057664801394106E-2</v>
      </c>
      <c r="AI361" s="22">
        <f t="shared" si="89"/>
        <v>4.3056671512686932E-2</v>
      </c>
      <c r="AJ361" s="22">
        <f t="shared" si="89"/>
        <v>4.3056518981193247E-2</v>
      </c>
      <c r="AK361" s="22">
        <f t="shared" si="89"/>
        <v>4.4332708278372678E-2</v>
      </c>
      <c r="AL361" s="22">
        <f t="shared" si="89"/>
        <v>4.4333790107679898E-2</v>
      </c>
      <c r="AM361" s="22">
        <f t="shared" si="89"/>
        <v>4.4334847296042611E-2</v>
      </c>
      <c r="AN361" s="22">
        <f t="shared" si="89"/>
        <v>4.4335881286183175E-2</v>
      </c>
      <c r="AO361" s="22">
        <f t="shared" si="89"/>
        <v>4.433689378149782E-2</v>
      </c>
      <c r="AP361" s="22">
        <f t="shared" si="89"/>
        <v>4.433788047613562E-2</v>
      </c>
      <c r="AQ361" s="22">
        <f t="shared" si="89"/>
        <v>4.4338838462908037E-2</v>
      </c>
      <c r="AR361" s="22">
        <f t="shared" si="89"/>
        <v>4.4339767373280901E-2</v>
      </c>
      <c r="AS361" s="22">
        <f t="shared" si="89"/>
        <v>4.4340663753716876E-2</v>
      </c>
      <c r="AT361" s="22">
        <f t="shared" si="89"/>
        <v>4.4341523759605192E-2</v>
      </c>
      <c r="AU361" s="22">
        <f t="shared" si="89"/>
        <v>4.4342346883141204E-2</v>
      </c>
      <c r="AV361" s="22">
        <f t="shared" si="89"/>
        <v>4.4343133641518123E-2</v>
      </c>
      <c r="AW361" s="22">
        <f t="shared" si="89"/>
        <v>4.4343884386440678E-2</v>
      </c>
      <c r="AY361" s="79"/>
    </row>
    <row r="362" spans="1:51" x14ac:dyDescent="0.25">
      <c r="A362" s="95" t="str">
        <f t="shared" si="71"/>
        <v>GS Crop residues</v>
      </c>
      <c r="B362" s="95" t="s">
        <v>1021</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2.9710792197336011</v>
      </c>
      <c r="U362" s="22">
        <f t="shared" si="89"/>
        <v>2.9914277552243997</v>
      </c>
      <c r="V362" s="22">
        <f t="shared" si="89"/>
        <v>3.4797764662170874</v>
      </c>
      <c r="W362" s="22">
        <f t="shared" si="89"/>
        <v>3.4919764582156594</v>
      </c>
      <c r="X362" s="22">
        <f t="shared" si="89"/>
        <v>3.5032694733160721</v>
      </c>
      <c r="Y362" s="22">
        <f t="shared" si="89"/>
        <v>3.5136567294244192</v>
      </c>
      <c r="Z362" s="22">
        <f t="shared" si="89"/>
        <v>3.5231461102325734</v>
      </c>
      <c r="AA362" s="22">
        <f t="shared" si="89"/>
        <v>3.5317293768790967</v>
      </c>
      <c r="AB362" s="22">
        <f t="shared" si="89"/>
        <v>3.539399639370707</v>
      </c>
      <c r="AC362" s="22">
        <f t="shared" si="89"/>
        <v>3.5461501478717818</v>
      </c>
      <c r="AD362" s="22">
        <f t="shared" si="89"/>
        <v>3.5519745858679355</v>
      </c>
      <c r="AE362" s="22">
        <f t="shared" si="89"/>
        <v>3.5568676840988758</v>
      </c>
      <c r="AF362" s="22">
        <f t="shared" si="89"/>
        <v>3.5608242517647808</v>
      </c>
      <c r="AG362" s="22">
        <f t="shared" si="89"/>
        <v>3.5638399633378826</v>
      </c>
      <c r="AH362" s="22">
        <f t="shared" si="89"/>
        <v>3.5659113564792468</v>
      </c>
      <c r="AI362" s="22">
        <f t="shared" si="89"/>
        <v>3.5670349145853852</v>
      </c>
      <c r="AJ362" s="22">
        <f t="shared" si="89"/>
        <v>3.5672074505207347</v>
      </c>
      <c r="AK362" s="22">
        <f t="shared" si="89"/>
        <v>2.1236464601919001</v>
      </c>
      <c r="AL362" s="22">
        <f t="shared" si="89"/>
        <v>2.122422749423007</v>
      </c>
      <c r="AM362" s="22">
        <f t="shared" si="89"/>
        <v>2.1212269112482072</v>
      </c>
      <c r="AN362" s="22">
        <f t="shared" si="89"/>
        <v>2.1200573137327008</v>
      </c>
      <c r="AO362" s="22">
        <f t="shared" si="89"/>
        <v>2.1189120300805597</v>
      </c>
      <c r="AP362" s="22">
        <f t="shared" si="89"/>
        <v>2.1177959308532275</v>
      </c>
      <c r="AQ362" s="22">
        <f t="shared" si="89"/>
        <v>2.1167123045158354</v>
      </c>
      <c r="AR362" s="22">
        <f t="shared" si="89"/>
        <v>2.1156615679356672</v>
      </c>
      <c r="AS362" s="22">
        <f t="shared" si="89"/>
        <v>2.1146476275800086</v>
      </c>
      <c r="AT362" s="22">
        <f t="shared" si="89"/>
        <v>2.1136748322787415</v>
      </c>
      <c r="AU362" s="22">
        <f t="shared" si="89"/>
        <v>2.1127437564348668</v>
      </c>
      <c r="AV362" s="22">
        <f t="shared" si="89"/>
        <v>2.111853815025504</v>
      </c>
      <c r="AW362" s="22">
        <f t="shared" si="89"/>
        <v>2.1110046102200224</v>
      </c>
      <c r="AY362" s="79"/>
    </row>
    <row r="363" spans="1:51" x14ac:dyDescent="0.25">
      <c r="A363" s="95" t="str">
        <f t="shared" si="71"/>
        <v>GS Organic</v>
      </c>
      <c r="B363" s="95" t="s">
        <v>1021</v>
      </c>
      <c r="C363" s="95" t="s">
        <v>1127</v>
      </c>
      <c r="D363" t="s">
        <v>369</v>
      </c>
      <c r="E363" t="s">
        <v>55</v>
      </c>
      <c r="F363" t="s">
        <v>421</v>
      </c>
      <c r="G363" t="s">
        <v>1152</v>
      </c>
      <c r="H363" t="s">
        <v>1153</v>
      </c>
      <c r="I363" t="s">
        <v>139</v>
      </c>
      <c r="J363" t="s">
        <v>287</v>
      </c>
      <c r="K363" s="22">
        <f t="shared" si="90"/>
        <v>0.31878106382562998</v>
      </c>
      <c r="L363" s="22">
        <f t="shared" si="89"/>
        <v>0.32056321299147922</v>
      </c>
      <c r="M363" s="22">
        <f t="shared" si="89"/>
        <v>0.32309177745176459</v>
      </c>
      <c r="N363" s="22">
        <f t="shared" si="89"/>
        <v>0.32471664946511047</v>
      </c>
      <c r="O363" s="22">
        <f t="shared" si="89"/>
        <v>0.32579638434951891</v>
      </c>
      <c r="P363" s="22">
        <f t="shared" si="89"/>
        <v>0.32632035510276458</v>
      </c>
      <c r="Q363" s="22">
        <f t="shared" si="89"/>
        <v>0.32747800149861978</v>
      </c>
      <c r="R363" s="22">
        <f t="shared" si="89"/>
        <v>0.32880601635823309</v>
      </c>
      <c r="S363" s="22">
        <f t="shared" si="89"/>
        <v>0.3194631230654072</v>
      </c>
      <c r="T363" s="22">
        <f t="shared" si="89"/>
        <v>0.32495993852650251</v>
      </c>
      <c r="U363" s="22">
        <f t="shared" si="89"/>
        <v>0.55911956199622048</v>
      </c>
      <c r="V363" s="22">
        <f t="shared" si="89"/>
        <v>0.56585948734565139</v>
      </c>
      <c r="W363" s="22">
        <f t="shared" si="89"/>
        <v>0.57230378307872798</v>
      </c>
      <c r="X363" s="22">
        <f t="shared" si="89"/>
        <v>0.57834283314741031</v>
      </c>
      <c r="Y363" s="22">
        <f t="shared" si="89"/>
        <v>0.58381536330507111</v>
      </c>
      <c r="Z363" s="22">
        <f t="shared" si="89"/>
        <v>0.58869581671270654</v>
      </c>
      <c r="AA363" s="22">
        <f t="shared" si="89"/>
        <v>0.59295576215312973</v>
      </c>
      <c r="AB363" s="22">
        <f t="shared" si="89"/>
        <v>0.59657368139031808</v>
      </c>
      <c r="AC363" s="22">
        <f t="shared" si="89"/>
        <v>0.59953250893616183</v>
      </c>
      <c r="AD363" s="22">
        <f t="shared" si="89"/>
        <v>0.60181430512751644</v>
      </c>
      <c r="AE363" s="22">
        <f t="shared" si="89"/>
        <v>0.60340833018876772</v>
      </c>
      <c r="AF363" s="22">
        <f t="shared" si="89"/>
        <v>0.60430428229357946</v>
      </c>
      <c r="AG363" s="22">
        <f t="shared" si="89"/>
        <v>0.60449220860104358</v>
      </c>
      <c r="AH363" s="22">
        <f t="shared" si="89"/>
        <v>0.60397029153121029</v>
      </c>
      <c r="AI363" s="22">
        <f t="shared" si="89"/>
        <v>0.60274150240431557</v>
      </c>
      <c r="AJ363" s="22">
        <f t="shared" si="89"/>
        <v>0.19069698851099628</v>
      </c>
      <c r="AK363" s="22">
        <f t="shared" si="89"/>
        <v>0.19083619411236313</v>
      </c>
      <c r="AL363" s="22">
        <f t="shared" si="89"/>
        <v>0.19096537877553132</v>
      </c>
      <c r="AM363" s="22">
        <f t="shared" si="89"/>
        <v>0.19108541639025195</v>
      </c>
      <c r="AN363" s="22">
        <f t="shared" si="89"/>
        <v>0.19119738340555115</v>
      </c>
      <c r="AO363" s="22">
        <f t="shared" si="89"/>
        <v>0.19129776572073925</v>
      </c>
      <c r="AP363" s="22">
        <f t="shared" si="89"/>
        <v>0.19138420348192833</v>
      </c>
      <c r="AQ363" s="22">
        <f t="shared" si="89"/>
        <v>0.19145631825873433</v>
      </c>
      <c r="AR363" s="22">
        <f t="shared" si="89"/>
        <v>0.19151143246366148</v>
      </c>
      <c r="AS363" s="22">
        <f t="shared" si="89"/>
        <v>0.19154663907394784</v>
      </c>
      <c r="AT363" s="22">
        <f t="shared" si="89"/>
        <v>0.19156157903173729</v>
      </c>
      <c r="AU363" s="22">
        <f t="shared" si="89"/>
        <v>0.19155666524405471</v>
      </c>
      <c r="AV363" s="22">
        <f t="shared" si="89"/>
        <v>0.19153218566591518</v>
      </c>
      <c r="AW363" s="22">
        <f t="shared" si="89"/>
        <v>0.1914854060866179</v>
      </c>
      <c r="AY363" s="79"/>
    </row>
    <row r="364" spans="1:51" x14ac:dyDescent="0.25">
      <c r="A364" s="95" t="str">
        <f t="shared" si="71"/>
        <v>GS Organic</v>
      </c>
      <c r="B364" s="95" t="s">
        <v>1021</v>
      </c>
      <c r="C364" s="95" t="s">
        <v>1127</v>
      </c>
      <c r="D364" t="s">
        <v>369</v>
      </c>
      <c r="E364" t="s">
        <v>55</v>
      </c>
      <c r="F364" t="s">
        <v>421</v>
      </c>
      <c r="G364" t="s">
        <v>1154</v>
      </c>
      <c r="H364" t="s">
        <v>1155</v>
      </c>
      <c r="I364" t="s">
        <v>139</v>
      </c>
      <c r="J364" t="s">
        <v>287</v>
      </c>
      <c r="K364" s="22">
        <f t="shared" si="90"/>
        <v>0.93210651077804862</v>
      </c>
      <c r="L364" s="22">
        <f t="shared" si="89"/>
        <v>0.93731746283627526</v>
      </c>
      <c r="M364" s="22">
        <f t="shared" si="89"/>
        <v>0.94471091139331731</v>
      </c>
      <c r="N364" s="22">
        <f t="shared" si="89"/>
        <v>0.94946198965576145</v>
      </c>
      <c r="O364" s="22">
        <f t="shared" si="89"/>
        <v>0.95261910289076102</v>
      </c>
      <c r="P364" s="22">
        <f t="shared" si="89"/>
        <v>0.954151178054501</v>
      </c>
      <c r="Q364" s="22">
        <f t="shared" si="89"/>
        <v>0.95753610227115837</v>
      </c>
      <c r="R364" s="22">
        <f t="shared" si="89"/>
        <v>0.96141917889497153</v>
      </c>
      <c r="S364" s="22">
        <f t="shared" si="89"/>
        <v>0.93410083205454864</v>
      </c>
      <c r="T364" s="22">
        <f t="shared" si="89"/>
        <v>0.95017335975849948</v>
      </c>
      <c r="U364" s="22">
        <f t="shared" si="89"/>
        <v>1.6348492529189775</v>
      </c>
      <c r="V364" s="22">
        <f t="shared" si="89"/>
        <v>1.654556597592997</v>
      </c>
      <c r="W364" s="22">
        <f t="shared" si="89"/>
        <v>1.6733995299117927</v>
      </c>
      <c r="X364" s="22">
        <f t="shared" si="89"/>
        <v>1.6910575357556168</v>
      </c>
      <c r="Y364" s="22">
        <f t="shared" si="89"/>
        <v>1.7070590539423278</v>
      </c>
      <c r="Z364" s="22">
        <f t="shared" si="89"/>
        <v>1.7213293570218551</v>
      </c>
      <c r="AA364" s="22">
        <f t="shared" si="89"/>
        <v>1.7337853129463565</v>
      </c>
      <c r="AB364" s="22">
        <f t="shared" si="89"/>
        <v>1.7443640030228067</v>
      </c>
      <c r="AC364" s="22">
        <f t="shared" si="89"/>
        <v>1.753015528262897</v>
      </c>
      <c r="AD364" s="22">
        <f t="shared" si="89"/>
        <v>1.7596874336160764</v>
      </c>
      <c r="AE364" s="22">
        <f t="shared" si="89"/>
        <v>1.7643483162924332</v>
      </c>
      <c r="AF364" s="22">
        <f t="shared" si="89"/>
        <v>1.7669680540529458</v>
      </c>
      <c r="AG364" s="22">
        <f t="shared" si="89"/>
        <v>1.7675175450817782</v>
      </c>
      <c r="AH364" s="22">
        <f t="shared" si="89"/>
        <v>1.7659914748282959</v>
      </c>
      <c r="AI364" s="22">
        <f t="shared" si="89"/>
        <v>1.7623985313459991</v>
      </c>
      <c r="AJ364" s="22">
        <f t="shared" si="89"/>
        <v>0.55759241920998737</v>
      </c>
      <c r="AK364" s="22">
        <f t="shared" si="89"/>
        <v>0.55799945231858428</v>
      </c>
      <c r="AL364" s="22">
        <f t="shared" si="89"/>
        <v>0.55837718449685969</v>
      </c>
      <c r="AM364" s="22">
        <f t="shared" si="89"/>
        <v>0.55872817097289618</v>
      </c>
      <c r="AN364" s="22">
        <f t="shared" si="89"/>
        <v>0.55905555925217576</v>
      </c>
      <c r="AO364" s="22">
        <f t="shared" si="89"/>
        <v>0.55934907420701951</v>
      </c>
      <c r="AP364" s="22">
        <f t="shared" si="89"/>
        <v>0.55960181569365119</v>
      </c>
      <c r="AQ364" s="22">
        <f t="shared" si="89"/>
        <v>0.55981267719269234</v>
      </c>
      <c r="AR364" s="22">
        <f t="shared" si="89"/>
        <v>0.55997382951658647</v>
      </c>
      <c r="AS364" s="22">
        <f t="shared" si="89"/>
        <v>0.56007677261576738</v>
      </c>
      <c r="AT364" s="22">
        <f t="shared" si="89"/>
        <v>0.56012045661556076</v>
      </c>
      <c r="AU364" s="22">
        <f t="shared" si="89"/>
        <v>0.56010608884403601</v>
      </c>
      <c r="AV364" s="22">
        <f t="shared" si="89"/>
        <v>0.56003451127323822</v>
      </c>
      <c r="AW364" s="22">
        <f t="shared" si="89"/>
        <v>0.55989772915101532</v>
      </c>
      <c r="AY364" s="79"/>
    </row>
    <row r="365" spans="1:51" x14ac:dyDescent="0.25">
      <c r="A365" s="95" t="str">
        <f t="shared" si="71"/>
        <v>GS Organic</v>
      </c>
      <c r="B365" s="95" t="s">
        <v>1021</v>
      </c>
      <c r="C365" s="95" t="s">
        <v>1127</v>
      </c>
      <c r="D365" t="s">
        <v>369</v>
      </c>
      <c r="E365" t="s">
        <v>55</v>
      </c>
      <c r="F365" t="s">
        <v>421</v>
      </c>
      <c r="G365" t="s">
        <v>1156</v>
      </c>
      <c r="H365" t="s">
        <v>1157</v>
      </c>
      <c r="I365" t="s">
        <v>139</v>
      </c>
      <c r="J365" t="s">
        <v>287</v>
      </c>
      <c r="K365" s="22">
        <f t="shared" si="90"/>
        <v>4.9862442750846919E-2</v>
      </c>
      <c r="L365" s="22">
        <f t="shared" si="89"/>
        <v>5.0141199304605817E-2</v>
      </c>
      <c r="M365" s="22">
        <f t="shared" si="89"/>
        <v>5.0536707115294892E-2</v>
      </c>
      <c r="N365" s="22">
        <f t="shared" si="89"/>
        <v>5.0790863013925151E-2</v>
      </c>
      <c r="O365" s="22">
        <f t="shared" si="89"/>
        <v>5.0959750770976343E-2</v>
      </c>
      <c r="P365" s="22">
        <f t="shared" si="89"/>
        <v>5.1041708153806126E-2</v>
      </c>
      <c r="Q365" s="22">
        <f t="shared" si="89"/>
        <v>5.122278251388987E-2</v>
      </c>
      <c r="R365" s="22">
        <f t="shared" si="89"/>
        <v>5.1430505218981189E-2</v>
      </c>
      <c r="S365" s="22">
        <f t="shared" si="89"/>
        <v>4.9969127694387626E-2</v>
      </c>
      <c r="T365" s="22">
        <f t="shared" si="89"/>
        <v>5.08289173034428E-2</v>
      </c>
      <c r="U365" s="22">
        <f t="shared" si="89"/>
        <v>8.7455217120941425E-2</v>
      </c>
      <c r="V365" s="22">
        <f t="shared" si="89"/>
        <v>8.8509448943396227E-2</v>
      </c>
      <c r="W365" s="22">
        <f t="shared" si="89"/>
        <v>8.9517439578736563E-2</v>
      </c>
      <c r="X365" s="22">
        <f t="shared" si="89"/>
        <v>9.0462043328738057E-2</v>
      </c>
      <c r="Y365" s="22">
        <f t="shared" si="89"/>
        <v>9.1318034328999972E-2</v>
      </c>
      <c r="Z365" s="22">
        <f t="shared" si="89"/>
        <v>9.2081415082285539E-2</v>
      </c>
      <c r="AA365" s="22">
        <f t="shared" si="89"/>
        <v>9.2747738492765894E-2</v>
      </c>
      <c r="AB365" s="22">
        <f t="shared" si="89"/>
        <v>9.3313638765123857E-2</v>
      </c>
      <c r="AC365" s="22">
        <f t="shared" si="89"/>
        <v>9.3776446584834763E-2</v>
      </c>
      <c r="AD365" s="22">
        <f t="shared" si="89"/>
        <v>9.4133355902455834E-2</v>
      </c>
      <c r="AE365" s="22">
        <f t="shared" si="89"/>
        <v>9.4382686845787919E-2</v>
      </c>
      <c r="AF365" s="22">
        <f t="shared" si="89"/>
        <v>9.4522828044884072E-2</v>
      </c>
      <c r="AG365" s="22">
        <f t="shared" si="89"/>
        <v>9.4552222716684439E-2</v>
      </c>
      <c r="AH365" s="22">
        <f t="shared" si="89"/>
        <v>9.4470586562695413E-2</v>
      </c>
      <c r="AI365" s="22">
        <f t="shared" si="89"/>
        <v>9.4278384344792743E-2</v>
      </c>
      <c r="AJ365" s="22">
        <f t="shared" si="89"/>
        <v>2.9828050506756527E-2</v>
      </c>
      <c r="AK365" s="22">
        <f t="shared" si="89"/>
        <v>2.9849824483056911E-2</v>
      </c>
      <c r="AL365" s="22">
        <f t="shared" si="89"/>
        <v>2.9870031024795022E-2</v>
      </c>
      <c r="AM365" s="22">
        <f t="shared" si="89"/>
        <v>2.9888806822265943E-2</v>
      </c>
      <c r="AN365" s="22">
        <f t="shared" si="89"/>
        <v>2.9906320249266097E-2</v>
      </c>
      <c r="AO365" s="22">
        <f t="shared" si="89"/>
        <v>2.9922021644399784E-2</v>
      </c>
      <c r="AP365" s="22">
        <f t="shared" si="89"/>
        <v>2.9935541888880673E-2</v>
      </c>
      <c r="AQ365" s="22">
        <f t="shared" si="89"/>
        <v>2.9946821790160959E-2</v>
      </c>
      <c r="AR365" s="22">
        <f t="shared" si="89"/>
        <v>2.995544253085038E-2</v>
      </c>
      <c r="AS365" s="22">
        <f t="shared" si="89"/>
        <v>2.9960949406223684E-2</v>
      </c>
      <c r="AT365" s="22">
        <f t="shared" si="89"/>
        <v>2.9963286253905406E-2</v>
      </c>
      <c r="AU365" s="22">
        <f t="shared" si="89"/>
        <v>2.9962517659139858E-2</v>
      </c>
      <c r="AV365" s="22">
        <f t="shared" si="89"/>
        <v>2.995868866268411E-2</v>
      </c>
      <c r="AW365" s="22">
        <f t="shared" si="89"/>
        <v>2.9951371590375517E-2</v>
      </c>
      <c r="AY365" s="79"/>
    </row>
    <row r="366" spans="1:51" x14ac:dyDescent="0.25">
      <c r="A366" s="95" t="str">
        <f t="shared" si="71"/>
        <v>GS Organic</v>
      </c>
      <c r="B366" s="95" t="s">
        <v>1021</v>
      </c>
      <c r="C366" s="95" t="s">
        <v>1127</v>
      </c>
      <c r="D366" t="s">
        <v>369</v>
      </c>
      <c r="E366" t="s">
        <v>55</v>
      </c>
      <c r="F366" t="s">
        <v>421</v>
      </c>
      <c r="G366" t="s">
        <v>1158</v>
      </c>
      <c r="H366" t="s">
        <v>1159</v>
      </c>
      <c r="I366" t="s">
        <v>139</v>
      </c>
      <c r="J366" t="s">
        <v>287</v>
      </c>
      <c r="K366" s="22">
        <f t="shared" si="90"/>
        <v>0.39999978998352292</v>
      </c>
      <c r="L366" s="22">
        <f t="shared" si="89"/>
        <v>0.39653071954810204</v>
      </c>
      <c r="M366" s="22">
        <f t="shared" si="89"/>
        <v>0.39521014945095018</v>
      </c>
      <c r="N366" s="22">
        <f t="shared" si="89"/>
        <v>0.38993263522397326</v>
      </c>
      <c r="O366" s="22">
        <f t="shared" si="89"/>
        <v>0.382272194437701</v>
      </c>
      <c r="P366" s="22">
        <f t="shared" si="89"/>
        <v>0.37238723301511389</v>
      </c>
      <c r="Q366" s="22">
        <f t="shared" si="89"/>
        <v>0.36459067483623864</v>
      </c>
      <c r="R366" s="22">
        <f t="shared" si="89"/>
        <v>0.35721424445443944</v>
      </c>
      <c r="S366" s="22">
        <f t="shared" si="89"/>
        <v>0.31946339774377674</v>
      </c>
      <c r="T366" s="22">
        <f t="shared" si="89"/>
        <v>0.33177135164852617</v>
      </c>
      <c r="U366" s="22">
        <f t="shared" si="89"/>
        <v>1.0456423232959036</v>
      </c>
      <c r="V366" s="22">
        <f t="shared" si="89"/>
        <v>1.0506858527476302</v>
      </c>
      <c r="W366" s="22">
        <f t="shared" si="89"/>
        <v>1.0539136991279403</v>
      </c>
      <c r="X366" s="22">
        <f t="shared" si="89"/>
        <v>1.0553252049864941</v>
      </c>
      <c r="Y366" s="22">
        <f t="shared" si="89"/>
        <v>1.0549502713547947</v>
      </c>
      <c r="Z366" s="22">
        <f t="shared" si="89"/>
        <v>1.0527709267508603</v>
      </c>
      <c r="AA366" s="22">
        <f t="shared" si="89"/>
        <v>1.0487818326891256</v>
      </c>
      <c r="AB366" s="22">
        <f t="shared" si="89"/>
        <v>1.0429862897745465</v>
      </c>
      <c r="AC366" s="22">
        <f t="shared" si="89"/>
        <v>1.0353973298775558</v>
      </c>
      <c r="AD366" s="22">
        <f t="shared" si="89"/>
        <v>1.0174175581982712</v>
      </c>
      <c r="AE366" s="22">
        <f t="shared" si="89"/>
        <v>0.99774420575118894</v>
      </c>
      <c r="AF366" s="22">
        <f t="shared" si="89"/>
        <v>0.97646566881417607</v>
      </c>
      <c r="AG366" s="22">
        <f t="shared" si="89"/>
        <v>0.95368038799648891</v>
      </c>
      <c r="AH366" s="22">
        <f t="shared" si="89"/>
        <v>0.92949316172660157</v>
      </c>
      <c r="AI366" s="22">
        <f t="shared" si="89"/>
        <v>0.90401558532438187</v>
      </c>
      <c r="AJ366" s="22">
        <f t="shared" si="89"/>
        <v>-6.9801929759449391E-2</v>
      </c>
      <c r="AK366" s="22">
        <f t="shared" si="89"/>
        <v>-6.8121301003411724E-2</v>
      </c>
      <c r="AL366" s="22">
        <f t="shared" si="89"/>
        <v>-6.6458158331925851E-2</v>
      </c>
      <c r="AM366" s="22">
        <f t="shared" si="89"/>
        <v>-6.481232997303113E-2</v>
      </c>
      <c r="AN366" s="22">
        <f t="shared" si="89"/>
        <v>-6.3506079477571004E-2</v>
      </c>
      <c r="AO366" s="22">
        <f t="shared" si="89"/>
        <v>-6.2212220196709189E-2</v>
      </c>
      <c r="AP366" s="22">
        <f t="shared" si="89"/>
        <v>-6.0929789794195444E-2</v>
      </c>
      <c r="AQ366" s="22">
        <f t="shared" si="89"/>
        <v>-5.9658470603933263E-2</v>
      </c>
      <c r="AR366" s="22">
        <f t="shared" si="89"/>
        <v>-5.839733316411725E-2</v>
      </c>
      <c r="AS366" s="22">
        <f t="shared" si="89"/>
        <v>-5.7145467253207828E-2</v>
      </c>
      <c r="AT366" s="22">
        <f t="shared" si="89"/>
        <v>-5.590272668429646E-2</v>
      </c>
      <c r="AU366" s="22">
        <f t="shared" si="89"/>
        <v>-5.4669188235492674E-2</v>
      </c>
      <c r="AV366" s="22">
        <f t="shared" si="89"/>
        <v>-5.3444899006114648E-2</v>
      </c>
      <c r="AW366" s="22">
        <f t="shared" si="89"/>
        <v>-5.2229155811497792E-2</v>
      </c>
      <c r="AY366" s="79"/>
    </row>
    <row r="367" spans="1:51" x14ac:dyDescent="0.25">
      <c r="A367" s="95" t="str">
        <f t="shared" si="71"/>
        <v>GS Organic</v>
      </c>
      <c r="B367" s="95" t="s">
        <v>1021</v>
      </c>
      <c r="C367" s="95" t="s">
        <v>1127</v>
      </c>
      <c r="D367" t="s">
        <v>369</v>
      </c>
      <c r="E367" t="s">
        <v>55</v>
      </c>
      <c r="F367" t="s">
        <v>421</v>
      </c>
      <c r="G367" t="s">
        <v>1160</v>
      </c>
      <c r="H367" t="s">
        <v>1161</v>
      </c>
      <c r="I367" t="s">
        <v>139</v>
      </c>
      <c r="J367" t="s">
        <v>287</v>
      </c>
      <c r="K367" s="22">
        <f t="shared" si="90"/>
        <v>2.6602988559851242</v>
      </c>
      <c r="L367" s="22">
        <f t="shared" si="89"/>
        <v>2.6372269335947092</v>
      </c>
      <c r="M367" s="22">
        <f t="shared" si="89"/>
        <v>2.6284441511866339</v>
      </c>
      <c r="N367" s="22">
        <f t="shared" si="89"/>
        <v>2.5933447201068063</v>
      </c>
      <c r="O367" s="22">
        <f t="shared" si="89"/>
        <v>2.5423970387070201</v>
      </c>
      <c r="P367" s="22">
        <f t="shared" ref="L367:AW373" si="91">P1470</f>
        <v>2.4766546252796315</v>
      </c>
      <c r="Q367" s="22">
        <f t="shared" si="91"/>
        <v>2.4248016610449814</v>
      </c>
      <c r="R367" s="22">
        <f t="shared" si="91"/>
        <v>2.3757428620222041</v>
      </c>
      <c r="S367" s="22">
        <f t="shared" si="91"/>
        <v>2.1246713944072271</v>
      </c>
      <c r="T367" s="22">
        <f t="shared" si="91"/>
        <v>2.2065285266163999</v>
      </c>
      <c r="U367" s="22">
        <f t="shared" si="91"/>
        <v>6.9543063423815932</v>
      </c>
      <c r="V367" s="22">
        <f t="shared" si="91"/>
        <v>6.9878495990695715</v>
      </c>
      <c r="W367" s="22">
        <f t="shared" si="91"/>
        <v>7.0093172004230366</v>
      </c>
      <c r="X367" s="22">
        <f t="shared" si="91"/>
        <v>7.0187047739037158</v>
      </c>
      <c r="Y367" s="22">
        <f t="shared" si="91"/>
        <v>7.0162111838157779</v>
      </c>
      <c r="Z367" s="22">
        <f t="shared" si="91"/>
        <v>7.0017169063140772</v>
      </c>
      <c r="AA367" s="22">
        <f t="shared" si="91"/>
        <v>6.9751864364623621</v>
      </c>
      <c r="AB367" s="22">
        <f t="shared" si="91"/>
        <v>6.9366417257611337</v>
      </c>
      <c r="AC367" s="22">
        <f t="shared" si="91"/>
        <v>6.8861694459309035</v>
      </c>
      <c r="AD367" s="22">
        <f t="shared" si="91"/>
        <v>6.7665904680738294</v>
      </c>
      <c r="AE367" s="22">
        <f t="shared" si="91"/>
        <v>6.6357479068551806</v>
      </c>
      <c r="AF367" s="22">
        <f t="shared" si="91"/>
        <v>6.4942296638758421</v>
      </c>
      <c r="AG367" s="22">
        <f t="shared" si="91"/>
        <v>6.3426904430800271</v>
      </c>
      <c r="AH367" s="22">
        <f t="shared" si="91"/>
        <v>6.181827232682128</v>
      </c>
      <c r="AI367" s="22">
        <f t="shared" si="91"/>
        <v>6.0123822253262711</v>
      </c>
      <c r="AJ367" s="22">
        <f t="shared" si="91"/>
        <v>-0.46423522845416099</v>
      </c>
      <c r="AK367" s="22">
        <f t="shared" si="91"/>
        <v>-0.45305778569298638</v>
      </c>
      <c r="AL367" s="22">
        <f t="shared" si="91"/>
        <v>-0.44199663851969367</v>
      </c>
      <c r="AM367" s="22">
        <f t="shared" si="91"/>
        <v>-0.43105064452180719</v>
      </c>
      <c r="AN367" s="22">
        <f t="shared" si="91"/>
        <v>-0.42236309821373103</v>
      </c>
      <c r="AO367" s="22">
        <f t="shared" si="91"/>
        <v>-0.41375796278397442</v>
      </c>
      <c r="AP367" s="22">
        <f t="shared" si="91"/>
        <v>-0.40522883797411285</v>
      </c>
      <c r="AQ367" s="22">
        <f t="shared" si="91"/>
        <v>-0.3967736110661545</v>
      </c>
      <c r="AR367" s="22">
        <f t="shared" si="91"/>
        <v>-0.38838610044140948</v>
      </c>
      <c r="AS367" s="22">
        <f t="shared" si="91"/>
        <v>-0.38006025244339864</v>
      </c>
      <c r="AT367" s="22">
        <f t="shared" si="91"/>
        <v>-0.37179509481944717</v>
      </c>
      <c r="AU367" s="22">
        <f t="shared" si="91"/>
        <v>-0.36359113820161632</v>
      </c>
      <c r="AV367" s="22">
        <f t="shared" si="91"/>
        <v>-0.35544869583572547</v>
      </c>
      <c r="AW367" s="22">
        <f t="shared" si="91"/>
        <v>-0.34736309101592239</v>
      </c>
      <c r="AY367" s="79"/>
    </row>
    <row r="368" spans="1:51" x14ac:dyDescent="0.25">
      <c r="A368" s="95" t="str">
        <f t="shared" si="71"/>
        <v>GS Organic</v>
      </c>
      <c r="B368" s="95" t="s">
        <v>1021</v>
      </c>
      <c r="C368" s="95" t="s">
        <v>1127</v>
      </c>
      <c r="D368" t="s">
        <v>369</v>
      </c>
      <c r="E368" t="s">
        <v>55</v>
      </c>
      <c r="F368" t="s">
        <v>421</v>
      </c>
      <c r="G368" t="s">
        <v>1162</v>
      </c>
      <c r="H368" t="s">
        <v>1163</v>
      </c>
      <c r="I368" t="s">
        <v>139</v>
      </c>
      <c r="J368" t="s">
        <v>287</v>
      </c>
      <c r="K368" s="22">
        <f t="shared" si="90"/>
        <v>0.34358078636628736</v>
      </c>
      <c r="L368" s="22">
        <f t="shared" si="91"/>
        <v>0.35516571939691516</v>
      </c>
      <c r="M368" s="22">
        <f t="shared" si="91"/>
        <v>0.36891582276573964</v>
      </c>
      <c r="N368" s="22">
        <f t="shared" si="91"/>
        <v>0.379170347917821</v>
      </c>
      <c r="O368" s="22">
        <f t="shared" si="91"/>
        <v>0.38707850955818851</v>
      </c>
      <c r="P368" s="22">
        <f t="shared" si="91"/>
        <v>0.39252728601928999</v>
      </c>
      <c r="Q368" s="22">
        <f t="shared" si="91"/>
        <v>0.3999671364536494</v>
      </c>
      <c r="R368" s="22">
        <f t="shared" si="91"/>
        <v>0.40776627193753145</v>
      </c>
      <c r="S368" s="22">
        <f t="shared" si="91"/>
        <v>0.37941149708510857</v>
      </c>
      <c r="T368" s="22">
        <f t="shared" si="91"/>
        <v>0.40352229075935825</v>
      </c>
      <c r="U368" s="22">
        <f t="shared" si="91"/>
        <v>1.3019992837200502</v>
      </c>
      <c r="V368" s="22">
        <f t="shared" si="91"/>
        <v>1.3389713551242044</v>
      </c>
      <c r="W368" s="22">
        <f t="shared" si="91"/>
        <v>1.3742225442034364</v>
      </c>
      <c r="X368" s="22">
        <f t="shared" si="91"/>
        <v>1.4076173986220344</v>
      </c>
      <c r="Y368" s="22">
        <f t="shared" si="91"/>
        <v>1.4390577517114058</v>
      </c>
      <c r="Z368" s="22">
        <f t="shared" si="91"/>
        <v>1.4683777754211462</v>
      </c>
      <c r="AA368" s="22">
        <f t="shared" si="91"/>
        <v>1.4954226905831736</v>
      </c>
      <c r="AB368" s="22">
        <f t="shared" si="91"/>
        <v>1.5200446118078883</v>
      </c>
      <c r="AC368" s="22">
        <f t="shared" si="91"/>
        <v>1.5421052715646864</v>
      </c>
      <c r="AD368" s="22">
        <f t="shared" si="91"/>
        <v>1.5655788001500457</v>
      </c>
      <c r="AE368" s="22">
        <f t="shared" si="91"/>
        <v>1.5863184064827547</v>
      </c>
      <c r="AF368" s="22">
        <f t="shared" si="91"/>
        <v>1.604202691450189</v>
      </c>
      <c r="AG368" s="22">
        <f t="shared" si="91"/>
        <v>1.6191262740936789</v>
      </c>
      <c r="AH368" s="22">
        <f t="shared" si="91"/>
        <v>1.6309961254310048</v>
      </c>
      <c r="AI368" s="22">
        <f t="shared" si="91"/>
        <v>1.6397344068055653</v>
      </c>
      <c r="AJ368" s="22">
        <f t="shared" si="91"/>
        <v>-0.13089608517240703</v>
      </c>
      <c r="AK368" s="22">
        <f t="shared" si="91"/>
        <v>-0.13209410170523925</v>
      </c>
      <c r="AL368" s="22">
        <f t="shared" si="91"/>
        <v>-0.13328419638855493</v>
      </c>
      <c r="AM368" s="22">
        <f t="shared" si="91"/>
        <v>-0.13446696197747518</v>
      </c>
      <c r="AN368" s="22">
        <f t="shared" si="91"/>
        <v>-0.13547441854530159</v>
      </c>
      <c r="AO368" s="22">
        <f t="shared" si="91"/>
        <v>-0.13647180135664599</v>
      </c>
      <c r="AP368" s="22">
        <f t="shared" si="91"/>
        <v>-0.1374575838778328</v>
      </c>
      <c r="AQ368" s="22">
        <f t="shared" si="91"/>
        <v>-0.13843149499593352</v>
      </c>
      <c r="AR368" s="22">
        <f t="shared" si="91"/>
        <v>-0.13939171751336263</v>
      </c>
      <c r="AS368" s="22">
        <f t="shared" si="91"/>
        <v>-0.14033622294950923</v>
      </c>
      <c r="AT368" s="22">
        <f t="shared" si="91"/>
        <v>-0.14126464078823431</v>
      </c>
      <c r="AU368" s="22">
        <f t="shared" si="91"/>
        <v>-0.14217711138361663</v>
      </c>
      <c r="AV368" s="22">
        <f t="shared" si="91"/>
        <v>-0.14307369087756849</v>
      </c>
      <c r="AW368" s="22">
        <f t="shared" si="91"/>
        <v>-0.14395235507647042</v>
      </c>
      <c r="AY368" s="79"/>
    </row>
    <row r="369" spans="1:51" x14ac:dyDescent="0.25">
      <c r="A369" s="95" t="str">
        <f t="shared" si="71"/>
        <v>GS Organic</v>
      </c>
      <c r="B369" s="95" t="s">
        <v>1021</v>
      </c>
      <c r="C369" s="95" t="s">
        <v>1127</v>
      </c>
      <c r="D369" t="s">
        <v>369</v>
      </c>
      <c r="E369" t="s">
        <v>55</v>
      </c>
      <c r="F369" t="s">
        <v>421</v>
      </c>
      <c r="G369" t="s">
        <v>1164</v>
      </c>
      <c r="H369" t="s">
        <v>1165</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5.9207171446821721E-2</v>
      </c>
      <c r="T369" s="22">
        <f t="shared" si="91"/>
        <v>5.9246576334297835E-2</v>
      </c>
      <c r="U369" s="22">
        <f t="shared" si="91"/>
        <v>6.0018268189792646E-2</v>
      </c>
      <c r="V369" s="22">
        <f t="shared" si="91"/>
        <v>6.0037093010318184E-2</v>
      </c>
      <c r="W369" s="22">
        <f t="shared" si="91"/>
        <v>6.0117615700915394E-2</v>
      </c>
      <c r="X369" s="22">
        <f t="shared" si="91"/>
        <v>6.0234013204612538E-2</v>
      </c>
      <c r="Y369" s="22">
        <f t="shared" si="91"/>
        <v>6.0342142496718161E-2</v>
      </c>
      <c r="Z369" s="22">
        <f t="shared" si="91"/>
        <v>6.0443342363168437E-2</v>
      </c>
      <c r="AA369" s="22">
        <f t="shared" si="91"/>
        <v>6.0537073159976813E-2</v>
      </c>
      <c r="AB369" s="22">
        <f t="shared" si="91"/>
        <v>6.0624179409324928E-2</v>
      </c>
      <c r="AC369" s="22">
        <f t="shared" si="91"/>
        <v>6.0705982424299358E-2</v>
      </c>
      <c r="AD369" s="22">
        <f t="shared" si="91"/>
        <v>6.0782405127579278E-2</v>
      </c>
      <c r="AE369" s="22">
        <f t="shared" si="91"/>
        <v>6.0854669862410914E-2</v>
      </c>
      <c r="AF369" s="22">
        <f t="shared" si="91"/>
        <v>6.0922951557005132E-2</v>
      </c>
      <c r="AG369" s="22">
        <f t="shared" si="91"/>
        <v>6.0986314332021271E-2</v>
      </c>
      <c r="AH369" s="22">
        <f t="shared" si="91"/>
        <v>6.1045337815494746E-2</v>
      </c>
      <c r="AI369" s="22">
        <f t="shared" si="91"/>
        <v>6.1100963630343091E-2</v>
      </c>
      <c r="AJ369" s="22">
        <f t="shared" si="91"/>
        <v>5.9760031976995184E-2</v>
      </c>
      <c r="AK369" s="22">
        <f t="shared" si="91"/>
        <v>5.9814986740369232E-2</v>
      </c>
      <c r="AL369" s="22">
        <f t="shared" si="91"/>
        <v>5.9866245389547455E-2</v>
      </c>
      <c r="AM369" s="22">
        <f t="shared" si="91"/>
        <v>5.9914121191052938E-2</v>
      </c>
      <c r="AN369" s="22">
        <f t="shared" si="91"/>
        <v>5.9958994957515464E-2</v>
      </c>
      <c r="AO369" s="22">
        <f t="shared" si="91"/>
        <v>5.9999686326466663E-2</v>
      </c>
      <c r="AP369" s="22">
        <f t="shared" si="91"/>
        <v>6.0035407039000573E-2</v>
      </c>
      <c r="AQ369" s="22">
        <f t="shared" si="91"/>
        <v>6.0066041639394212E-2</v>
      </c>
      <c r="AR369" s="22">
        <f t="shared" si="91"/>
        <v>6.0090693101993796E-2</v>
      </c>
      <c r="AS369" s="22">
        <f t="shared" si="91"/>
        <v>6.010838638445111E-2</v>
      </c>
      <c r="AT369" s="22">
        <f t="shared" si="91"/>
        <v>6.0119011530987615E-2</v>
      </c>
      <c r="AU369" s="22">
        <f t="shared" si="91"/>
        <v>6.0122720098989259E-2</v>
      </c>
      <c r="AV369" s="22">
        <f t="shared" si="91"/>
        <v>6.0119620565134202E-2</v>
      </c>
      <c r="AW369" s="22">
        <f t="shared" si="91"/>
        <v>6.0108795193871321E-2</v>
      </c>
      <c r="AY369" s="79"/>
    </row>
    <row r="370" spans="1:51" x14ac:dyDescent="0.25">
      <c r="A370" s="95" t="str">
        <f t="shared" si="71"/>
        <v>GS Organic</v>
      </c>
      <c r="B370" s="95" t="s">
        <v>1021</v>
      </c>
      <c r="C370" s="95" t="s">
        <v>1127</v>
      </c>
      <c r="D370" t="s">
        <v>369</v>
      </c>
      <c r="E370" t="s">
        <v>55</v>
      </c>
      <c r="F370" t="s">
        <v>421</v>
      </c>
      <c r="G370" t="s">
        <v>1166</v>
      </c>
      <c r="H370" t="s">
        <v>1167</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4.8186589457144935E-2</v>
      </c>
      <c r="T370" s="22">
        <f t="shared" si="91"/>
        <v>4.8218659679197723E-2</v>
      </c>
      <c r="U370" s="22">
        <f t="shared" si="91"/>
        <v>4.884671195258742E-2</v>
      </c>
      <c r="V370" s="22">
        <f t="shared" si="91"/>
        <v>4.8862032797615189E-2</v>
      </c>
      <c r="W370" s="22">
        <f t="shared" si="91"/>
        <v>4.8927567322217112E-2</v>
      </c>
      <c r="X370" s="22">
        <f t="shared" si="91"/>
        <v>4.9022299068176782E-2</v>
      </c>
      <c r="Y370" s="22">
        <f t="shared" si="91"/>
        <v>4.9110301613808693E-2</v>
      </c>
      <c r="Z370" s="22">
        <f t="shared" si="91"/>
        <v>4.9192664548882145E-2</v>
      </c>
      <c r="AA370" s="22">
        <f t="shared" si="91"/>
        <v>4.9268948676546534E-2</v>
      </c>
      <c r="AB370" s="22">
        <f t="shared" si="91"/>
        <v>4.9339841323060789E-2</v>
      </c>
      <c r="AC370" s="22">
        <f t="shared" si="91"/>
        <v>4.9406417857669777E-2</v>
      </c>
      <c r="AD370" s="22">
        <f t="shared" si="91"/>
        <v>4.9468615549911547E-2</v>
      </c>
      <c r="AE370" s="22">
        <f t="shared" si="91"/>
        <v>4.9527429221033953E-2</v>
      </c>
      <c r="AF370" s="22">
        <f t="shared" si="91"/>
        <v>4.9583001238822449E-2</v>
      </c>
      <c r="AG370" s="22">
        <f t="shared" si="91"/>
        <v>4.9634569924708931E-2</v>
      </c>
      <c r="AH370" s="22">
        <f t="shared" si="91"/>
        <v>4.9682607017124701E-2</v>
      </c>
      <c r="AI370" s="22">
        <f t="shared" si="91"/>
        <v>4.972787886912871E-2</v>
      </c>
      <c r="AJ370" s="22">
        <f t="shared" si="91"/>
        <v>4.8636542777722926E-2</v>
      </c>
      <c r="AK370" s="22">
        <f t="shared" si="91"/>
        <v>4.8681268485043679E-2</v>
      </c>
      <c r="AL370" s="22">
        <f t="shared" si="91"/>
        <v>4.872298605782617E-2</v>
      </c>
      <c r="AM370" s="22">
        <f t="shared" si="91"/>
        <v>4.8761950452437537E-2</v>
      </c>
      <c r="AN370" s="22">
        <f t="shared" si="91"/>
        <v>4.8798471598594094E-2</v>
      </c>
      <c r="AO370" s="22">
        <f t="shared" si="91"/>
        <v>4.8831588841694647E-2</v>
      </c>
      <c r="AP370" s="22">
        <f t="shared" si="91"/>
        <v>4.8860660646138712E-2</v>
      </c>
      <c r="AQ370" s="22">
        <f t="shared" si="91"/>
        <v>4.8885593046661804E-2</v>
      </c>
      <c r="AR370" s="22">
        <f t="shared" si="91"/>
        <v>4.8905655986315542E-2</v>
      </c>
      <c r="AS370" s="22">
        <f t="shared" si="91"/>
        <v>4.8920055913167046E-2</v>
      </c>
      <c r="AT370" s="22">
        <f t="shared" si="91"/>
        <v>4.8928703338159067E-2</v>
      </c>
      <c r="AU370" s="22">
        <f t="shared" si="91"/>
        <v>4.8931721608402395E-2</v>
      </c>
      <c r="AV370" s="22">
        <f t="shared" si="91"/>
        <v>4.8929199009167666E-2</v>
      </c>
      <c r="AW370" s="22">
        <f t="shared" si="91"/>
        <v>4.892038862846515E-2</v>
      </c>
      <c r="AY370" s="79"/>
    </row>
    <row r="371" spans="1:51" x14ac:dyDescent="0.25">
      <c r="A371" s="95" t="str">
        <f t="shared" si="71"/>
        <v>GS Organic</v>
      </c>
      <c r="B371" s="95" t="s">
        <v>1021</v>
      </c>
      <c r="C371" s="95" t="s">
        <v>1127</v>
      </c>
      <c r="D371" t="s">
        <v>369</v>
      </c>
      <c r="E371" t="s">
        <v>55</v>
      </c>
      <c r="F371" t="s">
        <v>421</v>
      </c>
      <c r="G371" t="s">
        <v>1168</v>
      </c>
      <c r="H371" t="s">
        <v>1169</v>
      </c>
      <c r="I371" t="s">
        <v>139</v>
      </c>
      <c r="J371" t="s">
        <v>287</v>
      </c>
      <c r="K371" s="22">
        <f t="shared" si="90"/>
        <v>7.214092738049376E-3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7.4155715935563154E-3</v>
      </c>
      <c r="R371" s="22">
        <f t="shared" si="91"/>
        <v>7.4643602602570466E-3</v>
      </c>
      <c r="S371" s="22">
        <f t="shared" si="91"/>
        <v>7.4461584032265975E-3</v>
      </c>
      <c r="T371" s="22">
        <f t="shared" si="91"/>
        <v>7.4583442385416504E-3</v>
      </c>
      <c r="U371" s="22">
        <f t="shared" si="91"/>
        <v>7.6095641103995637E-3</v>
      </c>
      <c r="V371" s="22">
        <f t="shared" si="91"/>
        <v>7.616396041581105E-3</v>
      </c>
      <c r="W371" s="22">
        <f t="shared" si="91"/>
        <v>7.6344836732780402E-3</v>
      </c>
      <c r="X371" s="22">
        <f t="shared" si="91"/>
        <v>7.6588952719713966E-3</v>
      </c>
      <c r="Y371" s="22">
        <f t="shared" si="91"/>
        <v>7.6812841131364881E-3</v>
      </c>
      <c r="Z371" s="22">
        <f t="shared" si="91"/>
        <v>7.7019461381660883E-3</v>
      </c>
      <c r="AA371" s="22">
        <f t="shared" si="91"/>
        <v>7.7208179709042681E-3</v>
      </c>
      <c r="AB371" s="22">
        <f t="shared" si="91"/>
        <v>7.7380934023290734E-3</v>
      </c>
      <c r="AC371" s="22">
        <f t="shared" si="91"/>
        <v>7.754051159190669E-3</v>
      </c>
      <c r="AD371" s="22">
        <f t="shared" si="91"/>
        <v>7.7687040986248812E-3</v>
      </c>
      <c r="AE371" s="22">
        <f t="shared" si="91"/>
        <v>7.7823052319108766E-3</v>
      </c>
      <c r="AF371" s="22">
        <f t="shared" si="91"/>
        <v>7.7949088981362474E-3</v>
      </c>
      <c r="AG371" s="22">
        <f t="shared" si="91"/>
        <v>7.8063612121467459E-3</v>
      </c>
      <c r="AH371" s="22">
        <f t="shared" si="91"/>
        <v>7.8167890041067195E-3</v>
      </c>
      <c r="AI371" s="22">
        <f t="shared" si="91"/>
        <v>7.8263838677397213E-3</v>
      </c>
      <c r="AJ371" s="22">
        <f t="shared" si="91"/>
        <v>7.5779321545979533E-3</v>
      </c>
      <c r="AK371" s="22">
        <f t="shared" si="91"/>
        <v>7.5875086550646472E-3</v>
      </c>
      <c r="AL371" s="22">
        <f t="shared" si="91"/>
        <v>7.5962279285727895E-3</v>
      </c>
      <c r="AM371" s="22">
        <f t="shared" si="91"/>
        <v>7.6041605420171859E-3</v>
      </c>
      <c r="AN371" s="22">
        <f t="shared" si="91"/>
        <v>7.6113882168756348E-3</v>
      </c>
      <c r="AO371" s="22">
        <f t="shared" si="91"/>
        <v>7.6177057736301935E-3</v>
      </c>
      <c r="AP371" s="22">
        <f t="shared" si="91"/>
        <v>7.6229804846382823E-3</v>
      </c>
      <c r="AQ371" s="22">
        <f t="shared" si="91"/>
        <v>7.6272026599535862E-3</v>
      </c>
      <c r="AR371" s="22">
        <f t="shared" si="91"/>
        <v>7.6302198564372984E-3</v>
      </c>
      <c r="AS371" s="22">
        <f t="shared" si="91"/>
        <v>7.6318659754992515E-3</v>
      </c>
      <c r="AT371" s="22">
        <f t="shared" si="91"/>
        <v>7.6321325230528187E-3</v>
      </c>
      <c r="AU371" s="22">
        <f t="shared" si="91"/>
        <v>7.631057996199485E-3</v>
      </c>
      <c r="AV371" s="22">
        <f t="shared" si="91"/>
        <v>7.6286724448087007E-3</v>
      </c>
      <c r="AW371" s="22">
        <f t="shared" si="91"/>
        <v>7.6248200266524988E-3</v>
      </c>
      <c r="AY371" s="79"/>
    </row>
    <row r="372" spans="1:51" x14ac:dyDescent="0.25">
      <c r="A372" s="95" t="str">
        <f t="shared" si="71"/>
        <v>GS Organic</v>
      </c>
      <c r="B372" s="95" t="s">
        <v>1021</v>
      </c>
      <c r="C372" s="95" t="s">
        <v>1127</v>
      </c>
      <c r="D372" t="s">
        <v>369</v>
      </c>
      <c r="E372" t="s">
        <v>55</v>
      </c>
      <c r="F372" t="s">
        <v>421</v>
      </c>
      <c r="G372" t="s">
        <v>1170</v>
      </c>
      <c r="H372" t="s">
        <v>1171</v>
      </c>
      <c r="I372" t="s">
        <v>139</v>
      </c>
      <c r="J372" t="s">
        <v>287</v>
      </c>
      <c r="K372" s="22">
        <f t="shared" si="90"/>
        <v>8.7045671471293537E-2</v>
      </c>
      <c r="L372" s="22">
        <f t="shared" si="91"/>
        <v>8.7271948200639354E-2</v>
      </c>
      <c r="M372" s="22">
        <f t="shared" si="91"/>
        <v>8.7584088952434122E-2</v>
      </c>
      <c r="N372" s="22">
        <f t="shared" si="91"/>
        <v>8.7964358824768801E-2</v>
      </c>
      <c r="O372" s="22">
        <f t="shared" si="91"/>
        <v>8.8412215452112072E-2</v>
      </c>
      <c r="P372" s="22">
        <f t="shared" si="91"/>
        <v>8.8924932944132923E-2</v>
      </c>
      <c r="Q372" s="22">
        <f t="shared" si="91"/>
        <v>8.9476727309038592E-2</v>
      </c>
      <c r="R372" s="22">
        <f t="shared" si="91"/>
        <v>9.0065414259340087E-2</v>
      </c>
      <c r="S372" s="22">
        <f t="shared" si="91"/>
        <v>8.9845789571278714E-2</v>
      </c>
      <c r="T372" s="22">
        <f t="shared" si="91"/>
        <v>8.9992824583989703E-2</v>
      </c>
      <c r="U372" s="22">
        <f t="shared" si="91"/>
        <v>9.1817452539803057E-2</v>
      </c>
      <c r="V372" s="22">
        <f t="shared" si="91"/>
        <v>9.1899887027234312E-2</v>
      </c>
      <c r="W372" s="22">
        <f t="shared" si="91"/>
        <v>9.211813346563695E-2</v>
      </c>
      <c r="X372" s="22">
        <f t="shared" si="91"/>
        <v>9.2412685265441663E-2</v>
      </c>
      <c r="Y372" s="22">
        <f t="shared" si="91"/>
        <v>9.2682830352765116E-2</v>
      </c>
      <c r="Z372" s="22">
        <f t="shared" si="91"/>
        <v>9.293213957403032E-2</v>
      </c>
      <c r="AA372" s="22">
        <f t="shared" si="91"/>
        <v>9.3159848228775613E-2</v>
      </c>
      <c r="AB372" s="22">
        <f t="shared" si="91"/>
        <v>9.3368294610452568E-2</v>
      </c>
      <c r="AC372" s="22">
        <f t="shared" si="91"/>
        <v>9.356084185258419E-2</v>
      </c>
      <c r="AD372" s="22">
        <f t="shared" si="91"/>
        <v>9.3737645090135047E-2</v>
      </c>
      <c r="AE372" s="22">
        <f t="shared" si="91"/>
        <v>9.390175717222761E-2</v>
      </c>
      <c r="AF372" s="22">
        <f t="shared" si="91"/>
        <v>9.40538337575203E-2</v>
      </c>
      <c r="AG372" s="22">
        <f t="shared" si="91"/>
        <v>9.4192018058601723E-2</v>
      </c>
      <c r="AH372" s="22">
        <f t="shared" si="91"/>
        <v>9.4317840415768184E-2</v>
      </c>
      <c r="AI372" s="22">
        <f t="shared" si="91"/>
        <v>9.4433612610268142E-2</v>
      </c>
      <c r="AJ372" s="22">
        <f t="shared" si="91"/>
        <v>9.1435779482264015E-2</v>
      </c>
      <c r="AK372" s="22">
        <f t="shared" si="91"/>
        <v>9.1551330105708581E-2</v>
      </c>
      <c r="AL372" s="22">
        <f t="shared" si="91"/>
        <v>9.1656537377754754E-2</v>
      </c>
      <c r="AM372" s="22">
        <f t="shared" si="91"/>
        <v>9.175225276274665E-2</v>
      </c>
      <c r="AN372" s="22">
        <f t="shared" si="91"/>
        <v>9.1839462316889414E-2</v>
      </c>
      <c r="AO372" s="22">
        <f t="shared" si="91"/>
        <v>9.1915690331932545E-2</v>
      </c>
      <c r="AP372" s="22">
        <f t="shared" si="91"/>
        <v>9.1979335308257068E-2</v>
      </c>
      <c r="AQ372" s="22">
        <f t="shared" si="91"/>
        <v>9.2030280326395222E-2</v>
      </c>
      <c r="AR372" s="22">
        <f t="shared" si="91"/>
        <v>9.2066685998379513E-2</v>
      </c>
      <c r="AS372" s="22">
        <f t="shared" si="91"/>
        <v>9.2086548168755195E-2</v>
      </c>
      <c r="AT372" s="22">
        <f t="shared" si="91"/>
        <v>9.2089764347368611E-2</v>
      </c>
      <c r="AU372" s="22">
        <f t="shared" si="91"/>
        <v>9.2076799042532853E-2</v>
      </c>
      <c r="AV372" s="22">
        <f t="shared" si="91"/>
        <v>9.2048014837757555E-2</v>
      </c>
      <c r="AW372" s="22">
        <f t="shared" si="91"/>
        <v>9.2001531331463521E-2</v>
      </c>
      <c r="AY372" s="79"/>
    </row>
    <row r="373" spans="1:51" x14ac:dyDescent="0.25">
      <c r="A373" s="95" t="str">
        <f t="shared" si="71"/>
        <v>GS Organic</v>
      </c>
      <c r="B373" s="95" t="s">
        <v>1021</v>
      </c>
      <c r="C373" s="95" t="s">
        <v>1127</v>
      </c>
      <c r="D373" t="s">
        <v>369</v>
      </c>
      <c r="E373" t="s">
        <v>55</v>
      </c>
      <c r="F373" t="s">
        <v>421</v>
      </c>
      <c r="G373" t="s">
        <v>1172</v>
      </c>
      <c r="H373" t="s">
        <v>1173</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25">
      <c r="A374" s="95" t="str">
        <f t="shared" ref="A374:A437" si="93">B374&amp;" "&amp;C374</f>
        <v>GS Organic</v>
      </c>
      <c r="B374" s="95" t="s">
        <v>1021</v>
      </c>
      <c r="C374" s="95" t="s">
        <v>1127</v>
      </c>
      <c r="D374" t="s">
        <v>369</v>
      </c>
      <c r="E374" t="s">
        <v>55</v>
      </c>
      <c r="F374" t="s">
        <v>421</v>
      </c>
      <c r="G374" t="s">
        <v>1174</v>
      </c>
      <c r="H374" t="s">
        <v>1175</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25">
      <c r="A375" s="95" t="str">
        <f t="shared" si="93"/>
        <v>GS Organic</v>
      </c>
      <c r="B375" s="95" t="s">
        <v>1021</v>
      </c>
      <c r="C375" s="95" t="s">
        <v>1127</v>
      </c>
      <c r="D375" t="s">
        <v>369</v>
      </c>
      <c r="E375" t="s">
        <v>55</v>
      </c>
      <c r="F375" t="s">
        <v>421</v>
      </c>
      <c r="G375" t="s">
        <v>1176</v>
      </c>
      <c r="H375" t="s">
        <v>1177</v>
      </c>
      <c r="I375" t="s">
        <v>139</v>
      </c>
      <c r="J375" t="s">
        <v>287</v>
      </c>
      <c r="K375" s="22">
        <f t="shared" si="90"/>
        <v>0.12462873299340151</v>
      </c>
      <c r="L375" s="22">
        <f t="shared" si="92"/>
        <v>0.12395129293471774</v>
      </c>
      <c r="M375" s="22">
        <f t="shared" si="92"/>
        <v>0.12400689511310994</v>
      </c>
      <c r="N375" s="22">
        <f t="shared" si="92"/>
        <v>0.12286841678965586</v>
      </c>
      <c r="O375" s="22">
        <f t="shared" si="92"/>
        <v>0.12100901910044999</v>
      </c>
      <c r="P375" s="22">
        <f t="shared" si="92"/>
        <v>0.11845842648899831</v>
      </c>
      <c r="Q375" s="22">
        <f t="shared" si="92"/>
        <v>0.11660641339960404</v>
      </c>
      <c r="R375" s="22">
        <f t="shared" si="92"/>
        <v>0.1149182786313902</v>
      </c>
      <c r="S375" s="22">
        <f t="shared" si="92"/>
        <v>0.10339476754661255</v>
      </c>
      <c r="T375" s="22">
        <f t="shared" si="92"/>
        <v>0.10708680746691927</v>
      </c>
      <c r="U375" s="22">
        <f t="shared" si="92"/>
        <v>0.34230494451620991</v>
      </c>
      <c r="V375" s="22">
        <f t="shared" si="92"/>
        <v>0.34324328716985369</v>
      </c>
      <c r="W375" s="22">
        <f t="shared" si="92"/>
        <v>0.3435898446352561</v>
      </c>
      <c r="X375" s="22">
        <f t="shared" si="92"/>
        <v>0.34336025373780221</v>
      </c>
      <c r="Y375" s="22">
        <f t="shared" si="92"/>
        <v>0.34258915131434525</v>
      </c>
      <c r="Z375" s="22">
        <f t="shared" si="92"/>
        <v>0.34126945430195527</v>
      </c>
      <c r="AA375" s="22">
        <f t="shared" si="92"/>
        <v>0.3393992662053118</v>
      </c>
      <c r="AB375" s="22">
        <f t="shared" si="92"/>
        <v>0.33697876239255126</v>
      </c>
      <c r="AC375" s="22">
        <f t="shared" si="92"/>
        <v>0.3340110473815755</v>
      </c>
      <c r="AD375" s="22">
        <f t="shared" si="92"/>
        <v>0.33050375948442778</v>
      </c>
      <c r="AE375" s="22">
        <f t="shared" si="92"/>
        <v>0.32646655874795893</v>
      </c>
      <c r="AF375" s="22">
        <f t="shared" si="92"/>
        <v>0.32191309563582443</v>
      </c>
      <c r="AG375" s="22">
        <f t="shared" si="92"/>
        <v>0.31686086246920969</v>
      </c>
      <c r="AH375" s="22">
        <f t="shared" si="92"/>
        <v>0.31132880694281095</v>
      </c>
      <c r="AI375" s="22">
        <f t="shared" si="92"/>
        <v>0.30533819170490117</v>
      </c>
      <c r="AJ375" s="22">
        <f t="shared" si="92"/>
        <v>-2.8452110243571058E-2</v>
      </c>
      <c r="AK375" s="22">
        <f t="shared" si="92"/>
        <v>-2.814409017595957E-2</v>
      </c>
      <c r="AL375" s="22">
        <f t="shared" si="92"/>
        <v>-2.7834978813803351E-2</v>
      </c>
      <c r="AM375" s="22">
        <f t="shared" si="92"/>
        <v>-2.7525096845033417E-2</v>
      </c>
      <c r="AN375" s="22">
        <f t="shared" si="92"/>
        <v>-2.7214798691689582E-2</v>
      </c>
      <c r="AO375" s="22">
        <f t="shared" si="92"/>
        <v>-2.6903261813323635E-2</v>
      </c>
      <c r="AP375" s="22">
        <f t="shared" si="92"/>
        <v>-2.659000059935173E-2</v>
      </c>
      <c r="AQ375" s="22">
        <f t="shared" si="92"/>
        <v>-2.6275045310908511E-2</v>
      </c>
      <c r="AR375" s="22">
        <f t="shared" si="92"/>
        <v>-2.5957874013715753E-2</v>
      </c>
      <c r="AS375" s="22">
        <f t="shared" si="92"/>
        <v>-2.5637945266726723E-2</v>
      </c>
      <c r="AT375" s="22">
        <f t="shared" si="92"/>
        <v>-2.5315349871404581E-2</v>
      </c>
      <c r="AU375" s="22">
        <f t="shared" si="92"/>
        <v>-2.4990356269877063E-2</v>
      </c>
      <c r="AV375" s="22">
        <f t="shared" si="92"/>
        <v>-2.4663194083915266E-2</v>
      </c>
      <c r="AW375" s="22">
        <f t="shared" si="92"/>
        <v>-2.433341037395171E-2</v>
      </c>
      <c r="AY375" s="79"/>
    </row>
    <row r="376" spans="1:51" x14ac:dyDescent="0.25">
      <c r="A376" s="95" t="str">
        <f t="shared" si="93"/>
        <v>GS Organic</v>
      </c>
      <c r="B376" s="95" t="s">
        <v>1021</v>
      </c>
      <c r="C376" s="95" t="s">
        <v>1127</v>
      </c>
      <c r="D376" t="s">
        <v>369</v>
      </c>
      <c r="E376" t="s">
        <v>55</v>
      </c>
      <c r="F376" t="s">
        <v>421</v>
      </c>
      <c r="G376" t="s">
        <v>1178</v>
      </c>
      <c r="H376" t="s">
        <v>1179</v>
      </c>
      <c r="I376" t="s">
        <v>139</v>
      </c>
      <c r="J376" t="s">
        <v>287</v>
      </c>
      <c r="K376" s="22">
        <f t="shared" si="90"/>
        <v>3.1618785484610064E-2</v>
      </c>
      <c r="L376" s="22">
        <f t="shared" si="92"/>
        <v>3.1446916354757493E-2</v>
      </c>
      <c r="M376" s="22">
        <f t="shared" si="92"/>
        <v>3.1461022839745618E-2</v>
      </c>
      <c r="N376" s="22">
        <f t="shared" si="92"/>
        <v>3.1172186541537576E-2</v>
      </c>
      <c r="O376" s="22">
        <f t="shared" si="92"/>
        <v>3.0700450247237825E-2</v>
      </c>
      <c r="P376" s="22">
        <f t="shared" si="92"/>
        <v>3.0053355161673637E-2</v>
      </c>
      <c r="Q376" s="22">
        <f t="shared" si="92"/>
        <v>2.9583492368545915E-2</v>
      </c>
      <c r="R376" s="22">
        <f t="shared" si="92"/>
        <v>2.9155206131309674E-2</v>
      </c>
      <c r="S376" s="22">
        <f t="shared" si="92"/>
        <v>2.6231647363859134E-2</v>
      </c>
      <c r="T376" s="22">
        <f t="shared" si="92"/>
        <v>2.716833199056537E-2</v>
      </c>
      <c r="U376" s="22">
        <f t="shared" si="92"/>
        <v>8.684407159585289E-2</v>
      </c>
      <c r="V376" s="22">
        <f t="shared" si="92"/>
        <v>8.7082132710364829E-2</v>
      </c>
      <c r="W376" s="22">
        <f t="shared" si="92"/>
        <v>8.7170055662748783E-2</v>
      </c>
      <c r="X376" s="22">
        <f t="shared" si="92"/>
        <v>8.7111807575317793E-2</v>
      </c>
      <c r="Y376" s="22">
        <f t="shared" si="92"/>
        <v>8.6916175945850438E-2</v>
      </c>
      <c r="Z376" s="22">
        <f t="shared" si="92"/>
        <v>8.6581363774233103E-2</v>
      </c>
      <c r="AA376" s="22">
        <f t="shared" si="92"/>
        <v>8.6106889912360693E-2</v>
      </c>
      <c r="AB376" s="22">
        <f t="shared" si="92"/>
        <v>8.5492798851799182E-2</v>
      </c>
      <c r="AC376" s="22">
        <f t="shared" si="92"/>
        <v>8.4739878220595588E-2</v>
      </c>
      <c r="AD376" s="22">
        <f t="shared" si="92"/>
        <v>8.3850065887683914E-2</v>
      </c>
      <c r="AE376" s="22">
        <f t="shared" si="92"/>
        <v>8.2825812643839453E-2</v>
      </c>
      <c r="AF376" s="22">
        <f t="shared" si="92"/>
        <v>8.1670581663819047E-2</v>
      </c>
      <c r="AG376" s="22">
        <f t="shared" si="92"/>
        <v>8.0388810816306083E-2</v>
      </c>
      <c r="AH376" s="22">
        <f t="shared" si="92"/>
        <v>7.8985307203801092E-2</v>
      </c>
      <c r="AI376" s="22">
        <f t="shared" si="92"/>
        <v>7.7465465241367507E-2</v>
      </c>
      <c r="AJ376" s="22">
        <f t="shared" si="92"/>
        <v>-7.2184090198813182E-3</v>
      </c>
      <c r="AK376" s="22">
        <f t="shared" si="92"/>
        <v>-7.1402631524810738E-3</v>
      </c>
      <c r="AL376" s="22">
        <f t="shared" si="92"/>
        <v>-7.0618404194874671E-3</v>
      </c>
      <c r="AM376" s="22">
        <f t="shared" si="92"/>
        <v>-6.9832221806532197E-3</v>
      </c>
      <c r="AN376" s="22">
        <f t="shared" si="92"/>
        <v>-6.9044983542032711E-3</v>
      </c>
      <c r="AO376" s="22">
        <f t="shared" si="92"/>
        <v>-6.8254602584848501E-3</v>
      </c>
      <c r="AP376" s="22">
        <f t="shared" si="92"/>
        <v>-6.7459846922384176E-3</v>
      </c>
      <c r="AQ376" s="22">
        <f t="shared" si="92"/>
        <v>-6.66607933282939E-3</v>
      </c>
      <c r="AR376" s="22">
        <f t="shared" si="92"/>
        <v>-6.5856117635382473E-3</v>
      </c>
      <c r="AS376" s="22">
        <f t="shared" si="92"/>
        <v>-6.5044446187038276E-3</v>
      </c>
      <c r="AT376" s="22">
        <f t="shared" si="92"/>
        <v>-6.4226009350040626E-3</v>
      </c>
      <c r="AU376" s="22">
        <f t="shared" si="92"/>
        <v>-6.3401488172318849E-3</v>
      </c>
      <c r="AV376" s="22">
        <f t="shared" si="92"/>
        <v>-6.2571465213074788E-3</v>
      </c>
      <c r="AW376" s="22">
        <f t="shared" si="92"/>
        <v>-6.1734791347329209E-3</v>
      </c>
      <c r="AY376" s="79"/>
    </row>
    <row r="377" spans="1:51" x14ac:dyDescent="0.25">
      <c r="A377" s="95" t="str">
        <f t="shared" si="93"/>
        <v>GS Organic</v>
      </c>
      <c r="B377" s="95" t="s">
        <v>1021</v>
      </c>
      <c r="C377" s="95" t="s">
        <v>1127</v>
      </c>
      <c r="D377" t="s">
        <v>369</v>
      </c>
      <c r="E377" t="s">
        <v>55</v>
      </c>
      <c r="F377" t="s">
        <v>421</v>
      </c>
      <c r="G377" t="s">
        <v>1180</v>
      </c>
      <c r="H377" t="s">
        <v>1181</v>
      </c>
      <c r="I377" t="s">
        <v>139</v>
      </c>
      <c r="J377" t="s">
        <v>287</v>
      </c>
      <c r="K377" s="22">
        <f t="shared" si="90"/>
        <v>0.15700744358616767</v>
      </c>
      <c r="L377" s="22">
        <f t="shared" si="92"/>
        <v>0.16019971617730661</v>
      </c>
      <c r="M377" s="22">
        <f t="shared" si="92"/>
        <v>0.16393118028621728</v>
      </c>
      <c r="N377" s="22">
        <f t="shared" si="92"/>
        <v>0.1667959170810015</v>
      </c>
      <c r="O377" s="22">
        <f t="shared" si="92"/>
        <v>0.16909558154641685</v>
      </c>
      <c r="P377" s="22">
        <f t="shared" si="92"/>
        <v>0.17081649742586288</v>
      </c>
      <c r="Q377" s="22">
        <f t="shared" si="92"/>
        <v>0.17302318661183388</v>
      </c>
      <c r="R377" s="22">
        <f t="shared" si="92"/>
        <v>0.17531753251219057</v>
      </c>
      <c r="S377" s="22">
        <f t="shared" si="92"/>
        <v>0.16840615861524894</v>
      </c>
      <c r="T377" s="22">
        <f t="shared" si="92"/>
        <v>0.17458356718938842</v>
      </c>
      <c r="U377" s="22">
        <f t="shared" si="92"/>
        <v>0.38800090489360167</v>
      </c>
      <c r="V377" s="22">
        <f t="shared" si="92"/>
        <v>0.39653088130091707</v>
      </c>
      <c r="W377" s="22">
        <f t="shared" si="92"/>
        <v>0.40471104789547857</v>
      </c>
      <c r="X377" s="22">
        <f t="shared" si="92"/>
        <v>0.41246916129593358</v>
      </c>
      <c r="Y377" s="22">
        <f t="shared" si="92"/>
        <v>0.41970725517029195</v>
      </c>
      <c r="Z377" s="22">
        <f t="shared" si="92"/>
        <v>0.42639369577393321</v>
      </c>
      <c r="AA377" s="22">
        <f t="shared" si="92"/>
        <v>0.43249628984221433</v>
      </c>
      <c r="AB377" s="22">
        <f t="shared" si="92"/>
        <v>0.4379872665206837</v>
      </c>
      <c r="AC377" s="22">
        <f t="shared" si="92"/>
        <v>0.44284225594622417</v>
      </c>
      <c r="AD377" s="22">
        <f t="shared" si="92"/>
        <v>0.44703777917847665</v>
      </c>
      <c r="AE377" s="22">
        <f t="shared" si="92"/>
        <v>0.4505554182669968</v>
      </c>
      <c r="AF377" s="22">
        <f t="shared" si="92"/>
        <v>0.45337855769901697</v>
      </c>
      <c r="AG377" s="22">
        <f t="shared" si="92"/>
        <v>0.45549241971080034</v>
      </c>
      <c r="AH377" s="22">
        <f t="shared" si="92"/>
        <v>0.45688810753700776</v>
      </c>
      <c r="AI377" s="22">
        <f t="shared" si="92"/>
        <v>0.45756101673458949</v>
      </c>
      <c r="AJ377" s="22">
        <f t="shared" si="92"/>
        <v>5.9649191888050651E-2</v>
      </c>
      <c r="AK377" s="22">
        <f t="shared" si="92"/>
        <v>6.0086977867764617E-2</v>
      </c>
      <c r="AL377" s="22">
        <f t="shared" si="92"/>
        <v>6.051391169747472E-2</v>
      </c>
      <c r="AM377" s="22">
        <f t="shared" si="92"/>
        <v>6.0930636526454876E-2</v>
      </c>
      <c r="AN377" s="22">
        <f t="shared" si="92"/>
        <v>6.1337893751701338E-2</v>
      </c>
      <c r="AO377" s="22">
        <f t="shared" si="92"/>
        <v>6.173401354876637E-2</v>
      </c>
      <c r="AP377" s="22">
        <f t="shared" si="92"/>
        <v>6.2117896275395594E-2</v>
      </c>
      <c r="AQ377" s="22">
        <f t="shared" si="92"/>
        <v>6.2489460947128449E-2</v>
      </c>
      <c r="AR377" s="22">
        <f t="shared" si="92"/>
        <v>6.2847397693153853E-2</v>
      </c>
      <c r="AS377" s="22">
        <f t="shared" si="92"/>
        <v>6.3190248292167767E-2</v>
      </c>
      <c r="AT377" s="22">
        <f t="shared" si="92"/>
        <v>6.3517885217877365E-2</v>
      </c>
      <c r="AU377" s="22">
        <f t="shared" si="92"/>
        <v>6.3830584812563373E-2</v>
      </c>
      <c r="AV377" s="22">
        <f t="shared" si="92"/>
        <v>6.4128553387287249E-2</v>
      </c>
      <c r="AW377" s="22">
        <f t="shared" si="92"/>
        <v>6.4410368967620674E-2</v>
      </c>
      <c r="AY377" s="79"/>
    </row>
    <row r="378" spans="1:51" x14ac:dyDescent="0.25">
      <c r="A378" s="95" t="str">
        <f t="shared" si="93"/>
        <v>GS Organic</v>
      </c>
      <c r="B378" s="95" t="s">
        <v>1021</v>
      </c>
      <c r="C378" s="95" t="s">
        <v>1127</v>
      </c>
      <c r="D378" t="s">
        <v>369</v>
      </c>
      <c r="E378" t="s">
        <v>55</v>
      </c>
      <c r="F378" t="s">
        <v>421</v>
      </c>
      <c r="G378" t="s">
        <v>1182</v>
      </c>
      <c r="H378" t="s">
        <v>1183</v>
      </c>
      <c r="I378" t="s">
        <v>139</v>
      </c>
      <c r="J378" t="s">
        <v>287</v>
      </c>
      <c r="K378" s="22">
        <f t="shared" si="90"/>
        <v>0.78620275218739066</v>
      </c>
      <c r="L378" s="22">
        <f t="shared" si="92"/>
        <v>0.79655563720176403</v>
      </c>
      <c r="M378" s="22">
        <f t="shared" si="92"/>
        <v>0.81318534024672162</v>
      </c>
      <c r="N378" s="22">
        <f t="shared" si="92"/>
        <v>0.81796021384654061</v>
      </c>
      <c r="O378" s="22">
        <f t="shared" si="92"/>
        <v>0.81503229757580642</v>
      </c>
      <c r="P378" s="22">
        <f t="shared" si="92"/>
        <v>0.80443274266431919</v>
      </c>
      <c r="Q378" s="22">
        <f t="shared" si="92"/>
        <v>0.7999705721751077</v>
      </c>
      <c r="R378" s="22">
        <f t="shared" si="92"/>
        <v>0.79652072541357855</v>
      </c>
      <c r="S378" s="22">
        <f t="shared" si="92"/>
        <v>0.69465569137892269</v>
      </c>
      <c r="T378" s="22">
        <f t="shared" si="92"/>
        <v>0.74722740283446698</v>
      </c>
      <c r="U378" s="22">
        <f t="shared" si="92"/>
        <v>3.2491319225574986</v>
      </c>
      <c r="V378" s="22">
        <f t="shared" si="92"/>
        <v>3.3073834646513305</v>
      </c>
      <c r="W378" s="22">
        <f t="shared" si="92"/>
        <v>3.3591336989468359</v>
      </c>
      <c r="X378" s="22">
        <f t="shared" si="92"/>
        <v>3.4046035940471189</v>
      </c>
      <c r="Y378" s="22">
        <f t="shared" si="92"/>
        <v>3.4444110933040832</v>
      </c>
      <c r="Z378" s="22">
        <f t="shared" si="92"/>
        <v>3.4782576037016457</v>
      </c>
      <c r="AA378" s="22">
        <f t="shared" si="92"/>
        <v>3.505913886515494</v>
      </c>
      <c r="AB378" s="22">
        <f t="shared" si="92"/>
        <v>3.5271546213039011</v>
      </c>
      <c r="AC378" s="22">
        <f t="shared" si="92"/>
        <v>3.5417788512464328</v>
      </c>
      <c r="AD378" s="22">
        <f t="shared" si="92"/>
        <v>3.549649544772171</v>
      </c>
      <c r="AE378" s="22">
        <f t="shared" si="92"/>
        <v>3.5506396563756342</v>
      </c>
      <c r="AF378" s="22">
        <f t="shared" si="92"/>
        <v>3.5446807301434013</v>
      </c>
      <c r="AG378" s="22">
        <f t="shared" si="92"/>
        <v>3.5317644478597843</v>
      </c>
      <c r="AH378" s="22">
        <f t="shared" si="92"/>
        <v>3.5118898029906984</v>
      </c>
      <c r="AI378" s="22">
        <f t="shared" si="92"/>
        <v>3.4850865665660411</v>
      </c>
      <c r="AJ378" s="22">
        <f t="shared" si="92"/>
        <v>-0.74420912451247578</v>
      </c>
      <c r="AK378" s="22">
        <f t="shared" si="92"/>
        <v>-0.74526229962435608</v>
      </c>
      <c r="AL378" s="22">
        <f t="shared" si="92"/>
        <v>-0.74621593178570578</v>
      </c>
      <c r="AM378" s="22">
        <f t="shared" si="92"/>
        <v>-0.74707813045846294</v>
      </c>
      <c r="AN378" s="22">
        <f t="shared" si="92"/>
        <v>-0.74785816697127483</v>
      </c>
      <c r="AO378" s="22">
        <f t="shared" si="92"/>
        <v>-0.74853427138595596</v>
      </c>
      <c r="AP378" s="22">
        <f t="shared" si="92"/>
        <v>-0.74909252303654383</v>
      </c>
      <c r="AQ378" s="22">
        <f t="shared" si="92"/>
        <v>-0.74953228992663867</v>
      </c>
      <c r="AR378" s="22">
        <f t="shared" si="92"/>
        <v>-0.74983752364841638</v>
      </c>
      <c r="AS378" s="22">
        <f t="shared" si="92"/>
        <v>-0.74999071959333552</v>
      </c>
      <c r="AT378" s="22">
        <f t="shared" si="92"/>
        <v>-0.74999137614758737</v>
      </c>
      <c r="AU378" s="22">
        <f t="shared" si="92"/>
        <v>-0.74984403824480428</v>
      </c>
      <c r="AV378" s="22">
        <f t="shared" si="92"/>
        <v>-0.749552317817198</v>
      </c>
      <c r="AW378" s="22">
        <f t="shared" si="92"/>
        <v>-0.74909980498727913</v>
      </c>
      <c r="AY378" s="79"/>
    </row>
    <row r="379" spans="1:51" x14ac:dyDescent="0.25">
      <c r="A379" s="95" t="str">
        <f t="shared" si="93"/>
        <v>GS U&amp;D</v>
      </c>
      <c r="B379" s="95" t="s">
        <v>1021</v>
      </c>
      <c r="C379" s="95" t="s">
        <v>1336</v>
      </c>
      <c r="D379" t="s">
        <v>369</v>
      </c>
      <c r="E379" t="s">
        <v>55</v>
      </c>
      <c r="F379" t="s">
        <v>422</v>
      </c>
      <c r="G379" t="s">
        <v>1152</v>
      </c>
      <c r="H379" t="s">
        <v>1240</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25">
      <c r="A380" s="95" t="str">
        <f t="shared" si="93"/>
        <v>GS U&amp;D</v>
      </c>
      <c r="B380" s="95" t="s">
        <v>1021</v>
      </c>
      <c r="C380" s="95" t="s">
        <v>1336</v>
      </c>
      <c r="D380" t="s">
        <v>369</v>
      </c>
      <c r="E380" t="s">
        <v>55</v>
      </c>
      <c r="F380" t="s">
        <v>422</v>
      </c>
      <c r="G380" t="s">
        <v>1154</v>
      </c>
      <c r="H380" t="s">
        <v>1241</v>
      </c>
      <c r="I380" t="s">
        <v>139</v>
      </c>
      <c r="J380" t="s">
        <v>287</v>
      </c>
      <c r="K380" s="22">
        <f t="shared" si="90"/>
        <v>1.0775797812462991</v>
      </c>
      <c r="L380" s="22">
        <f t="shared" si="92"/>
        <v>1.0836040032789309</v>
      </c>
      <c r="M380" s="22">
        <f t="shared" si="92"/>
        <v>1.0921513426512339</v>
      </c>
      <c r="N380" s="22">
        <f t="shared" si="92"/>
        <v>1.0976439186771809</v>
      </c>
      <c r="O380" s="22">
        <f t="shared" si="92"/>
        <v>1.1012937605673541</v>
      </c>
      <c r="P380" s="22">
        <f t="shared" si="92"/>
        <v>1.1030649457277466</v>
      </c>
      <c r="Q380" s="22">
        <f t="shared" si="92"/>
        <v>1.1069781529146336</v>
      </c>
      <c r="R380" s="22">
        <f t="shared" si="92"/>
        <v>1.1114672588381174</v>
      </c>
      <c r="S380" s="22">
        <f t="shared" si="92"/>
        <v>1.0798853549763567</v>
      </c>
      <c r="T380" s="22">
        <f t="shared" si="92"/>
        <v>1.098466311859537</v>
      </c>
      <c r="U380" s="22">
        <f t="shared" si="92"/>
        <v>1.889999136322517</v>
      </c>
      <c r="V380" s="22">
        <f t="shared" si="92"/>
        <v>1.9127821937491298</v>
      </c>
      <c r="W380" s="22">
        <f t="shared" si="92"/>
        <v>1.9345659305338647</v>
      </c>
      <c r="X380" s="22">
        <f t="shared" si="92"/>
        <v>1.9549798101221001</v>
      </c>
      <c r="Y380" s="22">
        <f t="shared" si="92"/>
        <v>1.9734786750778357</v>
      </c>
      <c r="Z380" s="22">
        <f t="shared" si="92"/>
        <v>1.9899761352853818</v>
      </c>
      <c r="AA380" s="22">
        <f t="shared" si="92"/>
        <v>2.0043760843310485</v>
      </c>
      <c r="AB380" s="22">
        <f t="shared" si="92"/>
        <v>2.0166057838413951</v>
      </c>
      <c r="AC380" s="22">
        <f t="shared" si="92"/>
        <v>2.0266075471247365</v>
      </c>
      <c r="AD380" s="22">
        <f t="shared" si="92"/>
        <v>2.0343207325041344</v>
      </c>
      <c r="AE380" s="22">
        <f t="shared" si="92"/>
        <v>2.0397090361762231</v>
      </c>
      <c r="AF380" s="22">
        <f t="shared" ref="L380:AW387" si="94">AF1483</f>
        <v>2.0427376347432897</v>
      </c>
      <c r="AG380" s="22">
        <f t="shared" si="94"/>
        <v>2.0433728844876047</v>
      </c>
      <c r="AH380" s="22">
        <f t="shared" si="94"/>
        <v>2.0416086414199954</v>
      </c>
      <c r="AI380" s="22">
        <f t="shared" si="94"/>
        <v>2.0374549495329468</v>
      </c>
      <c r="AJ380" s="22">
        <f t="shared" si="94"/>
        <v>0.64461551353755753</v>
      </c>
      <c r="AK380" s="22">
        <f t="shared" si="94"/>
        <v>0.64508607204460633</v>
      </c>
      <c r="AL380" s="22">
        <f t="shared" si="94"/>
        <v>0.64552275664376835</v>
      </c>
      <c r="AM380" s="22">
        <f t="shared" si="94"/>
        <v>0.64592852135594947</v>
      </c>
      <c r="AN380" s="22">
        <f t="shared" si="94"/>
        <v>0.64630700491581017</v>
      </c>
      <c r="AO380" s="22">
        <f t="shared" si="94"/>
        <v>0.64664632856302828</v>
      </c>
      <c r="AP380" s="22">
        <f t="shared" si="94"/>
        <v>0.64693851525277601</v>
      </c>
      <c r="AQ380" s="22">
        <f t="shared" si="94"/>
        <v>0.64718228577189862</v>
      </c>
      <c r="AR380" s="22">
        <f t="shared" si="94"/>
        <v>0.64736858903651606</v>
      </c>
      <c r="AS380" s="22">
        <f t="shared" si="94"/>
        <v>0.64748759839973102</v>
      </c>
      <c r="AT380" s="22">
        <f t="shared" si="94"/>
        <v>0.64753810013359636</v>
      </c>
      <c r="AU380" s="22">
        <f t="shared" si="94"/>
        <v>0.6475214899931051</v>
      </c>
      <c r="AV380" s="22">
        <f t="shared" si="94"/>
        <v>0.6474387413563446</v>
      </c>
      <c r="AW380" s="22">
        <f t="shared" si="94"/>
        <v>0.64728061173527773</v>
      </c>
      <c r="AY380" s="79"/>
    </row>
    <row r="381" spans="1:51" x14ac:dyDescent="0.25">
      <c r="A381" s="95" t="str">
        <f t="shared" si="93"/>
        <v>GS U&amp;D</v>
      </c>
      <c r="B381" s="95" t="s">
        <v>1021</v>
      </c>
      <c r="C381" s="95" t="s">
        <v>1336</v>
      </c>
      <c r="D381" t="s">
        <v>369</v>
      </c>
      <c r="E381" t="s">
        <v>55</v>
      </c>
      <c r="F381" t="s">
        <v>422</v>
      </c>
      <c r="G381" t="s">
        <v>1156</v>
      </c>
      <c r="H381" t="s">
        <v>1242</v>
      </c>
      <c r="I381" t="s">
        <v>139</v>
      </c>
      <c r="J381" t="s">
        <v>287</v>
      </c>
      <c r="K381" s="22">
        <f t="shared" si="90"/>
        <v>0.73383920392416069</v>
      </c>
      <c r="L381" s="22">
        <f t="shared" si="94"/>
        <v>0.73794174034663862</v>
      </c>
      <c r="M381" s="22">
        <f t="shared" si="94"/>
        <v>0.74376253694082328</v>
      </c>
      <c r="N381" s="22">
        <f t="shared" si="94"/>
        <v>0.74750301879518044</v>
      </c>
      <c r="O381" s="22">
        <f t="shared" si="94"/>
        <v>0.74998858609492669</v>
      </c>
      <c r="P381" s="22">
        <f t="shared" si="94"/>
        <v>0.75119477530775858</v>
      </c>
      <c r="Q381" s="22">
        <f t="shared" si="94"/>
        <v>0.7538596961765357</v>
      </c>
      <c r="R381" s="22">
        <f t="shared" si="94"/>
        <v>0.75691680802528449</v>
      </c>
      <c r="S381" s="22">
        <f t="shared" si="94"/>
        <v>0.73540931540926791</v>
      </c>
      <c r="T381" s="22">
        <f t="shared" si="94"/>
        <v>0.74806307417925111</v>
      </c>
      <c r="U381" s="22">
        <f t="shared" si="94"/>
        <v>1.2871023433755899</v>
      </c>
      <c r="V381" s="22">
        <f t="shared" si="94"/>
        <v>1.3026177613667917</v>
      </c>
      <c r="W381" s="22">
        <f t="shared" si="94"/>
        <v>1.3174526351634348</v>
      </c>
      <c r="X381" s="22">
        <f t="shared" si="94"/>
        <v>1.3313546268365786</v>
      </c>
      <c r="Y381" s="22">
        <f t="shared" si="94"/>
        <v>1.3439524804422922</v>
      </c>
      <c r="Z381" s="22">
        <f t="shared" si="94"/>
        <v>1.3551873637207013</v>
      </c>
      <c r="AA381" s="22">
        <f t="shared" si="94"/>
        <v>1.3649938275465159</v>
      </c>
      <c r="AB381" s="22">
        <f t="shared" si="94"/>
        <v>1.3733223365897391</v>
      </c>
      <c r="AC381" s="22">
        <f t="shared" si="94"/>
        <v>1.3801336058186369</v>
      </c>
      <c r="AD381" s="22">
        <f t="shared" si="94"/>
        <v>1.3853863378362978</v>
      </c>
      <c r="AE381" s="22">
        <f t="shared" si="94"/>
        <v>1.3890558095042369</v>
      </c>
      <c r="AF381" s="22">
        <f t="shared" si="94"/>
        <v>1.3911183058503465</v>
      </c>
      <c r="AG381" s="22">
        <f t="shared" si="94"/>
        <v>1.3915509152726599</v>
      </c>
      <c r="AH381" s="22">
        <f t="shared" si="94"/>
        <v>1.3903494536725116</v>
      </c>
      <c r="AI381" s="22">
        <f t="shared" si="94"/>
        <v>1.3875207610775073</v>
      </c>
      <c r="AJ381" s="22">
        <f t="shared" si="94"/>
        <v>0.43898757523499138</v>
      </c>
      <c r="AK381" s="22">
        <f t="shared" si="94"/>
        <v>0.43930802879789405</v>
      </c>
      <c r="AL381" s="22">
        <f t="shared" si="94"/>
        <v>0.43960541399775782</v>
      </c>
      <c r="AM381" s="22">
        <f t="shared" si="94"/>
        <v>0.43988174254303092</v>
      </c>
      <c r="AN381" s="22">
        <f t="shared" si="94"/>
        <v>0.44013949243691386</v>
      </c>
      <c r="AO381" s="22">
        <f t="shared" si="94"/>
        <v>0.44037057416235159</v>
      </c>
      <c r="AP381" s="22">
        <f t="shared" si="94"/>
        <v>0.44056955529723674</v>
      </c>
      <c r="AQ381" s="22">
        <f t="shared" si="94"/>
        <v>0.4407355646886586</v>
      </c>
      <c r="AR381" s="22">
        <f t="shared" si="94"/>
        <v>0.44086243848656637</v>
      </c>
      <c r="AS381" s="22">
        <f t="shared" si="94"/>
        <v>0.44094348467718814</v>
      </c>
      <c r="AT381" s="22">
        <f t="shared" si="94"/>
        <v>0.44097787670348765</v>
      </c>
      <c r="AU381" s="22">
        <f t="shared" si="94"/>
        <v>0.44096656508416521</v>
      </c>
      <c r="AV381" s="22">
        <f t="shared" si="94"/>
        <v>0.44091021269635783</v>
      </c>
      <c r="AW381" s="22">
        <f t="shared" si="94"/>
        <v>0.44080252534247472</v>
      </c>
      <c r="AY381" s="79"/>
    </row>
    <row r="382" spans="1:51" x14ac:dyDescent="0.25">
      <c r="A382" s="95" t="str">
        <f t="shared" si="93"/>
        <v>GS U&amp;D</v>
      </c>
      <c r="B382" s="95" t="s">
        <v>1021</v>
      </c>
      <c r="C382" s="95" t="s">
        <v>1336</v>
      </c>
      <c r="D382" t="s">
        <v>369</v>
      </c>
      <c r="E382" t="s">
        <v>55</v>
      </c>
      <c r="F382" t="s">
        <v>422</v>
      </c>
      <c r="G382" t="s">
        <v>1158</v>
      </c>
      <c r="H382" t="s">
        <v>1243</v>
      </c>
      <c r="I382" t="s">
        <v>139</v>
      </c>
      <c r="J382" t="s">
        <v>287</v>
      </c>
      <c r="K382" s="22">
        <f t="shared" si="90"/>
        <v>15.353527292296841</v>
      </c>
      <c r="L382" s="22">
        <f t="shared" si="94"/>
        <v>15.220371053361493</v>
      </c>
      <c r="M382" s="22">
        <f t="shared" si="94"/>
        <v>15.169682504177887</v>
      </c>
      <c r="N382" s="22">
        <f t="shared" si="94"/>
        <v>14.967111251021194</v>
      </c>
      <c r="O382" s="22">
        <f t="shared" si="94"/>
        <v>14.673074129931953</v>
      </c>
      <c r="P382" s="22">
        <f t="shared" si="94"/>
        <v>14.293651368256896</v>
      </c>
      <c r="Q382" s="22">
        <f t="shared" si="94"/>
        <v>13.994389539168758</v>
      </c>
      <c r="R382" s="22">
        <f t="shared" si="94"/>
        <v>13.711253827544137</v>
      </c>
      <c r="S382" s="22">
        <f t="shared" si="94"/>
        <v>12.262231428549004</v>
      </c>
      <c r="T382" s="22">
        <f t="shared" si="94"/>
        <v>12.73465794206464</v>
      </c>
      <c r="U382" s="22">
        <f t="shared" si="94"/>
        <v>40.135765944691244</v>
      </c>
      <c r="V382" s="22">
        <f t="shared" si="94"/>
        <v>40.329355964050443</v>
      </c>
      <c r="W382" s="22">
        <f t="shared" si="94"/>
        <v>40.453253097840147</v>
      </c>
      <c r="X382" s="22">
        <f t="shared" si="94"/>
        <v>40.507432110592688</v>
      </c>
      <c r="Y382" s="22">
        <f t="shared" si="94"/>
        <v>40.493040718668887</v>
      </c>
      <c r="Z382" s="22">
        <f t="shared" si="94"/>
        <v>40.409389107608789</v>
      </c>
      <c r="AA382" s="22">
        <f t="shared" si="94"/>
        <v>40.256272365845206</v>
      </c>
      <c r="AB382" s="22">
        <f t="shared" si="94"/>
        <v>40.033817183265413</v>
      </c>
      <c r="AC382" s="22">
        <f t="shared" si="94"/>
        <v>39.742523773077906</v>
      </c>
      <c r="AD382" s="22">
        <f t="shared" si="94"/>
        <v>39.052391122761925</v>
      </c>
      <c r="AE382" s="22">
        <f t="shared" si="94"/>
        <v>38.297252341964814</v>
      </c>
      <c r="AF382" s="22">
        <f t="shared" si="94"/>
        <v>37.480500419129982</v>
      </c>
      <c r="AG382" s="22">
        <f t="shared" si="94"/>
        <v>36.605913882693514</v>
      </c>
      <c r="AH382" s="22">
        <f t="shared" si="94"/>
        <v>35.67751529859683</v>
      </c>
      <c r="AI382" s="22">
        <f t="shared" si="94"/>
        <v>34.699588123562123</v>
      </c>
      <c r="AJ382" s="22">
        <f t="shared" si="94"/>
        <v>-2.6792659907667447</v>
      </c>
      <c r="AK382" s="22">
        <f t="shared" si="94"/>
        <v>-2.6147570082117628</v>
      </c>
      <c r="AL382" s="22">
        <f t="shared" si="94"/>
        <v>-2.5509192087001833</v>
      </c>
      <c r="AM382" s="22">
        <f t="shared" si="94"/>
        <v>-2.4877459989648312</v>
      </c>
      <c r="AN382" s="22">
        <f t="shared" si="94"/>
        <v>-2.4376070910582812</v>
      </c>
      <c r="AO382" s="22">
        <f t="shared" si="94"/>
        <v>-2.3879438055302513</v>
      </c>
      <c r="AP382" s="22">
        <f t="shared" si="94"/>
        <v>-2.3387192042216429</v>
      </c>
      <c r="AQ382" s="22">
        <f t="shared" si="94"/>
        <v>-2.2899210938883474</v>
      </c>
      <c r="AR382" s="22">
        <f t="shared" si="94"/>
        <v>-2.2415137982186422</v>
      </c>
      <c r="AS382" s="22">
        <f t="shared" si="94"/>
        <v>-2.1934623794160584</v>
      </c>
      <c r="AT382" s="22">
        <f t="shared" si="94"/>
        <v>-2.145761226265924</v>
      </c>
      <c r="AU382" s="22">
        <f t="shared" si="94"/>
        <v>-2.0984132858067897</v>
      </c>
      <c r="AV382" s="22">
        <f t="shared" si="94"/>
        <v>-2.0514203658912691</v>
      </c>
      <c r="AW382" s="22">
        <f t="shared" si="94"/>
        <v>-2.0047554755928445</v>
      </c>
      <c r="AY382" s="79"/>
    </row>
    <row r="383" spans="1:51" x14ac:dyDescent="0.25">
      <c r="A383" s="95" t="str">
        <f t="shared" si="93"/>
        <v>GS U&amp;D</v>
      </c>
      <c r="B383" s="95" t="s">
        <v>1021</v>
      </c>
      <c r="C383" s="95" t="s">
        <v>1336</v>
      </c>
      <c r="D383" t="s">
        <v>369</v>
      </c>
      <c r="E383" t="s">
        <v>55</v>
      </c>
      <c r="F383" t="s">
        <v>422</v>
      </c>
      <c r="G383" t="s">
        <v>1160</v>
      </c>
      <c r="H383" t="s">
        <v>1244</v>
      </c>
      <c r="I383" t="s">
        <v>139</v>
      </c>
      <c r="J383" t="s">
        <v>287</v>
      </c>
      <c r="K383" s="22">
        <f t="shared" si="90"/>
        <v>9.6543103644621429</v>
      </c>
      <c r="L383" s="22">
        <f t="shared" si="94"/>
        <v>9.5705816138517683</v>
      </c>
      <c r="M383" s="22">
        <f t="shared" si="94"/>
        <v>9.5387086131772989</v>
      </c>
      <c r="N383" s="22">
        <f t="shared" si="94"/>
        <v>9.4113316455488931</v>
      </c>
      <c r="O383" s="22">
        <f t="shared" si="94"/>
        <v>9.2264408662754782</v>
      </c>
      <c r="P383" s="22">
        <f t="shared" si="94"/>
        <v>8.987859527224467</v>
      </c>
      <c r="Q383" s="22">
        <f t="shared" si="94"/>
        <v>8.7996834473406569</v>
      </c>
      <c r="R383" s="22">
        <f t="shared" si="94"/>
        <v>8.6216474831450949</v>
      </c>
      <c r="S383" s="22">
        <f t="shared" si="94"/>
        <v>7.7105010280907447</v>
      </c>
      <c r="T383" s="22">
        <f t="shared" si="94"/>
        <v>8.0075632014304841</v>
      </c>
      <c r="U383" s="22">
        <f t="shared" si="94"/>
        <v>25.237402048965457</v>
      </c>
      <c r="V383" s="22">
        <f t="shared" si="94"/>
        <v>25.359131609526678</v>
      </c>
      <c r="W383" s="22">
        <f t="shared" si="94"/>
        <v>25.43703822734167</v>
      </c>
      <c r="X383" s="22">
        <f t="shared" si="94"/>
        <v>25.471106034328002</v>
      </c>
      <c r="Y383" s="22">
        <f t="shared" si="94"/>
        <v>25.462056715460484</v>
      </c>
      <c r="Z383" s="22">
        <f t="shared" si="94"/>
        <v>25.40945651484947</v>
      </c>
      <c r="AA383" s="22">
        <f t="shared" si="94"/>
        <v>25.313176583935984</v>
      </c>
      <c r="AB383" s="22">
        <f t="shared" si="94"/>
        <v>25.173296585423468</v>
      </c>
      <c r="AC383" s="22">
        <f t="shared" si="94"/>
        <v>24.9901310537815</v>
      </c>
      <c r="AD383" s="22">
        <f t="shared" si="94"/>
        <v>24.5561750857518</v>
      </c>
      <c r="AE383" s="22">
        <f t="shared" si="94"/>
        <v>24.081343210361542</v>
      </c>
      <c r="AF383" s="22">
        <f t="shared" si="94"/>
        <v>23.567768941484907</v>
      </c>
      <c r="AG383" s="22">
        <f t="shared" si="94"/>
        <v>23.017828220854938</v>
      </c>
      <c r="AH383" s="22">
        <f t="shared" si="94"/>
        <v>22.434050441185143</v>
      </c>
      <c r="AI383" s="22">
        <f t="shared" si="94"/>
        <v>21.819129043522761</v>
      </c>
      <c r="AJ383" s="22">
        <f t="shared" si="94"/>
        <v>-1.6847246193901004</v>
      </c>
      <c r="AK383" s="22">
        <f t="shared" si="94"/>
        <v>-1.644161319047128</v>
      </c>
      <c r="AL383" s="22">
        <f t="shared" si="94"/>
        <v>-1.6040200591440494</v>
      </c>
      <c r="AM383" s="22">
        <f t="shared" si="94"/>
        <v>-1.5642966938291387</v>
      </c>
      <c r="AN383" s="22">
        <f t="shared" si="94"/>
        <v>-1.5327693080337013</v>
      </c>
      <c r="AO383" s="22">
        <f t="shared" si="94"/>
        <v>-1.5015409939741007</v>
      </c>
      <c r="AP383" s="22">
        <f t="shared" si="94"/>
        <v>-1.4705885249060549</v>
      </c>
      <c r="AQ383" s="22">
        <f t="shared" si="94"/>
        <v>-1.4399042337078187</v>
      </c>
      <c r="AR383" s="22">
        <f t="shared" si="94"/>
        <v>-1.4094656870857605</v>
      </c>
      <c r="AS383" s="22">
        <f t="shared" si="94"/>
        <v>-1.3792509161252371</v>
      </c>
      <c r="AT383" s="22">
        <f t="shared" si="94"/>
        <v>-1.3492563924899292</v>
      </c>
      <c r="AU383" s="22">
        <f t="shared" si="94"/>
        <v>-1.3194839692800588</v>
      </c>
      <c r="AV383" s="22">
        <f t="shared" si="94"/>
        <v>-1.2899347832748098</v>
      </c>
      <c r="AW383" s="22">
        <f t="shared" si="94"/>
        <v>-1.2605918625577832</v>
      </c>
      <c r="AY383" s="79"/>
    </row>
    <row r="384" spans="1:51" x14ac:dyDescent="0.25">
      <c r="A384" s="95" t="str">
        <f t="shared" si="93"/>
        <v>GS U&amp;D</v>
      </c>
      <c r="B384" s="95" t="s">
        <v>1021</v>
      </c>
      <c r="C384" s="95" t="s">
        <v>1336</v>
      </c>
      <c r="D384" t="s">
        <v>369</v>
      </c>
      <c r="E384" t="s">
        <v>55</v>
      </c>
      <c r="F384" t="s">
        <v>422</v>
      </c>
      <c r="G384" t="s">
        <v>1162</v>
      </c>
      <c r="H384" t="s">
        <v>1245</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25">
      <c r="A385" s="95" t="str">
        <f t="shared" si="93"/>
        <v>GS U&amp;D</v>
      </c>
      <c r="B385" s="95" t="s">
        <v>1021</v>
      </c>
      <c r="C385" s="95" t="s">
        <v>1336</v>
      </c>
      <c r="D385" t="s">
        <v>369</v>
      </c>
      <c r="E385" t="s">
        <v>55</v>
      </c>
      <c r="F385" t="s">
        <v>422</v>
      </c>
      <c r="G385" t="s">
        <v>1164</v>
      </c>
      <c r="H385" t="s">
        <v>1246</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5.8850501739310754</v>
      </c>
      <c r="T385" s="22">
        <f t="shared" si="94"/>
        <v>5.8889669247946657</v>
      </c>
      <c r="U385" s="22">
        <f t="shared" si="94"/>
        <v>5.9656712357324011</v>
      </c>
      <c r="V385" s="22">
        <f t="shared" si="94"/>
        <v>5.9675423775316272</v>
      </c>
      <c r="W385" s="22">
        <f t="shared" si="94"/>
        <v>5.9755461389464104</v>
      </c>
      <c r="X385" s="22">
        <f t="shared" si="94"/>
        <v>5.9871157703379936</v>
      </c>
      <c r="Y385" s="22">
        <f t="shared" si="94"/>
        <v>5.9978635614207825</v>
      </c>
      <c r="Z385" s="22">
        <f t="shared" si="94"/>
        <v>6.0079225842908377</v>
      </c>
      <c r="AA385" s="22">
        <f t="shared" si="94"/>
        <v>6.0172391996362506</v>
      </c>
      <c r="AB385" s="22">
        <f t="shared" si="94"/>
        <v>6.0258973509268747</v>
      </c>
      <c r="AC385" s="22">
        <f t="shared" si="94"/>
        <v>6.0340283734996341</v>
      </c>
      <c r="AD385" s="22">
        <f t="shared" si="94"/>
        <v>6.0416246060545662</v>
      </c>
      <c r="AE385" s="22">
        <f t="shared" si="94"/>
        <v>6.0488075465649391</v>
      </c>
      <c r="AF385" s="22">
        <f t="shared" si="94"/>
        <v>6.0555945824734003</v>
      </c>
      <c r="AG385" s="22">
        <f t="shared" si="94"/>
        <v>6.0618926896286194</v>
      </c>
      <c r="AH385" s="22">
        <f t="shared" si="94"/>
        <v>6.0677594816606231</v>
      </c>
      <c r="AI385" s="22">
        <f t="shared" si="94"/>
        <v>6.0732885536184407</v>
      </c>
      <c r="AJ385" s="22">
        <f t="shared" si="94"/>
        <v>5.9400031784362666</v>
      </c>
      <c r="AK385" s="22">
        <f t="shared" si="94"/>
        <v>5.9454655494945321</v>
      </c>
      <c r="AL385" s="22">
        <f t="shared" si="94"/>
        <v>5.9505605357080302</v>
      </c>
      <c r="AM385" s="22">
        <f t="shared" si="94"/>
        <v>5.9553192750142969</v>
      </c>
      <c r="AN385" s="22">
        <f t="shared" si="94"/>
        <v>5.9597796192711163</v>
      </c>
      <c r="AO385" s="22">
        <f t="shared" si="94"/>
        <v>5.9638242432933737</v>
      </c>
      <c r="AP385" s="22">
        <f t="shared" si="94"/>
        <v>5.9673747960452372</v>
      </c>
      <c r="AQ385" s="22">
        <f t="shared" si="94"/>
        <v>5.9704198015060506</v>
      </c>
      <c r="AR385" s="22">
        <f t="shared" si="94"/>
        <v>5.9728700974873359</v>
      </c>
      <c r="AS385" s="22">
        <f t="shared" si="94"/>
        <v>5.9746287671291771</v>
      </c>
      <c r="AT385" s="22">
        <f t="shared" si="94"/>
        <v>5.9756848810921417</v>
      </c>
      <c r="AU385" s="22">
        <f t="shared" si="94"/>
        <v>5.9760535038151961</v>
      </c>
      <c r="AV385" s="22">
        <f t="shared" si="94"/>
        <v>5.9757454176187608</v>
      </c>
      <c r="AW385" s="22">
        <f t="shared" si="94"/>
        <v>5.9746694018004627</v>
      </c>
      <c r="AY385" s="79"/>
    </row>
    <row r="386" spans="1:51" x14ac:dyDescent="0.25">
      <c r="A386" s="95" t="str">
        <f t="shared" si="93"/>
        <v>GS U&amp;D</v>
      </c>
      <c r="B386" s="95" t="s">
        <v>1021</v>
      </c>
      <c r="C386" s="95" t="s">
        <v>1336</v>
      </c>
      <c r="D386" t="s">
        <v>369</v>
      </c>
      <c r="E386" t="s">
        <v>55</v>
      </c>
      <c r="F386" t="s">
        <v>422</v>
      </c>
      <c r="G386" t="s">
        <v>1166</v>
      </c>
      <c r="H386" t="s">
        <v>1247</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0.65694536678362214</v>
      </c>
      <c r="T386" s="22">
        <f t="shared" si="94"/>
        <v>0.65738259182956638</v>
      </c>
      <c r="U386" s="22">
        <f t="shared" si="94"/>
        <v>0.66594505777184321</v>
      </c>
      <c r="V386" s="22">
        <f t="shared" si="94"/>
        <v>0.66615393244568089</v>
      </c>
      <c r="W386" s="22">
        <f t="shared" si="94"/>
        <v>0.66704738854594903</v>
      </c>
      <c r="X386" s="22">
        <f t="shared" si="94"/>
        <v>0.66833890102476579</v>
      </c>
      <c r="Y386" s="22">
        <f t="shared" si="94"/>
        <v>0.66953867185871263</v>
      </c>
      <c r="Z386" s="22">
        <f t="shared" si="94"/>
        <v>0.67066155582291842</v>
      </c>
      <c r="AA386" s="22">
        <f t="shared" si="94"/>
        <v>0.67170156518637059</v>
      </c>
      <c r="AB386" s="22">
        <f t="shared" si="94"/>
        <v>0.67266807051889643</v>
      </c>
      <c r="AC386" s="22">
        <f t="shared" si="94"/>
        <v>0.67357573272202431</v>
      </c>
      <c r="AD386" s="22">
        <f t="shared" si="94"/>
        <v>0.67442369656846346</v>
      </c>
      <c r="AE386" s="22">
        <f t="shared" si="94"/>
        <v>0.67522552481949083</v>
      </c>
      <c r="AF386" s="22">
        <f t="shared" si="94"/>
        <v>0.67598315842710355</v>
      </c>
      <c r="AG386" s="22">
        <f t="shared" si="94"/>
        <v>0.676686213149297</v>
      </c>
      <c r="AH386" s="22">
        <f t="shared" si="94"/>
        <v>0.67734112036833483</v>
      </c>
      <c r="AI386" s="22">
        <f t="shared" si="94"/>
        <v>0.67795832805526179</v>
      </c>
      <c r="AJ386" s="22">
        <f t="shared" si="94"/>
        <v>0.66307974467906339</v>
      </c>
      <c r="AK386" s="22">
        <f t="shared" si="94"/>
        <v>0.66368950657612846</v>
      </c>
      <c r="AL386" s="22">
        <f t="shared" si="94"/>
        <v>0.6642582574767768</v>
      </c>
      <c r="AM386" s="22">
        <f t="shared" si="94"/>
        <v>0.66478947329424454</v>
      </c>
      <c r="AN386" s="22">
        <f t="shared" si="94"/>
        <v>0.66528737941350879</v>
      </c>
      <c r="AO386" s="22">
        <f t="shared" si="94"/>
        <v>0.66573887887965999</v>
      </c>
      <c r="AP386" s="22">
        <f t="shared" si="94"/>
        <v>0.66613522540363546</v>
      </c>
      <c r="AQ386" s="22">
        <f t="shared" si="94"/>
        <v>0.66647513792267787</v>
      </c>
      <c r="AR386" s="22">
        <f t="shared" si="94"/>
        <v>0.66674866330386928</v>
      </c>
      <c r="AS386" s="22">
        <f t="shared" si="94"/>
        <v>0.6669449827639865</v>
      </c>
      <c r="AT386" s="22">
        <f t="shared" si="94"/>
        <v>0.66706287626604011</v>
      </c>
      <c r="AU386" s="22">
        <f t="shared" si="94"/>
        <v>0.6671040254462246</v>
      </c>
      <c r="AV386" s="22">
        <f t="shared" si="94"/>
        <v>0.66706963392986762</v>
      </c>
      <c r="AW386" s="22">
        <f t="shared" si="94"/>
        <v>0.66694951879311848</v>
      </c>
      <c r="AY386" s="79"/>
    </row>
    <row r="387" spans="1:51" x14ac:dyDescent="0.25">
      <c r="A387" s="95" t="str">
        <f t="shared" si="93"/>
        <v>GS U&amp;D</v>
      </c>
      <c r="B387" s="95" t="s">
        <v>1021</v>
      </c>
      <c r="C387" s="95" t="s">
        <v>1336</v>
      </c>
      <c r="D387" t="s">
        <v>369</v>
      </c>
      <c r="E387" t="s">
        <v>55</v>
      </c>
      <c r="F387" t="s">
        <v>422</v>
      </c>
      <c r="G387" t="s">
        <v>1168</v>
      </c>
      <c r="H387" t="s">
        <v>1248</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0.73708994755228441</v>
      </c>
      <c r="R387" s="22">
        <f t="shared" si="94"/>
        <v>0.74193942345928476</v>
      </c>
      <c r="S387" s="22">
        <f t="shared" si="94"/>
        <v>0.74013020273035457</v>
      </c>
      <c r="T387" s="22">
        <f t="shared" si="94"/>
        <v>0.74134144539721225</v>
      </c>
      <c r="U387" s="22">
        <f t="shared" ref="L387:AW393" si="95">U1490</f>
        <v>0.75637233627465528</v>
      </c>
      <c r="V387" s="22">
        <f t="shared" si="95"/>
        <v>0.75705141377161567</v>
      </c>
      <c r="W387" s="22">
        <f t="shared" si="95"/>
        <v>0.7588492807776368</v>
      </c>
      <c r="X387" s="22">
        <f t="shared" si="95"/>
        <v>0.76127573486462674</v>
      </c>
      <c r="Y387" s="22">
        <f t="shared" si="95"/>
        <v>0.76350113172742184</v>
      </c>
      <c r="Z387" s="22">
        <f t="shared" si="95"/>
        <v>0.76555488722735199</v>
      </c>
      <c r="AA387" s="22">
        <f t="shared" si="95"/>
        <v>0.76743070192723151</v>
      </c>
      <c r="AB387" s="22">
        <f t="shared" si="95"/>
        <v>0.76914783818331145</v>
      </c>
      <c r="AC387" s="22">
        <f t="shared" si="95"/>
        <v>0.77073400076292786</v>
      </c>
      <c r="AD387" s="22">
        <f t="shared" si="95"/>
        <v>0.77219046763440091</v>
      </c>
      <c r="AE387" s="22">
        <f t="shared" si="95"/>
        <v>0.77354238750921345</v>
      </c>
      <c r="AF387" s="22">
        <f t="shared" si="95"/>
        <v>0.77479516156173556</v>
      </c>
      <c r="AG387" s="22">
        <f t="shared" si="95"/>
        <v>0.77593349397844169</v>
      </c>
      <c r="AH387" s="22">
        <f t="shared" si="95"/>
        <v>0.77696999137205336</v>
      </c>
      <c r="AI387" s="22">
        <f t="shared" si="95"/>
        <v>0.77792369769702041</v>
      </c>
      <c r="AJ387" s="22">
        <f t="shared" si="95"/>
        <v>0.75322819608955549</v>
      </c>
      <c r="AK387" s="22">
        <f t="shared" si="95"/>
        <v>0.7541800771600401</v>
      </c>
      <c r="AL387" s="22">
        <f t="shared" si="95"/>
        <v>0.75504675193645199</v>
      </c>
      <c r="AM387" s="22">
        <f t="shared" si="95"/>
        <v>0.75583523459809387</v>
      </c>
      <c r="AN387" s="22">
        <f t="shared" si="95"/>
        <v>0.75655364806293945</v>
      </c>
      <c r="AO387" s="22">
        <f t="shared" si="95"/>
        <v>0.75718159798131446</v>
      </c>
      <c r="AP387" s="22">
        <f t="shared" si="95"/>
        <v>0.75770589154537149</v>
      </c>
      <c r="AQ387" s="22">
        <f t="shared" si="95"/>
        <v>0.75812556559779631</v>
      </c>
      <c r="AR387" s="22">
        <f t="shared" si="95"/>
        <v>0.75842546765792429</v>
      </c>
      <c r="AS387" s="22">
        <f t="shared" si="95"/>
        <v>0.75858908792613033</v>
      </c>
      <c r="AT387" s="22">
        <f t="shared" si="95"/>
        <v>0.7586155821106717</v>
      </c>
      <c r="AU387" s="22">
        <f t="shared" si="95"/>
        <v>0.75850877673067174</v>
      </c>
      <c r="AV387" s="22">
        <f t="shared" si="95"/>
        <v>0.75827165867074431</v>
      </c>
      <c r="AW387" s="22">
        <f t="shared" si="95"/>
        <v>0.75788873758895325</v>
      </c>
      <c r="AY387" s="79"/>
    </row>
    <row r="388" spans="1:51" x14ac:dyDescent="0.25">
      <c r="A388" s="95" t="str">
        <f t="shared" si="93"/>
        <v>GS U&amp;D</v>
      </c>
      <c r="B388" s="95" t="s">
        <v>1021</v>
      </c>
      <c r="C388" s="95" t="s">
        <v>1336</v>
      </c>
      <c r="D388" t="s">
        <v>369</v>
      </c>
      <c r="E388" t="s">
        <v>55</v>
      </c>
      <c r="F388" t="s">
        <v>422</v>
      </c>
      <c r="G388" t="s">
        <v>1170</v>
      </c>
      <c r="H388" t="s">
        <v>1249</v>
      </c>
      <c r="I388" t="s">
        <v>139</v>
      </c>
      <c r="J388" t="s">
        <v>287</v>
      </c>
      <c r="K388" s="22">
        <f t="shared" si="90"/>
        <v>1.1867254191644503</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1.2198688909683484</v>
      </c>
      <c r="R388" s="22">
        <f t="shared" si="95"/>
        <v>1.2278946750888551</v>
      </c>
      <c r="S388" s="22">
        <f t="shared" si="95"/>
        <v>1.2249004515324955</v>
      </c>
      <c r="T388" s="22">
        <f t="shared" si="95"/>
        <v>1.2269050335426288</v>
      </c>
      <c r="U388" s="22">
        <f t="shared" si="95"/>
        <v>1.2517808526279679</v>
      </c>
      <c r="V388" s="22">
        <f t="shared" si="95"/>
        <v>1.2529047120915915</v>
      </c>
      <c r="W388" s="22">
        <f t="shared" si="95"/>
        <v>1.2558801454671604</v>
      </c>
      <c r="X388" s="22">
        <f t="shared" si="95"/>
        <v>1.2598958776934803</v>
      </c>
      <c r="Y388" s="22">
        <f t="shared" si="95"/>
        <v>1.2635788642977572</v>
      </c>
      <c r="Z388" s="22">
        <f t="shared" si="95"/>
        <v>1.2669777879329793</v>
      </c>
      <c r="AA388" s="22">
        <f t="shared" si="95"/>
        <v>1.270082223158562</v>
      </c>
      <c r="AB388" s="22">
        <f t="shared" si="95"/>
        <v>1.2729240487828319</v>
      </c>
      <c r="AC388" s="22">
        <f t="shared" si="95"/>
        <v>1.2755491156329737</v>
      </c>
      <c r="AD388" s="22">
        <f t="shared" si="95"/>
        <v>1.2779595387205978</v>
      </c>
      <c r="AE388" s="22">
        <f t="shared" si="95"/>
        <v>1.2801969386523735</v>
      </c>
      <c r="AF388" s="22">
        <f t="shared" si="95"/>
        <v>1.2822702542621691</v>
      </c>
      <c r="AG388" s="22">
        <f t="shared" si="95"/>
        <v>1.2841541712892999</v>
      </c>
      <c r="AH388" s="22">
        <f t="shared" si="95"/>
        <v>1.2858695534217459</v>
      </c>
      <c r="AI388" s="22">
        <f t="shared" si="95"/>
        <v>1.2874479180172889</v>
      </c>
      <c r="AJ388" s="22">
        <f t="shared" si="95"/>
        <v>1.2465773644873634</v>
      </c>
      <c r="AK388" s="22">
        <f t="shared" si="95"/>
        <v>1.2481527083238142</v>
      </c>
      <c r="AL388" s="22">
        <f t="shared" si="95"/>
        <v>1.249587037474337</v>
      </c>
      <c r="AM388" s="22">
        <f t="shared" si="95"/>
        <v>1.2508919602632027</v>
      </c>
      <c r="AN388" s="22">
        <f t="shared" si="95"/>
        <v>1.2520809199546599</v>
      </c>
      <c r="AO388" s="22">
        <f t="shared" si="95"/>
        <v>1.25312016431426</v>
      </c>
      <c r="AP388" s="22">
        <f t="shared" si="95"/>
        <v>1.2539878595129963</v>
      </c>
      <c r="AQ388" s="22">
        <f t="shared" si="95"/>
        <v>1.2546824115450788</v>
      </c>
      <c r="AR388" s="22">
        <f t="shared" si="95"/>
        <v>1.255178743362793</v>
      </c>
      <c r="AS388" s="22">
        <f t="shared" si="95"/>
        <v>1.2554495315831169</v>
      </c>
      <c r="AT388" s="22">
        <f t="shared" si="95"/>
        <v>1.2554933789203664</v>
      </c>
      <c r="AU388" s="22">
        <f t="shared" si="95"/>
        <v>1.2553166181859641</v>
      </c>
      <c r="AV388" s="22">
        <f t="shared" si="95"/>
        <v>1.2549241926132744</v>
      </c>
      <c r="AW388" s="22">
        <f t="shared" si="95"/>
        <v>1.2542904660010414</v>
      </c>
      <c r="AY388" s="79"/>
    </row>
    <row r="389" spans="1:51" x14ac:dyDescent="0.25">
      <c r="A389" s="95" t="str">
        <f t="shared" si="93"/>
        <v>GS U&amp;D</v>
      </c>
      <c r="B389" s="95" t="s">
        <v>1021</v>
      </c>
      <c r="C389" s="95" t="s">
        <v>1336</v>
      </c>
      <c r="D389" t="s">
        <v>369</v>
      </c>
      <c r="E389" t="s">
        <v>55</v>
      </c>
      <c r="F389" t="s">
        <v>422</v>
      </c>
      <c r="G389" t="s">
        <v>1172</v>
      </c>
      <c r="H389" t="s">
        <v>1250</v>
      </c>
      <c r="I389" t="s">
        <v>139</v>
      </c>
      <c r="J389" t="s">
        <v>287</v>
      </c>
      <c r="K389" s="22">
        <f t="shared" si="90"/>
        <v>0.19147730421375916</v>
      </c>
      <c r="L389" s="22">
        <f t="shared" si="95"/>
        <v>0.19240499933397137</v>
      </c>
      <c r="M389" s="22">
        <f t="shared" si="95"/>
        <v>0.19381280191845887</v>
      </c>
      <c r="N389" s="22">
        <f t="shared" si="95"/>
        <v>0.19411375969056666</v>
      </c>
      <c r="O389" s="22">
        <f t="shared" si="95"/>
        <v>0.19368291106027899</v>
      </c>
      <c r="P389" s="22">
        <f t="shared" si="95"/>
        <v>0.19253602379697465</v>
      </c>
      <c r="Q389" s="22">
        <f t="shared" si="95"/>
        <v>0.19190012409058904</v>
      </c>
      <c r="R389" s="22">
        <f t="shared" si="95"/>
        <v>0.19132863754616411</v>
      </c>
      <c r="S389" s="22">
        <f t="shared" si="95"/>
        <v>0.18281131471006393</v>
      </c>
      <c r="T389" s="22">
        <f t="shared" si="95"/>
        <v>0.18736784640695911</v>
      </c>
      <c r="U389" s="22">
        <f t="shared" si="95"/>
        <v>0.40219801863685228</v>
      </c>
      <c r="V389" s="22">
        <f t="shared" si="95"/>
        <v>0.40734903420411533</v>
      </c>
      <c r="W389" s="22">
        <f t="shared" si="95"/>
        <v>0.41149752828946928</v>
      </c>
      <c r="X389" s="22">
        <f t="shared" si="95"/>
        <v>0.41483621581205343</v>
      </c>
      <c r="Y389" s="22">
        <f t="shared" si="95"/>
        <v>0.41773635782756013</v>
      </c>
      <c r="Z389" s="22">
        <f t="shared" si="95"/>
        <v>0.42016501076041057</v>
      </c>
      <c r="AA389" s="22">
        <f t="shared" si="95"/>
        <v>0.42210855342477654</v>
      </c>
      <c r="AB389" s="22">
        <f t="shared" si="95"/>
        <v>0.42354330417098807</v>
      </c>
      <c r="AC389" s="22">
        <f t="shared" si="95"/>
        <v>0.42444389710723196</v>
      </c>
      <c r="AD389" s="22">
        <f t="shared" si="95"/>
        <v>0.42480049297226147</v>
      </c>
      <c r="AE389" s="22">
        <f t="shared" si="95"/>
        <v>0.42459446865621531</v>
      </c>
      <c r="AF389" s="22">
        <f t="shared" si="95"/>
        <v>0.42381980556219867</v>
      </c>
      <c r="AG389" s="22">
        <f t="shared" si="95"/>
        <v>0.42248350599041806</v>
      </c>
      <c r="AH389" s="22">
        <f t="shared" si="95"/>
        <v>0.42058207160696442</v>
      </c>
      <c r="AI389" s="22">
        <f t="shared" si="95"/>
        <v>0.41811210592034348</v>
      </c>
      <c r="AJ389" s="22">
        <f t="shared" si="95"/>
        <v>6.1557811520144383E-2</v>
      </c>
      <c r="AK389" s="22">
        <f t="shared" si="95"/>
        <v>6.1557811520144383E-2</v>
      </c>
      <c r="AL389" s="22">
        <f t="shared" si="95"/>
        <v>6.1557811520144383E-2</v>
      </c>
      <c r="AM389" s="22">
        <f t="shared" si="95"/>
        <v>6.1557811520144383E-2</v>
      </c>
      <c r="AN389" s="22">
        <f t="shared" si="95"/>
        <v>6.1557811520144383E-2</v>
      </c>
      <c r="AO389" s="22">
        <f t="shared" si="95"/>
        <v>6.1557811520144383E-2</v>
      </c>
      <c r="AP389" s="22">
        <f t="shared" si="95"/>
        <v>6.1557811520144383E-2</v>
      </c>
      <c r="AQ389" s="22">
        <f t="shared" si="95"/>
        <v>6.1557811520144383E-2</v>
      </c>
      <c r="AR389" s="22">
        <f t="shared" si="95"/>
        <v>6.1557811520144383E-2</v>
      </c>
      <c r="AS389" s="22">
        <f t="shared" si="95"/>
        <v>6.1557811520144383E-2</v>
      </c>
      <c r="AT389" s="22">
        <f t="shared" si="95"/>
        <v>6.1557811520144383E-2</v>
      </c>
      <c r="AU389" s="22">
        <f t="shared" si="95"/>
        <v>6.1557811520144383E-2</v>
      </c>
      <c r="AV389" s="22">
        <f t="shared" si="95"/>
        <v>6.1557811520144383E-2</v>
      </c>
      <c r="AW389" s="22">
        <f t="shared" si="95"/>
        <v>6.1557811520144383E-2</v>
      </c>
      <c r="AY389" s="79"/>
    </row>
    <row r="390" spans="1:51" x14ac:dyDescent="0.25">
      <c r="A390" s="95" t="str">
        <f t="shared" si="93"/>
        <v>GS U&amp;D</v>
      </c>
      <c r="B390" s="95" t="s">
        <v>1021</v>
      </c>
      <c r="C390" s="95" t="s">
        <v>1336</v>
      </c>
      <c r="D390" t="s">
        <v>369</v>
      </c>
      <c r="E390" t="s">
        <v>55</v>
      </c>
      <c r="F390" t="s">
        <v>422</v>
      </c>
      <c r="G390" t="s">
        <v>1174</v>
      </c>
      <c r="H390" t="s">
        <v>1251</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25">
      <c r="A391" s="95" t="str">
        <f t="shared" si="93"/>
        <v>GS U&amp;D</v>
      </c>
      <c r="B391" s="95" t="s">
        <v>1021</v>
      </c>
      <c r="C391" s="95" t="s">
        <v>1336</v>
      </c>
      <c r="D391" t="s">
        <v>369</v>
      </c>
      <c r="E391" t="s">
        <v>55</v>
      </c>
      <c r="F391" t="s">
        <v>422</v>
      </c>
      <c r="G391" t="s">
        <v>1176</v>
      </c>
      <c r="H391" t="s">
        <v>1252</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25">
      <c r="A392" s="95" t="str">
        <f t="shared" si="93"/>
        <v>GS U&amp;D</v>
      </c>
      <c r="B392" s="95" t="s">
        <v>1021</v>
      </c>
      <c r="C392" s="95" t="s">
        <v>1336</v>
      </c>
      <c r="D392" t="s">
        <v>369</v>
      </c>
      <c r="E392" t="s">
        <v>55</v>
      </c>
      <c r="F392" t="s">
        <v>422</v>
      </c>
      <c r="G392" t="s">
        <v>1178</v>
      </c>
      <c r="H392" t="s">
        <v>1253</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25">
      <c r="A393" s="95" t="str">
        <f t="shared" si="93"/>
        <v>GS U&amp;D</v>
      </c>
      <c r="B393" s="95" t="s">
        <v>1021</v>
      </c>
      <c r="C393" s="95" t="s">
        <v>1336</v>
      </c>
      <c r="D393" t="s">
        <v>369</v>
      </c>
      <c r="E393" t="s">
        <v>55</v>
      </c>
      <c r="F393" t="s">
        <v>422</v>
      </c>
      <c r="G393" t="s">
        <v>1180</v>
      </c>
      <c r="H393" t="s">
        <v>1254</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25">
      <c r="A394" s="95" t="str">
        <f t="shared" si="93"/>
        <v>GS U&amp;D</v>
      </c>
      <c r="B394" s="95" t="s">
        <v>1021</v>
      </c>
      <c r="C394" s="95" t="s">
        <v>1336</v>
      </c>
      <c r="D394" t="s">
        <v>369</v>
      </c>
      <c r="E394" t="s">
        <v>55</v>
      </c>
      <c r="F394" t="s">
        <v>422</v>
      </c>
      <c r="G394" t="s">
        <v>1182</v>
      </c>
      <c r="H394" t="s">
        <v>1255</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25">
      <c r="A395" s="95" t="str">
        <f t="shared" si="93"/>
        <v>GS FSOM</v>
      </c>
      <c r="B395" s="95" t="s">
        <v>1021</v>
      </c>
      <c r="C395" s="95" t="s">
        <v>60</v>
      </c>
      <c r="D395" t="s">
        <v>369</v>
      </c>
      <c r="E395" t="s">
        <v>55</v>
      </c>
      <c r="F395" t="s">
        <v>60</v>
      </c>
      <c r="G395" t="s">
        <v>1266</v>
      </c>
      <c r="H395" t="s">
        <v>1267</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25">
      <c r="A396" s="95" t="str">
        <f t="shared" si="93"/>
        <v>GS FSOM</v>
      </c>
      <c r="B396" s="95" t="s">
        <v>1021</v>
      </c>
      <c r="C396" s="95" t="s">
        <v>60</v>
      </c>
      <c r="D396" t="s">
        <v>369</v>
      </c>
      <c r="E396" t="s">
        <v>55</v>
      </c>
      <c r="F396" t="s">
        <v>60</v>
      </c>
      <c r="G396" t="s">
        <v>1268</v>
      </c>
      <c r="H396" t="s">
        <v>1269</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25">
      <c r="A397" s="95" t="str">
        <f t="shared" si="93"/>
        <v>GS FSOM</v>
      </c>
      <c r="B397" s="95" t="s">
        <v>1021</v>
      </c>
      <c r="C397" s="95" t="s">
        <v>60</v>
      </c>
      <c r="D397" t="s">
        <v>369</v>
      </c>
      <c r="E397" t="s">
        <v>55</v>
      </c>
      <c r="F397" t="s">
        <v>60</v>
      </c>
      <c r="G397" t="s">
        <v>1270</v>
      </c>
      <c r="H397" t="s">
        <v>1271</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25">
      <c r="A398" s="95" t="str">
        <f t="shared" si="93"/>
        <v>GS FSOM</v>
      </c>
      <c r="B398" s="95" t="s">
        <v>1021</v>
      </c>
      <c r="C398" s="95" t="s">
        <v>60</v>
      </c>
      <c r="D398" t="s">
        <v>369</v>
      </c>
      <c r="E398" t="s">
        <v>55</v>
      </c>
      <c r="F398" t="s">
        <v>60</v>
      </c>
      <c r="G398" t="s">
        <v>1272</v>
      </c>
      <c r="H398" t="s">
        <v>1273</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25">
      <c r="A399" s="95" t="str">
        <f t="shared" si="93"/>
        <v>GS FSOM</v>
      </c>
      <c r="B399" s="95" t="s">
        <v>1021</v>
      </c>
      <c r="C399" s="95" t="s">
        <v>60</v>
      </c>
      <c r="D399" t="s">
        <v>369</v>
      </c>
      <c r="E399" t="s">
        <v>55</v>
      </c>
      <c r="F399" t="s">
        <v>60</v>
      </c>
      <c r="G399" t="s">
        <v>1274</v>
      </c>
      <c r="H399" t="s">
        <v>1275</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25">
      <c r="A400" s="95" t="str">
        <f t="shared" si="93"/>
        <v>GS FSOM</v>
      </c>
      <c r="B400" s="95" t="s">
        <v>1021</v>
      </c>
      <c r="C400" s="95" t="s">
        <v>60</v>
      </c>
      <c r="D400" t="s">
        <v>369</v>
      </c>
      <c r="E400" t="s">
        <v>55</v>
      </c>
      <c r="F400" t="s">
        <v>60</v>
      </c>
      <c r="G400" t="s">
        <v>1276</v>
      </c>
      <c r="H400" t="s">
        <v>1277</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25">
      <c r="A401" s="95" t="str">
        <f t="shared" si="93"/>
        <v>GS FSOM</v>
      </c>
      <c r="B401" s="95" t="s">
        <v>1021</v>
      </c>
      <c r="C401" s="95" t="s">
        <v>60</v>
      </c>
      <c r="D401" t="s">
        <v>369</v>
      </c>
      <c r="E401" t="s">
        <v>55</v>
      </c>
      <c r="F401" t="s">
        <v>60</v>
      </c>
      <c r="G401" t="s">
        <v>1278</v>
      </c>
      <c r="H401" t="s">
        <v>1279</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25">
      <c r="A402" s="95" t="str">
        <f t="shared" si="93"/>
        <v>GS FSOM</v>
      </c>
      <c r="B402" s="95" t="s">
        <v>1021</v>
      </c>
      <c r="C402" s="95" t="s">
        <v>60</v>
      </c>
      <c r="D402" t="s">
        <v>369</v>
      </c>
      <c r="E402" t="s">
        <v>55</v>
      </c>
      <c r="F402" t="s">
        <v>60</v>
      </c>
      <c r="G402" t="s">
        <v>1280</v>
      </c>
      <c r="H402" t="s">
        <v>1281</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25">
      <c r="A403" s="95" t="str">
        <f t="shared" si="93"/>
        <v>GS FSOM</v>
      </c>
      <c r="B403" s="95" t="s">
        <v>1021</v>
      </c>
      <c r="C403" s="95" t="s">
        <v>60</v>
      </c>
      <c r="D403" t="s">
        <v>369</v>
      </c>
      <c r="E403" t="s">
        <v>55</v>
      </c>
      <c r="F403" t="s">
        <v>60</v>
      </c>
      <c r="G403" t="s">
        <v>1282</v>
      </c>
      <c r="H403" t="s">
        <v>1283</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25">
      <c r="A404" s="95" t="str">
        <f t="shared" si="93"/>
        <v>GS FSOM</v>
      </c>
      <c r="B404" s="95" t="s">
        <v>1021</v>
      </c>
      <c r="C404" s="95" t="s">
        <v>60</v>
      </c>
      <c r="D404" t="s">
        <v>369</v>
      </c>
      <c r="E404" t="s">
        <v>55</v>
      </c>
      <c r="F404" t="s">
        <v>60</v>
      </c>
      <c r="G404" t="s">
        <v>1284</v>
      </c>
      <c r="H404" t="s">
        <v>1285</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25">
      <c r="A405" s="95" t="str">
        <f t="shared" si="93"/>
        <v>GS FSOM</v>
      </c>
      <c r="B405" s="95" t="s">
        <v>1021</v>
      </c>
      <c r="C405" s="95" t="s">
        <v>60</v>
      </c>
      <c r="D405" t="s">
        <v>369</v>
      </c>
      <c r="E405" t="s">
        <v>55</v>
      </c>
      <c r="F405" t="s">
        <v>60</v>
      </c>
      <c r="G405" t="s">
        <v>1286</v>
      </c>
      <c r="H405" t="s">
        <v>1287</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25">
      <c r="A406" s="95" t="str">
        <f t="shared" si="93"/>
        <v>GS FSOM</v>
      </c>
      <c r="B406" s="95" t="s">
        <v>1021</v>
      </c>
      <c r="C406" s="95" t="s">
        <v>60</v>
      </c>
      <c r="D406" t="s">
        <v>369</v>
      </c>
      <c r="E406" t="s">
        <v>55</v>
      </c>
      <c r="F406" t="s">
        <v>60</v>
      </c>
      <c r="G406" t="s">
        <v>1288</v>
      </c>
      <c r="H406" t="s">
        <v>1289</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25">
      <c r="A407" s="95" t="str">
        <f t="shared" si="93"/>
        <v>GS Volatilisation</v>
      </c>
      <c r="B407" s="95" t="s">
        <v>1021</v>
      </c>
      <c r="C407" s="95" t="s">
        <v>62</v>
      </c>
      <c r="D407" t="s">
        <v>369</v>
      </c>
      <c r="E407" t="s">
        <v>61</v>
      </c>
      <c r="F407" t="s">
        <v>62</v>
      </c>
      <c r="G407" t="s">
        <v>435</v>
      </c>
      <c r="H407" t="s">
        <v>1184</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0.66035651430821074</v>
      </c>
      <c r="U407" s="22">
        <f t="shared" si="97"/>
        <v>0.66008394987584207</v>
      </c>
      <c r="V407" s="22">
        <f t="shared" si="97"/>
        <v>0.65354261970149441</v>
      </c>
      <c r="W407" s="22">
        <f t="shared" si="97"/>
        <v>0.65337920332710719</v>
      </c>
      <c r="X407" s="22">
        <f t="shared" si="97"/>
        <v>0.65322793572104454</v>
      </c>
      <c r="Y407" s="22">
        <f t="shared" si="97"/>
        <v>0.65308880056970553</v>
      </c>
      <c r="Z407" s="22">
        <f t="shared" ref="L407:AW414" si="98">Z1510</f>
        <v>0.65296169227266498</v>
      </c>
      <c r="AA407" s="22">
        <f t="shared" si="98"/>
        <v>0.65284672118777098</v>
      </c>
      <c r="AB407" s="22">
        <f t="shared" si="98"/>
        <v>0.65274397960506148</v>
      </c>
      <c r="AC407" s="22">
        <f t="shared" si="98"/>
        <v>0.65265355793719104</v>
      </c>
      <c r="AD407" s="22">
        <f t="shared" si="98"/>
        <v>0.65257554079256641</v>
      </c>
      <c r="AE407" s="22">
        <f t="shared" si="98"/>
        <v>0.65250999875184101</v>
      </c>
      <c r="AF407" s="22">
        <f t="shared" si="98"/>
        <v>0.65245700134470697</v>
      </c>
      <c r="AG407" s="22">
        <f t="shared" si="98"/>
        <v>0.65241660651071587</v>
      </c>
      <c r="AH407" s="22">
        <f t="shared" si="98"/>
        <v>0.65238886062718315</v>
      </c>
      <c r="AI407" s="22">
        <f t="shared" si="98"/>
        <v>0.6523738107982866</v>
      </c>
      <c r="AJ407" s="22">
        <f t="shared" si="98"/>
        <v>0.65237149971504915</v>
      </c>
      <c r="AK407" s="22">
        <f t="shared" si="98"/>
        <v>0.6717077011874647</v>
      </c>
      <c r="AL407" s="22">
        <f t="shared" si="98"/>
        <v>0.67172409254060461</v>
      </c>
      <c r="AM407" s="22">
        <f t="shared" si="98"/>
        <v>0.67174011054610017</v>
      </c>
      <c r="AN407" s="22">
        <f t="shared" si="98"/>
        <v>0.67175577706338141</v>
      </c>
      <c r="AO407" s="22">
        <f t="shared" si="98"/>
        <v>0.67177111790148203</v>
      </c>
      <c r="AP407" s="22">
        <f t="shared" si="98"/>
        <v>0.67178606782023664</v>
      </c>
      <c r="AQ407" s="22">
        <f t="shared" si="98"/>
        <v>0.67180058277133392</v>
      </c>
      <c r="AR407" s="22">
        <f t="shared" si="98"/>
        <v>0.67181465717092259</v>
      </c>
      <c r="AS407" s="22">
        <f t="shared" si="98"/>
        <v>0.67182823869267982</v>
      </c>
      <c r="AT407" s="22">
        <f t="shared" si="98"/>
        <v>0.67184126908492714</v>
      </c>
      <c r="AU407" s="22">
        <f t="shared" si="98"/>
        <v>0.67185374065365466</v>
      </c>
      <c r="AV407" s="22">
        <f t="shared" si="98"/>
        <v>0.67186566123512315</v>
      </c>
      <c r="AW407" s="22">
        <f t="shared" si="98"/>
        <v>0.67187703615819216</v>
      </c>
      <c r="AY407" s="79"/>
    </row>
    <row r="408" spans="1:51" x14ac:dyDescent="0.25">
      <c r="A408" s="95" t="str">
        <f t="shared" si="93"/>
        <v>GS Volatilisation</v>
      </c>
      <c r="B408" s="95" t="s">
        <v>1021</v>
      </c>
      <c r="C408" s="95" t="s">
        <v>62</v>
      </c>
      <c r="D408" t="s">
        <v>369</v>
      </c>
      <c r="E408" t="s">
        <v>61</v>
      </c>
      <c r="F408" t="s">
        <v>62</v>
      </c>
      <c r="G408" t="s">
        <v>436</v>
      </c>
      <c r="H408" t="s">
        <v>1185</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8.716705988868383E-3</v>
      </c>
      <c r="U408" s="22">
        <f t="shared" si="98"/>
        <v>8.7131081383611166E-3</v>
      </c>
      <c r="V408" s="22">
        <f t="shared" si="98"/>
        <v>8.6267625800597308E-3</v>
      </c>
      <c r="W408" s="22">
        <f t="shared" si="98"/>
        <v>8.624605483917816E-3</v>
      </c>
      <c r="X408" s="22">
        <f t="shared" si="98"/>
        <v>8.6226087515177911E-3</v>
      </c>
      <c r="Y408" s="22">
        <f t="shared" si="98"/>
        <v>8.6207721675201129E-3</v>
      </c>
      <c r="Z408" s="22">
        <f t="shared" si="98"/>
        <v>8.6190943379991763E-3</v>
      </c>
      <c r="AA408" s="22">
        <f t="shared" si="98"/>
        <v>8.6175767196785755E-3</v>
      </c>
      <c r="AB408" s="22">
        <f t="shared" si="98"/>
        <v>8.6162205307868112E-3</v>
      </c>
      <c r="AC408" s="22">
        <f t="shared" si="98"/>
        <v>8.6150269647709242E-3</v>
      </c>
      <c r="AD408" s="22">
        <f t="shared" si="98"/>
        <v>8.6139971384618756E-3</v>
      </c>
      <c r="AE408" s="22">
        <f t="shared" si="98"/>
        <v>8.6131319835243015E-3</v>
      </c>
      <c r="AF408" s="22">
        <f t="shared" si="98"/>
        <v>8.6124324177501328E-3</v>
      </c>
      <c r="AG408" s="22">
        <f t="shared" si="98"/>
        <v>8.6118992059414506E-3</v>
      </c>
      <c r="AH408" s="22">
        <f t="shared" si="98"/>
        <v>8.6115329602788199E-3</v>
      </c>
      <c r="AI408" s="22">
        <f t="shared" si="98"/>
        <v>8.611334302537384E-3</v>
      </c>
      <c r="AJ408" s="22">
        <f t="shared" si="98"/>
        <v>8.6113037962386486E-3</v>
      </c>
      <c r="AK408" s="22">
        <f t="shared" si="98"/>
        <v>8.8665416556745359E-3</v>
      </c>
      <c r="AL408" s="22">
        <f t="shared" si="98"/>
        <v>8.8667580215359802E-3</v>
      </c>
      <c r="AM408" s="22">
        <f t="shared" si="98"/>
        <v>8.8669694592085242E-3</v>
      </c>
      <c r="AN408" s="22">
        <f t="shared" si="98"/>
        <v>8.8671762572366322E-3</v>
      </c>
      <c r="AO408" s="22">
        <f t="shared" si="98"/>
        <v>8.8673787562995633E-3</v>
      </c>
      <c r="AP408" s="22">
        <f t="shared" si="98"/>
        <v>8.8675760952271251E-3</v>
      </c>
      <c r="AQ408" s="22">
        <f t="shared" si="98"/>
        <v>8.8677676925816105E-3</v>
      </c>
      <c r="AR408" s="22">
        <f t="shared" si="98"/>
        <v>8.867953474656182E-3</v>
      </c>
      <c r="AS408" s="22">
        <f t="shared" si="98"/>
        <v>8.8681327507433762E-3</v>
      </c>
      <c r="AT408" s="22">
        <f t="shared" si="98"/>
        <v>8.8683047519210381E-3</v>
      </c>
      <c r="AU408" s="22">
        <f t="shared" si="98"/>
        <v>8.8684693766282394E-3</v>
      </c>
      <c r="AV408" s="22">
        <f t="shared" si="98"/>
        <v>8.8686267283036267E-3</v>
      </c>
      <c r="AW408" s="22">
        <f t="shared" si="98"/>
        <v>8.8687768772881346E-3</v>
      </c>
      <c r="AY408" s="79"/>
    </row>
    <row r="409" spans="1:51" x14ac:dyDescent="0.25">
      <c r="A409" s="95" t="str">
        <f t="shared" si="93"/>
        <v>GS Volatilisation</v>
      </c>
      <c r="B409" s="95" t="s">
        <v>1021</v>
      </c>
      <c r="C409" s="95" t="s">
        <v>62</v>
      </c>
      <c r="D409" t="s">
        <v>369</v>
      </c>
      <c r="E409" t="s">
        <v>61</v>
      </c>
      <c r="F409" t="s">
        <v>62</v>
      </c>
      <c r="G409" t="s">
        <v>437</v>
      </c>
      <c r="H409" t="s">
        <v>1186</v>
      </c>
      <c r="I409" t="s">
        <v>139</v>
      </c>
      <c r="J409" t="s">
        <v>287</v>
      </c>
      <c r="K409" s="22">
        <f t="shared" si="90"/>
        <v>1.2008407282256135</v>
      </c>
      <c r="L409" s="22">
        <f t="shared" si="98"/>
        <v>1.2019035107607596</v>
      </c>
      <c r="M409" s="22">
        <f t="shared" si="98"/>
        <v>1.2088775122881088</v>
      </c>
      <c r="N409" s="22">
        <f t="shared" si="98"/>
        <v>1.2055442230548157</v>
      </c>
      <c r="O409" s="22">
        <f t="shared" si="98"/>
        <v>1.195843583832628</v>
      </c>
      <c r="P409" s="22">
        <f t="shared" si="98"/>
        <v>1.1799964998501227</v>
      </c>
      <c r="Q409" s="22">
        <f t="shared" si="98"/>
        <v>1.169776622170569</v>
      </c>
      <c r="R409" s="22">
        <f t="shared" si="98"/>
        <v>1.1606871439933113</v>
      </c>
      <c r="S409" s="22">
        <f t="shared" si="98"/>
        <v>1.0648906691667142</v>
      </c>
      <c r="T409" s="22">
        <f t="shared" si="98"/>
        <v>1.1057533797860197</v>
      </c>
      <c r="U409" s="22">
        <f t="shared" si="98"/>
        <v>3.1715891643578864</v>
      </c>
      <c r="V409" s="22">
        <f t="shared" si="98"/>
        <v>3.205817503106533</v>
      </c>
      <c r="W409" s="22">
        <f t="shared" si="98"/>
        <v>3.2352153287252081</v>
      </c>
      <c r="X409" s="22">
        <f t="shared" si="98"/>
        <v>3.2596764998420773</v>
      </c>
      <c r="Y409" s="22">
        <f t="shared" si="98"/>
        <v>3.2791703785538746</v>
      </c>
      <c r="Z409" s="22">
        <f t="shared" si="98"/>
        <v>3.2935488814957896</v>
      </c>
      <c r="AA409" s="22">
        <f t="shared" si="98"/>
        <v>3.3026965587676997</v>
      </c>
      <c r="AB409" s="22">
        <f t="shared" si="98"/>
        <v>3.3065215616671835</v>
      </c>
      <c r="AC409" s="22">
        <f t="shared" si="98"/>
        <v>3.3049591714491218</v>
      </c>
      <c r="AD409" s="22">
        <f t="shared" si="98"/>
        <v>3.2856040880514414</v>
      </c>
      <c r="AE409" s="22">
        <f t="shared" si="98"/>
        <v>3.2609006919876253</v>
      </c>
      <c r="AF409" s="22">
        <f t="shared" si="98"/>
        <v>3.2309381698250323</v>
      </c>
      <c r="AG409" s="22">
        <f t="shared" si="98"/>
        <v>3.1958369771906554</v>
      </c>
      <c r="AH409" s="22">
        <f t="shared" si="98"/>
        <v>3.1557406943377502</v>
      </c>
      <c r="AI409" s="22">
        <f t="shared" si="98"/>
        <v>3.1108181429551416</v>
      </c>
      <c r="AJ409" s="22">
        <f t="shared" si="98"/>
        <v>-7.9927190130914927E-2</v>
      </c>
      <c r="AK409" s="22">
        <f t="shared" si="98"/>
        <v>-7.7482459717295754E-2</v>
      </c>
      <c r="AL409" s="22">
        <f t="shared" si="98"/>
        <v>-7.5056648302161827E-2</v>
      </c>
      <c r="AM409" s="22">
        <f t="shared" si="98"/>
        <v>-7.2650174059267963E-2</v>
      </c>
      <c r="AN409" s="22">
        <f t="shared" si="98"/>
        <v>-7.0723117301040472E-2</v>
      </c>
      <c r="AO409" s="22">
        <f t="shared" si="98"/>
        <v>-6.8807486280089009E-2</v>
      </c>
      <c r="AP409" s="22">
        <f t="shared" si="98"/>
        <v>-6.6901375831276963E-2</v>
      </c>
      <c r="AQ409" s="22">
        <f t="shared" si="98"/>
        <v>-6.5004519075055389E-2</v>
      </c>
      <c r="AR409" s="22">
        <f t="shared" si="98"/>
        <v>-6.3114960679436297E-2</v>
      </c>
      <c r="AS409" s="22">
        <f t="shared" si="98"/>
        <v>-6.1230717258980515E-2</v>
      </c>
      <c r="AT409" s="22">
        <f t="shared" si="98"/>
        <v>-5.9351794077464999E-2</v>
      </c>
      <c r="AU409" s="22">
        <f t="shared" si="98"/>
        <v>-5.7478765169344234E-2</v>
      </c>
      <c r="AV409" s="22">
        <f t="shared" si="98"/>
        <v>-5.5612099659167281E-2</v>
      </c>
      <c r="AW409" s="22">
        <f t="shared" si="98"/>
        <v>-5.3750177084754498E-2</v>
      </c>
      <c r="AY409" s="79"/>
    </row>
    <row r="410" spans="1:51" x14ac:dyDescent="0.25">
      <c r="A410" s="95" t="str">
        <f t="shared" si="93"/>
        <v>GS Volatilisation</v>
      </c>
      <c r="B410" s="95" t="s">
        <v>1021</v>
      </c>
      <c r="C410" s="95" t="s">
        <v>62</v>
      </c>
      <c r="D410" t="s">
        <v>369</v>
      </c>
      <c r="E410" t="s">
        <v>61</v>
      </c>
      <c r="F410" t="s">
        <v>62</v>
      </c>
      <c r="G410" t="s">
        <v>438</v>
      </c>
      <c r="H410" t="s">
        <v>1265</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3.9236983289257736</v>
      </c>
      <c r="T410" s="22">
        <f t="shared" si="98"/>
        <v>4.0061959356333121</v>
      </c>
      <c r="U410" s="22">
        <f t="shared" si="98"/>
        <v>8.6703485618299432</v>
      </c>
      <c r="V410" s="22">
        <f t="shared" si="98"/>
        <v>8.7075171611639437</v>
      </c>
      <c r="W410" s="22">
        <f t="shared" si="98"/>
        <v>8.7349231997789492</v>
      </c>
      <c r="X410" s="22">
        <f t="shared" si="98"/>
        <v>8.7517078724202371</v>
      </c>
      <c r="Y410" s="22">
        <f t="shared" si="98"/>
        <v>8.7566246906771106</v>
      </c>
      <c r="Z410" s="22">
        <f t="shared" si="98"/>
        <v>8.749585391639048</v>
      </c>
      <c r="AA410" s="22">
        <f t="shared" si="98"/>
        <v>8.7305224491182276</v>
      </c>
      <c r="AB410" s="22">
        <f t="shared" si="98"/>
        <v>8.6994684257142971</v>
      </c>
      <c r="AC410" s="22">
        <f t="shared" si="98"/>
        <v>8.6565339362109501</v>
      </c>
      <c r="AD410" s="22">
        <f t="shared" si="98"/>
        <v>8.5479552025611873</v>
      </c>
      <c r="AE410" s="22">
        <f t="shared" si="98"/>
        <v>8.4281375273268431</v>
      </c>
      <c r="AF410" s="22">
        <f t="shared" si="98"/>
        <v>8.2976332368638914</v>
      </c>
      <c r="AG410" s="22">
        <f t="shared" si="98"/>
        <v>8.1570247194237986</v>
      </c>
      <c r="AH410" s="22">
        <f t="shared" si="98"/>
        <v>8.0069849414591072</v>
      </c>
      <c r="AI410" s="22">
        <f t="shared" si="98"/>
        <v>7.8482435227169196</v>
      </c>
      <c r="AJ410" s="22">
        <f t="shared" si="98"/>
        <v>1.4117786211897634</v>
      </c>
      <c r="AK410" s="22">
        <f t="shared" si="98"/>
        <v>1.4240848222590068</v>
      </c>
      <c r="AL410" s="22">
        <f t="shared" si="98"/>
        <v>1.4361490833885919</v>
      </c>
      <c r="AM410" s="22">
        <f t="shared" si="98"/>
        <v>1.4479836223342117</v>
      </c>
      <c r="AN410" s="22">
        <f t="shared" si="98"/>
        <v>1.4575869997562623</v>
      </c>
      <c r="AO410" s="22">
        <f t="shared" si="98"/>
        <v>1.4669658638055674</v>
      </c>
      <c r="AP410" s="22">
        <f t="shared" si="98"/>
        <v>1.4761004652334226</v>
      </c>
      <c r="AQ410" s="22">
        <f t="shared" si="98"/>
        <v>1.4849895121905028</v>
      </c>
      <c r="AR410" s="22">
        <f t="shared" si="98"/>
        <v>1.4936094251739955</v>
      </c>
      <c r="AS410" s="22">
        <f t="shared" si="98"/>
        <v>1.5019339292237881</v>
      </c>
      <c r="AT410" s="22">
        <f t="shared" si="98"/>
        <v>1.5099608560757101</v>
      </c>
      <c r="AU410" s="22">
        <f t="shared" si="98"/>
        <v>1.5176953414243965</v>
      </c>
      <c r="AV410" s="22">
        <f t="shared" si="98"/>
        <v>1.5251412376449351</v>
      </c>
      <c r="AW410" s="22">
        <f t="shared" si="98"/>
        <v>1.5322728813191711</v>
      </c>
      <c r="AY410" s="79"/>
    </row>
    <row r="411" spans="1:51" x14ac:dyDescent="0.25">
      <c r="A411" s="95" t="str">
        <f t="shared" si="93"/>
        <v>GS Leaching</v>
      </c>
      <c r="B411" s="95" t="s">
        <v>1021</v>
      </c>
      <c r="C411" s="95" t="s">
        <v>1190</v>
      </c>
      <c r="D411" t="s">
        <v>369</v>
      </c>
      <c r="E411" t="s">
        <v>61</v>
      </c>
      <c r="F411" t="s">
        <v>63</v>
      </c>
      <c r="G411" t="s">
        <v>435</v>
      </c>
      <c r="H411" t="s">
        <v>1187</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2.2782299743633269E-4</v>
      </c>
      <c r="U411" s="22">
        <f t="shared" si="98"/>
        <v>2.2772896270716546E-4</v>
      </c>
      <c r="V411" s="22">
        <f t="shared" si="98"/>
        <v>2.2547220379701556E-4</v>
      </c>
      <c r="W411" s="22">
        <f t="shared" si="98"/>
        <v>2.2541582514785201E-4</v>
      </c>
      <c r="X411" s="22">
        <f t="shared" si="98"/>
        <v>2.2536363782376035E-4</v>
      </c>
      <c r="Y411" s="22">
        <f t="shared" si="98"/>
        <v>2.2531563619654834E-4</v>
      </c>
      <c r="Z411" s="22">
        <f t="shared" si="98"/>
        <v>2.252717838340693E-4</v>
      </c>
      <c r="AA411" s="22">
        <f t="shared" si="98"/>
        <v>2.2523211880978096E-4</v>
      </c>
      <c r="AB411" s="22">
        <f t="shared" si="98"/>
        <v>2.2519667296374613E-4</v>
      </c>
      <c r="AC411" s="22">
        <f t="shared" si="98"/>
        <v>2.2516547748833096E-4</v>
      </c>
      <c r="AD411" s="22">
        <f t="shared" si="98"/>
        <v>2.2513856157343538E-4</v>
      </c>
      <c r="AE411" s="22">
        <f t="shared" si="98"/>
        <v>2.2511594956938508E-4</v>
      </c>
      <c r="AF411" s="22">
        <f t="shared" si="98"/>
        <v>2.2509766546392388E-4</v>
      </c>
      <c r="AG411" s="22">
        <f t="shared" si="98"/>
        <v>2.2508372924619698E-4</v>
      </c>
      <c r="AH411" s="22">
        <f t="shared" si="98"/>
        <v>2.2507415691637819E-4</v>
      </c>
      <c r="AI411" s="22">
        <f t="shared" si="98"/>
        <v>2.2506896472540883E-4</v>
      </c>
      <c r="AJ411" s="22">
        <f t="shared" si="98"/>
        <v>2.2506816740169194E-4</v>
      </c>
      <c r="AK411" s="22">
        <f t="shared" si="98"/>
        <v>2.3173915690967529E-4</v>
      </c>
      <c r="AL411" s="22">
        <f t="shared" si="98"/>
        <v>2.3174481192650851E-4</v>
      </c>
      <c r="AM411" s="22">
        <f t="shared" si="98"/>
        <v>2.3175033813840453E-4</v>
      </c>
      <c r="AN411" s="22">
        <f t="shared" si="98"/>
        <v>2.317557430868665E-4</v>
      </c>
      <c r="AO411" s="22">
        <f t="shared" si="98"/>
        <v>2.3176103567601125E-4</v>
      </c>
      <c r="AP411" s="22">
        <f t="shared" si="98"/>
        <v>2.3176619339798155E-4</v>
      </c>
      <c r="AQ411" s="22">
        <f t="shared" si="98"/>
        <v>2.3177120105611021E-4</v>
      </c>
      <c r="AR411" s="22">
        <f t="shared" si="98"/>
        <v>2.3177605672396827E-4</v>
      </c>
      <c r="AS411" s="22">
        <f t="shared" si="98"/>
        <v>2.3178074234897451E-4</v>
      </c>
      <c r="AT411" s="22">
        <f t="shared" si="98"/>
        <v>2.3178523783429981E-4</v>
      </c>
      <c r="AU411" s="22">
        <f t="shared" si="98"/>
        <v>2.3178954052551076E-4</v>
      </c>
      <c r="AV411" s="22">
        <f t="shared" si="98"/>
        <v>2.3179365312611745E-4</v>
      </c>
      <c r="AW411" s="22">
        <f t="shared" si="98"/>
        <v>2.3179757747457624E-4</v>
      </c>
      <c r="AY411" s="79"/>
    </row>
    <row r="412" spans="1:51" x14ac:dyDescent="0.25">
      <c r="A412" s="95" t="str">
        <f t="shared" si="93"/>
        <v>GS Leaching</v>
      </c>
      <c r="B412" s="95" t="s">
        <v>1021</v>
      </c>
      <c r="C412" s="95" t="s">
        <v>1190</v>
      </c>
      <c r="D412" t="s">
        <v>369</v>
      </c>
      <c r="E412" t="s">
        <v>61</v>
      </c>
      <c r="F412" t="s">
        <v>63</v>
      </c>
      <c r="G412" t="s">
        <v>436</v>
      </c>
      <c r="H412" t="s">
        <v>1188</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1.5036317830797959E-6</v>
      </c>
      <c r="U412" s="22">
        <f t="shared" si="98"/>
        <v>1.5030111538672925E-6</v>
      </c>
      <c r="V412" s="22">
        <f t="shared" si="98"/>
        <v>1.488116545060303E-6</v>
      </c>
      <c r="W412" s="22">
        <f t="shared" si="98"/>
        <v>1.487744445975823E-6</v>
      </c>
      <c r="X412" s="22">
        <f t="shared" si="98"/>
        <v>1.4874000096368187E-6</v>
      </c>
      <c r="Y412" s="22">
        <f t="shared" si="98"/>
        <v>1.4870831988972194E-6</v>
      </c>
      <c r="Z412" s="22">
        <f t="shared" si="98"/>
        <v>1.4867937733048578E-6</v>
      </c>
      <c r="AA412" s="22">
        <f t="shared" si="98"/>
        <v>1.4865319841445543E-6</v>
      </c>
      <c r="AB412" s="22">
        <f t="shared" si="98"/>
        <v>1.4862980415607246E-6</v>
      </c>
      <c r="AC412" s="22">
        <f t="shared" si="98"/>
        <v>1.4860921514229842E-6</v>
      </c>
      <c r="AD412" s="22">
        <f t="shared" si="98"/>
        <v>1.4859145063846736E-6</v>
      </c>
      <c r="AE412" s="22">
        <f t="shared" si="98"/>
        <v>1.4857652671579419E-6</v>
      </c>
      <c r="AF412" s="22">
        <f t="shared" si="98"/>
        <v>1.4856445920618978E-6</v>
      </c>
      <c r="AG412" s="22">
        <f t="shared" si="98"/>
        <v>1.4855526130249004E-6</v>
      </c>
      <c r="AH412" s="22">
        <f t="shared" si="98"/>
        <v>1.4854894356480966E-6</v>
      </c>
      <c r="AI412" s="22">
        <f t="shared" si="98"/>
        <v>1.4854551671876988E-6</v>
      </c>
      <c r="AJ412" s="22">
        <f t="shared" si="98"/>
        <v>1.4854499048511669E-6</v>
      </c>
      <c r="AK412" s="22">
        <f t="shared" si="98"/>
        <v>1.5294784356038574E-6</v>
      </c>
      <c r="AL412" s="22">
        <f t="shared" si="98"/>
        <v>1.5295157587149565E-6</v>
      </c>
      <c r="AM412" s="22">
        <f t="shared" si="98"/>
        <v>1.5295522317134702E-6</v>
      </c>
      <c r="AN412" s="22">
        <f t="shared" si="98"/>
        <v>1.5295879043733193E-6</v>
      </c>
      <c r="AO412" s="22">
        <f t="shared" si="98"/>
        <v>1.5296228354616745E-6</v>
      </c>
      <c r="AP412" s="22">
        <f t="shared" si="98"/>
        <v>1.5296568764266789E-6</v>
      </c>
      <c r="AQ412" s="22">
        <f t="shared" si="98"/>
        <v>1.5296899269703273E-6</v>
      </c>
      <c r="AR412" s="22">
        <f t="shared" si="98"/>
        <v>1.5297219743781909E-6</v>
      </c>
      <c r="AS412" s="22">
        <f t="shared" si="98"/>
        <v>1.5297528995032323E-6</v>
      </c>
      <c r="AT412" s="22">
        <f t="shared" si="98"/>
        <v>1.529782569706379E-6</v>
      </c>
      <c r="AU412" s="22">
        <f t="shared" si="98"/>
        <v>1.5298109674683716E-6</v>
      </c>
      <c r="AV412" s="22">
        <f t="shared" si="98"/>
        <v>1.5298381106323754E-6</v>
      </c>
      <c r="AW412" s="22">
        <f t="shared" si="98"/>
        <v>1.5298640113322035E-6</v>
      </c>
      <c r="AY412" s="79"/>
    </row>
    <row r="413" spans="1:51" x14ac:dyDescent="0.25">
      <c r="A413" s="95" t="str">
        <f t="shared" si="93"/>
        <v>GS Leaching</v>
      </c>
      <c r="B413" s="95" t="s">
        <v>1021</v>
      </c>
      <c r="C413" s="95" t="s">
        <v>1190</v>
      </c>
      <c r="D413" t="s">
        <v>369</v>
      </c>
      <c r="E413" t="s">
        <v>61</v>
      </c>
      <c r="F413" t="s">
        <v>63</v>
      </c>
      <c r="G413" t="s">
        <v>437</v>
      </c>
      <c r="H413" t="s">
        <v>1189</v>
      </c>
      <c r="I413" t="s">
        <v>139</v>
      </c>
      <c r="J413" t="s">
        <v>287</v>
      </c>
      <c r="K413" s="22">
        <f t="shared" si="90"/>
        <v>0.20714502561891829</v>
      </c>
      <c r="L413" s="22">
        <f t="shared" si="98"/>
        <v>0.20732835560623103</v>
      </c>
      <c r="M413" s="22">
        <f t="shared" si="98"/>
        <v>0.20853137086969875</v>
      </c>
      <c r="N413" s="22">
        <f t="shared" si="98"/>
        <v>0.20795637847695569</v>
      </c>
      <c r="O413" s="22">
        <f t="shared" si="98"/>
        <v>0.20628301821112832</v>
      </c>
      <c r="P413" s="22">
        <f t="shared" si="98"/>
        <v>0.20354939622414611</v>
      </c>
      <c r="Q413" s="22">
        <f t="shared" si="98"/>
        <v>0.20178646732442315</v>
      </c>
      <c r="R413" s="22">
        <f t="shared" si="98"/>
        <v>0.20021853233884618</v>
      </c>
      <c r="S413" s="22">
        <f t="shared" si="98"/>
        <v>0.18369364043125816</v>
      </c>
      <c r="T413" s="22">
        <f t="shared" si="98"/>
        <v>0.19074245801308834</v>
      </c>
      <c r="U413" s="22">
        <f t="shared" si="98"/>
        <v>0.54709913085173534</v>
      </c>
      <c r="V413" s="22">
        <f t="shared" si="98"/>
        <v>0.55300351928587688</v>
      </c>
      <c r="W413" s="22">
        <f t="shared" si="98"/>
        <v>0.55807464420509822</v>
      </c>
      <c r="X413" s="22">
        <f t="shared" si="98"/>
        <v>0.56229419622275822</v>
      </c>
      <c r="Y413" s="22">
        <f t="shared" si="98"/>
        <v>0.56565689030054322</v>
      </c>
      <c r="Z413" s="22">
        <f t="shared" si="98"/>
        <v>0.56813718205802377</v>
      </c>
      <c r="AA413" s="22">
        <f t="shared" si="98"/>
        <v>0.56971515638742798</v>
      </c>
      <c r="AB413" s="22">
        <f t="shared" si="98"/>
        <v>0.57037496938758903</v>
      </c>
      <c r="AC413" s="22">
        <f t="shared" si="98"/>
        <v>0.57010545707497351</v>
      </c>
      <c r="AD413" s="22">
        <f t="shared" si="98"/>
        <v>0.56676670518887351</v>
      </c>
      <c r="AE413" s="22">
        <f t="shared" si="98"/>
        <v>0.56250536936786533</v>
      </c>
      <c r="AF413" s="22">
        <f t="shared" si="98"/>
        <v>0.55733683429481795</v>
      </c>
      <c r="AG413" s="22">
        <f t="shared" si="98"/>
        <v>0.55128187856538813</v>
      </c>
      <c r="AH413" s="22">
        <f t="shared" si="98"/>
        <v>0.54436526977326183</v>
      </c>
      <c r="AI413" s="22">
        <f t="shared" si="98"/>
        <v>0.53661612965976202</v>
      </c>
      <c r="AJ413" s="22">
        <f t="shared" si="98"/>
        <v>-1.3787440297582821E-2</v>
      </c>
      <c r="AK413" s="22">
        <f t="shared" si="98"/>
        <v>-1.3365724301233515E-2</v>
      </c>
      <c r="AL413" s="22">
        <f t="shared" si="98"/>
        <v>-1.2947271832122912E-2</v>
      </c>
      <c r="AM413" s="22">
        <f t="shared" si="98"/>
        <v>-1.2532155025223722E-2</v>
      </c>
      <c r="AN413" s="22">
        <f t="shared" si="98"/>
        <v>-1.2199737734429479E-2</v>
      </c>
      <c r="AO413" s="22">
        <f t="shared" si="98"/>
        <v>-1.1869291383315354E-2</v>
      </c>
      <c r="AP413" s="22">
        <f t="shared" si="98"/>
        <v>-1.1540487330895275E-2</v>
      </c>
      <c r="AQ413" s="22">
        <f t="shared" si="98"/>
        <v>-1.1213279540447051E-2</v>
      </c>
      <c r="AR413" s="22">
        <f t="shared" si="98"/>
        <v>-1.0887330717202761E-2</v>
      </c>
      <c r="AS413" s="22">
        <f t="shared" si="98"/>
        <v>-1.0562298727174138E-2</v>
      </c>
      <c r="AT413" s="22">
        <f t="shared" si="98"/>
        <v>-1.0238184478362713E-2</v>
      </c>
      <c r="AU413" s="22">
        <f t="shared" si="98"/>
        <v>-9.9150869917118811E-3</v>
      </c>
      <c r="AV413" s="22">
        <f t="shared" si="98"/>
        <v>-9.5930871912063547E-3</v>
      </c>
      <c r="AW413" s="22">
        <f t="shared" si="98"/>
        <v>-9.27190554712015E-3</v>
      </c>
      <c r="AY413" s="79"/>
    </row>
    <row r="414" spans="1:51" x14ac:dyDescent="0.25">
      <c r="A414" s="95" t="str">
        <f t="shared" si="93"/>
        <v>GS Leaching</v>
      </c>
      <c r="B414" s="95" t="s">
        <v>1021</v>
      </c>
      <c r="C414" s="95" t="s">
        <v>1190</v>
      </c>
      <c r="D414" t="s">
        <v>369</v>
      </c>
      <c r="E414" t="s">
        <v>61</v>
      </c>
      <c r="F414" t="s">
        <v>63</v>
      </c>
      <c r="G414" t="s">
        <v>438</v>
      </c>
      <c r="H414" t="s">
        <v>1191</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25">
      <c r="A415" s="95" t="str">
        <f t="shared" si="93"/>
        <v>GS Leaching</v>
      </c>
      <c r="B415" s="95" t="s">
        <v>1021</v>
      </c>
      <c r="C415" s="95" t="s">
        <v>1190</v>
      </c>
      <c r="D415" t="s">
        <v>369</v>
      </c>
      <c r="E415" t="s">
        <v>61</v>
      </c>
      <c r="F415" t="s">
        <v>63</v>
      </c>
      <c r="G415" t="s">
        <v>439</v>
      </c>
      <c r="H415" t="s">
        <v>1192</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0.10250223308080923</v>
      </c>
      <c r="U415" s="22">
        <f t="shared" si="99"/>
        <v>0.10320425755524179</v>
      </c>
      <c r="V415" s="22">
        <f t="shared" si="99"/>
        <v>0.12005228808448951</v>
      </c>
      <c r="W415" s="22">
        <f t="shared" si="99"/>
        <v>0.12047318780844027</v>
      </c>
      <c r="X415" s="22">
        <f t="shared" si="99"/>
        <v>0.12086279682940448</v>
      </c>
      <c r="Y415" s="22">
        <f t="shared" si="99"/>
        <v>0.12122115716514245</v>
      </c>
      <c r="Z415" s="22">
        <f t="shared" si="99"/>
        <v>0.12154854080302378</v>
      </c>
      <c r="AA415" s="22">
        <f t="shared" si="99"/>
        <v>0.12184466350232884</v>
      </c>
      <c r="AB415" s="22">
        <f t="shared" si="99"/>
        <v>0.1221092875582894</v>
      </c>
      <c r="AC415" s="22">
        <f t="shared" si="99"/>
        <v>0.12234218010157646</v>
      </c>
      <c r="AD415" s="22">
        <f t="shared" si="99"/>
        <v>0.12254312321244377</v>
      </c>
      <c r="AE415" s="22">
        <f t="shared" si="99"/>
        <v>0.12271193510141119</v>
      </c>
      <c r="AF415" s="22">
        <f t="shared" si="99"/>
        <v>0.12284843668588494</v>
      </c>
      <c r="AG415" s="22">
        <f t="shared" si="99"/>
        <v>0.12295247873515695</v>
      </c>
      <c r="AH415" s="22">
        <f t="shared" si="99"/>
        <v>0.12302394179853401</v>
      </c>
      <c r="AI415" s="22">
        <f t="shared" si="99"/>
        <v>0.12306270455319578</v>
      </c>
      <c r="AJ415" s="22">
        <f t="shared" si="99"/>
        <v>0.12306865704296534</v>
      </c>
      <c r="AK415" s="22">
        <f t="shared" si="99"/>
        <v>7.3265802876620559E-2</v>
      </c>
      <c r="AL415" s="22">
        <f t="shared" si="99"/>
        <v>7.322358485509374E-2</v>
      </c>
      <c r="AM415" s="22">
        <f t="shared" si="99"/>
        <v>7.3182328438063146E-2</v>
      </c>
      <c r="AN415" s="22">
        <f t="shared" si="99"/>
        <v>7.3141977323778182E-2</v>
      </c>
      <c r="AO415" s="22">
        <f t="shared" si="99"/>
        <v>7.3102465037779299E-2</v>
      </c>
      <c r="AP415" s="22">
        <f t="shared" si="99"/>
        <v>7.3063959614436361E-2</v>
      </c>
      <c r="AQ415" s="22">
        <f t="shared" si="99"/>
        <v>7.3026574505796304E-2</v>
      </c>
      <c r="AR415" s="22">
        <f t="shared" si="99"/>
        <v>7.299032409378052E-2</v>
      </c>
      <c r="AS415" s="22">
        <f t="shared" si="99"/>
        <v>7.2955343151510282E-2</v>
      </c>
      <c r="AT415" s="22">
        <f t="shared" si="99"/>
        <v>7.2921781713616574E-2</v>
      </c>
      <c r="AU415" s="22">
        <f t="shared" si="99"/>
        <v>7.2889659597002901E-2</v>
      </c>
      <c r="AV415" s="22">
        <f t="shared" si="99"/>
        <v>7.2858956618379891E-2</v>
      </c>
      <c r="AW415" s="22">
        <f t="shared" si="99"/>
        <v>7.282965905259077E-2</v>
      </c>
      <c r="AY415" s="79"/>
    </row>
    <row r="416" spans="1:51" x14ac:dyDescent="0.25">
      <c r="A416" s="95" t="str">
        <f t="shared" si="93"/>
        <v>GS Leaching</v>
      </c>
      <c r="B416" s="95" t="s">
        <v>1021</v>
      </c>
      <c r="C416" s="95" t="s">
        <v>1190</v>
      </c>
      <c r="D416" t="s">
        <v>369</v>
      </c>
      <c r="E416" t="s">
        <v>61</v>
      </c>
      <c r="F416" t="s">
        <v>63</v>
      </c>
      <c r="G416" t="s">
        <v>1193</v>
      </c>
      <c r="H416" t="s">
        <v>1194</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25">
      <c r="A417" s="95" t="str">
        <f t="shared" si="93"/>
        <v>GS Leaching</v>
      </c>
      <c r="B417" s="95" t="s">
        <v>1021</v>
      </c>
      <c r="C417" s="95" t="s">
        <v>1190</v>
      </c>
      <c r="D417" t="s">
        <v>369</v>
      </c>
      <c r="E417" t="s">
        <v>61</v>
      </c>
      <c r="F417" t="s">
        <v>63</v>
      </c>
      <c r="G417" t="s">
        <v>1195</v>
      </c>
      <c r="H417" t="s">
        <v>1196</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25">
      <c r="A418" s="95" t="str">
        <f t="shared" si="93"/>
        <v>GS Leaching</v>
      </c>
      <c r="B418" s="95" t="s">
        <v>1021</v>
      </c>
      <c r="C418" s="95" t="s">
        <v>1190</v>
      </c>
      <c r="D418" t="s">
        <v>369</v>
      </c>
      <c r="E418" t="s">
        <v>61</v>
      </c>
      <c r="F418" t="s">
        <v>63</v>
      </c>
      <c r="G418" t="s">
        <v>1197</v>
      </c>
      <c r="H418" t="s">
        <v>1198</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25">
      <c r="A419" s="95" t="str">
        <f t="shared" si="93"/>
        <v>GS Leaching</v>
      </c>
      <c r="B419" s="95" t="s">
        <v>1021</v>
      </c>
      <c r="C419" s="95" t="s">
        <v>1190</v>
      </c>
      <c r="D419" t="s">
        <v>369</v>
      </c>
      <c r="E419" t="s">
        <v>61</v>
      </c>
      <c r="F419" t="s">
        <v>63</v>
      </c>
      <c r="G419" t="s">
        <v>1199</v>
      </c>
      <c r="H419" t="s">
        <v>1200</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25">
      <c r="A420" s="95" t="str">
        <f t="shared" si="93"/>
        <v>GS Leaching</v>
      </c>
      <c r="B420" s="95" t="s">
        <v>1021</v>
      </c>
      <c r="C420" s="95" t="s">
        <v>1190</v>
      </c>
      <c r="D420" t="s">
        <v>369</v>
      </c>
      <c r="E420" t="s">
        <v>61</v>
      </c>
      <c r="F420" t="s">
        <v>63</v>
      </c>
      <c r="G420" t="s">
        <v>1201</v>
      </c>
      <c r="H420" t="s">
        <v>1202</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25">
      <c r="A421" s="95" t="str">
        <f t="shared" si="93"/>
        <v>GS Leaching</v>
      </c>
      <c r="B421" s="95" t="s">
        <v>1021</v>
      </c>
      <c r="C421" s="95" t="s">
        <v>1190</v>
      </c>
      <c r="D421" t="s">
        <v>369</v>
      </c>
      <c r="E421" t="s">
        <v>61</v>
      </c>
      <c r="F421" t="s">
        <v>63</v>
      </c>
      <c r="G421" t="s">
        <v>1203</v>
      </c>
      <c r="H421" t="s">
        <v>1204</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25">
      <c r="A422" s="95" t="str">
        <f t="shared" si="93"/>
        <v>GS Leaching</v>
      </c>
      <c r="B422" s="95" t="s">
        <v>1021</v>
      </c>
      <c r="C422" s="95" t="s">
        <v>1190</v>
      </c>
      <c r="D422" t="s">
        <v>369</v>
      </c>
      <c r="E422" t="s">
        <v>61</v>
      </c>
      <c r="F422" t="s">
        <v>63</v>
      </c>
      <c r="G422" t="s">
        <v>1205</v>
      </c>
      <c r="H422" t="s">
        <v>1206</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25">
      <c r="A423" s="95" t="str">
        <f t="shared" si="93"/>
        <v>GS Leaching</v>
      </c>
      <c r="B423" s="95" t="s">
        <v>1021</v>
      </c>
      <c r="C423" s="95" t="s">
        <v>1190</v>
      </c>
      <c r="D423" t="s">
        <v>369</v>
      </c>
      <c r="E423" t="s">
        <v>61</v>
      </c>
      <c r="F423" t="s">
        <v>63</v>
      </c>
      <c r="G423" t="s">
        <v>1207</v>
      </c>
      <c r="H423" t="s">
        <v>1208</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25">
      <c r="A424" s="95" t="str">
        <f t="shared" si="93"/>
        <v>GS Leaching</v>
      </c>
      <c r="B424" s="95" t="s">
        <v>1021</v>
      </c>
      <c r="C424" s="95" t="s">
        <v>1190</v>
      </c>
      <c r="D424" t="s">
        <v>369</v>
      </c>
      <c r="E424" t="s">
        <v>61</v>
      </c>
      <c r="F424" t="s">
        <v>63</v>
      </c>
      <c r="G424" t="s">
        <v>1209</v>
      </c>
      <c r="H424" t="s">
        <v>1210</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25">
      <c r="A425" s="95" t="str">
        <f t="shared" si="93"/>
        <v>GS Leaching</v>
      </c>
      <c r="B425" s="95" t="s">
        <v>1021</v>
      </c>
      <c r="C425" s="95" t="s">
        <v>1190</v>
      </c>
      <c r="D425" t="s">
        <v>369</v>
      </c>
      <c r="E425" t="s">
        <v>61</v>
      </c>
      <c r="F425" t="s">
        <v>63</v>
      </c>
      <c r="G425" t="s">
        <v>1211</v>
      </c>
      <c r="H425" t="s">
        <v>1212</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25">
      <c r="A426" s="95" t="str">
        <f t="shared" si="93"/>
        <v>GS Leaching</v>
      </c>
      <c r="B426" s="95" t="s">
        <v>1021</v>
      </c>
      <c r="C426" s="95" t="s">
        <v>1190</v>
      </c>
      <c r="D426" t="s">
        <v>369</v>
      </c>
      <c r="E426" t="s">
        <v>61</v>
      </c>
      <c r="F426" t="s">
        <v>63</v>
      </c>
      <c r="G426" t="s">
        <v>1213</v>
      </c>
      <c r="H426" t="s">
        <v>1214</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25">
      <c r="A427" s="95"/>
      <c r="B427" s="95" t="s">
        <v>1021</v>
      </c>
      <c r="C427" s="95"/>
      <c r="D427" t="s">
        <v>369</v>
      </c>
      <c r="E427" t="s">
        <v>61</v>
      </c>
      <c r="F427" t="s">
        <v>63</v>
      </c>
      <c r="G427" t="s">
        <v>1215</v>
      </c>
      <c r="H427" t="s">
        <v>1216</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25">
      <c r="A428" s="95" t="str">
        <f t="shared" si="93"/>
        <v>GS MM Volatilisation</v>
      </c>
      <c r="B428" s="95" t="s">
        <v>1021</v>
      </c>
      <c r="C428" s="95" t="s">
        <v>1332</v>
      </c>
      <c r="D428" t="s">
        <v>369</v>
      </c>
      <c r="E428" t="s">
        <v>64</v>
      </c>
      <c r="F428" t="s">
        <v>62</v>
      </c>
      <c r="G428" t="s">
        <v>1152</v>
      </c>
      <c r="H428" t="s">
        <v>1290</v>
      </c>
      <c r="I428" t="s">
        <v>139</v>
      </c>
      <c r="J428" t="s">
        <v>287</v>
      </c>
      <c r="K428" s="22">
        <f t="shared" si="101"/>
        <v>0.39609736661915962</v>
      </c>
      <c r="L428" s="22">
        <f t="shared" si="102"/>
        <v>0.39831175345583053</v>
      </c>
      <c r="M428" s="22">
        <f t="shared" si="102"/>
        <v>0.40145358914715529</v>
      </c>
      <c r="N428" s="22">
        <f t="shared" si="102"/>
        <v>0.40347255325329029</v>
      </c>
      <c r="O428" s="22">
        <f t="shared" si="102"/>
        <v>0.40481416413578281</v>
      </c>
      <c r="P428" s="22">
        <f t="shared" si="102"/>
        <v>0.40546521734783819</v>
      </c>
      <c r="Q428" s="22">
        <f t="shared" si="102"/>
        <v>0.40690363619044922</v>
      </c>
      <c r="R428" s="22">
        <f t="shared" si="102"/>
        <v>0.40855374420631202</v>
      </c>
      <c r="S428" s="22">
        <f t="shared" si="102"/>
        <v>0.39694485067455443</v>
      </c>
      <c r="T428" s="22">
        <f t="shared" si="102"/>
        <v>0.40377484899001992</v>
      </c>
      <c r="U428" s="22">
        <f t="shared" si="102"/>
        <v>0.69472691845052781</v>
      </c>
      <c r="V428" s="22">
        <f t="shared" si="102"/>
        <v>0.70310152718694741</v>
      </c>
      <c r="W428" s="22">
        <f t="shared" si="102"/>
        <v>0.71110880509409102</v>
      </c>
      <c r="X428" s="22">
        <f t="shared" si="102"/>
        <v>0.718612550142118</v>
      </c>
      <c r="Y428" s="22">
        <f t="shared" si="102"/>
        <v>0.7254123730618981</v>
      </c>
      <c r="Z428" s="22">
        <f t="shared" si="102"/>
        <v>0.73147651852735551</v>
      </c>
      <c r="AA428" s="22">
        <f t="shared" si="102"/>
        <v>0.73676965969026942</v>
      </c>
      <c r="AB428" s="22">
        <f t="shared" si="102"/>
        <v>0.74126505933946241</v>
      </c>
      <c r="AC428" s="22">
        <f t="shared" si="102"/>
        <v>0.74494151296918631</v>
      </c>
      <c r="AD428" s="22">
        <f t="shared" si="102"/>
        <v>0.74777672987859323</v>
      </c>
      <c r="AE428" s="22">
        <f t="shared" si="102"/>
        <v>0.7497573654957449</v>
      </c>
      <c r="AF428" s="22">
        <f t="shared" si="102"/>
        <v>0.75087061941702216</v>
      </c>
      <c r="AG428" s="22">
        <f t="shared" si="102"/>
        <v>0.75110412486622213</v>
      </c>
      <c r="AH428" s="22">
        <f t="shared" si="102"/>
        <v>0.75045562343243666</v>
      </c>
      <c r="AI428" s="22">
        <f t="shared" si="102"/>
        <v>0.74892880709192955</v>
      </c>
      <c r="AJ428" s="22">
        <f t="shared" si="102"/>
        <v>0.2369481237841857</v>
      </c>
      <c r="AK428" s="22">
        <f t="shared" si="102"/>
        <v>0.23712109193812289</v>
      </c>
      <c r="AL428" s="22">
        <f t="shared" si="102"/>
        <v>0.23728160870243259</v>
      </c>
      <c r="AM428" s="22">
        <f t="shared" si="102"/>
        <v>0.2374307599177384</v>
      </c>
      <c r="AN428" s="22">
        <f t="shared" si="102"/>
        <v>0.2375698831121214</v>
      </c>
      <c r="AO428" s="22">
        <f t="shared" si="102"/>
        <v>0.23769461188435137</v>
      </c>
      <c r="AP428" s="22">
        <f t="shared" si="102"/>
        <v>0.2378020140279184</v>
      </c>
      <c r="AQ428" s="22">
        <f t="shared" si="102"/>
        <v>0.23789161932894973</v>
      </c>
      <c r="AR428" s="22">
        <f t="shared" si="102"/>
        <v>0.23796010078507188</v>
      </c>
      <c r="AS428" s="22">
        <f t="shared" si="102"/>
        <v>0.2380038463120322</v>
      </c>
      <c r="AT428" s="22">
        <f t="shared" si="102"/>
        <v>0.23802240976704672</v>
      </c>
      <c r="AU428" s="22">
        <f t="shared" si="102"/>
        <v>0.23801630420250081</v>
      </c>
      <c r="AV428" s="22">
        <f t="shared" si="102"/>
        <v>0.23798588741324539</v>
      </c>
      <c r="AW428" s="22">
        <f t="shared" si="102"/>
        <v>0.23792776204046176</v>
      </c>
      <c r="AY428" s="79"/>
    </row>
    <row r="429" spans="1:51" x14ac:dyDescent="0.25">
      <c r="A429" s="95" t="str">
        <f t="shared" si="93"/>
        <v>GS MM Volatilisation</v>
      </c>
      <c r="B429" s="95" t="s">
        <v>1021</v>
      </c>
      <c r="C429" s="95" t="s">
        <v>1332</v>
      </c>
      <c r="D429" t="s">
        <v>369</v>
      </c>
      <c r="E429" t="s">
        <v>64</v>
      </c>
      <c r="F429" t="s">
        <v>62</v>
      </c>
      <c r="G429" t="s">
        <v>1154</v>
      </c>
      <c r="H429" t="s">
        <v>1291</v>
      </c>
      <c r="I429" t="s">
        <v>139</v>
      </c>
      <c r="J429" t="s">
        <v>287</v>
      </c>
      <c r="K429" s="22">
        <f t="shared" si="101"/>
        <v>3.1249813656142676E-2</v>
      </c>
      <c r="L429" s="22">
        <f t="shared" si="102"/>
        <v>3.1424516095088999E-2</v>
      </c>
      <c r="M429" s="22">
        <f t="shared" si="102"/>
        <v>3.1672388936885787E-2</v>
      </c>
      <c r="N429" s="22">
        <f t="shared" si="102"/>
        <v>3.1831673641638247E-2</v>
      </c>
      <c r="O429" s="22">
        <f t="shared" si="102"/>
        <v>3.1937519056453263E-2</v>
      </c>
      <c r="P429" s="22">
        <f t="shared" si="102"/>
        <v>3.1988883426104654E-2</v>
      </c>
      <c r="Q429" s="22">
        <f t="shared" si="102"/>
        <v>3.2102366434524382E-2</v>
      </c>
      <c r="R429" s="22">
        <f t="shared" si="102"/>
        <v>3.2232550506305399E-2</v>
      </c>
      <c r="S429" s="22">
        <f t="shared" si="102"/>
        <v>3.1316675294314346E-2</v>
      </c>
      <c r="T429" s="22">
        <f t="shared" si="102"/>
        <v>3.1855523043926581E-2</v>
      </c>
      <c r="U429" s="22">
        <f t="shared" si="102"/>
        <v>5.4809974953353012E-2</v>
      </c>
      <c r="V429" s="22">
        <f t="shared" si="102"/>
        <v>5.547068361872478E-2</v>
      </c>
      <c r="W429" s="22">
        <f t="shared" si="102"/>
        <v>5.6102411985482069E-2</v>
      </c>
      <c r="X429" s="22">
        <f t="shared" si="102"/>
        <v>5.6694414493540908E-2</v>
      </c>
      <c r="Y429" s="22">
        <f t="shared" si="102"/>
        <v>5.7230881577257239E-2</v>
      </c>
      <c r="Z429" s="22">
        <f t="shared" si="102"/>
        <v>5.7709307923276061E-2</v>
      </c>
      <c r="AA429" s="22">
        <f t="shared" si="102"/>
        <v>5.812690644560041E-2</v>
      </c>
      <c r="AB429" s="22">
        <f t="shared" si="102"/>
        <v>5.8481567731400452E-2</v>
      </c>
      <c r="AC429" s="22">
        <f t="shared" si="102"/>
        <v>5.8771618866617373E-2</v>
      </c>
      <c r="AD429" s="22">
        <f t="shared" si="102"/>
        <v>5.8995301242619896E-2</v>
      </c>
      <c r="AE429" s="22">
        <f t="shared" si="102"/>
        <v>5.9151562049110484E-2</v>
      </c>
      <c r="AF429" s="22">
        <f t="shared" si="102"/>
        <v>5.9239391407555408E-2</v>
      </c>
      <c r="AG429" s="22">
        <f t="shared" si="102"/>
        <v>5.9257813650140552E-2</v>
      </c>
      <c r="AH429" s="22">
        <f t="shared" si="102"/>
        <v>5.9206650601179869E-2</v>
      </c>
      <c r="AI429" s="22">
        <f t="shared" si="102"/>
        <v>5.9086193536455466E-2</v>
      </c>
      <c r="AJ429" s="22">
        <f t="shared" si="102"/>
        <v>1.8693849892589171E-2</v>
      </c>
      <c r="AK429" s="22">
        <f t="shared" si="102"/>
        <v>1.870749608929358E-2</v>
      </c>
      <c r="AL429" s="22">
        <f t="shared" si="102"/>
        <v>1.8720159942669283E-2</v>
      </c>
      <c r="AM429" s="22">
        <f t="shared" si="102"/>
        <v>1.873192711932253E-2</v>
      </c>
      <c r="AN429" s="22">
        <f t="shared" si="102"/>
        <v>1.8742903142558495E-2</v>
      </c>
      <c r="AO429" s="22">
        <f t="shared" si="102"/>
        <v>1.8752743528327825E-2</v>
      </c>
      <c r="AP429" s="22">
        <f t="shared" si="102"/>
        <v>1.8761216942330506E-2</v>
      </c>
      <c r="AQ429" s="22">
        <f t="shared" si="102"/>
        <v>1.8768286287385059E-2</v>
      </c>
      <c r="AR429" s="22">
        <f t="shared" si="102"/>
        <v>1.8773689082058967E-2</v>
      </c>
      <c r="AS429" s="22">
        <f t="shared" si="102"/>
        <v>1.8777140353592202E-2</v>
      </c>
      <c r="AT429" s="22">
        <f t="shared" si="102"/>
        <v>1.8778604903874292E-2</v>
      </c>
      <c r="AU429" s="22">
        <f t="shared" si="102"/>
        <v>1.877812320980005E-2</v>
      </c>
      <c r="AV429" s="22">
        <f t="shared" si="102"/>
        <v>1.8775723499333995E-2</v>
      </c>
      <c r="AW429" s="22">
        <f t="shared" si="102"/>
        <v>1.8771137740323057E-2</v>
      </c>
      <c r="AY429" s="79"/>
    </row>
    <row r="430" spans="1:51" x14ac:dyDescent="0.25">
      <c r="A430" s="95" t="str">
        <f t="shared" si="93"/>
        <v>GS MM Volatilisation</v>
      </c>
      <c r="B430" s="95" t="s">
        <v>1021</v>
      </c>
      <c r="C430" s="95" t="s">
        <v>1332</v>
      </c>
      <c r="D430" t="s">
        <v>369</v>
      </c>
      <c r="E430" t="s">
        <v>64</v>
      </c>
      <c r="F430" t="s">
        <v>62</v>
      </c>
      <c r="G430" t="s">
        <v>1156</v>
      </c>
      <c r="H430" t="s">
        <v>1292</v>
      </c>
      <c r="I430" t="s">
        <v>139</v>
      </c>
      <c r="J430" t="s">
        <v>287</v>
      </c>
      <c r="K430" s="22">
        <f t="shared" si="101"/>
        <v>2.8967336997006343E-4</v>
      </c>
      <c r="L430" s="22">
        <f t="shared" si="102"/>
        <v>2.9129279224209421E-4</v>
      </c>
      <c r="M430" s="22">
        <f t="shared" si="102"/>
        <v>2.9359047510821973E-4</v>
      </c>
      <c r="N430" s="22">
        <f t="shared" si="102"/>
        <v>2.9506698110336069E-4</v>
      </c>
      <c r="O430" s="22">
        <f t="shared" si="102"/>
        <v>2.960481260901027E-4</v>
      </c>
      <c r="P430" s="22">
        <f t="shared" si="102"/>
        <v>2.9652425341095731E-4</v>
      </c>
      <c r="Q430" s="22">
        <f t="shared" si="102"/>
        <v>2.9757619585915883E-4</v>
      </c>
      <c r="R430" s="22">
        <f t="shared" si="102"/>
        <v>2.9878295053629658E-4</v>
      </c>
      <c r="S430" s="22">
        <f t="shared" si="102"/>
        <v>2.9029315081944787E-4</v>
      </c>
      <c r="T430" s="22">
        <f t="shared" si="102"/>
        <v>2.9528805559707279E-4</v>
      </c>
      <c r="U430" s="22">
        <f t="shared" si="102"/>
        <v>5.0806671449036449E-4</v>
      </c>
      <c r="V430" s="22">
        <f t="shared" si="102"/>
        <v>5.1419122159215467E-4</v>
      </c>
      <c r="W430" s="22">
        <f t="shared" si="102"/>
        <v>5.200470928276717E-4</v>
      </c>
      <c r="X430" s="22">
        <f t="shared" si="102"/>
        <v>5.2553472111970217E-4</v>
      </c>
      <c r="Y430" s="22">
        <f t="shared" si="102"/>
        <v>5.3050755806932593E-4</v>
      </c>
      <c r="Z430" s="22">
        <f t="shared" si="102"/>
        <v>5.3494238041606622E-4</v>
      </c>
      <c r="AA430" s="22">
        <f t="shared" si="102"/>
        <v>5.3881335297888784E-4</v>
      </c>
      <c r="AB430" s="22">
        <f t="shared" si="102"/>
        <v>5.42100922338055E-4</v>
      </c>
      <c r="AC430" s="22">
        <f t="shared" si="102"/>
        <v>5.4478958124419888E-4</v>
      </c>
      <c r="AD430" s="22">
        <f t="shared" si="102"/>
        <v>5.4686302809327551E-4</v>
      </c>
      <c r="AE430" s="22">
        <f t="shared" si="102"/>
        <v>5.4831150375167243E-4</v>
      </c>
      <c r="AF430" s="22">
        <f t="shared" si="102"/>
        <v>5.4912564704618944E-4</v>
      </c>
      <c r="AG430" s="22">
        <f t="shared" si="102"/>
        <v>5.4929641392341823E-4</v>
      </c>
      <c r="AH430" s="22">
        <f t="shared" si="102"/>
        <v>5.4882215276546513E-4</v>
      </c>
      <c r="AI430" s="22">
        <f t="shared" si="102"/>
        <v>5.4770556358322664E-4</v>
      </c>
      <c r="AJ430" s="22">
        <f t="shared" si="102"/>
        <v>1.7328456917170714E-4</v>
      </c>
      <c r="AK430" s="22">
        <f t="shared" si="102"/>
        <v>1.7341106399916873E-4</v>
      </c>
      <c r="AL430" s="22">
        <f t="shared" si="102"/>
        <v>1.7352845289385181E-4</v>
      </c>
      <c r="AM430" s="22">
        <f t="shared" si="102"/>
        <v>1.7363752995119643E-4</v>
      </c>
      <c r="AN430" s="22">
        <f t="shared" si="102"/>
        <v>1.7373927333036077E-4</v>
      </c>
      <c r="AO430" s="22">
        <f t="shared" si="102"/>
        <v>1.7383048980092826E-4</v>
      </c>
      <c r="AP430" s="22">
        <f t="shared" si="102"/>
        <v>1.7390903498575136E-4</v>
      </c>
      <c r="AQ430" s="22">
        <f t="shared" si="102"/>
        <v>1.7397456500868103E-4</v>
      </c>
      <c r="AR430" s="22">
        <f t="shared" si="102"/>
        <v>1.7402464677101302E-4</v>
      </c>
      <c r="AS430" s="22">
        <f t="shared" si="102"/>
        <v>1.7405663868836374E-4</v>
      </c>
      <c r="AT430" s="22">
        <f t="shared" si="102"/>
        <v>1.7407021448821884E-4</v>
      </c>
      <c r="AU430" s="22">
        <f t="shared" si="102"/>
        <v>1.7406574937532841E-4</v>
      </c>
      <c r="AV430" s="22">
        <f t="shared" si="102"/>
        <v>1.7404350501172027E-4</v>
      </c>
      <c r="AW430" s="22">
        <f t="shared" si="102"/>
        <v>1.740009968457137E-4</v>
      </c>
      <c r="AY430" s="79"/>
    </row>
    <row r="431" spans="1:51" x14ac:dyDescent="0.25">
      <c r="A431" s="95" t="str">
        <f t="shared" si="93"/>
        <v>GS MM Volatilisation</v>
      </c>
      <c r="B431" s="95" t="s">
        <v>1021</v>
      </c>
      <c r="C431" s="95" t="s">
        <v>1332</v>
      </c>
      <c r="D431" t="s">
        <v>369</v>
      </c>
      <c r="E431" t="s">
        <v>64</v>
      </c>
      <c r="F431" t="s">
        <v>62</v>
      </c>
      <c r="G431" t="s">
        <v>1158</v>
      </c>
      <c r="H431" t="s">
        <v>1293</v>
      </c>
      <c r="I431" t="s">
        <v>139</v>
      </c>
      <c r="J431" t="s">
        <v>287</v>
      </c>
      <c r="K431" s="22">
        <f t="shared" si="101"/>
        <v>3.2323215352203878E-3</v>
      </c>
      <c r="L431" s="22">
        <f t="shared" si="102"/>
        <v>3.2042886428129457E-3</v>
      </c>
      <c r="M431" s="22">
        <f t="shared" si="102"/>
        <v>3.193617369300608E-3</v>
      </c>
      <c r="N431" s="22">
        <f t="shared" si="102"/>
        <v>3.1509707896886733E-3</v>
      </c>
      <c r="O431" s="22">
        <f t="shared" si="102"/>
        <v>3.0890682378804119E-3</v>
      </c>
      <c r="P431" s="22">
        <f t="shared" si="102"/>
        <v>3.0091897617382946E-3</v>
      </c>
      <c r="Q431" s="22">
        <f t="shared" si="102"/>
        <v>2.9461872714039491E-3</v>
      </c>
      <c r="R431" s="22">
        <f t="shared" si="102"/>
        <v>2.8865797531671873E-3</v>
      </c>
      <c r="S431" s="22">
        <f t="shared" si="102"/>
        <v>2.5815224060103171E-3</v>
      </c>
      <c r="T431" s="22">
        <f t="shared" si="102"/>
        <v>2.6809806193820299E-3</v>
      </c>
      <c r="U431" s="22">
        <f t="shared" si="102"/>
        <v>8.4496349357244746E-3</v>
      </c>
      <c r="V431" s="22">
        <f t="shared" si="102"/>
        <v>8.490390729273779E-3</v>
      </c>
      <c r="W431" s="22">
        <f t="shared" si="102"/>
        <v>8.5164743363873984E-3</v>
      </c>
      <c r="X431" s="22">
        <f t="shared" si="102"/>
        <v>8.5278804443353062E-3</v>
      </c>
      <c r="Y431" s="22">
        <f t="shared" si="102"/>
        <v>8.5248506776145015E-3</v>
      </c>
      <c r="Z431" s="22">
        <f t="shared" si="102"/>
        <v>8.5072398121281648E-3</v>
      </c>
      <c r="AA431" s="22">
        <f t="shared" si="102"/>
        <v>8.4750047085989932E-3</v>
      </c>
      <c r="AB431" s="22">
        <f t="shared" si="102"/>
        <v>8.4281720385821924E-3</v>
      </c>
      <c r="AC431" s="22">
        <f t="shared" si="102"/>
        <v>8.3668471101216637E-3</v>
      </c>
      <c r="AD431" s="22">
        <f t="shared" si="102"/>
        <v>8.2215560258446178E-3</v>
      </c>
      <c r="AE431" s="22">
        <f t="shared" si="102"/>
        <v>8.0625794404136485E-3</v>
      </c>
      <c r="AF431" s="22">
        <f t="shared" si="102"/>
        <v>7.8906316671852623E-3</v>
      </c>
      <c r="AG431" s="22">
        <f t="shared" si="102"/>
        <v>7.7065081858302149E-3</v>
      </c>
      <c r="AH431" s="22">
        <f t="shared" si="102"/>
        <v>7.5110558523361756E-3</v>
      </c>
      <c r="AI431" s="22">
        <f t="shared" si="102"/>
        <v>7.3051764470657117E-3</v>
      </c>
      <c r="AJ431" s="22">
        <f t="shared" si="102"/>
        <v>-5.6405599805615676E-4</v>
      </c>
      <c r="AK431" s="22">
        <f t="shared" si="102"/>
        <v>-5.5047515962352916E-4</v>
      </c>
      <c r="AL431" s="22">
        <f t="shared" si="102"/>
        <v>-5.3703562288424922E-4</v>
      </c>
      <c r="AM431" s="22">
        <f t="shared" si="102"/>
        <v>-5.2373599978206974E-4</v>
      </c>
      <c r="AN431" s="22">
        <f t="shared" si="102"/>
        <v>-5.1318044022279606E-4</v>
      </c>
      <c r="AO431" s="22">
        <f t="shared" si="102"/>
        <v>-5.0272501169057937E-4</v>
      </c>
      <c r="AP431" s="22">
        <f t="shared" si="102"/>
        <v>-4.9236193773087231E-4</v>
      </c>
      <c r="AQ431" s="22">
        <f t="shared" si="102"/>
        <v>-4.8208865134491532E-4</v>
      </c>
      <c r="AR431" s="22">
        <f t="shared" si="102"/>
        <v>-4.7189764173024049E-4</v>
      </c>
      <c r="AS431" s="22">
        <f t="shared" si="102"/>
        <v>-4.6178155356127546E-4</v>
      </c>
      <c r="AT431" s="22">
        <f t="shared" si="102"/>
        <v>-4.5173920552966836E-4</v>
      </c>
      <c r="AU431" s="22">
        <f t="shared" si="102"/>
        <v>-4.4177121806458731E-4</v>
      </c>
      <c r="AV431" s="22">
        <f t="shared" si="102"/>
        <v>-4.31877971766583E-4</v>
      </c>
      <c r="AW431" s="22">
        <f t="shared" si="102"/>
        <v>-4.220537843353357E-4</v>
      </c>
      <c r="AY431" s="79"/>
    </row>
    <row r="432" spans="1:51" x14ac:dyDescent="0.25">
      <c r="A432" s="95" t="str">
        <f t="shared" si="93"/>
        <v>GS MM Volatilisation</v>
      </c>
      <c r="B432" s="95" t="s">
        <v>1021</v>
      </c>
      <c r="C432" s="95" t="s">
        <v>1332</v>
      </c>
      <c r="D432" t="s">
        <v>369</v>
      </c>
      <c r="E432" t="s">
        <v>64</v>
      </c>
      <c r="F432" t="s">
        <v>62</v>
      </c>
      <c r="G432" t="s">
        <v>1160</v>
      </c>
      <c r="H432" t="s">
        <v>1294</v>
      </c>
      <c r="I432" t="s">
        <v>139</v>
      </c>
      <c r="J432" t="s">
        <v>287</v>
      </c>
      <c r="K432" s="22">
        <f t="shared" si="101"/>
        <v>1.6090517274103568E-2</v>
      </c>
      <c r="L432" s="22">
        <f t="shared" si="102"/>
        <v>1.5950969356419611E-2</v>
      </c>
      <c r="M432" s="22">
        <f t="shared" si="102"/>
        <v>1.5897847688628834E-2</v>
      </c>
      <c r="N432" s="22">
        <f t="shared" si="102"/>
        <v>1.5685552742581491E-2</v>
      </c>
      <c r="O432" s="22">
        <f t="shared" si="102"/>
        <v>1.5377401443792458E-2</v>
      </c>
      <c r="P432" s="22">
        <f t="shared" si="102"/>
        <v>1.4979765878707448E-2</v>
      </c>
      <c r="Q432" s="22">
        <f t="shared" si="102"/>
        <v>1.4666139078901096E-2</v>
      </c>
      <c r="R432" s="22">
        <f t="shared" si="102"/>
        <v>1.4369412471908493E-2</v>
      </c>
      <c r="S432" s="22">
        <f t="shared" si="102"/>
        <v>1.2850835046817909E-2</v>
      </c>
      <c r="T432" s="22">
        <f t="shared" si="102"/>
        <v>1.3345938669050808E-2</v>
      </c>
      <c r="U432" s="22">
        <f t="shared" si="102"/>
        <v>4.2062336748275767E-2</v>
      </c>
      <c r="V432" s="22">
        <f t="shared" si="102"/>
        <v>4.2265219349211125E-2</v>
      </c>
      <c r="W432" s="22">
        <f t="shared" si="102"/>
        <v>4.2395063712236107E-2</v>
      </c>
      <c r="X432" s="22">
        <f t="shared" si="102"/>
        <v>4.2451843390546674E-2</v>
      </c>
      <c r="Y432" s="22">
        <f t="shared" si="102"/>
        <v>4.2436761192434141E-2</v>
      </c>
      <c r="Z432" s="22">
        <f t="shared" si="102"/>
        <v>4.234909419141579E-2</v>
      </c>
      <c r="AA432" s="22">
        <f t="shared" si="102"/>
        <v>4.2188627639893318E-2</v>
      </c>
      <c r="AB432" s="22">
        <f t="shared" si="102"/>
        <v>4.195549430903911E-2</v>
      </c>
      <c r="AC432" s="22">
        <f t="shared" si="102"/>
        <v>4.1650218422969176E-2</v>
      </c>
      <c r="AD432" s="22">
        <f t="shared" si="102"/>
        <v>4.0926958476252988E-2</v>
      </c>
      <c r="AE432" s="22">
        <f t="shared" si="102"/>
        <v>4.0135572017269229E-2</v>
      </c>
      <c r="AF432" s="22">
        <f t="shared" si="102"/>
        <v>3.9279614902474849E-2</v>
      </c>
      <c r="AG432" s="22">
        <f t="shared" si="102"/>
        <v>3.8363047034758228E-2</v>
      </c>
      <c r="AH432" s="22">
        <f t="shared" si="102"/>
        <v>3.7390084068641902E-2</v>
      </c>
      <c r="AI432" s="22">
        <f t="shared" si="102"/>
        <v>3.6365215072537933E-2</v>
      </c>
      <c r="AJ432" s="22">
        <f t="shared" si="102"/>
        <v>-2.8078743656501674E-3</v>
      </c>
      <c r="AK432" s="22">
        <f t="shared" si="102"/>
        <v>-2.7402688650785463E-3</v>
      </c>
      <c r="AL432" s="22">
        <f t="shared" si="102"/>
        <v>-2.6733667652400826E-3</v>
      </c>
      <c r="AM432" s="22">
        <f t="shared" si="102"/>
        <v>-2.6071611563818981E-3</v>
      </c>
      <c r="AN432" s="22">
        <f t="shared" si="102"/>
        <v>-2.554615513389502E-3</v>
      </c>
      <c r="AO432" s="22">
        <f t="shared" si="102"/>
        <v>-2.5025683232901678E-3</v>
      </c>
      <c r="AP432" s="22">
        <f t="shared" si="102"/>
        <v>-2.4509808748434249E-3</v>
      </c>
      <c r="AQ432" s="22">
        <f t="shared" si="102"/>
        <v>-2.3998403895130306E-3</v>
      </c>
      <c r="AR432" s="22">
        <f t="shared" si="102"/>
        <v>-2.3491094784762676E-3</v>
      </c>
      <c r="AS432" s="22">
        <f t="shared" si="102"/>
        <v>-2.2987515268753948E-3</v>
      </c>
      <c r="AT432" s="22">
        <f t="shared" si="102"/>
        <v>-2.2487606541498821E-3</v>
      </c>
      <c r="AU432" s="22">
        <f t="shared" si="102"/>
        <v>-2.1991399488000989E-3</v>
      </c>
      <c r="AV432" s="22">
        <f t="shared" si="102"/>
        <v>-2.1498913054580166E-3</v>
      </c>
      <c r="AW432" s="22">
        <f t="shared" si="102"/>
        <v>-2.1009864375963051E-3</v>
      </c>
      <c r="AY432" s="79"/>
    </row>
    <row r="433" spans="1:51" x14ac:dyDescent="0.25">
      <c r="A433" s="95" t="str">
        <f t="shared" si="93"/>
        <v>GS MM Volatilisation</v>
      </c>
      <c r="B433" s="95" t="s">
        <v>1021</v>
      </c>
      <c r="C433" s="95" t="s">
        <v>1332</v>
      </c>
      <c r="D433" t="s">
        <v>369</v>
      </c>
      <c r="E433" t="s">
        <v>64</v>
      </c>
      <c r="F433" t="s">
        <v>62</v>
      </c>
      <c r="G433" t="s">
        <v>1162</v>
      </c>
      <c r="H433" t="s">
        <v>1295</v>
      </c>
      <c r="I433" t="s">
        <v>139</v>
      </c>
      <c r="J433" t="s">
        <v>287</v>
      </c>
      <c r="K433" s="22">
        <f t="shared" si="101"/>
        <v>0.15836052531214873</v>
      </c>
      <c r="L433" s="22">
        <f t="shared" si="102"/>
        <v>0.16370016056893644</v>
      </c>
      <c r="M433" s="22">
        <f t="shared" si="102"/>
        <v>0.17003774892948584</v>
      </c>
      <c r="N433" s="22">
        <f t="shared" si="102"/>
        <v>0.17476418316081979</v>
      </c>
      <c r="O433" s="22">
        <f t="shared" si="102"/>
        <v>0.1784091501709566</v>
      </c>
      <c r="P433" s="22">
        <f t="shared" si="102"/>
        <v>0.18092055691117109</v>
      </c>
      <c r="Q433" s="22">
        <f t="shared" si="102"/>
        <v>0.18434967364231722</v>
      </c>
      <c r="R433" s="22">
        <f t="shared" si="102"/>
        <v>0.18794438918293385</v>
      </c>
      <c r="S433" s="22">
        <f t="shared" si="102"/>
        <v>0.17487533171838066</v>
      </c>
      <c r="T433" s="22">
        <f t="shared" si="102"/>
        <v>0.18598828710895501</v>
      </c>
      <c r="U433" s="22">
        <f t="shared" si="102"/>
        <v>0.60010716171461598</v>
      </c>
      <c r="V433" s="22">
        <f t="shared" si="102"/>
        <v>0.61714803501653059</v>
      </c>
      <c r="W433" s="22">
        <f t="shared" si="102"/>
        <v>0.63339573291461304</v>
      </c>
      <c r="X433" s="22">
        <f t="shared" si="102"/>
        <v>0.64878782379484634</v>
      </c>
      <c r="Y433" s="22">
        <f t="shared" si="102"/>
        <v>0.6632790614565599</v>
      </c>
      <c r="Z433" s="22">
        <f t="shared" si="102"/>
        <v>0.67679301375274348</v>
      </c>
      <c r="AA433" s="22">
        <f t="shared" si="102"/>
        <v>0.68925834109941053</v>
      </c>
      <c r="AB433" s="22">
        <f t="shared" si="102"/>
        <v>0.70060688133816351</v>
      </c>
      <c r="AC433" s="22">
        <f t="shared" si="102"/>
        <v>0.71077490529773002</v>
      </c>
      <c r="AD433" s="22">
        <f t="shared" si="102"/>
        <v>0.72159413752844115</v>
      </c>
      <c r="AE433" s="22">
        <f t="shared" si="102"/>
        <v>0.73115327204335434</v>
      </c>
      <c r="AF433" s="22">
        <f t="shared" si="102"/>
        <v>0.7393963545283444</v>
      </c>
      <c r="AG433" s="22">
        <f t="shared" si="102"/>
        <v>0.74627481362949688</v>
      </c>
      <c r="AH433" s="22">
        <f t="shared" si="102"/>
        <v>0.75174577116771069</v>
      </c>
      <c r="AI433" s="22">
        <f t="shared" si="102"/>
        <v>0.75577335036803739</v>
      </c>
      <c r="AJ433" s="22">
        <f t="shared" si="102"/>
        <v>-6.0331583230930269E-2</v>
      </c>
      <c r="AK433" s="22">
        <f t="shared" si="102"/>
        <v>-6.0883763489548361E-2</v>
      </c>
      <c r="AL433" s="22">
        <f t="shared" si="102"/>
        <v>-6.1432292472249253E-2</v>
      </c>
      <c r="AM433" s="22">
        <f t="shared" si="102"/>
        <v>-6.1977443387012172E-2</v>
      </c>
      <c r="AN433" s="22">
        <f t="shared" si="102"/>
        <v>-6.2441792261108069E-2</v>
      </c>
      <c r="AO433" s="22">
        <f t="shared" si="102"/>
        <v>-6.2901498019431304E-2</v>
      </c>
      <c r="AP433" s="22">
        <f t="shared" si="102"/>
        <v>-6.3355857064212845E-2</v>
      </c>
      <c r="AQ433" s="22">
        <f t="shared" si="102"/>
        <v>-6.3804744436236446E-2</v>
      </c>
      <c r="AR433" s="22">
        <f t="shared" si="102"/>
        <v>-6.4247322567233908E-2</v>
      </c>
      <c r="AS433" s="22">
        <f t="shared" si="102"/>
        <v>-6.4682656506044156E-2</v>
      </c>
      <c r="AT433" s="22">
        <f t="shared" si="102"/>
        <v>-6.5110575477313207E-2</v>
      </c>
      <c r="AU433" s="22">
        <f t="shared" si="102"/>
        <v>-6.5531144171927541E-2</v>
      </c>
      <c r="AV433" s="22">
        <f t="shared" si="102"/>
        <v>-6.5944388466371143E-2</v>
      </c>
      <c r="AW433" s="22">
        <f t="shared" si="102"/>
        <v>-6.6349375385408998E-2</v>
      </c>
      <c r="AY433" s="79"/>
    </row>
    <row r="434" spans="1:51" x14ac:dyDescent="0.25">
      <c r="A434" s="95" t="str">
        <f t="shared" si="93"/>
        <v>GS MM Volatilisation</v>
      </c>
      <c r="B434" s="95" t="s">
        <v>1021</v>
      </c>
      <c r="C434" s="95" t="s">
        <v>1332</v>
      </c>
      <c r="D434" t="s">
        <v>369</v>
      </c>
      <c r="E434" t="s">
        <v>64</v>
      </c>
      <c r="F434" t="s">
        <v>62</v>
      </c>
      <c r="G434" t="s">
        <v>1164</v>
      </c>
      <c r="H434" t="s">
        <v>1296</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1.188899025036581E-4</v>
      </c>
      <c r="T434" s="22">
        <f t="shared" si="102"/>
        <v>1.189690287837306E-4</v>
      </c>
      <c r="U434" s="22">
        <f t="shared" si="102"/>
        <v>1.205186108228768E-4</v>
      </c>
      <c r="V434" s="22">
        <f t="shared" si="102"/>
        <v>1.2055641166730559E-4</v>
      </c>
      <c r="W434" s="22">
        <f t="shared" si="102"/>
        <v>1.2071810381709918E-4</v>
      </c>
      <c r="X434" s="22">
        <f t="shared" si="102"/>
        <v>1.2095183374420191E-4</v>
      </c>
      <c r="Y434" s="22">
        <f t="shared" si="102"/>
        <v>1.2116896083678348E-4</v>
      </c>
      <c r="Z434" s="22">
        <f t="shared" si="102"/>
        <v>1.2137217342001694E-4</v>
      </c>
      <c r="AA434" s="22">
        <f t="shared" si="102"/>
        <v>1.2156038787143942E-4</v>
      </c>
      <c r="AB434" s="22">
        <f t="shared" si="102"/>
        <v>1.2173530001872475E-4</v>
      </c>
      <c r="AC434" s="22">
        <f t="shared" si="102"/>
        <v>1.2189956310100272E-4</v>
      </c>
      <c r="AD434" s="22">
        <f t="shared" si="102"/>
        <v>1.2205302234453671E-4</v>
      </c>
      <c r="AE434" s="22">
        <f t="shared" si="102"/>
        <v>1.2219813225383718E-4</v>
      </c>
      <c r="AF434" s="22">
        <f t="shared" si="102"/>
        <v>1.2233524409037175E-4</v>
      </c>
      <c r="AG434" s="22">
        <f t="shared" si="102"/>
        <v>1.2246247857835598E-4</v>
      </c>
      <c r="AH434" s="22">
        <f t="shared" si="102"/>
        <v>1.2258099962950754E-4</v>
      </c>
      <c r="AI434" s="22">
        <f t="shared" ref="L434:AW441" si="103">AI1537</f>
        <v>1.226926980528978E-4</v>
      </c>
      <c r="AJ434" s="22">
        <f t="shared" si="103"/>
        <v>1.2000006421083369E-4</v>
      </c>
      <c r="AK434" s="22">
        <f t="shared" si="103"/>
        <v>1.2011041514130369E-4</v>
      </c>
      <c r="AL434" s="22">
        <f t="shared" si="103"/>
        <v>1.2021334415571778E-4</v>
      </c>
      <c r="AM434" s="22">
        <f t="shared" si="103"/>
        <v>1.2030948030331916E-4</v>
      </c>
      <c r="AN434" s="22">
        <f t="shared" si="103"/>
        <v>1.2039958826810335E-4</v>
      </c>
      <c r="AO434" s="22">
        <f t="shared" si="103"/>
        <v>1.2048129784431056E-4</v>
      </c>
      <c r="AP434" s="22">
        <f t="shared" si="103"/>
        <v>1.2055302618273209E-4</v>
      </c>
      <c r="AQ434" s="22">
        <f t="shared" si="103"/>
        <v>1.2061454144456668E-4</v>
      </c>
      <c r="AR434" s="22">
        <f t="shared" si="103"/>
        <v>1.2066404237348151E-4</v>
      </c>
      <c r="AS434" s="22">
        <f t="shared" si="103"/>
        <v>1.206995710531147E-4</v>
      </c>
      <c r="AT434" s="22">
        <f t="shared" si="103"/>
        <v>1.2072090668873017E-4</v>
      </c>
      <c r="AU434" s="22">
        <f t="shared" si="103"/>
        <v>1.2072835361242823E-4</v>
      </c>
      <c r="AV434" s="22">
        <f t="shared" si="103"/>
        <v>1.2072212964886386E-4</v>
      </c>
      <c r="AW434" s="22">
        <f t="shared" si="103"/>
        <v>1.2070039195556491E-4</v>
      </c>
      <c r="AY434" s="79"/>
    </row>
    <row r="435" spans="1:51" x14ac:dyDescent="0.25">
      <c r="A435" s="95" t="str">
        <f t="shared" si="93"/>
        <v>GS MM Volatilisation</v>
      </c>
      <c r="B435" s="95" t="s">
        <v>1021</v>
      </c>
      <c r="C435" s="95" t="s">
        <v>1332</v>
      </c>
      <c r="D435" t="s">
        <v>369</v>
      </c>
      <c r="E435" t="s">
        <v>64</v>
      </c>
      <c r="F435" t="s">
        <v>62</v>
      </c>
      <c r="G435" t="s">
        <v>1166</v>
      </c>
      <c r="H435" t="s">
        <v>1297</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8.1588376197320827E-4</v>
      </c>
      <c r="T435" s="22">
        <f t="shared" si="103"/>
        <v>8.1642676727220354E-4</v>
      </c>
      <c r="U435" s="22">
        <f t="shared" si="103"/>
        <v>8.2706079755535391E-4</v>
      </c>
      <c r="V435" s="22">
        <f t="shared" si="103"/>
        <v>8.2732020642447472E-4</v>
      </c>
      <c r="W435" s="22">
        <f t="shared" si="103"/>
        <v>8.2842982125867857E-4</v>
      </c>
      <c r="X435" s="22">
        <f t="shared" si="103"/>
        <v>8.3003379643398353E-4</v>
      </c>
      <c r="Y435" s="22">
        <f t="shared" si="103"/>
        <v>8.3152383440517541E-4</v>
      </c>
      <c r="Z435" s="22">
        <f t="shared" si="103"/>
        <v>8.3291838384459249E-4</v>
      </c>
      <c r="AA435" s="22">
        <f t="shared" si="103"/>
        <v>8.342100083766216E-4</v>
      </c>
      <c r="AB435" s="22">
        <f t="shared" si="103"/>
        <v>8.3541034564443633E-4</v>
      </c>
      <c r="AC435" s="22">
        <f t="shared" si="103"/>
        <v>8.3653760354186898E-4</v>
      </c>
      <c r="AD435" s="22">
        <f t="shared" si="103"/>
        <v>8.3759071993180138E-4</v>
      </c>
      <c r="AE435" s="22">
        <f t="shared" si="103"/>
        <v>8.385865388887226E-4</v>
      </c>
      <c r="AF435" s="22">
        <f t="shared" si="103"/>
        <v>8.3952747094978998E-4</v>
      </c>
      <c r="AG435" s="22">
        <f t="shared" si="103"/>
        <v>8.404006195563853E-4</v>
      </c>
      <c r="AH435" s="22">
        <f t="shared" si="103"/>
        <v>8.4121397207035167E-4</v>
      </c>
      <c r="AI435" s="22">
        <f t="shared" si="103"/>
        <v>8.4198050419766407E-4</v>
      </c>
      <c r="AJ435" s="22">
        <f t="shared" si="103"/>
        <v>8.2350226355303057E-4</v>
      </c>
      <c r="AK435" s="22">
        <f t="shared" si="103"/>
        <v>8.2425954848970833E-4</v>
      </c>
      <c r="AL435" s="22">
        <f t="shared" si="103"/>
        <v>8.2496590041470697E-4</v>
      </c>
      <c r="AM435" s="22">
        <f t="shared" si="103"/>
        <v>8.256256361880137E-4</v>
      </c>
      <c r="AN435" s="22">
        <f t="shared" si="103"/>
        <v>8.2624400346516431E-4</v>
      </c>
      <c r="AO435" s="22">
        <f t="shared" si="103"/>
        <v>8.2680473667312636E-4</v>
      </c>
      <c r="AP435" s="22">
        <f t="shared" si="103"/>
        <v>8.2729697348516047E-4</v>
      </c>
      <c r="AQ435" s="22">
        <f t="shared" si="103"/>
        <v>8.2771912290397116E-4</v>
      </c>
      <c r="AR435" s="22">
        <f t="shared" si="103"/>
        <v>8.2805882378061209E-4</v>
      </c>
      <c r="AS435" s="22">
        <f t="shared" si="103"/>
        <v>8.2830263988430608E-4</v>
      </c>
      <c r="AT435" s="22">
        <f t="shared" si="103"/>
        <v>8.2844905600782401E-4</v>
      </c>
      <c r="AU435" s="22">
        <f t="shared" si="103"/>
        <v>8.2850016063482762E-4</v>
      </c>
      <c r="AV435" s="22">
        <f t="shared" si="103"/>
        <v>8.2845744859031962E-4</v>
      </c>
      <c r="AW435" s="22">
        <f t="shared" si="103"/>
        <v>8.2830827333984093E-4</v>
      </c>
      <c r="AY435" s="79"/>
    </row>
    <row r="436" spans="1:51" x14ac:dyDescent="0.25">
      <c r="A436" s="95" t="str">
        <f t="shared" si="93"/>
        <v>GS MM Volatilisation</v>
      </c>
      <c r="B436" s="95" t="s">
        <v>1021</v>
      </c>
      <c r="C436" s="95" t="s">
        <v>1332</v>
      </c>
      <c r="D436" t="s">
        <v>369</v>
      </c>
      <c r="E436" t="s">
        <v>64</v>
      </c>
      <c r="F436" t="s">
        <v>62</v>
      </c>
      <c r="G436" t="s">
        <v>1168</v>
      </c>
      <c r="H436" t="s">
        <v>1298</v>
      </c>
      <c r="I436" t="s">
        <v>139</v>
      </c>
      <c r="J436" t="s">
        <v>287</v>
      </c>
      <c r="K436" s="22">
        <f t="shared" si="101"/>
        <v>1.4486129996083085E-5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1.489070601115726E-5</v>
      </c>
      <c r="R436" s="22">
        <f t="shared" si="103"/>
        <v>1.4988675221399694E-5</v>
      </c>
      <c r="S436" s="22">
        <f t="shared" si="103"/>
        <v>1.4952125307683929E-5</v>
      </c>
      <c r="T436" s="22">
        <f t="shared" si="103"/>
        <v>1.497659485650934E-5</v>
      </c>
      <c r="U436" s="22">
        <f t="shared" si="103"/>
        <v>1.5280249217669806E-5</v>
      </c>
      <c r="V436" s="22">
        <f t="shared" si="103"/>
        <v>1.5293967954982136E-5</v>
      </c>
      <c r="W436" s="22">
        <f t="shared" si="103"/>
        <v>1.5330288500558316E-5</v>
      </c>
      <c r="X436" s="22">
        <f t="shared" si="103"/>
        <v>1.5379307775042966E-5</v>
      </c>
      <c r="Y436" s="22">
        <f t="shared" si="103"/>
        <v>1.5424265287422665E-5</v>
      </c>
      <c r="Z436" s="22">
        <f t="shared" si="103"/>
        <v>1.5465755297522265E-5</v>
      </c>
      <c r="AA436" s="22">
        <f t="shared" si="103"/>
        <v>1.5503650543984476E-5</v>
      </c>
      <c r="AB436" s="22">
        <f t="shared" si="103"/>
        <v>1.5538340165319424E-5</v>
      </c>
      <c r="AC436" s="22">
        <f t="shared" si="103"/>
        <v>1.5570383853796525E-5</v>
      </c>
      <c r="AD436" s="22">
        <f t="shared" si="103"/>
        <v>1.5599807426957594E-5</v>
      </c>
      <c r="AE436" s="22">
        <f t="shared" si="103"/>
        <v>1.5627118939580073E-5</v>
      </c>
      <c r="AF436" s="22">
        <f t="shared" si="103"/>
        <v>1.5652427506297688E-5</v>
      </c>
      <c r="AG436" s="22">
        <f t="shared" si="103"/>
        <v>1.56754241207766E-5</v>
      </c>
      <c r="AH436" s="22">
        <f t="shared" si="103"/>
        <v>1.5696363462061687E-5</v>
      </c>
      <c r="AI436" s="22">
        <f t="shared" si="103"/>
        <v>1.5715630256505464E-5</v>
      </c>
      <c r="AJ436" s="22">
        <f t="shared" si="103"/>
        <v>1.5216731234132435E-5</v>
      </c>
      <c r="AK436" s="22">
        <f t="shared" si="103"/>
        <v>1.5235961154748287E-5</v>
      </c>
      <c r="AL436" s="22">
        <f t="shared" si="103"/>
        <v>1.525346973608994E-5</v>
      </c>
      <c r="AM436" s="22">
        <f t="shared" si="103"/>
        <v>1.5269398678749372E-5</v>
      </c>
      <c r="AN436" s="22">
        <f t="shared" si="103"/>
        <v>1.528391208207959E-5</v>
      </c>
      <c r="AO436" s="22">
        <f t="shared" si="103"/>
        <v>1.5296597939016457E-5</v>
      </c>
      <c r="AP436" s="22">
        <f t="shared" si="103"/>
        <v>1.5307189728189323E-5</v>
      </c>
      <c r="AQ436" s="22">
        <f t="shared" si="103"/>
        <v>1.5315667991874673E-5</v>
      </c>
      <c r="AR436" s="22">
        <f t="shared" si="103"/>
        <v>1.5321726619352006E-5</v>
      </c>
      <c r="AS436" s="22">
        <f t="shared" si="103"/>
        <v>1.5325032079315766E-5</v>
      </c>
      <c r="AT436" s="22">
        <f t="shared" si="103"/>
        <v>1.5325567315367108E-5</v>
      </c>
      <c r="AU436" s="22">
        <f t="shared" si="103"/>
        <v>1.532340963092266E-5</v>
      </c>
      <c r="AV436" s="22">
        <f t="shared" si="103"/>
        <v>1.5318619367085747E-5</v>
      </c>
      <c r="AW436" s="22">
        <f t="shared" si="103"/>
        <v>1.5310883587655619E-5</v>
      </c>
      <c r="AY436" s="79"/>
    </row>
    <row r="437" spans="1:51" x14ac:dyDescent="0.25">
      <c r="A437" s="95" t="str">
        <f t="shared" si="93"/>
        <v>GS MM Volatilisation</v>
      </c>
      <c r="B437" s="95" t="s">
        <v>1021</v>
      </c>
      <c r="C437" s="95" t="s">
        <v>1332</v>
      </c>
      <c r="D437" t="s">
        <v>369</v>
      </c>
      <c r="E437" t="s">
        <v>64</v>
      </c>
      <c r="F437" t="s">
        <v>62</v>
      </c>
      <c r="G437" t="s">
        <v>1170</v>
      </c>
      <c r="H437" t="s">
        <v>1299</v>
      </c>
      <c r="I437" t="s">
        <v>139</v>
      </c>
      <c r="J437" t="s">
        <v>287</v>
      </c>
      <c r="K437" s="22">
        <f t="shared" si="101"/>
        <v>1.4738364076719787E-3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1.5149984613639169E-3</v>
      </c>
      <c r="R437" s="22">
        <f t="shared" si="103"/>
        <v>1.5249659674490626E-3</v>
      </c>
      <c r="S437" s="22">
        <f t="shared" si="103"/>
        <v>1.5212473349677769E-3</v>
      </c>
      <c r="T437" s="22">
        <f t="shared" si="103"/>
        <v>1.5237368964964909E-3</v>
      </c>
      <c r="U437" s="22">
        <f t="shared" si="103"/>
        <v>1.5546310589089282E-3</v>
      </c>
      <c r="V437" s="22">
        <f t="shared" si="103"/>
        <v>1.5560268198556864E-3</v>
      </c>
      <c r="W437" s="22">
        <f t="shared" si="103"/>
        <v>1.5597221161446995E-3</v>
      </c>
      <c r="X437" s="22">
        <f t="shared" si="103"/>
        <v>1.5647093964902903E-3</v>
      </c>
      <c r="Y437" s="22">
        <f t="shared" si="103"/>
        <v>1.5692834282407637E-3</v>
      </c>
      <c r="Z437" s="22">
        <f t="shared" si="103"/>
        <v>1.5735046721103132E-3</v>
      </c>
      <c r="AA437" s="22">
        <f t="shared" si="103"/>
        <v>1.5773601803743434E-3</v>
      </c>
      <c r="AB437" s="22">
        <f t="shared" si="103"/>
        <v>1.5808895444560981E-3</v>
      </c>
      <c r="AC437" s="22">
        <f t="shared" si="103"/>
        <v>1.5841497081248222E-3</v>
      </c>
      <c r="AD437" s="22">
        <f t="shared" si="103"/>
        <v>1.5871432980884847E-3</v>
      </c>
      <c r="AE437" s="22">
        <f t="shared" si="103"/>
        <v>1.5899220044553674E-3</v>
      </c>
      <c r="AF437" s="22">
        <f t="shared" si="103"/>
        <v>1.5924969286804358E-3</v>
      </c>
      <c r="AG437" s="22">
        <f t="shared" si="103"/>
        <v>1.5948366320850983E-3</v>
      </c>
      <c r="AH437" s="22">
        <f t="shared" si="103"/>
        <v>1.5969670260237814E-3</v>
      </c>
      <c r="AI437" s="22">
        <f t="shared" si="103"/>
        <v>1.5989272530214718E-3</v>
      </c>
      <c r="AJ437" s="22">
        <f t="shared" si="103"/>
        <v>1.54816866234721E-3</v>
      </c>
      <c r="AK437" s="22">
        <f t="shared" si="103"/>
        <v>1.5501251377569953E-3</v>
      </c>
      <c r="AL437" s="22">
        <f t="shared" si="103"/>
        <v>1.5519064820245804E-3</v>
      </c>
      <c r="AM437" s="22">
        <f t="shared" si="103"/>
        <v>1.5535271119397841E-3</v>
      </c>
      <c r="AN437" s="22">
        <f t="shared" si="103"/>
        <v>1.5550037231694973E-3</v>
      </c>
      <c r="AO437" s="22">
        <f t="shared" si="103"/>
        <v>1.5562943976160978E-3</v>
      </c>
      <c r="AP437" s="22">
        <f t="shared" si="103"/>
        <v>1.5573720190725925E-3</v>
      </c>
      <c r="AQ437" s="22">
        <f t="shared" si="103"/>
        <v>1.5582346078866301E-3</v>
      </c>
      <c r="AR437" s="22">
        <f t="shared" si="103"/>
        <v>1.5588510199828238E-3</v>
      </c>
      <c r="AS437" s="22">
        <f t="shared" si="103"/>
        <v>1.5591873214822584E-3</v>
      </c>
      <c r="AT437" s="22">
        <f t="shared" si="103"/>
        <v>1.5592417770462618E-3</v>
      </c>
      <c r="AU437" s="22">
        <f t="shared" si="103"/>
        <v>1.5590222516180525E-3</v>
      </c>
      <c r="AV437" s="22">
        <f t="shared" si="103"/>
        <v>1.5585348843745505E-3</v>
      </c>
      <c r="AW437" s="22">
        <f t="shared" si="103"/>
        <v>1.5577478368077457E-3</v>
      </c>
      <c r="AY437" s="79"/>
    </row>
    <row r="438" spans="1:51" x14ac:dyDescent="0.25">
      <c r="A438" s="95" t="str">
        <f t="shared" ref="A438:A459" si="104">B438&amp;" "&amp;C438</f>
        <v>GS MM Volatilisation</v>
      </c>
      <c r="B438" s="95" t="s">
        <v>1021</v>
      </c>
      <c r="C438" s="95" t="s">
        <v>1332</v>
      </c>
      <c r="D438" t="s">
        <v>369</v>
      </c>
      <c r="E438" t="s">
        <v>64</v>
      </c>
      <c r="F438" t="s">
        <v>62</v>
      </c>
      <c r="G438" t="s">
        <v>1172</v>
      </c>
      <c r="H438" t="s">
        <v>1300</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25">
      <c r="A439" s="95" t="str">
        <f t="shared" si="104"/>
        <v>GS MM Volatilisation</v>
      </c>
      <c r="B439" s="95" t="s">
        <v>1021</v>
      </c>
      <c r="C439" s="95" t="s">
        <v>1332</v>
      </c>
      <c r="D439" t="s">
        <v>369</v>
      </c>
      <c r="E439" t="s">
        <v>64</v>
      </c>
      <c r="F439" t="s">
        <v>62</v>
      </c>
      <c r="G439" t="s">
        <v>1174</v>
      </c>
      <c r="H439" t="s">
        <v>1301</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25">
      <c r="A440" s="95" t="str">
        <f t="shared" si="104"/>
        <v>GS MM Volatilisation</v>
      </c>
      <c r="B440" s="95" t="s">
        <v>1021</v>
      </c>
      <c r="C440" s="95" t="s">
        <v>1332</v>
      </c>
      <c r="D440" t="s">
        <v>369</v>
      </c>
      <c r="E440" t="s">
        <v>64</v>
      </c>
      <c r="F440" t="s">
        <v>62</v>
      </c>
      <c r="G440" t="s">
        <v>1176</v>
      </c>
      <c r="H440" t="s">
        <v>1302</v>
      </c>
      <c r="I440" t="s">
        <v>139</v>
      </c>
      <c r="J440" t="s">
        <v>287</v>
      </c>
      <c r="K440" s="22">
        <f t="shared" si="101"/>
        <v>0.13075625264316332</v>
      </c>
      <c r="L440" s="22">
        <f t="shared" si="103"/>
        <v>0.13004550543955865</v>
      </c>
      <c r="M440" s="22">
        <f t="shared" si="103"/>
        <v>0.13010384136507711</v>
      </c>
      <c r="N440" s="22">
        <f t="shared" si="103"/>
        <v>0.1289093884029483</v>
      </c>
      <c r="O440" s="22">
        <f t="shared" si="103"/>
        <v>0.12695857121838472</v>
      </c>
      <c r="P440" s="22">
        <f t="shared" si="103"/>
        <v>0.12428257569245393</v>
      </c>
      <c r="Q440" s="22">
        <f t="shared" si="103"/>
        <v>0.12233950618032063</v>
      </c>
      <c r="R440" s="22">
        <f t="shared" si="103"/>
        <v>0.1205683722616282</v>
      </c>
      <c r="S440" s="22">
        <f t="shared" si="103"/>
        <v>0.10847829407061217</v>
      </c>
      <c r="T440" s="22">
        <f t="shared" si="103"/>
        <v>0.1123518575177655</v>
      </c>
      <c r="U440" s="22">
        <f t="shared" si="103"/>
        <v>0.35913477358816853</v>
      </c>
      <c r="V440" s="22">
        <f t="shared" si="103"/>
        <v>0.36011925097262676</v>
      </c>
      <c r="W440" s="22">
        <f t="shared" si="103"/>
        <v>0.36048284734734032</v>
      </c>
      <c r="X440" s="22">
        <f t="shared" si="103"/>
        <v>0.36024196834078215</v>
      </c>
      <c r="Y440" s="22">
        <f t="shared" si="103"/>
        <v>0.35943295375101947</v>
      </c>
      <c r="Z440" s="22">
        <f t="shared" si="103"/>
        <v>0.35804837226792258</v>
      </c>
      <c r="AA440" s="22">
        <f t="shared" si="103"/>
        <v>0.35608623415272644</v>
      </c>
      <c r="AB440" s="22">
        <f t="shared" si="103"/>
        <v>0.35354672339575033</v>
      </c>
      <c r="AC440" s="22">
        <f t="shared" si="103"/>
        <v>0.350433097152205</v>
      </c>
      <c r="AD440" s="22">
        <f t="shared" si="103"/>
        <v>0.34675336928081568</v>
      </c>
      <c r="AE440" s="22">
        <f t="shared" si="103"/>
        <v>0.34251767477610762</v>
      </c>
      <c r="AF440" s="22">
        <f t="shared" si="103"/>
        <v>0.33774033524299119</v>
      </c>
      <c r="AG440" s="22">
        <f t="shared" si="103"/>
        <v>0.33243970303339465</v>
      </c>
      <c r="AH440" s="22">
        <f t="shared" si="103"/>
        <v>0.32663565742792322</v>
      </c>
      <c r="AI440" s="22">
        <f t="shared" si="103"/>
        <v>0.32035050647820129</v>
      </c>
      <c r="AJ440" s="22">
        <f t="shared" si="103"/>
        <v>-2.9850992029554574E-2</v>
      </c>
      <c r="AK440" s="22">
        <f t="shared" si="103"/>
        <v>-2.9527827789556205E-2</v>
      </c>
      <c r="AL440" s="22">
        <f t="shared" si="103"/>
        <v>-2.9203518600220937E-2</v>
      </c>
      <c r="AM440" s="22">
        <f t="shared" si="103"/>
        <v>-2.8878400916482732E-2</v>
      </c>
      <c r="AN440" s="22">
        <f t="shared" si="103"/>
        <v>-2.8552846585961845E-2</v>
      </c>
      <c r="AO440" s="22">
        <f t="shared" si="103"/>
        <v>-2.8225992627032188E-2</v>
      </c>
      <c r="AP440" s="22">
        <f t="shared" si="103"/>
        <v>-2.7897329553488923E-2</v>
      </c>
      <c r="AQ440" s="22">
        <f t="shared" si="103"/>
        <v>-2.756688911429131E-2</v>
      </c>
      <c r="AR440" s="22">
        <f t="shared" si="103"/>
        <v>-2.7234123713642547E-2</v>
      </c>
      <c r="AS440" s="22">
        <f t="shared" si="103"/>
        <v>-2.6898465289903917E-2</v>
      </c>
      <c r="AT440" s="22">
        <f t="shared" si="103"/>
        <v>-2.6560009108900318E-2</v>
      </c>
      <c r="AU440" s="22">
        <f t="shared" si="103"/>
        <v>-2.6219036811035483E-2</v>
      </c>
      <c r="AV440" s="22">
        <f t="shared" si="103"/>
        <v>-2.5875789307707536E-2</v>
      </c>
      <c r="AW440" s="22">
        <f t="shared" si="103"/>
        <v>-2.5529791390037318E-2</v>
      </c>
      <c r="AY440" s="79"/>
    </row>
    <row r="441" spans="1:51" x14ac:dyDescent="0.25">
      <c r="A441" s="95" t="str">
        <f t="shared" si="104"/>
        <v>GS MM Volatilisation</v>
      </c>
      <c r="B441" s="95" t="s">
        <v>1021</v>
      </c>
      <c r="C441" s="95" t="s">
        <v>1332</v>
      </c>
      <c r="D441" t="s">
        <v>369</v>
      </c>
      <c r="E441" t="s">
        <v>64</v>
      </c>
      <c r="F441" t="s">
        <v>62</v>
      </c>
      <c r="G441" t="s">
        <v>1178</v>
      </c>
      <c r="H441" t="s">
        <v>1303</v>
      </c>
      <c r="I441" t="s">
        <v>139</v>
      </c>
      <c r="J441" t="s">
        <v>287</v>
      </c>
      <c r="K441" s="22">
        <f t="shared" si="101"/>
        <v>1.2724633182830876E-2</v>
      </c>
      <c r="L441" s="22">
        <f t="shared" si="103"/>
        <v>1.2655466337890211E-2</v>
      </c>
      <c r="M441" s="22">
        <f t="shared" si="103"/>
        <v>1.2661143337946407E-2</v>
      </c>
      <c r="N441" s="22">
        <f t="shared" si="103"/>
        <v>1.2544904339887072E-2</v>
      </c>
      <c r="O441" s="22">
        <f t="shared" si="103"/>
        <v>1.2355059245839611E-2</v>
      </c>
      <c r="P441" s="22">
        <f t="shared" si="103"/>
        <v>1.2094642930917438E-2</v>
      </c>
      <c r="Q441" s="22">
        <f t="shared" si="103"/>
        <v>1.1905551806853844E-2</v>
      </c>
      <c r="R441" s="22">
        <f t="shared" si="103"/>
        <v>1.1733192711380723E-2</v>
      </c>
      <c r="S441" s="22">
        <f t="shared" si="103"/>
        <v>1.0556638573260382E-2</v>
      </c>
      <c r="T441" s="22">
        <f t="shared" si="103"/>
        <v>1.0933597020593381E-2</v>
      </c>
      <c r="U441" s="22">
        <f t="shared" si="103"/>
        <v>3.4949443447111525E-2</v>
      </c>
      <c r="V441" s="22">
        <f t="shared" si="103"/>
        <v>3.504524852978097E-2</v>
      </c>
      <c r="W441" s="22">
        <f t="shared" si="103"/>
        <v>3.5080632156959869E-2</v>
      </c>
      <c r="X441" s="22">
        <f t="shared" ref="L441:AW448" si="105">X1544</f>
        <v>3.5057190853481544E-2</v>
      </c>
      <c r="Y441" s="22">
        <f t="shared" si="105"/>
        <v>3.4978461051378834E-2</v>
      </c>
      <c r="Z441" s="22">
        <f t="shared" si="105"/>
        <v>3.484371956767917E-2</v>
      </c>
      <c r="AA441" s="22">
        <f t="shared" si="105"/>
        <v>3.465277276960857E-2</v>
      </c>
      <c r="AB441" s="22">
        <f t="shared" si="105"/>
        <v>3.4405638562309424E-2</v>
      </c>
      <c r="AC441" s="22">
        <f t="shared" si="105"/>
        <v>3.4102633918044564E-2</v>
      </c>
      <c r="AD441" s="22">
        <f t="shared" si="105"/>
        <v>3.3744538710897186E-2</v>
      </c>
      <c r="AE441" s="22">
        <f t="shared" si="105"/>
        <v>3.3332339234715881E-2</v>
      </c>
      <c r="AF441" s="22">
        <f t="shared" si="105"/>
        <v>3.2867429206171077E-2</v>
      </c>
      <c r="AG441" s="22">
        <f t="shared" si="105"/>
        <v>3.2351594596806102E-2</v>
      </c>
      <c r="AH441" s="22">
        <f t="shared" si="105"/>
        <v>3.1786769972261424E-2</v>
      </c>
      <c r="AI441" s="22">
        <f t="shared" si="105"/>
        <v>3.117512625567229E-2</v>
      </c>
      <c r="AJ441" s="22">
        <f t="shared" si="105"/>
        <v>-2.9049694836107746E-3</v>
      </c>
      <c r="AK441" s="22">
        <f t="shared" si="105"/>
        <v>-2.8735205369740911E-3</v>
      </c>
      <c r="AL441" s="22">
        <f t="shared" si="105"/>
        <v>-2.8419601688181263E-3</v>
      </c>
      <c r="AM441" s="22">
        <f t="shared" si="105"/>
        <v>-2.8103211214823929E-3</v>
      </c>
      <c r="AN441" s="22">
        <f t="shared" si="105"/>
        <v>-2.7786395815696092E-3</v>
      </c>
      <c r="AO441" s="22">
        <f t="shared" si="105"/>
        <v>-2.7468315674390254E-3</v>
      </c>
      <c r="AP441" s="22">
        <f t="shared" si="105"/>
        <v>-2.714847498095948E-3</v>
      </c>
      <c r="AQ441" s="22">
        <f t="shared" si="105"/>
        <v>-2.6826904632118271E-3</v>
      </c>
      <c r="AR441" s="22">
        <f t="shared" si="105"/>
        <v>-2.6503071731312461E-3</v>
      </c>
      <c r="AS441" s="22">
        <f t="shared" si="105"/>
        <v>-2.61764234655154E-3</v>
      </c>
      <c r="AT441" s="22">
        <f t="shared" si="105"/>
        <v>-2.5847052543309036E-3</v>
      </c>
      <c r="AU441" s="22">
        <f t="shared" si="105"/>
        <v>-2.5515233044957585E-3</v>
      </c>
      <c r="AV441" s="22">
        <f t="shared" si="105"/>
        <v>-2.5181199415017898E-3</v>
      </c>
      <c r="AW441" s="22">
        <f t="shared" si="105"/>
        <v>-2.4844489200754436E-3</v>
      </c>
      <c r="AY441" s="79"/>
    </row>
    <row r="442" spans="1:51" x14ac:dyDescent="0.25">
      <c r="A442" s="95" t="str">
        <f t="shared" si="104"/>
        <v>GS MM Volatilisation</v>
      </c>
      <c r="B442" s="95" t="s">
        <v>1021</v>
      </c>
      <c r="C442" s="95" t="s">
        <v>1332</v>
      </c>
      <c r="D442" t="s">
        <v>369</v>
      </c>
      <c r="E442" t="s">
        <v>64</v>
      </c>
      <c r="F442" t="s">
        <v>62</v>
      </c>
      <c r="G442" t="s">
        <v>1180</v>
      </c>
      <c r="H442" t="s">
        <v>1304</v>
      </c>
      <c r="I442" t="s">
        <v>139</v>
      </c>
      <c r="J442" t="s">
        <v>287</v>
      </c>
      <c r="K442" s="22">
        <f t="shared" si="101"/>
        <v>6.4453339767617121E-2</v>
      </c>
      <c r="L442" s="22">
        <f t="shared" si="105"/>
        <v>6.5763803942104557E-2</v>
      </c>
      <c r="M442" s="22">
        <f t="shared" si="105"/>
        <v>6.7295612361813625E-2</v>
      </c>
      <c r="N442" s="22">
        <f t="shared" si="105"/>
        <v>6.8471619369899747E-2</v>
      </c>
      <c r="O442" s="22">
        <f t="shared" si="105"/>
        <v>6.94156577655035E-2</v>
      </c>
      <c r="P442" s="22">
        <f t="shared" si="105"/>
        <v>7.0122113289878357E-2</v>
      </c>
      <c r="Q442" s="22">
        <f t="shared" si="105"/>
        <v>7.1027984276732931E-2</v>
      </c>
      <c r="R442" s="22">
        <f t="shared" si="105"/>
        <v>7.1969839340941866E-2</v>
      </c>
      <c r="S442" s="22">
        <f t="shared" si="105"/>
        <v>6.9132641817907584E-2</v>
      </c>
      <c r="T442" s="22">
        <f t="shared" si="105"/>
        <v>7.1668538235416565E-2</v>
      </c>
      <c r="U442" s="22">
        <f t="shared" si="105"/>
        <v>0.15927878056001546</v>
      </c>
      <c r="V442" s="22">
        <f t="shared" si="105"/>
        <v>0.16278043280676852</v>
      </c>
      <c r="W442" s="22">
        <f t="shared" si="105"/>
        <v>0.1661384841502746</v>
      </c>
      <c r="X442" s="22">
        <f t="shared" si="105"/>
        <v>0.16932327786154089</v>
      </c>
      <c r="Y442" s="22">
        <f t="shared" si="105"/>
        <v>0.17229459764803176</v>
      </c>
      <c r="Z442" s="22">
        <f t="shared" si="105"/>
        <v>0.17503945749810612</v>
      </c>
      <c r="AA442" s="22">
        <f t="shared" si="105"/>
        <v>0.17754464171079537</v>
      </c>
      <c r="AB442" s="22">
        <f t="shared" si="105"/>
        <v>0.17979875003476928</v>
      </c>
      <c r="AC442" s="22">
        <f t="shared" si="105"/>
        <v>0.18179177836428806</v>
      </c>
      <c r="AD442" s="22">
        <f t="shared" si="105"/>
        <v>0.18351408832752805</v>
      </c>
      <c r="AE442" s="22">
        <f t="shared" si="105"/>
        <v>0.18495811914653704</v>
      </c>
      <c r="AF442" s="22">
        <f t="shared" si="105"/>
        <v>0.18611704996451123</v>
      </c>
      <c r="AG442" s="22">
        <f t="shared" si="105"/>
        <v>0.18698481434150752</v>
      </c>
      <c r="AH442" s="22">
        <f t="shared" si="105"/>
        <v>0.18755776005425462</v>
      </c>
      <c r="AI442" s="22">
        <f t="shared" si="105"/>
        <v>0.18783399692655736</v>
      </c>
      <c r="AJ442" s="22">
        <f t="shared" si="105"/>
        <v>2.4486671101770791E-2</v>
      </c>
      <c r="AK442" s="22">
        <f t="shared" si="105"/>
        <v>2.4666387221284058E-2</v>
      </c>
      <c r="AL442" s="22">
        <f t="shared" si="105"/>
        <v>2.4841648409900843E-2</v>
      </c>
      <c r="AM442" s="22">
        <f t="shared" si="105"/>
        <v>2.5012718687706617E-2</v>
      </c>
      <c r="AN442" s="22">
        <f t="shared" si="105"/>
        <v>2.5179902406593305E-2</v>
      </c>
      <c r="AO442" s="22">
        <f t="shared" si="105"/>
        <v>2.5342514084649829E-2</v>
      </c>
      <c r="AP442" s="22">
        <f t="shared" si="105"/>
        <v>2.5500102306234843E-2</v>
      </c>
      <c r="AQ442" s="22">
        <f t="shared" si="105"/>
        <v>2.5652633826306989E-2</v>
      </c>
      <c r="AR442" s="22">
        <f t="shared" si="105"/>
        <v>2.5799570928013445E-2</v>
      </c>
      <c r="AS442" s="22">
        <f t="shared" si="105"/>
        <v>2.5940314994938186E-2</v>
      </c>
      <c r="AT442" s="22">
        <f t="shared" si="105"/>
        <v>2.6074813676088864E-2</v>
      </c>
      <c r="AU442" s="22">
        <f t="shared" si="105"/>
        <v>2.6203180413111957E-2</v>
      </c>
      <c r="AV442" s="22">
        <f t="shared" si="105"/>
        <v>2.6325499899042631E-2</v>
      </c>
      <c r="AW442" s="22">
        <f t="shared" si="105"/>
        <v>2.6441188397219272E-2</v>
      </c>
      <c r="AY442" s="79"/>
    </row>
    <row r="443" spans="1:51" x14ac:dyDescent="0.25">
      <c r="A443" s="95" t="str">
        <f t="shared" si="104"/>
        <v>GS MM Volatilisation</v>
      </c>
      <c r="B443" s="95" t="s">
        <v>1021</v>
      </c>
      <c r="C443" s="95" t="s">
        <v>1332</v>
      </c>
      <c r="D443" t="s">
        <v>369</v>
      </c>
      <c r="E443" t="s">
        <v>64</v>
      </c>
      <c r="F443" t="s">
        <v>62</v>
      </c>
      <c r="G443" t="s">
        <v>1182</v>
      </c>
      <c r="H443" t="s">
        <v>1305</v>
      </c>
      <c r="I443" t="s">
        <v>139</v>
      </c>
      <c r="J443" t="s">
        <v>287</v>
      </c>
      <c r="K443" s="22">
        <f t="shared" si="101"/>
        <v>0.31034319165291735</v>
      </c>
      <c r="L443" s="22">
        <f t="shared" si="105"/>
        <v>0.31442985679016994</v>
      </c>
      <c r="M443" s="22">
        <f t="shared" si="105"/>
        <v>0.32099421325528482</v>
      </c>
      <c r="N443" s="22">
        <f t="shared" si="105"/>
        <v>0.32287903178152921</v>
      </c>
      <c r="O443" s="22">
        <f t="shared" si="105"/>
        <v>0.32172327535887091</v>
      </c>
      <c r="P443" s="22">
        <f t="shared" si="105"/>
        <v>0.31753924052538912</v>
      </c>
      <c r="Q443" s="22">
        <f t="shared" si="105"/>
        <v>0.31577785743754255</v>
      </c>
      <c r="R443" s="22">
        <f t="shared" si="105"/>
        <v>0.31441607582114939</v>
      </c>
      <c r="S443" s="22">
        <f t="shared" si="105"/>
        <v>0.27420619396536416</v>
      </c>
      <c r="T443" s="22">
        <f t="shared" si="105"/>
        <v>0.29495818532939488</v>
      </c>
      <c r="U443" s="22">
        <f t="shared" si="105"/>
        <v>1.2825520746937493</v>
      </c>
      <c r="V443" s="22">
        <f t="shared" si="105"/>
        <v>1.3055461044676304</v>
      </c>
      <c r="W443" s="22">
        <f t="shared" si="105"/>
        <v>1.3259738285316456</v>
      </c>
      <c r="X443" s="22">
        <f t="shared" si="105"/>
        <v>1.3439224713343889</v>
      </c>
      <c r="Y443" s="22">
        <f t="shared" si="105"/>
        <v>1.3596359578831905</v>
      </c>
      <c r="Z443" s="22">
        <f t="shared" si="105"/>
        <v>1.3729964225138076</v>
      </c>
      <c r="AA443" s="22">
        <f t="shared" si="105"/>
        <v>1.3839133762561158</v>
      </c>
      <c r="AB443" s="22">
        <f t="shared" si="105"/>
        <v>1.392297876830487</v>
      </c>
      <c r="AC443" s="22">
        <f t="shared" si="105"/>
        <v>1.3980705991762232</v>
      </c>
      <c r="AD443" s="22">
        <f t="shared" si="105"/>
        <v>1.4011774518837516</v>
      </c>
      <c r="AE443" s="22">
        <f t="shared" si="105"/>
        <v>1.4015682854114344</v>
      </c>
      <c r="AF443" s="22">
        <f t="shared" si="105"/>
        <v>1.3992160776881843</v>
      </c>
      <c r="AG443" s="22">
        <f t="shared" si="105"/>
        <v>1.3941175452078094</v>
      </c>
      <c r="AH443" s="22">
        <f t="shared" si="105"/>
        <v>1.3862722906542229</v>
      </c>
      <c r="AI443" s="22">
        <f t="shared" si="105"/>
        <v>1.3756920657497529</v>
      </c>
      <c r="AJ443" s="22">
        <f t="shared" si="105"/>
        <v>-0.29376675967597721</v>
      </c>
      <c r="AK443" s="22">
        <f t="shared" si="105"/>
        <v>-0.29418248669382474</v>
      </c>
      <c r="AL443" s="22">
        <f t="shared" si="105"/>
        <v>-0.29455892044172599</v>
      </c>
      <c r="AM443" s="22">
        <f t="shared" si="105"/>
        <v>-0.29489926202307742</v>
      </c>
      <c r="AN443" s="22">
        <f t="shared" si="105"/>
        <v>-0.2952071711728716</v>
      </c>
      <c r="AO443" s="22">
        <f t="shared" si="105"/>
        <v>-0.29547405449445624</v>
      </c>
      <c r="AP443" s="22">
        <f t="shared" si="105"/>
        <v>-0.29569441698810944</v>
      </c>
      <c r="AQ443" s="22">
        <f t="shared" si="105"/>
        <v>-0.29586800918156786</v>
      </c>
      <c r="AR443" s="22">
        <f t="shared" si="105"/>
        <v>-0.29598849617700645</v>
      </c>
      <c r="AS443" s="22">
        <f t="shared" si="105"/>
        <v>-0.29604896826052718</v>
      </c>
      <c r="AT443" s="22">
        <f t="shared" si="105"/>
        <v>-0.29604922742667927</v>
      </c>
      <c r="AU443" s="22">
        <f t="shared" si="105"/>
        <v>-0.29599106772821226</v>
      </c>
      <c r="AV443" s="22">
        <f t="shared" si="105"/>
        <v>-0.29587591492784127</v>
      </c>
      <c r="AW443" s="22">
        <f t="shared" si="105"/>
        <v>-0.29569729144234697</v>
      </c>
      <c r="AY443" s="79"/>
    </row>
    <row r="444" spans="1:51" x14ac:dyDescent="0.25">
      <c r="A444" s="95" t="str">
        <f t="shared" si="104"/>
        <v>GS MM Leaching</v>
      </c>
      <c r="B444" s="95" t="s">
        <v>1021</v>
      </c>
      <c r="C444" s="95" t="s">
        <v>1333</v>
      </c>
      <c r="D444" t="s">
        <v>369</v>
      </c>
      <c r="E444" t="s">
        <v>64</v>
      </c>
      <c r="F444" t="s">
        <v>63</v>
      </c>
      <c r="G444" t="s">
        <v>1152</v>
      </c>
      <c r="H444" t="s">
        <v>1306</v>
      </c>
      <c r="I444" t="s">
        <v>139</v>
      </c>
      <c r="J444" t="s">
        <v>287</v>
      </c>
      <c r="K444" s="22">
        <f t="shared" si="101"/>
        <v>8.9211118607918846E-2</v>
      </c>
      <c r="L444" s="22">
        <f t="shared" si="105"/>
        <v>8.9709854381943815E-2</v>
      </c>
      <c r="M444" s="22">
        <f t="shared" si="105"/>
        <v>9.0417475033143083E-2</v>
      </c>
      <c r="N444" s="22">
        <f t="shared" si="105"/>
        <v>9.0872196678668984E-2</v>
      </c>
      <c r="O444" s="22">
        <f t="shared" si="105"/>
        <v>9.1174361291842948E-2</v>
      </c>
      <c r="P444" s="22">
        <f t="shared" si="105"/>
        <v>9.1320994898161756E-2</v>
      </c>
      <c r="Q444" s="22">
        <f t="shared" si="105"/>
        <v>9.1644963105957017E-2</v>
      </c>
      <c r="R444" s="22">
        <f t="shared" si="105"/>
        <v>9.2016609055475665E-2</v>
      </c>
      <c r="S444" s="22">
        <f t="shared" si="105"/>
        <v>8.940199339516991E-2</v>
      </c>
      <c r="T444" s="22">
        <f t="shared" si="105"/>
        <v>9.0940281304058526E-2</v>
      </c>
      <c r="U444" s="22">
        <f t="shared" si="105"/>
        <v>0.1564700266780468</v>
      </c>
      <c r="V444" s="22">
        <f t="shared" si="105"/>
        <v>0.15835619981688001</v>
      </c>
      <c r="W444" s="22">
        <f t="shared" si="105"/>
        <v>0.16015964078695746</v>
      </c>
      <c r="X444" s="22">
        <f t="shared" si="105"/>
        <v>0.161849673455432</v>
      </c>
      <c r="Y444" s="22">
        <f t="shared" si="105"/>
        <v>0.16338116510403111</v>
      </c>
      <c r="Z444" s="22">
        <f t="shared" si="105"/>
        <v>0.16474696363228722</v>
      </c>
      <c r="AA444" s="22">
        <f t="shared" si="105"/>
        <v>0.16593911254285348</v>
      </c>
      <c r="AB444" s="22">
        <f t="shared" si="105"/>
        <v>0.16695158994132034</v>
      </c>
      <c r="AC444" s="22">
        <f t="shared" si="105"/>
        <v>0.16777962003810495</v>
      </c>
      <c r="AD444" s="22">
        <f t="shared" si="105"/>
        <v>0.16841818240508855</v>
      </c>
      <c r="AE444" s="22">
        <f t="shared" si="105"/>
        <v>0.16886427150805067</v>
      </c>
      <c r="AF444" s="22">
        <f t="shared" si="105"/>
        <v>0.1691150043732032</v>
      </c>
      <c r="AG444" s="22">
        <f t="shared" si="105"/>
        <v>0.16916759569059056</v>
      </c>
      <c r="AH444" s="22">
        <f t="shared" si="105"/>
        <v>0.16902153680910736</v>
      </c>
      <c r="AI444" s="22">
        <f t="shared" si="105"/>
        <v>0.16867765925493905</v>
      </c>
      <c r="AJ444" s="22">
        <f t="shared" si="105"/>
        <v>5.3366694545987768E-2</v>
      </c>
      <c r="AK444" s="22">
        <f t="shared" si="105"/>
        <v>5.3405651337415067E-2</v>
      </c>
      <c r="AL444" s="22">
        <f t="shared" si="105"/>
        <v>5.344180376180914E-2</v>
      </c>
      <c r="AM444" s="22">
        <f t="shared" si="105"/>
        <v>5.3475396377869022E-2</v>
      </c>
      <c r="AN444" s="22">
        <f t="shared" si="105"/>
        <v>5.3506730430657977E-2</v>
      </c>
      <c r="AO444" s="22">
        <f t="shared" si="105"/>
        <v>5.353482249647553E-2</v>
      </c>
      <c r="AP444" s="22">
        <f t="shared" si="105"/>
        <v>5.3559012168450083E-2</v>
      </c>
      <c r="AQ444" s="22">
        <f t="shared" si="105"/>
        <v>5.3579193542556233E-2</v>
      </c>
      <c r="AR444" s="22">
        <f t="shared" si="105"/>
        <v>5.3594617293935103E-2</v>
      </c>
      <c r="AS444" s="22">
        <f t="shared" si="105"/>
        <v>5.3604469890097345E-2</v>
      </c>
      <c r="AT444" s="22">
        <f t="shared" si="105"/>
        <v>5.3608650848433942E-2</v>
      </c>
      <c r="AU444" s="22">
        <f t="shared" si="105"/>
        <v>5.3607275721283966E-2</v>
      </c>
      <c r="AV444" s="22">
        <f t="shared" si="105"/>
        <v>5.3600425093073278E-2</v>
      </c>
      <c r="AW444" s="22">
        <f t="shared" si="105"/>
        <v>5.3587333792896791E-2</v>
      </c>
      <c r="AY444" s="79"/>
    </row>
    <row r="445" spans="1:51" x14ac:dyDescent="0.25">
      <c r="A445" s="95" t="str">
        <f t="shared" si="104"/>
        <v>GS MM Leaching</v>
      </c>
      <c r="B445" s="95" t="s">
        <v>1021</v>
      </c>
      <c r="C445" s="95" t="s">
        <v>1333</v>
      </c>
      <c r="D445" t="s">
        <v>369</v>
      </c>
      <c r="E445" t="s">
        <v>64</v>
      </c>
      <c r="F445" t="s">
        <v>63</v>
      </c>
      <c r="G445" t="s">
        <v>1154</v>
      </c>
      <c r="H445" t="s">
        <v>1307</v>
      </c>
      <c r="I445" t="s">
        <v>139</v>
      </c>
      <c r="J445" t="s">
        <v>287</v>
      </c>
      <c r="K445" s="22">
        <f t="shared" si="101"/>
        <v>2.6939494531157477E-2</v>
      </c>
      <c r="L445" s="22">
        <f t="shared" si="105"/>
        <v>2.7090100081973278E-2</v>
      </c>
      <c r="M445" s="22">
        <f t="shared" si="105"/>
        <v>2.730378356628085E-2</v>
      </c>
      <c r="N445" s="22">
        <f t="shared" si="105"/>
        <v>2.7441097966929517E-2</v>
      </c>
      <c r="O445" s="22">
        <f t="shared" si="105"/>
        <v>2.7532344014183842E-2</v>
      </c>
      <c r="P445" s="22">
        <f t="shared" si="105"/>
        <v>2.757662364319367E-2</v>
      </c>
      <c r="Q445" s="22">
        <f t="shared" si="105"/>
        <v>2.7674453822865853E-2</v>
      </c>
      <c r="R445" s="22">
        <f t="shared" si="105"/>
        <v>2.7786681470952937E-2</v>
      </c>
      <c r="S445" s="22">
        <f t="shared" si="105"/>
        <v>2.699713387440892E-2</v>
      </c>
      <c r="T445" s="22">
        <f t="shared" si="105"/>
        <v>2.7461657796488435E-2</v>
      </c>
      <c r="U445" s="22">
        <f t="shared" si="105"/>
        <v>4.7249978408062936E-2</v>
      </c>
      <c r="V445" s="22">
        <f t="shared" si="105"/>
        <v>4.7819554843728261E-2</v>
      </c>
      <c r="W445" s="22">
        <f t="shared" si="105"/>
        <v>4.8364148263346618E-2</v>
      </c>
      <c r="X445" s="22">
        <f t="shared" si="105"/>
        <v>4.8874495253052513E-2</v>
      </c>
      <c r="Y445" s="22">
        <f t="shared" si="105"/>
        <v>4.9336966876945901E-2</v>
      </c>
      <c r="Z445" s="22">
        <f t="shared" si="105"/>
        <v>4.9749403382134544E-2</v>
      </c>
      <c r="AA445" s="22">
        <f t="shared" si="105"/>
        <v>5.0109402108276212E-2</v>
      </c>
      <c r="AB445" s="22">
        <f t="shared" si="105"/>
        <v>5.0415144596034883E-2</v>
      </c>
      <c r="AC445" s="22">
        <f t="shared" si="105"/>
        <v>5.0665188678118429E-2</v>
      </c>
      <c r="AD445" s="22">
        <f t="shared" si="105"/>
        <v>5.0858018312603365E-2</v>
      </c>
      <c r="AE445" s="22">
        <f t="shared" si="105"/>
        <v>5.0992725904405595E-2</v>
      </c>
      <c r="AF445" s="22">
        <f t="shared" si="105"/>
        <v>5.1068440868582254E-2</v>
      </c>
      <c r="AG445" s="22">
        <f t="shared" si="105"/>
        <v>5.1084322112190127E-2</v>
      </c>
      <c r="AH445" s="22">
        <f t="shared" si="105"/>
        <v>5.104021603549988E-2</v>
      </c>
      <c r="AI445" s="22">
        <f t="shared" si="105"/>
        <v>5.0936373738323673E-2</v>
      </c>
      <c r="AJ445" s="22">
        <f t="shared" si="105"/>
        <v>1.6115387838438942E-2</v>
      </c>
      <c r="AK445" s="22">
        <f t="shared" si="105"/>
        <v>1.6127151801115156E-2</v>
      </c>
      <c r="AL445" s="22">
        <f t="shared" si="105"/>
        <v>1.6138068916094209E-2</v>
      </c>
      <c r="AM445" s="22">
        <f t="shared" si="105"/>
        <v>1.6148213033898736E-2</v>
      </c>
      <c r="AN445" s="22">
        <f t="shared" si="105"/>
        <v>1.6157675122895256E-2</v>
      </c>
      <c r="AO445" s="22">
        <f t="shared" si="105"/>
        <v>1.6166158214075712E-2</v>
      </c>
      <c r="AP445" s="22">
        <f t="shared" si="105"/>
        <v>1.6173462881319406E-2</v>
      </c>
      <c r="AQ445" s="22">
        <f t="shared" si="105"/>
        <v>1.617955714429747E-2</v>
      </c>
      <c r="AR445" s="22">
        <f t="shared" si="105"/>
        <v>1.6184214725912905E-2</v>
      </c>
      <c r="AS445" s="22">
        <f t="shared" si="105"/>
        <v>1.618718995999328E-2</v>
      </c>
      <c r="AT445" s="22">
        <f t="shared" si="105"/>
        <v>1.618845250333991E-2</v>
      </c>
      <c r="AU445" s="22">
        <f t="shared" si="105"/>
        <v>1.6188037249827626E-2</v>
      </c>
      <c r="AV445" s="22">
        <f t="shared" si="105"/>
        <v>1.6185968533908621E-2</v>
      </c>
      <c r="AW445" s="22">
        <f t="shared" si="105"/>
        <v>1.6182015293381945E-2</v>
      </c>
      <c r="AY445" s="79"/>
    </row>
    <row r="446" spans="1:51" x14ac:dyDescent="0.25">
      <c r="A446" s="95" t="str">
        <f t="shared" si="104"/>
        <v>GS MM Leaching</v>
      </c>
      <c r="B446" s="95" t="s">
        <v>1021</v>
      </c>
      <c r="C446" s="95" t="s">
        <v>1333</v>
      </c>
      <c r="D446" t="s">
        <v>369</v>
      </c>
      <c r="E446" t="s">
        <v>64</v>
      </c>
      <c r="F446" t="s">
        <v>63</v>
      </c>
      <c r="G446" t="s">
        <v>1156</v>
      </c>
      <c r="H446" t="s">
        <v>1308</v>
      </c>
      <c r="I446" t="s">
        <v>139</v>
      </c>
      <c r="J446" t="s">
        <v>287</v>
      </c>
      <c r="K446" s="22">
        <f t="shared" si="101"/>
        <v>1.4483668498503175E-3</v>
      </c>
      <c r="L446" s="22">
        <f t="shared" si="105"/>
        <v>1.4564639612104711E-3</v>
      </c>
      <c r="M446" s="22">
        <f t="shared" si="105"/>
        <v>1.4679523755410987E-3</v>
      </c>
      <c r="N446" s="22">
        <f t="shared" si="105"/>
        <v>1.4753349055168039E-3</v>
      </c>
      <c r="O446" s="22">
        <f t="shared" si="105"/>
        <v>1.4802406304505133E-3</v>
      </c>
      <c r="P446" s="22">
        <f t="shared" si="105"/>
        <v>1.4826212670547866E-3</v>
      </c>
      <c r="Q446" s="22">
        <f t="shared" si="105"/>
        <v>1.4878809792957942E-3</v>
      </c>
      <c r="R446" s="22">
        <f t="shared" si="105"/>
        <v>1.4939147526814829E-3</v>
      </c>
      <c r="S446" s="22">
        <f t="shared" si="105"/>
        <v>1.4514657540972396E-3</v>
      </c>
      <c r="T446" s="22">
        <f t="shared" si="105"/>
        <v>1.476440277985364E-3</v>
      </c>
      <c r="U446" s="22">
        <f t="shared" si="105"/>
        <v>2.5403335724518226E-3</v>
      </c>
      <c r="V446" s="22">
        <f t="shared" si="105"/>
        <v>2.5709561079607732E-3</v>
      </c>
      <c r="W446" s="22">
        <f t="shared" si="105"/>
        <v>2.6002354641383586E-3</v>
      </c>
      <c r="X446" s="22">
        <f t="shared" si="105"/>
        <v>2.6276736055985106E-3</v>
      </c>
      <c r="Y446" s="22">
        <f t="shared" si="105"/>
        <v>2.6525377903466292E-3</v>
      </c>
      <c r="Z446" s="22">
        <f t="shared" si="105"/>
        <v>2.6747119020803316E-3</v>
      </c>
      <c r="AA446" s="22">
        <f t="shared" si="105"/>
        <v>2.6940667648944388E-3</v>
      </c>
      <c r="AB446" s="22">
        <f t="shared" si="105"/>
        <v>2.7105046116902751E-3</v>
      </c>
      <c r="AC446" s="22">
        <f t="shared" si="105"/>
        <v>2.7239479062209941E-3</v>
      </c>
      <c r="AD446" s="22">
        <f t="shared" si="105"/>
        <v>2.7343151404663774E-3</v>
      </c>
      <c r="AE446" s="22">
        <f t="shared" si="105"/>
        <v>2.741557518758363E-3</v>
      </c>
      <c r="AF446" s="22">
        <f t="shared" si="105"/>
        <v>2.7456282352309475E-3</v>
      </c>
      <c r="AG446" s="22">
        <f t="shared" si="105"/>
        <v>2.7464820696170918E-3</v>
      </c>
      <c r="AH446" s="22">
        <f t="shared" si="105"/>
        <v>2.7441107638273262E-3</v>
      </c>
      <c r="AI446" s="22">
        <f t="shared" si="105"/>
        <v>2.738527817916133E-3</v>
      </c>
      <c r="AJ446" s="22">
        <f t="shared" si="105"/>
        <v>8.664228458585355E-4</v>
      </c>
      <c r="AK446" s="22">
        <f t="shared" si="105"/>
        <v>8.6705531999584366E-4</v>
      </c>
      <c r="AL446" s="22">
        <f t="shared" si="105"/>
        <v>8.6764226446925895E-4</v>
      </c>
      <c r="AM446" s="22">
        <f t="shared" si="105"/>
        <v>8.6818764975598228E-4</v>
      </c>
      <c r="AN446" s="22">
        <f t="shared" si="105"/>
        <v>8.6869636665180383E-4</v>
      </c>
      <c r="AO446" s="22">
        <f t="shared" si="105"/>
        <v>8.691524490046414E-4</v>
      </c>
      <c r="AP446" s="22">
        <f t="shared" si="105"/>
        <v>8.6954517492875681E-4</v>
      </c>
      <c r="AQ446" s="22">
        <f t="shared" si="105"/>
        <v>8.6987282504340517E-4</v>
      </c>
      <c r="AR446" s="22">
        <f t="shared" si="105"/>
        <v>8.7012323385506529E-4</v>
      </c>
      <c r="AS446" s="22">
        <f t="shared" si="105"/>
        <v>8.7028319344181889E-4</v>
      </c>
      <c r="AT446" s="22">
        <f t="shared" si="105"/>
        <v>8.7035107244109425E-4</v>
      </c>
      <c r="AU446" s="22">
        <f t="shared" si="105"/>
        <v>8.7032874687664199E-4</v>
      </c>
      <c r="AV446" s="22">
        <f t="shared" si="105"/>
        <v>8.7021752505860126E-4</v>
      </c>
      <c r="AW446" s="22">
        <f t="shared" si="105"/>
        <v>8.7000498422856851E-4</v>
      </c>
      <c r="AY446" s="79"/>
    </row>
    <row r="447" spans="1:51" x14ac:dyDescent="0.25">
      <c r="A447" s="95" t="str">
        <f t="shared" si="104"/>
        <v>GS MM Leaching</v>
      </c>
      <c r="B447" s="95" t="s">
        <v>1021</v>
      </c>
      <c r="C447" s="95" t="s">
        <v>1333</v>
      </c>
      <c r="D447" t="s">
        <v>369</v>
      </c>
      <c r="E447" t="s">
        <v>64</v>
      </c>
      <c r="F447" t="s">
        <v>63</v>
      </c>
      <c r="G447" t="s">
        <v>1158</v>
      </c>
      <c r="H447" t="s">
        <v>1309</v>
      </c>
      <c r="I447" t="s">
        <v>139</v>
      </c>
      <c r="J447" t="s">
        <v>287</v>
      </c>
      <c r="K447" s="22">
        <f t="shared" si="101"/>
        <v>3.0303014392691133E-2</v>
      </c>
      <c r="L447" s="22">
        <f t="shared" si="105"/>
        <v>3.0040206026371367E-2</v>
      </c>
      <c r="M447" s="22">
        <f t="shared" si="105"/>
        <v>2.9940162837193193E-2</v>
      </c>
      <c r="N447" s="22">
        <f t="shared" si="105"/>
        <v>2.9540351153331305E-2</v>
      </c>
      <c r="O447" s="22">
        <f t="shared" si="105"/>
        <v>2.8960014730128859E-2</v>
      </c>
      <c r="P447" s="22">
        <f t="shared" si="105"/>
        <v>2.8211154016296508E-2</v>
      </c>
      <c r="Q447" s="22">
        <f t="shared" si="105"/>
        <v>2.7620505669412019E-2</v>
      </c>
      <c r="R447" s="22">
        <f t="shared" si="105"/>
        <v>2.7061685185942382E-2</v>
      </c>
      <c r="S447" s="22">
        <f t="shared" si="105"/>
        <v>2.4201772556346722E-2</v>
      </c>
      <c r="T447" s="22">
        <f t="shared" si="105"/>
        <v>2.5134193306706524E-2</v>
      </c>
      <c r="U447" s="22">
        <f t="shared" si="105"/>
        <v>7.9215327522416931E-2</v>
      </c>
      <c r="V447" s="22">
        <f t="shared" si="105"/>
        <v>7.9597413086941654E-2</v>
      </c>
      <c r="W447" s="22">
        <f t="shared" si="105"/>
        <v>7.9841946903631861E-2</v>
      </c>
      <c r="X447" s="22">
        <f t="shared" si="105"/>
        <v>7.9948879165643486E-2</v>
      </c>
      <c r="Y447" s="22">
        <f t="shared" si="105"/>
        <v>7.992047510263596E-2</v>
      </c>
      <c r="Z447" s="22">
        <f t="shared" si="105"/>
        <v>7.9755373238701549E-2</v>
      </c>
      <c r="AA447" s="22">
        <f t="shared" si="105"/>
        <v>7.9453169143115579E-2</v>
      </c>
      <c r="AB447" s="22">
        <f t="shared" si="105"/>
        <v>7.9014112861708063E-2</v>
      </c>
      <c r="AC447" s="22">
        <f t="shared" si="105"/>
        <v>7.8439191657390592E-2</v>
      </c>
      <c r="AD447" s="22">
        <f t="shared" si="105"/>
        <v>7.7077087742293285E-2</v>
      </c>
      <c r="AE447" s="22">
        <f t="shared" si="105"/>
        <v>7.5586682253877949E-2</v>
      </c>
      <c r="AF447" s="22">
        <f t="shared" si="105"/>
        <v>7.3974671879861814E-2</v>
      </c>
      <c r="AG447" s="22">
        <f t="shared" si="105"/>
        <v>7.2248514242158265E-2</v>
      </c>
      <c r="AH447" s="22">
        <f t="shared" si="105"/>
        <v>7.0416148615651625E-2</v>
      </c>
      <c r="AI447" s="22">
        <f t="shared" si="105"/>
        <v>6.8486029191241041E-2</v>
      </c>
      <c r="AJ447" s="22">
        <f t="shared" si="105"/>
        <v>-5.2880249817764688E-3</v>
      </c>
      <c r="AK447" s="22">
        <f t="shared" si="105"/>
        <v>-5.1607046214705845E-3</v>
      </c>
      <c r="AL447" s="22">
        <f t="shared" si="105"/>
        <v>-5.0347089645398375E-3</v>
      </c>
      <c r="AM447" s="22">
        <f t="shared" si="105"/>
        <v>-4.9100249979569036E-3</v>
      </c>
      <c r="AN447" s="22">
        <f t="shared" si="105"/>
        <v>-4.8110666270887118E-3</v>
      </c>
      <c r="AO447" s="22">
        <f t="shared" si="105"/>
        <v>-4.7130469845991819E-3</v>
      </c>
      <c r="AP447" s="22">
        <f t="shared" si="105"/>
        <v>-4.6158931662269266E-3</v>
      </c>
      <c r="AQ447" s="22">
        <f t="shared" si="105"/>
        <v>-4.5195811063585816E-3</v>
      </c>
      <c r="AR447" s="22">
        <f t="shared" si="105"/>
        <v>-4.424040391221005E-3</v>
      </c>
      <c r="AS447" s="22">
        <f t="shared" si="105"/>
        <v>-4.3292020646369571E-3</v>
      </c>
      <c r="AT447" s="22">
        <f t="shared" si="105"/>
        <v>-4.2350550518406409E-3</v>
      </c>
      <c r="AU447" s="22">
        <f t="shared" si="105"/>
        <v>-4.1416051693555066E-3</v>
      </c>
      <c r="AV447" s="22">
        <f t="shared" si="105"/>
        <v>-4.0488559853117164E-3</v>
      </c>
      <c r="AW447" s="22">
        <f t="shared" si="105"/>
        <v>-3.9567542281437719E-3</v>
      </c>
      <c r="AY447" s="79"/>
    </row>
    <row r="448" spans="1:51" x14ac:dyDescent="0.25">
      <c r="A448" s="95" t="str">
        <f t="shared" si="104"/>
        <v>GS MM Leaching</v>
      </c>
      <c r="B448" s="95" t="s">
        <v>1021</v>
      </c>
      <c r="C448" s="95" t="s">
        <v>1333</v>
      </c>
      <c r="D448" t="s">
        <v>369</v>
      </c>
      <c r="E448" t="s">
        <v>64</v>
      </c>
      <c r="F448" t="s">
        <v>63</v>
      </c>
      <c r="G448" t="s">
        <v>1160</v>
      </c>
      <c r="H448" t="s">
        <v>1310</v>
      </c>
      <c r="I448" t="s">
        <v>139</v>
      </c>
      <c r="J448" t="s">
        <v>287</v>
      </c>
      <c r="K448" s="22">
        <f t="shared" si="101"/>
        <v>4.0226293185258929E-2</v>
      </c>
      <c r="L448" s="22">
        <f t="shared" si="105"/>
        <v>3.9877423391049029E-2</v>
      </c>
      <c r="M448" s="22">
        <f t="shared" ref="L448:AW454" si="106">M1551</f>
        <v>3.9744619221572089E-2</v>
      </c>
      <c r="N448" s="22">
        <f t="shared" si="106"/>
        <v>3.9213881856453726E-2</v>
      </c>
      <c r="O448" s="22">
        <f t="shared" si="106"/>
        <v>3.8443503609481157E-2</v>
      </c>
      <c r="P448" s="22">
        <f t="shared" si="106"/>
        <v>3.7449414696768615E-2</v>
      </c>
      <c r="Q448" s="22">
        <f t="shared" si="106"/>
        <v>3.6665347697252743E-2</v>
      </c>
      <c r="R448" s="22">
        <f t="shared" si="106"/>
        <v>3.5923531179771234E-2</v>
      </c>
      <c r="S448" s="22">
        <f t="shared" si="106"/>
        <v>3.2127087617044768E-2</v>
      </c>
      <c r="T448" s="22">
        <f t="shared" si="106"/>
        <v>3.336484667262702E-2</v>
      </c>
      <c r="U448" s="22">
        <f t="shared" si="106"/>
        <v>0.10515584187068941</v>
      </c>
      <c r="V448" s="22">
        <f t="shared" si="106"/>
        <v>0.1056630483730278</v>
      </c>
      <c r="W448" s="22">
        <f t="shared" si="106"/>
        <v>0.10598765928059027</v>
      </c>
      <c r="X448" s="22">
        <f t="shared" si="106"/>
        <v>0.10612960847636668</v>
      </c>
      <c r="Y448" s="22">
        <f t="shared" si="106"/>
        <v>0.10609190298108537</v>
      </c>
      <c r="Z448" s="22">
        <f t="shared" si="106"/>
        <v>0.10587273547853948</v>
      </c>
      <c r="AA448" s="22">
        <f t="shared" si="106"/>
        <v>0.10547156909973328</v>
      </c>
      <c r="AB448" s="22">
        <f t="shared" si="106"/>
        <v>0.10488873577259779</v>
      </c>
      <c r="AC448" s="22">
        <f t="shared" si="106"/>
        <v>0.10412554605742294</v>
      </c>
      <c r="AD448" s="22">
        <f t="shared" si="106"/>
        <v>0.10231739619063251</v>
      </c>
      <c r="AE448" s="22">
        <f t="shared" si="106"/>
        <v>0.10033893004317308</v>
      </c>
      <c r="AF448" s="22">
        <f t="shared" si="106"/>
        <v>9.8199037256187116E-2</v>
      </c>
      <c r="AG448" s="22">
        <f t="shared" si="106"/>
        <v>9.5907617586895574E-2</v>
      </c>
      <c r="AH448" s="22">
        <f t="shared" si="106"/>
        <v>9.3475210171604761E-2</v>
      </c>
      <c r="AI448" s="22">
        <f t="shared" si="106"/>
        <v>9.091303768134483E-2</v>
      </c>
      <c r="AJ448" s="22">
        <f t="shared" si="106"/>
        <v>-7.0196859141254189E-3</v>
      </c>
      <c r="AK448" s="22">
        <f t="shared" si="106"/>
        <v>-6.8506721626963654E-3</v>
      </c>
      <c r="AL448" s="22">
        <f t="shared" si="106"/>
        <v>-6.6834169131002059E-3</v>
      </c>
      <c r="AM448" s="22">
        <f t="shared" si="106"/>
        <v>-6.5179028909547456E-3</v>
      </c>
      <c r="AN448" s="22">
        <f t="shared" si="106"/>
        <v>-6.3865387834737544E-3</v>
      </c>
      <c r="AO448" s="22">
        <f t="shared" si="106"/>
        <v>-6.2564208082254193E-3</v>
      </c>
      <c r="AP448" s="22">
        <f t="shared" si="106"/>
        <v>-6.1274521871085615E-3</v>
      </c>
      <c r="AQ448" s="22">
        <f t="shared" si="106"/>
        <v>-5.9996009737825779E-3</v>
      </c>
      <c r="AR448" s="22">
        <f t="shared" si="106"/>
        <v>-5.872773696190668E-3</v>
      </c>
      <c r="AS448" s="22">
        <f t="shared" si="106"/>
        <v>-5.7468788171884874E-3</v>
      </c>
      <c r="AT448" s="22">
        <f t="shared" si="106"/>
        <v>-5.6219016353747063E-3</v>
      </c>
      <c r="AU448" s="22">
        <f t="shared" si="106"/>
        <v>-5.4978498720002471E-3</v>
      </c>
      <c r="AV448" s="22">
        <f t="shared" si="106"/>
        <v>-5.3747282636450412E-3</v>
      </c>
      <c r="AW448" s="22">
        <f t="shared" si="106"/>
        <v>-5.2524660939907621E-3</v>
      </c>
      <c r="AY448" s="79"/>
    </row>
    <row r="449" spans="1:51" x14ac:dyDescent="0.25">
      <c r="A449" s="95" t="str">
        <f t="shared" si="104"/>
        <v>GS MM Leaching</v>
      </c>
      <c r="B449" s="95" t="s">
        <v>1021</v>
      </c>
      <c r="C449" s="95" t="s">
        <v>1333</v>
      </c>
      <c r="D449" t="s">
        <v>369</v>
      </c>
      <c r="E449" t="s">
        <v>64</v>
      </c>
      <c r="F449" t="s">
        <v>63</v>
      </c>
      <c r="G449" t="s">
        <v>1162</v>
      </c>
      <c r="H449" t="s">
        <v>1311</v>
      </c>
      <c r="I449" t="s">
        <v>139</v>
      </c>
      <c r="J449" t="s">
        <v>287</v>
      </c>
      <c r="K449" s="22">
        <f t="shared" si="101"/>
        <v>4.1968337096859203E-2</v>
      </c>
      <c r="L449" s="22">
        <f t="shared" si="106"/>
        <v>4.3383434779753476E-2</v>
      </c>
      <c r="M449" s="22">
        <f t="shared" si="106"/>
        <v>4.5063007666824861E-2</v>
      </c>
      <c r="N449" s="22">
        <f t="shared" si="106"/>
        <v>4.6315596244033509E-2</v>
      </c>
      <c r="O449" s="22">
        <f t="shared" si="106"/>
        <v>4.7281576900430194E-2</v>
      </c>
      <c r="P449" s="22">
        <f t="shared" si="106"/>
        <v>4.7947144057730852E-2</v>
      </c>
      <c r="Q449" s="22">
        <f t="shared" si="106"/>
        <v>4.8855920576585839E-2</v>
      </c>
      <c r="R449" s="22">
        <f t="shared" si="106"/>
        <v>4.9808583705724517E-2</v>
      </c>
      <c r="S449" s="22">
        <f t="shared" si="106"/>
        <v>4.6345052575542584E-2</v>
      </c>
      <c r="T449" s="22">
        <f t="shared" si="106"/>
        <v>4.9290182096012818E-2</v>
      </c>
      <c r="U449" s="22">
        <f t="shared" si="106"/>
        <v>0.1590390004544035</v>
      </c>
      <c r="V449" s="22">
        <f t="shared" si="106"/>
        <v>0.16355513295491098</v>
      </c>
      <c r="W449" s="22">
        <f t="shared" si="106"/>
        <v>0.16786105995970313</v>
      </c>
      <c r="X449" s="22">
        <f t="shared" si="106"/>
        <v>0.17194023598803351</v>
      </c>
      <c r="Y449" s="22">
        <f t="shared" si="106"/>
        <v>0.17578066999732156</v>
      </c>
      <c r="Z449" s="22">
        <f t="shared" si="106"/>
        <v>0.17936210611821823</v>
      </c>
      <c r="AA449" s="22">
        <f t="shared" si="106"/>
        <v>0.1826656381005505</v>
      </c>
      <c r="AB449" s="22">
        <f t="shared" si="106"/>
        <v>0.18567320176806454</v>
      </c>
      <c r="AC449" s="22">
        <f t="shared" si="106"/>
        <v>0.18836790776441609</v>
      </c>
      <c r="AD449" s="22">
        <f t="shared" si="106"/>
        <v>0.19123519545806747</v>
      </c>
      <c r="AE449" s="22">
        <f t="shared" si="106"/>
        <v>0.19376853499382182</v>
      </c>
      <c r="AF449" s="22">
        <f t="shared" si="106"/>
        <v>0.19595309748984396</v>
      </c>
      <c r="AG449" s="22">
        <f t="shared" si="106"/>
        <v>0.19777601067919534</v>
      </c>
      <c r="AH449" s="22">
        <f t="shared" si="106"/>
        <v>0.19922591108684914</v>
      </c>
      <c r="AI449" s="22">
        <f t="shared" si="106"/>
        <v>0.20029329073357882</v>
      </c>
      <c r="AJ449" s="22">
        <f t="shared" si="106"/>
        <v>-1.5988935485228874E-2</v>
      </c>
      <c r="AK449" s="22">
        <f t="shared" si="106"/>
        <v>-1.6135273009597623E-2</v>
      </c>
      <c r="AL449" s="22">
        <f t="shared" si="106"/>
        <v>-1.6280642881338143E-2</v>
      </c>
      <c r="AM449" s="22">
        <f t="shared" si="106"/>
        <v>-1.6425117505391919E-2</v>
      </c>
      <c r="AN449" s="22">
        <f t="shared" si="106"/>
        <v>-1.6548178161071046E-2</v>
      </c>
      <c r="AO449" s="22">
        <f t="shared" si="106"/>
        <v>-1.6670008309036564E-2</v>
      </c>
      <c r="AP449" s="22">
        <f t="shared" si="106"/>
        <v>-1.6790421483448635E-2</v>
      </c>
      <c r="AQ449" s="22">
        <f t="shared" si="106"/>
        <v>-1.6909384567907186E-2</v>
      </c>
      <c r="AR449" s="22">
        <f t="shared" si="106"/>
        <v>-1.7026675592023126E-2</v>
      </c>
      <c r="AS449" s="22">
        <f t="shared" si="106"/>
        <v>-1.7142046777220185E-2</v>
      </c>
      <c r="AT449" s="22">
        <f t="shared" si="106"/>
        <v>-1.725545286501233E-2</v>
      </c>
      <c r="AU449" s="22">
        <f t="shared" si="106"/>
        <v>-1.7366910999627443E-2</v>
      </c>
      <c r="AV449" s="22">
        <f t="shared" si="106"/>
        <v>-1.7476428038790941E-2</v>
      </c>
      <c r="AW449" s="22">
        <f t="shared" si="106"/>
        <v>-1.7583756727581886E-2</v>
      </c>
      <c r="AY449" s="79"/>
    </row>
    <row r="450" spans="1:51" x14ac:dyDescent="0.25">
      <c r="A450" s="95" t="str">
        <f t="shared" si="104"/>
        <v>GS MM Leaching</v>
      </c>
      <c r="B450" s="95" t="s">
        <v>1021</v>
      </c>
      <c r="C450" s="95" t="s">
        <v>1333</v>
      </c>
      <c r="D450" t="s">
        <v>369</v>
      </c>
      <c r="E450" t="s">
        <v>64</v>
      </c>
      <c r="F450" t="s">
        <v>63</v>
      </c>
      <c r="G450" t="s">
        <v>1164</v>
      </c>
      <c r="H450" t="s">
        <v>1312</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4.4583713438871775E-3</v>
      </c>
      <c r="T450" s="22">
        <f t="shared" si="106"/>
        <v>4.4613385793898985E-3</v>
      </c>
      <c r="U450" s="22">
        <f t="shared" si="106"/>
        <v>4.5194479058578802E-3</v>
      </c>
      <c r="V450" s="22">
        <f t="shared" si="106"/>
        <v>4.5208654375239604E-3</v>
      </c>
      <c r="W450" s="22">
        <f t="shared" si="106"/>
        <v>4.5269288931412202E-3</v>
      </c>
      <c r="X450" s="22">
        <f t="shared" si="106"/>
        <v>4.5356937654075719E-3</v>
      </c>
      <c r="Y450" s="22">
        <f t="shared" si="106"/>
        <v>4.5438360313793799E-3</v>
      </c>
      <c r="Z450" s="22">
        <f t="shared" si="106"/>
        <v>4.5514565032506353E-3</v>
      </c>
      <c r="AA450" s="22">
        <f t="shared" si="106"/>
        <v>4.5585145451789771E-3</v>
      </c>
      <c r="AB450" s="22">
        <f t="shared" si="106"/>
        <v>4.5650737507021777E-3</v>
      </c>
      <c r="AC450" s="22">
        <f t="shared" si="106"/>
        <v>4.5712336162876026E-3</v>
      </c>
      <c r="AD450" s="22">
        <f t="shared" si="106"/>
        <v>4.5769883379201265E-3</v>
      </c>
      <c r="AE450" s="22">
        <f t="shared" si="106"/>
        <v>4.5824299595188939E-3</v>
      </c>
      <c r="AF450" s="22">
        <f t="shared" si="106"/>
        <v>4.5875716533889405E-3</v>
      </c>
      <c r="AG450" s="22">
        <f t="shared" si="106"/>
        <v>4.5923429466883485E-3</v>
      </c>
      <c r="AH450" s="22">
        <f t="shared" si="106"/>
        <v>4.5967874861065324E-3</v>
      </c>
      <c r="AI450" s="22">
        <f t="shared" si="106"/>
        <v>4.6009761769836678E-3</v>
      </c>
      <c r="AJ450" s="22">
        <f t="shared" si="106"/>
        <v>4.5000024079062629E-3</v>
      </c>
      <c r="AK450" s="22">
        <f t="shared" si="106"/>
        <v>4.504140567798888E-3</v>
      </c>
      <c r="AL450" s="22">
        <f t="shared" si="106"/>
        <v>4.5080004058394166E-3</v>
      </c>
      <c r="AM450" s="22">
        <f t="shared" si="106"/>
        <v>4.5116055113744672E-3</v>
      </c>
      <c r="AN450" s="22">
        <f t="shared" si="106"/>
        <v>4.5149845600538762E-3</v>
      </c>
      <c r="AO450" s="22">
        <f t="shared" si="106"/>
        <v>4.5180486691616456E-3</v>
      </c>
      <c r="AP450" s="22">
        <f t="shared" si="106"/>
        <v>4.5207384818524527E-3</v>
      </c>
      <c r="AQ450" s="22">
        <f t="shared" si="106"/>
        <v>4.5230453041712505E-3</v>
      </c>
      <c r="AR450" s="22">
        <f t="shared" si="106"/>
        <v>4.5249015890055574E-3</v>
      </c>
      <c r="AS450" s="22">
        <f t="shared" si="106"/>
        <v>4.526233914491801E-3</v>
      </c>
      <c r="AT450" s="22">
        <f t="shared" si="106"/>
        <v>4.5270340008273808E-3</v>
      </c>
      <c r="AU450" s="22">
        <f t="shared" si="106"/>
        <v>4.5273132604660591E-3</v>
      </c>
      <c r="AV450" s="22">
        <f t="shared" si="106"/>
        <v>4.5270798618323943E-3</v>
      </c>
      <c r="AW450" s="22">
        <f t="shared" si="106"/>
        <v>4.5262646983336846E-3</v>
      </c>
      <c r="AY450" s="79"/>
    </row>
    <row r="451" spans="1:51" x14ac:dyDescent="0.25">
      <c r="A451" s="95" t="str">
        <f t="shared" si="104"/>
        <v>GS MM Leaching</v>
      </c>
      <c r="B451" s="95" t="s">
        <v>1021</v>
      </c>
      <c r="C451" s="95" t="s">
        <v>1333</v>
      </c>
      <c r="D451" t="s">
        <v>369</v>
      </c>
      <c r="E451" t="s">
        <v>64</v>
      </c>
      <c r="F451" t="s">
        <v>63</v>
      </c>
      <c r="G451" t="s">
        <v>1166</v>
      </c>
      <c r="H451" t="s">
        <v>1313</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3.7085625544236744E-3</v>
      </c>
      <c r="T451" s="22">
        <f t="shared" si="106"/>
        <v>3.7110307603281981E-3</v>
      </c>
      <c r="U451" s="22">
        <f t="shared" si="106"/>
        <v>3.7593672616152451E-3</v>
      </c>
      <c r="V451" s="22">
        <f t="shared" si="106"/>
        <v>3.7605463928385213E-3</v>
      </c>
      <c r="W451" s="22">
        <f t="shared" si="106"/>
        <v>3.7655900966303579E-3</v>
      </c>
      <c r="X451" s="22">
        <f t="shared" si="106"/>
        <v>3.7728808928817431E-3</v>
      </c>
      <c r="Y451" s="22">
        <f t="shared" si="106"/>
        <v>3.7796537927507973E-3</v>
      </c>
      <c r="Z451" s="22">
        <f t="shared" si="106"/>
        <v>3.7859926538390569E-3</v>
      </c>
      <c r="AA451" s="22">
        <f t="shared" si="106"/>
        <v>3.7918636744391884E-3</v>
      </c>
      <c r="AB451" s="22">
        <f t="shared" si="106"/>
        <v>3.7973197529292549E-3</v>
      </c>
      <c r="AC451" s="22">
        <f t="shared" si="106"/>
        <v>3.8024436524630406E-3</v>
      </c>
      <c r="AD451" s="22">
        <f t="shared" si="106"/>
        <v>3.8072305451445519E-3</v>
      </c>
      <c r="AE451" s="22">
        <f t="shared" si="106"/>
        <v>3.8117569949487401E-3</v>
      </c>
      <c r="AF451" s="22">
        <f t="shared" si="106"/>
        <v>3.8160339588626819E-3</v>
      </c>
      <c r="AG451" s="22">
        <f t="shared" si="106"/>
        <v>3.8200028161653869E-3</v>
      </c>
      <c r="AH451" s="22">
        <f t="shared" si="106"/>
        <v>3.8236998730470525E-3</v>
      </c>
      <c r="AI451" s="22">
        <f t="shared" si="106"/>
        <v>3.8271841099893822E-3</v>
      </c>
      <c r="AJ451" s="22">
        <f t="shared" si="106"/>
        <v>3.7431921070592298E-3</v>
      </c>
      <c r="AK451" s="22">
        <f t="shared" si="106"/>
        <v>3.7466343113168547E-3</v>
      </c>
      <c r="AL451" s="22">
        <f t="shared" si="106"/>
        <v>3.7498450018850307E-3</v>
      </c>
      <c r="AM451" s="22">
        <f t="shared" si="106"/>
        <v>3.7528438008546071E-3</v>
      </c>
      <c r="AN451" s="22">
        <f t="shared" si="106"/>
        <v>3.7556545612052921E-3</v>
      </c>
      <c r="AO451" s="22">
        <f t="shared" si="106"/>
        <v>3.7582033485142104E-3</v>
      </c>
      <c r="AP451" s="22">
        <f t="shared" si="106"/>
        <v>3.760440788568911E-3</v>
      </c>
      <c r="AQ451" s="22">
        <f t="shared" si="106"/>
        <v>3.7623596495635048E-3</v>
      </c>
      <c r="AR451" s="22">
        <f t="shared" si="106"/>
        <v>3.7639037444573268E-3</v>
      </c>
      <c r="AS451" s="22">
        <f t="shared" si="106"/>
        <v>3.7650119994741185E-3</v>
      </c>
      <c r="AT451" s="22">
        <f t="shared" si="106"/>
        <v>3.7656775273082915E-3</v>
      </c>
      <c r="AU451" s="22">
        <f t="shared" si="106"/>
        <v>3.7659098210673977E-3</v>
      </c>
      <c r="AV451" s="22">
        <f t="shared" si="106"/>
        <v>3.7657156754105432E-3</v>
      </c>
      <c r="AW451" s="22">
        <f t="shared" si="106"/>
        <v>3.7650376060901856E-3</v>
      </c>
      <c r="AY451" s="79"/>
    </row>
    <row r="452" spans="1:51" x14ac:dyDescent="0.25">
      <c r="A452" s="95" t="str">
        <f t="shared" si="104"/>
        <v>GS MM Leaching</v>
      </c>
      <c r="B452" s="95" t="s">
        <v>1021</v>
      </c>
      <c r="C452" s="95" t="s">
        <v>1333</v>
      </c>
      <c r="D452" t="s">
        <v>369</v>
      </c>
      <c r="E452" t="s">
        <v>64</v>
      </c>
      <c r="F452" t="s">
        <v>63</v>
      </c>
      <c r="G452" t="s">
        <v>1168</v>
      </c>
      <c r="H452" t="s">
        <v>1314</v>
      </c>
      <c r="I452" t="s">
        <v>139</v>
      </c>
      <c r="J452" t="s">
        <v>287</v>
      </c>
      <c r="K452" s="22">
        <f t="shared" si="101"/>
        <v>5.4322987485311562E-4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5.5840147541839718E-4</v>
      </c>
      <c r="R452" s="22">
        <f t="shared" si="106"/>
        <v>5.620753208024884E-4</v>
      </c>
      <c r="S452" s="22">
        <f t="shared" si="106"/>
        <v>5.6070469903814733E-4</v>
      </c>
      <c r="T452" s="22">
        <f t="shared" si="106"/>
        <v>5.6162230711910024E-4</v>
      </c>
      <c r="U452" s="22">
        <f t="shared" si="106"/>
        <v>5.7300934566261764E-4</v>
      </c>
      <c r="V452" s="22">
        <f t="shared" si="106"/>
        <v>5.735237983118301E-4</v>
      </c>
      <c r="W452" s="22">
        <f t="shared" si="106"/>
        <v>5.7488581877093682E-4</v>
      </c>
      <c r="X452" s="22">
        <f t="shared" si="106"/>
        <v>5.7672404156411123E-4</v>
      </c>
      <c r="Y452" s="22">
        <f t="shared" si="106"/>
        <v>5.7840994827834994E-4</v>
      </c>
      <c r="Z452" s="22">
        <f t="shared" si="106"/>
        <v>5.7996582365708491E-4</v>
      </c>
      <c r="AA452" s="22">
        <f t="shared" si="106"/>
        <v>5.8138689539941784E-4</v>
      </c>
      <c r="AB452" s="22">
        <f t="shared" si="106"/>
        <v>5.8268775619947839E-4</v>
      </c>
      <c r="AC452" s="22">
        <f t="shared" si="106"/>
        <v>5.838893945173696E-4</v>
      </c>
      <c r="AD452" s="22">
        <f t="shared" si="106"/>
        <v>5.8499277851090971E-4</v>
      </c>
      <c r="AE452" s="22">
        <f t="shared" si="106"/>
        <v>5.8601696023425276E-4</v>
      </c>
      <c r="AF452" s="22">
        <f t="shared" si="106"/>
        <v>5.8696603148616325E-4</v>
      </c>
      <c r="AG452" s="22">
        <f t="shared" si="106"/>
        <v>5.8782840452912231E-4</v>
      </c>
      <c r="AH452" s="22">
        <f t="shared" si="106"/>
        <v>5.8861362982731312E-4</v>
      </c>
      <c r="AI452" s="22">
        <f t="shared" si="106"/>
        <v>5.8933613461895486E-4</v>
      </c>
      <c r="AJ452" s="22">
        <f t="shared" si="106"/>
        <v>5.706274212799663E-4</v>
      </c>
      <c r="AK452" s="22">
        <f t="shared" si="106"/>
        <v>5.7134854330306069E-4</v>
      </c>
      <c r="AL452" s="22">
        <f t="shared" si="106"/>
        <v>5.7200511510337268E-4</v>
      </c>
      <c r="AM452" s="22">
        <f t="shared" si="106"/>
        <v>5.7260245045310132E-4</v>
      </c>
      <c r="AN452" s="22">
        <f t="shared" si="106"/>
        <v>5.7314670307798447E-4</v>
      </c>
      <c r="AO452" s="22">
        <f t="shared" si="106"/>
        <v>5.7362242271311709E-4</v>
      </c>
      <c r="AP452" s="22">
        <f t="shared" si="106"/>
        <v>5.7401961480709959E-4</v>
      </c>
      <c r="AQ452" s="22">
        <f t="shared" si="106"/>
        <v>5.743375496953002E-4</v>
      </c>
      <c r="AR452" s="22">
        <f t="shared" si="106"/>
        <v>5.7456474822570021E-4</v>
      </c>
      <c r="AS452" s="22">
        <f t="shared" si="106"/>
        <v>5.7468870297434124E-4</v>
      </c>
      <c r="AT452" s="22">
        <f t="shared" si="106"/>
        <v>5.7470877432626657E-4</v>
      </c>
      <c r="AU452" s="22">
        <f t="shared" si="106"/>
        <v>5.7462786115959977E-4</v>
      </c>
      <c r="AV452" s="22">
        <f t="shared" si="106"/>
        <v>5.7444822626571555E-4</v>
      </c>
      <c r="AW452" s="22">
        <f t="shared" si="106"/>
        <v>5.7415813453708586E-4</v>
      </c>
      <c r="AY452" s="79"/>
    </row>
    <row r="453" spans="1:51" x14ac:dyDescent="0.25">
      <c r="A453" s="95" t="str">
        <f t="shared" si="104"/>
        <v>GS MM Leaching</v>
      </c>
      <c r="B453" s="95" t="s">
        <v>1021</v>
      </c>
      <c r="C453" s="95" t="s">
        <v>1333</v>
      </c>
      <c r="D453" t="s">
        <v>369</v>
      </c>
      <c r="E453" t="s">
        <v>64</v>
      </c>
      <c r="F453" t="s">
        <v>63</v>
      </c>
      <c r="G453" t="s">
        <v>1170</v>
      </c>
      <c r="H453" t="s">
        <v>1315</v>
      </c>
      <c r="I453" t="s">
        <v>139</v>
      </c>
      <c r="J453" t="s">
        <v>287</v>
      </c>
      <c r="K453" s="22">
        <f t="shared" si="101"/>
        <v>6.6992563985089947E-3</v>
      </c>
      <c r="L453" s="22">
        <f t="shared" si="106"/>
        <v>6.716671231449923E-3</v>
      </c>
      <c r="M453" s="22">
        <f t="shared" si="106"/>
        <v>6.7406943780734313E-3</v>
      </c>
      <c r="N453" s="22">
        <f t="shared" si="106"/>
        <v>6.769960915195136E-3</v>
      </c>
      <c r="O453" s="22">
        <f t="shared" si="106"/>
        <v>6.8044291009834836E-3</v>
      </c>
      <c r="P453" s="22">
        <f t="shared" si="106"/>
        <v>6.8438891439814974E-3</v>
      </c>
      <c r="Q453" s="22">
        <f t="shared" si="106"/>
        <v>6.8863566425632575E-3</v>
      </c>
      <c r="R453" s="22">
        <f t="shared" si="106"/>
        <v>6.9316634884048298E-3</v>
      </c>
      <c r="S453" s="22">
        <f t="shared" si="106"/>
        <v>6.914760613489895E-3</v>
      </c>
      <c r="T453" s="22">
        <f t="shared" si="106"/>
        <v>6.9260768022567764E-3</v>
      </c>
      <c r="U453" s="22">
        <f t="shared" si="106"/>
        <v>7.0665048132223995E-3</v>
      </c>
      <c r="V453" s="22">
        <f t="shared" si="106"/>
        <v>7.0728491811622093E-3</v>
      </c>
      <c r="W453" s="22">
        <f t="shared" si="106"/>
        <v>7.0896459824759074E-3</v>
      </c>
      <c r="X453" s="22">
        <f t="shared" si="106"/>
        <v>7.1123154385922269E-3</v>
      </c>
      <c r="Y453" s="22">
        <f t="shared" si="106"/>
        <v>7.1331064920034711E-3</v>
      </c>
      <c r="Z453" s="22">
        <f t="shared" si="106"/>
        <v>7.1522939641377866E-3</v>
      </c>
      <c r="AA453" s="22">
        <f t="shared" si="106"/>
        <v>7.1698190017015617E-3</v>
      </c>
      <c r="AB453" s="22">
        <f t="shared" si="106"/>
        <v>7.1858615657095356E-3</v>
      </c>
      <c r="AC453" s="22">
        <f t="shared" si="106"/>
        <v>7.2006804914764638E-3</v>
      </c>
      <c r="AD453" s="22">
        <f t="shared" si="106"/>
        <v>7.2142877185840219E-3</v>
      </c>
      <c r="AE453" s="22">
        <f t="shared" si="106"/>
        <v>7.226918202069851E-3</v>
      </c>
      <c r="AF453" s="22">
        <f t="shared" si="106"/>
        <v>7.238622403092889E-3</v>
      </c>
      <c r="AG453" s="22">
        <f t="shared" si="106"/>
        <v>7.2492574185686288E-3</v>
      </c>
      <c r="AH453" s="22">
        <f t="shared" si="106"/>
        <v>7.2589410273808247E-3</v>
      </c>
      <c r="AI453" s="22">
        <f t="shared" si="106"/>
        <v>7.2678511500975998E-3</v>
      </c>
      <c r="AJ453" s="22">
        <f t="shared" si="106"/>
        <v>7.0371302833964079E-3</v>
      </c>
      <c r="AK453" s="22">
        <f t="shared" si="106"/>
        <v>7.046023353440887E-3</v>
      </c>
      <c r="AL453" s="22">
        <f t="shared" si="106"/>
        <v>7.0541203728390007E-3</v>
      </c>
      <c r="AM453" s="22">
        <f t="shared" si="106"/>
        <v>7.0614868724535639E-3</v>
      </c>
      <c r="AN453" s="22">
        <f t="shared" si="106"/>
        <v>7.0681987416795341E-3</v>
      </c>
      <c r="AO453" s="22">
        <f t="shared" si="106"/>
        <v>7.0740654437095336E-3</v>
      </c>
      <c r="AP453" s="22">
        <f t="shared" si="106"/>
        <v>7.0789637230572406E-3</v>
      </c>
      <c r="AQ453" s="22">
        <f t="shared" si="106"/>
        <v>7.0828845813028637E-3</v>
      </c>
      <c r="AR453" s="22">
        <f t="shared" si="106"/>
        <v>7.0856864544673794E-3</v>
      </c>
      <c r="AS453" s="22">
        <f t="shared" si="106"/>
        <v>7.0872150976466278E-3</v>
      </c>
      <c r="AT453" s="22">
        <f t="shared" si="106"/>
        <v>7.0874626229375523E-3</v>
      </c>
      <c r="AU453" s="22">
        <f t="shared" si="106"/>
        <v>7.0864647800820552E-3</v>
      </c>
      <c r="AV453" s="22">
        <f t="shared" si="106"/>
        <v>7.084249474429774E-3</v>
      </c>
      <c r="AW453" s="22">
        <f t="shared" si="106"/>
        <v>7.0806719854897525E-3</v>
      </c>
      <c r="AY453" s="79"/>
    </row>
    <row r="454" spans="1:51" x14ac:dyDescent="0.25">
      <c r="A454" s="95" t="str">
        <f t="shared" si="104"/>
        <v>GS MM Leaching</v>
      </c>
      <c r="B454" s="95" t="s">
        <v>1021</v>
      </c>
      <c r="C454" s="95" t="s">
        <v>1333</v>
      </c>
      <c r="D454" t="s">
        <v>369</v>
      </c>
      <c r="E454" t="s">
        <v>64</v>
      </c>
      <c r="F454" t="s">
        <v>63</v>
      </c>
      <c r="G454" t="s">
        <v>1172</v>
      </c>
      <c r="H454" t="s">
        <v>1316</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25">
      <c r="A455" s="95" t="str">
        <f t="shared" si="104"/>
        <v>GS MM Leaching</v>
      </c>
      <c r="B455" s="95" t="s">
        <v>1021</v>
      </c>
      <c r="C455" s="95" t="s">
        <v>1333</v>
      </c>
      <c r="D455" t="s">
        <v>369</v>
      </c>
      <c r="E455" t="s">
        <v>64</v>
      </c>
      <c r="F455" t="s">
        <v>63</v>
      </c>
      <c r="G455" t="s">
        <v>1174</v>
      </c>
      <c r="H455" t="s">
        <v>1317</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25">
      <c r="A456" s="95" t="str">
        <f t="shared" si="104"/>
        <v>GS MM Leaching</v>
      </c>
      <c r="B456" s="95" t="s">
        <v>1021</v>
      </c>
      <c r="C456" s="95" t="s">
        <v>1333</v>
      </c>
      <c r="D456" t="s">
        <v>369</v>
      </c>
      <c r="E456" t="s">
        <v>64</v>
      </c>
      <c r="F456" t="s">
        <v>63</v>
      </c>
      <c r="G456" t="s">
        <v>1176</v>
      </c>
      <c r="H456" t="s">
        <v>1318</v>
      </c>
      <c r="I456" t="s">
        <v>139</v>
      </c>
      <c r="J456" t="s">
        <v>287</v>
      </c>
      <c r="K456" s="22">
        <f t="shared" si="101"/>
        <v>2.6875086183165937E-2</v>
      </c>
      <c r="L456" s="22">
        <f t="shared" si="107"/>
        <v>2.6729002214214575E-2</v>
      </c>
      <c r="M456" s="22">
        <f t="shared" si="107"/>
        <v>2.6740992333189318E-2</v>
      </c>
      <c r="N456" s="22">
        <f t="shared" si="107"/>
        <v>2.6495489531984443E-2</v>
      </c>
      <c r="O456" s="22">
        <f t="shared" si="107"/>
        <v>2.609452683304701E-2</v>
      </c>
      <c r="P456" s="22">
        <f t="shared" si="107"/>
        <v>2.5544514050244028E-2</v>
      </c>
      <c r="Q456" s="22">
        <f t="shared" si="107"/>
        <v>2.5145143775072754E-2</v>
      </c>
      <c r="R456" s="22">
        <f t="shared" si="107"/>
        <v>2.4781112413324514E-2</v>
      </c>
      <c r="S456" s="22">
        <f t="shared" si="107"/>
        <v>2.2296168964910698E-2</v>
      </c>
      <c r="T456" s="22">
        <f t="shared" si="107"/>
        <v>2.3092324784413296E-2</v>
      </c>
      <c r="U456" s="22">
        <f t="shared" si="107"/>
        <v>7.381503978929195E-2</v>
      </c>
      <c r="V456" s="22">
        <f t="shared" si="107"/>
        <v>7.4017385099882177E-2</v>
      </c>
      <c r="W456" s="22">
        <f t="shared" si="107"/>
        <v>7.4092117158263957E-2</v>
      </c>
      <c r="X456" s="22">
        <f t="shared" si="107"/>
        <v>7.4042607907806673E-2</v>
      </c>
      <c r="Y456" s="22">
        <f t="shared" si="107"/>
        <v>7.3876326476641427E-2</v>
      </c>
      <c r="Z456" s="22">
        <f t="shared" si="107"/>
        <v>7.3591745464768973E-2</v>
      </c>
      <c r="AA456" s="22">
        <f t="shared" si="107"/>
        <v>7.3188455909713582E-2</v>
      </c>
      <c r="AB456" s="22">
        <f t="shared" si="107"/>
        <v>7.2666495628065958E-2</v>
      </c>
      <c r="AC456" s="22">
        <f t="shared" si="107"/>
        <v>7.2026534081708352E-2</v>
      </c>
      <c r="AD456" s="22">
        <f t="shared" si="107"/>
        <v>7.127021840521014E-2</v>
      </c>
      <c r="AE456" s="22">
        <f t="shared" si="107"/>
        <v>7.0399631702406332E-2</v>
      </c>
      <c r="AF456" s="22">
        <f t="shared" si="107"/>
        <v>6.9417717575292789E-2</v>
      </c>
      <c r="AG456" s="22">
        <f t="shared" si="107"/>
        <v>6.8328248088529983E-2</v>
      </c>
      <c r="AH456" s="22">
        <f t="shared" si="107"/>
        <v>6.7135309145229499E-2</v>
      </c>
      <c r="AI456" s="22">
        <f t="shared" si="107"/>
        <v>6.58434858478079E-2</v>
      </c>
      <c r="AJ456" s="22">
        <f t="shared" si="107"/>
        <v>-6.1354464297522409E-3</v>
      </c>
      <c r="AK456" s="22">
        <f t="shared" si="107"/>
        <v>-6.0690246210378601E-3</v>
      </c>
      <c r="AL456" s="22">
        <f t="shared" si="107"/>
        <v>-6.0023674842876688E-3</v>
      </c>
      <c r="AM456" s="22">
        <f t="shared" si="107"/>
        <v>-5.9355441730233076E-3</v>
      </c>
      <c r="AN456" s="22">
        <f t="shared" si="107"/>
        <v>-5.868631115229209E-3</v>
      </c>
      <c r="AO456" s="22">
        <f t="shared" si="107"/>
        <v>-5.801450937318208E-3</v>
      </c>
      <c r="AP456" s="22">
        <f t="shared" si="107"/>
        <v>-5.7338989216543417E-3</v>
      </c>
      <c r="AQ456" s="22">
        <f t="shared" si="107"/>
        <v>-5.665981593784182E-3</v>
      </c>
      <c r="AR456" s="22">
        <f t="shared" si="107"/>
        <v>-5.5975864031876984E-3</v>
      </c>
      <c r="AS456" s="22">
        <f t="shared" si="107"/>
        <v>-5.528596592882417E-3</v>
      </c>
      <c r="AT456" s="22">
        <f t="shared" si="107"/>
        <v>-5.459031743402367E-3</v>
      </c>
      <c r="AU456" s="22">
        <f t="shared" si="107"/>
        <v>-5.3889497419228856E-3</v>
      </c>
      <c r="AV456" s="22">
        <f t="shared" si="107"/>
        <v>-5.3184001043520557E-3</v>
      </c>
      <c r="AW456" s="22">
        <f t="shared" si="107"/>
        <v>-5.2472851582702085E-3</v>
      </c>
      <c r="AY456" s="79"/>
    </row>
    <row r="457" spans="1:51" x14ac:dyDescent="0.25">
      <c r="A457" s="95" t="str">
        <f t="shared" si="104"/>
        <v>GS MM Leaching</v>
      </c>
      <c r="B457" s="95" t="s">
        <v>1021</v>
      </c>
      <c r="C457" s="95" t="s">
        <v>1333</v>
      </c>
      <c r="D457" t="s">
        <v>369</v>
      </c>
      <c r="E457" t="s">
        <v>64</v>
      </c>
      <c r="F457" t="s">
        <v>63</v>
      </c>
      <c r="G457" t="s">
        <v>1178</v>
      </c>
      <c r="H457" t="s">
        <v>1319</v>
      </c>
      <c r="I457" t="s">
        <v>139</v>
      </c>
      <c r="J457" t="s">
        <v>287</v>
      </c>
      <c r="K457" s="22">
        <f t="shared" si="101"/>
        <v>4.0166140097319695E-3</v>
      </c>
      <c r="L457" s="22">
        <f t="shared" si="107"/>
        <v>3.9947810410006978E-3</v>
      </c>
      <c r="M457" s="22">
        <f t="shared" si="107"/>
        <v>3.9965730233416695E-3</v>
      </c>
      <c r="N457" s="22">
        <f t="shared" si="107"/>
        <v>3.9598814204188995E-3</v>
      </c>
      <c r="O457" s="22">
        <f t="shared" si="107"/>
        <v>3.8999555700251301E-3</v>
      </c>
      <c r="P457" s="22">
        <f t="shared" si="107"/>
        <v>3.8177534504158584E-3</v>
      </c>
      <c r="Q457" s="22">
        <f t="shared" si="107"/>
        <v>3.7580655955978047E-3</v>
      </c>
      <c r="R457" s="22">
        <f t="shared" si="107"/>
        <v>3.7036593154610871E-3</v>
      </c>
      <c r="S457" s="22">
        <f t="shared" si="107"/>
        <v>3.3322722769129989E-3</v>
      </c>
      <c r="T457" s="22">
        <f t="shared" si="107"/>
        <v>3.4512616857933645E-3</v>
      </c>
      <c r="U457" s="22">
        <f t="shared" si="107"/>
        <v>1.1032021290123588E-2</v>
      </c>
      <c r="V457" s="22">
        <f t="shared" si="107"/>
        <v>1.1062262793491467E-2</v>
      </c>
      <c r="W457" s="22">
        <f t="shared" si="107"/>
        <v>1.1073431867727232E-2</v>
      </c>
      <c r="X457" s="22">
        <f t="shared" si="107"/>
        <v>1.106603246637675E-2</v>
      </c>
      <c r="Y457" s="22">
        <f t="shared" si="107"/>
        <v>1.1041180887430186E-2</v>
      </c>
      <c r="Z457" s="22">
        <f t="shared" si="107"/>
        <v>1.0998648853434082E-2</v>
      </c>
      <c r="AA457" s="22">
        <f t="shared" si="107"/>
        <v>1.0938375242931999E-2</v>
      </c>
      <c r="AB457" s="22">
        <f t="shared" si="107"/>
        <v>1.0860365707799692E-2</v>
      </c>
      <c r="AC457" s="22">
        <f t="shared" si="107"/>
        <v>1.0764720302413055E-2</v>
      </c>
      <c r="AD457" s="22">
        <f t="shared" si="107"/>
        <v>1.0651685199146835E-2</v>
      </c>
      <c r="AE457" s="22">
        <f t="shared" si="107"/>
        <v>1.0521571728130012E-2</v>
      </c>
      <c r="AF457" s="22">
        <f t="shared" si="107"/>
        <v>1.0374819825180263E-2</v>
      </c>
      <c r="AG457" s="22">
        <f t="shared" si="107"/>
        <v>1.0211993243941318E-2</v>
      </c>
      <c r="AH457" s="22">
        <f t="shared" si="107"/>
        <v>1.0033702642759285E-2</v>
      </c>
      <c r="AI457" s="22">
        <f t="shared" si="107"/>
        <v>9.8406332877753449E-3</v>
      </c>
      <c r="AJ457" s="22">
        <f t="shared" si="107"/>
        <v>-9.1697269053370395E-4</v>
      </c>
      <c r="AK457" s="22">
        <f t="shared" si="107"/>
        <v>-9.0704562404485191E-4</v>
      </c>
      <c r="AL457" s="22">
        <f t="shared" si="107"/>
        <v>-8.970833866218835E-4</v>
      </c>
      <c r="AM457" s="22">
        <f t="shared" si="107"/>
        <v>-8.870963135992402E-4</v>
      </c>
      <c r="AN457" s="22">
        <f t="shared" si="107"/>
        <v>-8.7709582751565934E-4</v>
      </c>
      <c r="AO457" s="22">
        <f t="shared" si="107"/>
        <v>-8.6705541901484369E-4</v>
      </c>
      <c r="AP457" s="22">
        <f t="shared" si="107"/>
        <v>-8.5695943753028676E-4</v>
      </c>
      <c r="AQ457" s="22">
        <f t="shared" si="107"/>
        <v>-8.4680885833706668E-4</v>
      </c>
      <c r="AR457" s="22">
        <f t="shared" si="107"/>
        <v>-8.3658686020557013E-4</v>
      </c>
      <c r="AS457" s="22">
        <f t="shared" si="107"/>
        <v>-8.2627599322965283E-4</v>
      </c>
      <c r="AT457" s="22">
        <f t="shared" si="107"/>
        <v>-8.1587918381657311E-4</v>
      </c>
      <c r="AU457" s="22">
        <f t="shared" si="107"/>
        <v>-8.0540508348982262E-4</v>
      </c>
      <c r="AV457" s="22">
        <f t="shared" si="107"/>
        <v>-7.9486109264576715E-4</v>
      </c>
      <c r="AW457" s="22">
        <f t="shared" si="107"/>
        <v>-7.8423261366017795E-4</v>
      </c>
      <c r="AY457" s="79"/>
    </row>
    <row r="458" spans="1:51" x14ac:dyDescent="0.25">
      <c r="A458" s="95" t="str">
        <f t="shared" si="104"/>
        <v>GS MM Leaching</v>
      </c>
      <c r="B458" s="95" t="s">
        <v>1021</v>
      </c>
      <c r="C458" s="95" t="s">
        <v>1333</v>
      </c>
      <c r="D458" t="s">
        <v>369</v>
      </c>
      <c r="E458" t="s">
        <v>64</v>
      </c>
      <c r="F458" t="s">
        <v>63</v>
      </c>
      <c r="G458" t="s">
        <v>1180</v>
      </c>
      <c r="H458" t="s">
        <v>1320</v>
      </c>
      <c r="I458" t="s">
        <v>139</v>
      </c>
      <c r="J458" t="s">
        <v>287</v>
      </c>
      <c r="K458" s="22">
        <f t="shared" si="101"/>
        <v>1.6726645268412749E-2</v>
      </c>
      <c r="L458" s="22">
        <f t="shared" si="107"/>
        <v>1.7066731126843742E-2</v>
      </c>
      <c r="M458" s="22">
        <f t="shared" si="107"/>
        <v>1.7464259263446445E-2</v>
      </c>
      <c r="N458" s="22">
        <f t="shared" si="107"/>
        <v>1.77694513935726E-2</v>
      </c>
      <c r="O458" s="22">
        <f t="shared" si="107"/>
        <v>1.8014444056791569E-2</v>
      </c>
      <c r="P458" s="22">
        <f t="shared" si="107"/>
        <v>1.8197780265539368E-2</v>
      </c>
      <c r="Q458" s="22">
        <f t="shared" si="107"/>
        <v>1.8432867891885713E-2</v>
      </c>
      <c r="R458" s="22">
        <f t="shared" si="107"/>
        <v>1.8677293946611211E-2</v>
      </c>
      <c r="S458" s="22">
        <f t="shared" si="107"/>
        <v>1.7940997011567712E-2</v>
      </c>
      <c r="T458" s="22">
        <f t="shared" si="107"/>
        <v>1.8599101618187692E-2</v>
      </c>
      <c r="U458" s="22">
        <f t="shared" si="107"/>
        <v>4.1335323674744497E-2</v>
      </c>
      <c r="V458" s="22">
        <f t="shared" si="107"/>
        <v>4.2244056956773843E-2</v>
      </c>
      <c r="W458" s="22">
        <f t="shared" si="107"/>
        <v>4.3115523568410363E-2</v>
      </c>
      <c r="X458" s="22">
        <f t="shared" si="107"/>
        <v>4.3942027126697474E-2</v>
      </c>
      <c r="Y458" s="22">
        <f t="shared" si="107"/>
        <v>4.4713130877516903E-2</v>
      </c>
      <c r="Z458" s="22">
        <f t="shared" si="107"/>
        <v>4.5425464748643458E-2</v>
      </c>
      <c r="AA458" s="22">
        <f t="shared" si="107"/>
        <v>4.6075599059895E-2</v>
      </c>
      <c r="AB458" s="22">
        <f t="shared" si="107"/>
        <v>4.666057526853875E-2</v>
      </c>
      <c r="AC458" s="22">
        <f t="shared" si="107"/>
        <v>4.7177797153361963E-2</v>
      </c>
      <c r="AD458" s="22">
        <f t="shared" si="107"/>
        <v>4.762476340679795E-2</v>
      </c>
      <c r="AE458" s="22">
        <f t="shared" si="107"/>
        <v>4.7999511889239711E-2</v>
      </c>
      <c r="AF458" s="22">
        <f t="shared" si="107"/>
        <v>4.8300272482139597E-2</v>
      </c>
      <c r="AG458" s="22">
        <f t="shared" si="107"/>
        <v>4.8525470849872195E-2</v>
      </c>
      <c r="AH458" s="22">
        <f t="shared" si="107"/>
        <v>4.8674159183630092E-2</v>
      </c>
      <c r="AI458" s="22">
        <f t="shared" si="107"/>
        <v>4.8745846953258828E-2</v>
      </c>
      <c r="AJ458" s="22">
        <f t="shared" si="107"/>
        <v>6.3546724312553964E-3</v>
      </c>
      <c r="AK458" s="22">
        <f t="shared" si="107"/>
        <v>6.4013115626169702E-3</v>
      </c>
      <c r="AL458" s="22">
        <f t="shared" si="107"/>
        <v>6.446794570043473E-3</v>
      </c>
      <c r="AM458" s="22">
        <f t="shared" si="107"/>
        <v>6.4911899708581184E-3</v>
      </c>
      <c r="AN458" s="22">
        <f t="shared" si="107"/>
        <v>6.5345767491159093E-3</v>
      </c>
      <c r="AO458" s="22">
        <f t="shared" si="107"/>
        <v>6.5767770115873272E-3</v>
      </c>
      <c r="AP458" s="22">
        <f t="shared" si="107"/>
        <v>6.6176736088844742E-3</v>
      </c>
      <c r="AQ458" s="22">
        <f t="shared" si="107"/>
        <v>6.6572579134014679E-3</v>
      </c>
      <c r="AR458" s="22">
        <f t="shared" si="107"/>
        <v>6.6953903792422425E-3</v>
      </c>
      <c r="AS458" s="22">
        <f t="shared" si="107"/>
        <v>6.7319156561258262E-3</v>
      </c>
      <c r="AT458" s="22">
        <f t="shared" si="107"/>
        <v>6.7668201581545509E-3</v>
      </c>
      <c r="AU458" s="22">
        <f t="shared" si="107"/>
        <v>6.8001333252020657E-3</v>
      </c>
      <c r="AV458" s="22">
        <f t="shared" si="107"/>
        <v>6.8318771364297487E-3</v>
      </c>
      <c r="AW458" s="22">
        <f t="shared" si="107"/>
        <v>6.8619001030845884E-3</v>
      </c>
      <c r="AY458" s="79"/>
    </row>
    <row r="459" spans="1:51" x14ac:dyDescent="0.25">
      <c r="A459" s="95" t="str">
        <f t="shared" si="104"/>
        <v>GS MM Leaching</v>
      </c>
      <c r="B459" s="95" t="s">
        <v>1021</v>
      </c>
      <c r="C459" s="95" t="s">
        <v>1333</v>
      </c>
      <c r="D459" t="s">
        <v>369</v>
      </c>
      <c r="E459" t="s">
        <v>64</v>
      </c>
      <c r="F459" t="s">
        <v>63</v>
      </c>
      <c r="G459" t="s">
        <v>1182</v>
      </c>
      <c r="H459" t="s">
        <v>1321</v>
      </c>
      <c r="I459" t="s">
        <v>139</v>
      </c>
      <c r="J459" t="s">
        <v>287</v>
      </c>
      <c r="K459" s="22">
        <f t="shared" si="101"/>
        <v>7.7585797913229351E-2</v>
      </c>
      <c r="L459" s="22">
        <f t="shared" si="107"/>
        <v>7.8607464197542484E-2</v>
      </c>
      <c r="M459" s="22">
        <f t="shared" si="107"/>
        <v>8.0248553313821205E-2</v>
      </c>
      <c r="N459" s="22">
        <f t="shared" si="107"/>
        <v>8.0719757945382303E-2</v>
      </c>
      <c r="O459" s="22">
        <f t="shared" si="107"/>
        <v>8.0430818839717741E-2</v>
      </c>
      <c r="P459" s="22">
        <f t="shared" si="107"/>
        <v>7.938481013134728E-2</v>
      </c>
      <c r="Q459" s="22">
        <f t="shared" si="107"/>
        <v>7.8944464359385638E-2</v>
      </c>
      <c r="R459" s="22">
        <f t="shared" si="107"/>
        <v>7.8604018955287347E-2</v>
      </c>
      <c r="S459" s="22">
        <f t="shared" si="107"/>
        <v>6.8551548491341041E-2</v>
      </c>
      <c r="T459" s="22">
        <f t="shared" si="107"/>
        <v>7.3739546332348721E-2</v>
      </c>
      <c r="U459" s="22">
        <f t="shared" si="107"/>
        <v>0.32063801867343739</v>
      </c>
      <c r="V459" s="22">
        <f t="shared" si="107"/>
        <v>0.3263865261169076</v>
      </c>
      <c r="W459" s="22">
        <f t="shared" si="107"/>
        <v>0.3314934571329114</v>
      </c>
      <c r="X459" s="22">
        <f t="shared" si="107"/>
        <v>0.33598061783359728</v>
      </c>
      <c r="Y459" s="22">
        <f t="shared" si="107"/>
        <v>0.33990898947079762</v>
      </c>
      <c r="Z459" s="22">
        <f t="shared" si="107"/>
        <v>0.3432491056284519</v>
      </c>
      <c r="AA459" s="22">
        <f t="shared" si="107"/>
        <v>0.345978344064029</v>
      </c>
      <c r="AB459" s="22">
        <f t="shared" si="107"/>
        <v>0.34807446920762175</v>
      </c>
      <c r="AC459" s="22">
        <f t="shared" si="107"/>
        <v>0.34951764979405581</v>
      </c>
      <c r="AD459" s="22">
        <f t="shared" si="107"/>
        <v>0.35029436297093797</v>
      </c>
      <c r="AE459" s="22">
        <f t="shared" si="107"/>
        <v>0.3503920713528586</v>
      </c>
      <c r="AF459" s="22">
        <f t="shared" si="107"/>
        <v>0.34980401942204614</v>
      </c>
      <c r="AG459" s="22">
        <f t="shared" si="107"/>
        <v>0.34852938630195235</v>
      </c>
      <c r="AH459" s="22">
        <f t="shared" si="107"/>
        <v>0.34656807266355577</v>
      </c>
      <c r="AI459" s="22">
        <f t="shared" si="107"/>
        <v>0.34392301643743828</v>
      </c>
      <c r="AJ459" s="22">
        <f t="shared" si="107"/>
        <v>-7.3441689918994316E-2</v>
      </c>
      <c r="AK459" s="22">
        <f t="shared" si="107"/>
        <v>-7.3545621673456185E-2</v>
      </c>
      <c r="AL459" s="22">
        <f t="shared" si="107"/>
        <v>-7.3639730110431498E-2</v>
      </c>
      <c r="AM459" s="22">
        <f t="shared" si="107"/>
        <v>-7.3724815505769356E-2</v>
      </c>
      <c r="AN459" s="22">
        <f t="shared" si="107"/>
        <v>-7.3801792793217899E-2</v>
      </c>
      <c r="AO459" s="22">
        <f t="shared" si="107"/>
        <v>-7.386851362361406E-2</v>
      </c>
      <c r="AP459" s="22">
        <f t="shared" si="107"/>
        <v>-7.3923604247027361E-2</v>
      </c>
      <c r="AQ459" s="22">
        <f t="shared" si="107"/>
        <v>-7.3967002295391979E-2</v>
      </c>
      <c r="AR459" s="22">
        <f t="shared" si="107"/>
        <v>-7.3997124044251614E-2</v>
      </c>
      <c r="AS459" s="22">
        <f t="shared" si="107"/>
        <v>-7.4012242065131795E-2</v>
      </c>
      <c r="AT459" s="22">
        <f t="shared" si="107"/>
        <v>-7.4012306856669818E-2</v>
      </c>
      <c r="AU459" s="22">
        <f t="shared" si="107"/>
        <v>-7.3997766932053066E-2</v>
      </c>
      <c r="AV459" s="22">
        <f t="shared" si="107"/>
        <v>-7.3968978731960316E-2</v>
      </c>
      <c r="AW459" s="22">
        <f t="shared" si="107"/>
        <v>-7.3924322860586755E-2</v>
      </c>
      <c r="AY459" s="79"/>
    </row>
    <row r="462" spans="1:51" x14ac:dyDescent="0.25">
      <c r="A462" s="95" t="str">
        <f t="shared" si="0"/>
        <v>PQ Cattle</v>
      </c>
      <c r="B462" s="95" t="s">
        <v>968</v>
      </c>
      <c r="C462" s="95" t="s">
        <v>1108</v>
      </c>
      <c r="D462" t="s">
        <v>15</v>
      </c>
      <c r="E462" t="s">
        <v>16</v>
      </c>
      <c r="F462" t="s">
        <v>6</v>
      </c>
      <c r="G462" t="s">
        <v>136</v>
      </c>
      <c r="H462" t="s">
        <v>1020</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73.223011790998029</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73.83596289834658</v>
      </c>
      <c r="P462" s="93">
        <f>IF('Net zero activities &amp; levers'!$C$8="Off",('Activity data'!AI5*EF!$H4)*kgtoGg,IF('Net zero activities &amp; levers'!$C$8="On",(('Net zero supporting data'!G132*EF!$H4)+('Net zero supporting data'!G122*'Net zero supporting data'!G142))*kgtoGg,"ERROR"))</f>
        <v>73.954711561483919</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74.518042528471327</v>
      </c>
      <c r="S462" s="93">
        <f>IF('Net zero activities &amp; levers'!$C$8="Off",('Activity data'!AL5*EF!$H4)*kgtoGg,IF('Net zero activities &amp; levers'!$C$8="On",(('Net zero supporting data'!J132*EF!$H4)+('Net zero supporting data'!J122*'Net zero supporting data'!J142))*kgtoGg,"ERROR"))</f>
        <v>72.400641735612226</v>
      </c>
      <c r="T462" s="93">
        <f>IF('Net zero activities &amp; levers'!$C$8="Off",('Activity data'!AM5*EF!$H4)*kgtoGg,IF('Net zero activities &amp; levers'!$C$8="On",(('Net zero supporting data'!K132*EF!$H4)+('Net zero supporting data'!K122*'Net zero supporting data'!K142))*kgtoGg,"ERROR"))</f>
        <v>73.646397311613569</v>
      </c>
      <c r="U462" s="93">
        <f>IF('Net zero activities &amp; levers'!$C$8="Off",('Activity data'!AN5*EF!$H4)*kgtoGg,IF('Net zero activities &amp; levers'!$C$8="On",(('Net zero supporting data'!L132*EF!$H4)+('Net zero supporting data'!L122*'Net zero supporting data'!L142))*kgtoGg,"ERROR"))</f>
        <v>126.71451623908638</v>
      </c>
      <c r="V462" s="93">
        <f>IF('Net zero activities &amp; levers'!$C$8="Off",('Activity data'!AO5*EF!$H4)*kgtoGg,IF('Net zero activities &amp; levers'!$C$8="On",(('Net zero supporting data'!M132*EF!$H4)+('Net zero supporting data'!M122*'Net zero supporting data'!M142))*kgtoGg,"ERROR"))</f>
        <v>128.24200058803578</v>
      </c>
      <c r="W462" s="93">
        <f>IF('Net zero activities &amp; levers'!$C$8="Off",('Activity data'!AP5*EF!$H4)*kgtoGg,IF('Net zero activities &amp; levers'!$C$8="On",(('Net zero supporting data'!N132*EF!$H4)+('Net zero supporting data'!N122*'Net zero supporting data'!N142))*kgtoGg,"ERROR"))</f>
        <v>129.70248573615504</v>
      </c>
      <c r="X462" s="93">
        <f>IF('Net zero activities &amp; levers'!$C$8="Off",('Activity data'!AQ5*EF!$H4)*kgtoGg,IF('Net zero activities &amp; levers'!$C$8="On",(('Net zero supporting data'!O132*EF!$H4)+('Net zero supporting data'!O122*'Net zero supporting data'!O142))*kgtoGg,"ERROR"))</f>
        <v>131.07112915343163</v>
      </c>
      <c r="Y462" s="93">
        <f>IF('Net zero activities &amp; levers'!$C$8="Off",('Activity data'!AR5*EF!$H4)*kgtoGg,IF('Net zero activities &amp; levers'!$C$8="On",(('Net zero supporting data'!P132*EF!$H4)+('Net zero supporting data'!P122*'Net zero supporting data'!P142))*kgtoGg,"ERROR"))</f>
        <v>132.31138089682617</v>
      </c>
      <c r="Z462" s="93">
        <f>IF('Net zero activities &amp; levers'!$C$8="Off",('Activity data'!AS5*EF!$H4)*kgtoGg,IF('Net zero activities &amp; levers'!$C$8="On",(('Net zero supporting data'!Q132*EF!$H4)+('Net zero supporting data'!Q122*'Net zero supporting data'!Q142))*kgtoGg,"ERROR"))</f>
        <v>133.41744896278323</v>
      </c>
      <c r="AA462" s="93">
        <f>IF('Net zero activities &amp; levers'!$C$8="Off",('Activity data'!AT5*EF!$H4)*kgtoGg,IF('Net zero activities &amp; levers'!$C$8="On",(('Net zero supporting data'!R132*EF!$H4)+('Net zero supporting data'!R122*'Net zero supporting data'!R142))*kgtoGg,"ERROR"))</f>
        <v>134.38288992099422</v>
      </c>
      <c r="AB462" s="93">
        <f>IF('Net zero activities &amp; levers'!$C$8="Off",('Activity data'!AU5*EF!$H4)*kgtoGg,IF('Net zero activities &amp; levers'!$C$8="On",(('Net zero supporting data'!S132*EF!$H4)+('Net zero supporting data'!S122*'Net zero supporting data'!S142))*kgtoGg,"ERROR"))</f>
        <v>135.20282704552554</v>
      </c>
      <c r="AC462" s="93">
        <f>IF('Net zero activities &amp; levers'!$C$8="Off",('Activity data'!AV5*EF!$H4)*kgtoGg,IF('Net zero activities &amp; levers'!$C$8="On",(('Net zero supporting data'!T132*EF!$H4)+('Net zero supporting data'!T122*'Net zero supporting data'!T142))*kgtoGg,"ERROR"))</f>
        <v>135.87339274665732</v>
      </c>
      <c r="AD462" s="93">
        <f>IF('Net zero activities &amp; levers'!$C$8="Off",('Activity data'!AW5*EF!$H4)*kgtoGg,IF('Net zero activities &amp; levers'!$C$8="On",(('Net zero supporting data'!U132*EF!$H4)+('Net zero supporting data'!U122*'Net zero supporting data'!U142))*kgtoGg,"ERROR"))</f>
        <v>136.39052131842715</v>
      </c>
      <c r="AE462" s="93">
        <f>IF('Net zero activities &amp; levers'!$C$8="Off",('Activity data'!AX5*EF!$H4)*kgtoGg,IF('Net zero activities &amp; levers'!$C$8="On",(('Net zero supporting data'!V132*EF!$H4)+('Net zero supporting data'!V122*'Net zero supporting data'!V142))*kgtoGg,"ERROR"))</f>
        <v>136.75177878147903</v>
      </c>
      <c r="AF462" s="93">
        <f>IF('Net zero activities &amp; levers'!$C$8="Off",('Activity data'!AY5*EF!$H4)*kgtoGg,IF('Net zero activities &amp; levers'!$C$8="On",(('Net zero supporting data'!W132*EF!$H4)+('Net zero supporting data'!W122*'Net zero supporting data'!W142))*kgtoGg,"ERROR"))</f>
        <v>136.95483040988077</v>
      </c>
      <c r="AG462" s="93">
        <f>IF('Net zero activities &amp; levers'!$C$8="Off",('Activity data'!AZ5*EF!$H4)*kgtoGg,IF('Net zero activities &amp; levers'!$C$8="On",(('Net zero supporting data'!X132*EF!$H4)+('Net zero supporting data'!X122*'Net zero supporting data'!X142))*kgtoGg,"ERROR"))</f>
        <v>136.99742056904799</v>
      </c>
      <c r="AH462" s="93">
        <f>IF('Net zero activities &amp; levers'!$C$8="Off",('Activity data'!BA5*EF!$H4)*kgtoGg,IF('Net zero activities &amp; levers'!$C$8="On",(('Net zero supporting data'!Y132*EF!$H4)+('Net zero supporting data'!Y122*'Net zero supporting data'!Y142))*kgtoGg,"ERROR"))</f>
        <v>136.87913733677345</v>
      </c>
      <c r="AI462" s="93">
        <f>IF('Net zero activities &amp; levers'!$C$8="Off",('Activity data'!BB5*EF!$H4)*kgtoGg,IF('Net zero activities &amp; levers'!$C$8="On",(('Net zero supporting data'!Z132*EF!$H4)+('Net zero supporting data'!Z122*'Net zero supporting data'!Z142))*kgtoGg,"ERROR"))</f>
        <v>136.60065411000454</v>
      </c>
      <c r="AJ462" s="93">
        <f>IF('Net zero activities &amp; levers'!$C$8="Off",('Activity data'!BC5*EF!$H4)*kgtoGg,IF('Net zero activities &amp; levers'!$C$8="On",(('Net zero supporting data'!AA132*EF!$H4)+('Net zero supporting data'!AA122*'Net zero supporting data'!AA142))*kgtoGg,"ERROR"))</f>
        <v>43.218084806671186</v>
      </c>
      <c r="AK462" s="93">
        <f>IF('Net zero activities &amp; levers'!$C$8="Off",('Activity data'!BD5*EF!$H4)*kgtoGg,IF('Net zero activities &amp; levers'!$C$8="On",(('Net zero supporting data'!AB132*EF!$H4)+('Net zero supporting data'!AB122*'Net zero supporting data'!AB142))*kgtoGg,"ERROR"))</f>
        <v>43.249633283301115</v>
      </c>
      <c r="AL462" s="93">
        <f>IF('Net zero activities &amp; levers'!$C$8="Off",('Activity data'!BE5*EF!$H4)*kgtoGg,IF('Net zero activities &amp; levers'!$C$8="On",(('Net zero supporting data'!AC132*EF!$H4)+('Net zero supporting data'!AC122*'Net zero supporting data'!AC142))*kgtoGg,"ERROR"))</f>
        <v>43.278910692305409</v>
      </c>
      <c r="AM462" s="93">
        <f>IF('Net zero activities &amp; levers'!$C$8="Off",('Activity data'!BF5*EF!$H4)*kgtoGg,IF('Net zero activities &amp; levers'!$C$8="On",(('Net zero supporting data'!AD132*EF!$H4)+('Net zero supporting data'!AD122*'Net zero supporting data'!AD142))*kgtoGg,"ERROR"))</f>
        <v>43.306115085271941</v>
      </c>
      <c r="AN462" s="93">
        <f>IF('Net zero activities &amp; levers'!$C$8="Off",('Activity data'!BG5*EF!$H4)*kgtoGg,IF('Net zero activities &amp; levers'!$C$8="On",(('Net zero supporting data'!AE132*EF!$H4)+('Net zero supporting data'!AE122*'Net zero supporting data'!AE142))*kgtoGg,"ERROR"))</f>
        <v>43.331490420249878</v>
      </c>
      <c r="AO462" s="93">
        <f>IF('Net zero activities &amp; levers'!$C$8="Off",('Activity data'!BH5*EF!$H4)*kgtoGg,IF('Net zero activities &amp; levers'!$C$8="On",(('Net zero supporting data'!AF132*EF!$H4)+('Net zero supporting data'!AF122*'Net zero supporting data'!AF142))*kgtoGg,"ERROR"))</f>
        <v>43.354240288744201</v>
      </c>
      <c r="AP462" s="93">
        <f>IF('Net zero activities &amp; levers'!$C$8="Off",('Activity data'!BI5*EF!$H4)*kgtoGg,IF('Net zero activities &amp; levers'!$C$8="On",(('Net zero supporting data'!AG132*EF!$H4)+('Net zero supporting data'!AG122*'Net zero supporting data'!AG142))*kgtoGg,"ERROR"))</f>
        <v>43.373829871792871</v>
      </c>
      <c r="AQ462" s="93">
        <f>IF('Net zero activities &amp; levers'!$C$8="Off",('Activity data'!BJ5*EF!$H4)*kgtoGg,IF('Net zero activities &amp; levers'!$C$8="On",(('Net zero supporting data'!AH132*EF!$H4)+('Net zero supporting data'!AH122*'Net zero supporting data'!AH142))*kgtoGg,"ERROR"))</f>
        <v>43.390173404871973</v>
      </c>
      <c r="AR462" s="93">
        <f>IF('Net zero activities &amp; levers'!$C$8="Off",('Activity data'!BK5*EF!$H4)*kgtoGg,IF('Net zero activities &amp; levers'!$C$8="On",(('Net zero supporting data'!AI132*EF!$H4)+('Net zero supporting data'!AI122*'Net zero supporting data'!AI142))*kgtoGg,"ERROR"))</f>
        <v>43.402664060341642</v>
      </c>
      <c r="AS462" s="93">
        <f>IF('Net zero activities &amp; levers'!$C$8="Off",('Activity data'!BL5*EF!$H4)*kgtoGg,IF('Net zero activities &amp; levers'!$C$8="On",(('Net zero supporting data'!AJ132*EF!$H4)+('Net zero supporting data'!AJ122*'Net zero supporting data'!AJ142))*kgtoGg,"ERROR"))</f>
        <v>43.410643013134724</v>
      </c>
      <c r="AT462" s="93">
        <f>IF('Net zero activities &amp; levers'!$C$8="Off",('Activity data'!BM5*EF!$H4)*kgtoGg,IF('Net zero activities &amp; levers'!$C$8="On",(('Net zero supporting data'!AK132*EF!$H4)+('Net zero supporting data'!AK122*'Net zero supporting data'!AK142))*kgtoGg,"ERROR"))</f>
        <v>43.414028889166616</v>
      </c>
      <c r="AU462" s="93">
        <f>IF('Net zero activities &amp; levers'!$C$8="Off",('Activity data'!BN5*EF!$H4)*kgtoGg,IF('Net zero activities &amp; levers'!$C$8="On",(('Net zero supporting data'!AL132*EF!$H4)+('Net zero supporting data'!AL122*'Net zero supporting data'!AL142))*kgtoGg,"ERROR"))</f>
        <v>43.412915266479416</v>
      </c>
      <c r="AV462" s="93">
        <f>IF('Net zero activities &amp; levers'!$C$8="Off",('Activity data'!BO5*EF!$H4)*kgtoGg,IF('Net zero activities &amp; levers'!$C$8="On",(('Net zero supporting data'!AM132*EF!$H4)+('Net zero supporting data'!AM122*'Net zero supporting data'!AM142))*kgtoGg,"ERROR"))</f>
        <v>43.407367404961896</v>
      </c>
      <c r="AW462" s="93">
        <f>IF('Net zero activities &amp; levers'!$C$8="Off",('Activity data'!BP5*EF!$H4)*kgtoGg,IF('Net zero activities &amp; levers'!$C$8="On",(('Net zero supporting data'!AN132*EF!$H4)+('Net zero supporting data'!AN122*'Net zero supporting data'!AN142))*kgtoGg,"ERROR"))</f>
        <v>43.396765644330657</v>
      </c>
      <c r="AY462" s="79"/>
    </row>
    <row r="463" spans="1:51" x14ac:dyDescent="0.25">
      <c r="A463" s="95" t="str">
        <f t="shared" si="0"/>
        <v>PQ Cattle</v>
      </c>
      <c r="B463" s="95" t="s">
        <v>968</v>
      </c>
      <c r="C463" s="95" t="s">
        <v>1108</v>
      </c>
      <c r="D463" t="s">
        <v>15</v>
      </c>
      <c r="E463" t="s">
        <v>16</v>
      </c>
      <c r="F463" t="s">
        <v>6</v>
      </c>
      <c r="G463" t="s">
        <v>137</v>
      </c>
      <c r="H463" t="s">
        <v>1020</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58.564977012483297</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59.055225455337663</v>
      </c>
      <c r="P463" s="93">
        <f>IF('Net zero activities &amp; levers'!$C$8="Off",('Activity data'!AI6*EF!$H5)*kgtoGg,IF('Net zero activities &amp; levers'!$C$8="On",(('Net zero supporting data'!G133*EF!$H5)+('Net zero supporting data'!G123*'Net zero supporting data'!G143))*kgtoGg,"ERROR"))</f>
        <v>59.150202601958618</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59.600764035107616</v>
      </c>
      <c r="S463" s="93">
        <f>IF('Net zero activities &amp; levers'!$C$8="Off",('Activity data'!AL6*EF!$H5)*kgtoGg,IF('Net zero activities &amp; levers'!$C$8="On",(('Net zero supporting data'!J133*EF!$H5)+('Net zero supporting data'!J123*'Net zero supporting data'!J143))*kgtoGg,"ERROR"))</f>
        <v>57.907231828129312</v>
      </c>
      <c r="T463" s="93">
        <f>IF('Net zero activities &amp; levers'!$C$8="Off",('Activity data'!AM6*EF!$H5)*kgtoGg,IF('Net zero activities &amp; levers'!$C$8="On",(('Net zero supporting data'!K133*EF!$H5)+('Net zero supporting data'!K123*'Net zero supporting data'!K143))*kgtoGg,"ERROR"))</f>
        <v>58.903607760874827</v>
      </c>
      <c r="U463" s="93">
        <f>IF('Net zero activities &amp; levers'!$C$8="Off",('Activity data'!AN6*EF!$H5)*kgtoGg,IF('Net zero activities &amp; levers'!$C$8="On",(('Net zero supporting data'!L133*EF!$H5)+('Net zero supporting data'!L123*'Net zero supporting data'!L143))*kgtoGg,"ERROR"))</f>
        <v>101.34836780371782</v>
      </c>
      <c r="V463" s="93">
        <f>IF('Net zero activities &amp; levers'!$C$8="Off",('Activity data'!AO6*EF!$H5)*kgtoGg,IF('Net zero activities &amp; levers'!$C$8="On",(('Net zero supporting data'!M133*EF!$H5)+('Net zero supporting data'!M123*'Net zero supporting data'!M143))*kgtoGg,"ERROR"))</f>
        <v>102.57007507299116</v>
      </c>
      <c r="W463" s="93">
        <f>IF('Net zero activities &amp; levers'!$C$8="Off",('Activity data'!AP6*EF!$H5)*kgtoGg,IF('Net zero activities &amp; levers'!$C$8="On",(('Net zero supporting data'!N133*EF!$H5)+('Net zero supporting data'!N123*'Net zero supporting data'!N143))*kgtoGg,"ERROR"))</f>
        <v>103.73819527229158</v>
      </c>
      <c r="X463" s="93">
        <f>IF('Net zero activities &amp; levers'!$C$8="Off",('Activity data'!AQ6*EF!$H5)*kgtoGg,IF('Net zero activities &amp; levers'!$C$8="On",(('Net zero supporting data'!O133*EF!$H5)+('Net zero supporting data'!O123*'Net zero supporting data'!O143))*kgtoGg,"ERROR"))</f>
        <v>104.83285893485541</v>
      </c>
      <c r="Y463" s="93">
        <f>IF('Net zero activities &amp; levers'!$C$8="Off",('Activity data'!AR6*EF!$H5)*kgtoGg,IF('Net zero activities &amp; levers'!$C$8="On",(('Net zero supporting data'!P133*EF!$H5)+('Net zero supporting data'!P123*'Net zero supporting data'!P143))*kgtoGg,"ERROR"))</f>
        <v>105.82483281116795</v>
      </c>
      <c r="Z463" s="93">
        <f>IF('Net zero activities &amp; levers'!$C$8="Off",('Activity data'!AS6*EF!$H5)*kgtoGg,IF('Net zero activities &amp; levers'!$C$8="On",(('Net zero supporting data'!Q133*EF!$H5)+('Net zero supporting data'!Q123*'Net zero supporting data'!Q143))*kgtoGg,"ERROR"))</f>
        <v>106.70948436090084</v>
      </c>
      <c r="AA463" s="93">
        <f>IF('Net zero activities &amp; levers'!$C$8="Off",('Activity data'!AT6*EF!$H5)*kgtoGg,IF('Net zero activities &amp; levers'!$C$8="On",(('Net zero supporting data'!R133*EF!$H5)+('Net zero supporting data'!R123*'Net zero supporting data'!R143))*kgtoGg,"ERROR"))</f>
        <v>107.48166002182452</v>
      </c>
      <c r="AB463" s="93">
        <f>IF('Net zero activities &amp; levers'!$C$8="Off",('Activity data'!AU6*EF!$H5)*kgtoGg,IF('Net zero activities &amp; levers'!$C$8="On",(('Net zero supporting data'!S133*EF!$H5)+('Net zero supporting data'!S123*'Net zero supporting data'!S143))*kgtoGg,"ERROR"))</f>
        <v>108.13745930780478</v>
      </c>
      <c r="AC463" s="93">
        <f>IF('Net zero activities &amp; levers'!$C$8="Off",('Activity data'!AV6*EF!$H5)*kgtoGg,IF('Net zero activities &amp; levers'!$C$8="On",(('Net zero supporting data'!T133*EF!$H5)+('Net zero supporting data'!T123*'Net zero supporting data'!T143))*kgtoGg,"ERROR"))</f>
        <v>108.67378885655694</v>
      </c>
      <c r="AD463" s="93">
        <f>IF('Net zero activities &amp; levers'!$C$8="Off",('Activity data'!AW6*EF!$H5)*kgtoGg,IF('Net zero activities &amp; levers'!$C$8="On",(('Net zero supporting data'!U133*EF!$H5)+('Net zero supporting data'!U123*'Net zero supporting data'!U143))*kgtoGg,"ERROR"))</f>
        <v>109.087396849146</v>
      </c>
      <c r="AE463" s="93">
        <f>IF('Net zero activities &amp; levers'!$C$8="Off",('Activity data'!AX6*EF!$H5)*kgtoGg,IF('Net zero activities &amp; levers'!$C$8="On",(('Net zero supporting data'!V133*EF!$H5)+('Net zero supporting data'!V123*'Net zero supporting data'!V143))*kgtoGg,"ERROR"))</f>
        <v>109.37633654858924</v>
      </c>
      <c r="AF463" s="93">
        <f>IF('Net zero activities &amp; levers'!$C$8="Off",('Activity data'!AY6*EF!$H5)*kgtoGg,IF('Net zero activities &amp; levers'!$C$8="On",(('Net zero supporting data'!W133*EF!$H5)+('Net zero supporting data'!W123*'Net zero supporting data'!W143))*kgtoGg,"ERROR"))</f>
        <v>109.5387406024356</v>
      </c>
      <c r="AG463" s="93">
        <f>IF('Net zero activities &amp; levers'!$C$8="Off",('Activity data'!AZ6*EF!$H5)*kgtoGg,IF('Net zero activities &amp; levers'!$C$8="On",(('Net zero supporting data'!X133*EF!$H5)+('Net zero supporting data'!X123*'Net zero supporting data'!X143))*kgtoGg,"ERROR"))</f>
        <v>109.57280491680314</v>
      </c>
      <c r="AH463" s="93">
        <f>IF('Net zero activities &amp; levers'!$C$8="Off",('Activity data'!BA6*EF!$H5)*kgtoGg,IF('Net zero activities &amp; levers'!$C$8="On",(('Net zero supporting data'!Y133*EF!$H5)+('Net zero supporting data'!Y123*'Net zero supporting data'!Y143))*kgtoGg,"ERROR"))</f>
        <v>109.47820002949129</v>
      </c>
      <c r="AI463" s="93">
        <f>IF('Net zero activities &amp; levers'!$C$8="Off",('Activity data'!BB6*EF!$H5)*kgtoGg,IF('Net zero activities &amp; levers'!$C$8="On",(('Net zero supporting data'!Z133*EF!$H5)+('Net zero supporting data'!Z123*'Net zero supporting data'!Z143))*kgtoGg,"ERROR"))</f>
        <v>109.25546453452645</v>
      </c>
      <c r="AJ463" s="93">
        <f>IF('Net zero activities &amp; levers'!$C$8="Off",('Activity data'!BC6*EF!$H5)*kgtoGg,IF('Net zero activities &amp; levers'!$C$8="On",(('Net zero supporting data'!AA133*EF!$H5)+('Net zero supporting data'!AA123*'Net zero supporting data'!AA143))*kgtoGg,"ERROR"))</f>
        <v>34.566539689062871</v>
      </c>
      <c r="AK463" s="93">
        <f>IF('Net zero activities &amp; levers'!$C$8="Off",('Activity data'!BD6*EF!$H5)*kgtoGg,IF('Net zero activities &amp; levers'!$C$8="On",(('Net zero supporting data'!AB133*EF!$H5)+('Net zero supporting data'!AB123*'Net zero supporting data'!AB143))*kgtoGg,"ERROR"))</f>
        <v>34.591772682945773</v>
      </c>
      <c r="AL463" s="93">
        <f>IF('Net zero activities &amp; levers'!$C$8="Off",('Activity data'!BE6*EF!$H5)*kgtoGg,IF('Net zero activities &amp; levers'!$C$8="On",(('Net zero supporting data'!AC133*EF!$H5)+('Net zero supporting data'!AC123*'Net zero supporting data'!AC143))*kgtoGg,"ERROR"))</f>
        <v>34.61518923934495</v>
      </c>
      <c r="AM463" s="93">
        <f>IF('Net zero activities &amp; levers'!$C$8="Off",('Activity data'!BF6*EF!$H5)*kgtoGg,IF('Net zero activities &amp; levers'!$C$8="On",(('Net zero supporting data'!AD133*EF!$H5)+('Net zero supporting data'!AD123*'Net zero supporting data'!AD143))*kgtoGg,"ERROR"))</f>
        <v>34.636947763199053</v>
      </c>
      <c r="AN463" s="93">
        <f>IF('Net zero activities &amp; levers'!$C$8="Off",('Activity data'!BG6*EF!$H5)*kgtoGg,IF('Net zero activities &amp; levers'!$C$8="On",(('Net zero supporting data'!AE133*EF!$H5)+('Net zero supporting data'!AE123*'Net zero supporting data'!AE143))*kgtoGg,"ERROR"))</f>
        <v>34.657243376194444</v>
      </c>
      <c r="AO463" s="93">
        <f>IF('Net zero activities &amp; levers'!$C$8="Off",('Activity data'!BH6*EF!$H5)*kgtoGg,IF('Net zero activities &amp; levers'!$C$8="On",(('Net zero supporting data'!AF133*EF!$H5)+('Net zero supporting data'!AF123*'Net zero supporting data'!AF143))*kgtoGg,"ERROR"))</f>
        <v>34.675439097632541</v>
      </c>
      <c r="AP463" s="93">
        <f>IF('Net zero activities &amp; levers'!$C$8="Off",('Activity data'!BI6*EF!$H5)*kgtoGg,IF('Net zero activities &amp; levers'!$C$8="On",(('Net zero supporting data'!AG133*EF!$H5)+('Net zero supporting data'!AG123*'Net zero supporting data'!AG143))*kgtoGg,"ERROR"))</f>
        <v>34.691107170453741</v>
      </c>
      <c r="AQ463" s="93">
        <f>IF('Net zero activities &amp; levers'!$C$8="Off",('Activity data'!BJ6*EF!$H5)*kgtoGg,IF('Net zero activities &amp; levers'!$C$8="On",(('Net zero supporting data'!AH133*EF!$H5)+('Net zero supporting data'!AH123*'Net zero supporting data'!AH143))*kgtoGg,"ERROR"))</f>
        <v>34.704178998772043</v>
      </c>
      <c r="AR463" s="93">
        <f>IF('Net zero activities &amp; levers'!$C$8="Off",('Activity data'!BK6*EF!$H5)*kgtoGg,IF('Net zero activities &amp; levers'!$C$8="On",(('Net zero supporting data'!AI133*EF!$H5)+('Net zero supporting data'!AI123*'Net zero supporting data'!AI143))*kgtoGg,"ERROR"))</f>
        <v>34.714169231795225</v>
      </c>
      <c r="AS463" s="93">
        <f>IF('Net zero activities &amp; levers'!$C$8="Off",('Activity data'!BL6*EF!$H5)*kgtoGg,IF('Net zero activities &amp; levers'!$C$8="On",(('Net zero supporting data'!AJ133*EF!$H5)+('Net zero supporting data'!AJ123*'Net zero supporting data'!AJ143))*kgtoGg,"ERROR"))</f>
        <v>34.720550930327988</v>
      </c>
      <c r="AT463" s="93">
        <f>IF('Net zero activities &amp; levers'!$C$8="Off",('Activity data'!BM6*EF!$H5)*kgtoGg,IF('Net zero activities &amp; levers'!$C$8="On",(('Net zero supporting data'!AK133*EF!$H5)+('Net zero supporting data'!AK123*'Net zero supporting data'!AK143))*kgtoGg,"ERROR"))</f>
        <v>34.723259010030318</v>
      </c>
      <c r="AU463" s="93">
        <f>IF('Net zero activities &amp; levers'!$C$8="Off",('Activity data'!BN6*EF!$H5)*kgtoGg,IF('Net zero activities &amp; levers'!$C$8="On",(('Net zero supporting data'!AL133*EF!$H5)+('Net zero supporting data'!AL123*'Net zero supporting data'!AL143))*kgtoGg,"ERROR"))</f>
        <v>34.722368316169444</v>
      </c>
      <c r="AV463" s="93">
        <f>IF('Net zero activities &amp; levers'!$C$8="Off",('Activity data'!BO6*EF!$H5)*kgtoGg,IF('Net zero activities &amp; levers'!$C$8="On",(('Net zero supporting data'!AM133*EF!$H5)+('Net zero supporting data'!AM123*'Net zero supporting data'!AM143))*kgtoGg,"ERROR"))</f>
        <v>34.717931044684789</v>
      </c>
      <c r="AW463" s="93">
        <f>IF('Net zero activities &amp; levers'!$C$8="Off",('Activity data'!BP6*EF!$H5)*kgtoGg,IF('Net zero activities &amp; levers'!$C$8="On",(('Net zero supporting data'!AN133*EF!$H5)+('Net zero supporting data'!AN123*'Net zero supporting data'!AN143))*kgtoGg,"ERROR"))</f>
        <v>34.709451581023373</v>
      </c>
      <c r="AY463" s="79"/>
    </row>
    <row r="464" spans="1:51" x14ac:dyDescent="0.25">
      <c r="A464" s="95" t="str">
        <f t="shared" si="0"/>
        <v>PQ Cattle</v>
      </c>
      <c r="B464" s="95" t="s">
        <v>968</v>
      </c>
      <c r="C464" s="95" t="s">
        <v>1108</v>
      </c>
      <c r="D464" t="s">
        <v>15</v>
      </c>
      <c r="E464" t="s">
        <v>16</v>
      </c>
      <c r="F464" t="s">
        <v>67</v>
      </c>
      <c r="G464" t="s">
        <v>307</v>
      </c>
      <c r="H464" t="s">
        <v>1020</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26.479482964607669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26.701143177813606</v>
      </c>
      <c r="P464" s="93">
        <f>IF('Net zero activities &amp; levers'!$C$8="Off",('Activity data'!AI7*EF!$H6)*kgtoGg,IF('Net zero activities &amp; levers'!$C$8="On",(('Net zero supporting data'!G134*EF!$H6)+('Net zero supporting data'!G124*'Net zero supporting data'!G144))*kgtoGg,"ERROR"))</f>
        <v>26.744086005835896</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26.947802192577253</v>
      </c>
      <c r="S464" s="93">
        <f>IF('Net zero activities &amp; levers'!$C$8="Off",('Activity data'!AL7*EF!$H6)*kgtoGg,IF('Net zero activities &amp; levers'!$C$8="On",(('Net zero supporting data'!J134*EF!$H6)+('Net zero supporting data'!J124*'Net zero supporting data'!J144))*kgtoGg,"ERROR"))</f>
        <v>26.182091019923025</v>
      </c>
      <c r="T464" s="93">
        <f>IF('Net zero activities &amp; levers'!$C$8="Off",('Activity data'!AM7*EF!$H6)*kgtoGg,IF('Net zero activities &amp; levers'!$C$8="On",(('Net zero supporting data'!K134*EF!$H6)+('Net zero supporting data'!K124*'Net zero supporting data'!K144))*kgtoGg,"ERROR"))</f>
        <v>26.632590975414445</v>
      </c>
      <c r="U464" s="93">
        <f>IF('Net zero activities &amp; levers'!$C$8="Off",('Activity data'!AN7*EF!$H6)*kgtoGg,IF('Net zero activities &amp; levers'!$C$8="On",(('Net zero supporting data'!L134*EF!$H6)+('Net zero supporting data'!L124*'Net zero supporting data'!L144))*kgtoGg,"ERROR"))</f>
        <v>45.823502640107073</v>
      </c>
      <c r="V464" s="93">
        <f>IF('Net zero activities &amp; levers'!$C$8="Off",('Activity data'!AO7*EF!$H6)*kgtoGg,IF('Net zero activities &amp; levers'!$C$8="On",(('Net zero supporting data'!M134*EF!$H6)+('Net zero supporting data'!M124*'Net zero supporting data'!M144))*kgtoGg,"ERROR"))</f>
        <v>46.375883576200764</v>
      </c>
      <c r="W464" s="93">
        <f>IF('Net zero activities &amp; levers'!$C$8="Off",('Activity data'!AP7*EF!$H6)*kgtoGg,IF('Net zero activities &amp; levers'!$C$8="On",(('Net zero supporting data'!N134*EF!$H6)+('Net zero supporting data'!N124*'Net zero supporting data'!N144))*kgtoGg,"ERROR"))</f>
        <v>46.904035732930822</v>
      </c>
      <c r="X464" s="93">
        <f>IF('Net zero activities &amp; levers'!$C$8="Off",('Activity data'!AQ7*EF!$H6)*kgtoGg,IF('Net zero activities &amp; levers'!$C$8="On",(('Net zero supporting data'!O134*EF!$H6)+('Net zero supporting data'!O124*'Net zero supporting data'!O144))*kgtoGg,"ERROR"))</f>
        <v>47.398975358684552</v>
      </c>
      <c r="Y464" s="93">
        <f>IF('Net zero activities &amp; levers'!$C$8="Off",('Activity data'!AR7*EF!$H6)*kgtoGg,IF('Net zero activities &amp; levers'!$C$8="On",(('Net zero supporting data'!P134*EF!$H6)+('Net zero supporting data'!P124*'Net zero supporting data'!P144))*kgtoGg,"ERROR"))</f>
        <v>47.847484974825178</v>
      </c>
      <c r="Z464" s="93">
        <f>IF('Net zero activities &amp; levers'!$C$8="Off",('Activity data'!AS7*EF!$H6)*kgtoGg,IF('Net zero activities &amp; levers'!$C$8="On",(('Net zero supporting data'!Q134*EF!$H6)+('Net zero supporting data'!Q124*'Net zero supporting data'!Q144))*kgtoGg,"ERROR"))</f>
        <v>48.2474700313509</v>
      </c>
      <c r="AA464" s="93">
        <f>IF('Net zero activities &amp; levers'!$C$8="Off",('Activity data'!AT7*EF!$H6)*kgtoGg,IF('Net zero activities &amp; levers'!$C$8="On",(('Net zero supporting data'!R134*EF!$H6)+('Net zero supporting data'!R124*'Net zero supporting data'!R144))*kgtoGg,"ERROR"))</f>
        <v>48.5966004041803</v>
      </c>
      <c r="AB464" s="93">
        <f>IF('Net zero activities &amp; levers'!$C$8="Off",('Activity data'!AU7*EF!$H6)*kgtoGg,IF('Net zero activities &amp; levers'!$C$8="On",(('Net zero supporting data'!S134*EF!$H6)+('Net zero supporting data'!S124*'Net zero supporting data'!S144))*kgtoGg,"ERROR"))</f>
        <v>48.893112533223132</v>
      </c>
      <c r="AC464" s="93">
        <f>IF('Net zero activities &amp; levers'!$C$8="Off",('Activity data'!AV7*EF!$H6)*kgtoGg,IF('Net zero activities &amp; levers'!$C$8="On",(('Net zero supporting data'!T134*EF!$H6)+('Net zero supporting data'!T124*'Net zero supporting data'!T144))*kgtoGg,"ERROR"))</f>
        <v>49.135607790184835</v>
      </c>
      <c r="AD464" s="93">
        <f>IF('Net zero activities &amp; levers'!$C$8="Off",('Activity data'!AW7*EF!$H6)*kgtoGg,IF('Net zero activities &amp; levers'!$C$8="On",(('Net zero supporting data'!U134*EF!$H6)+('Net zero supporting data'!U124*'Net zero supporting data'!U144))*kgtoGg,"ERROR"))</f>
        <v>49.322615902412963</v>
      </c>
      <c r="AE464" s="93">
        <f>IF('Net zero activities &amp; levers'!$C$8="Off",('Activity data'!AX7*EF!$H6)*kgtoGg,IF('Net zero activities &amp; levers'!$C$8="On",(('Net zero supporting data'!V134*EF!$H6)+('Net zero supporting data'!V124*'Net zero supporting data'!V144))*kgtoGg,"ERROR"))</f>
        <v>49.453256675098231</v>
      </c>
      <c r="AF464" s="93">
        <f>IF('Net zero activities &amp; levers'!$C$8="Off",('Activity data'!AY7*EF!$H6)*kgtoGg,IF('Net zero activities &amp; levers'!$C$8="On",(('Net zero supporting data'!W134*EF!$H6)+('Net zero supporting data'!W124*'Net zero supporting data'!W144))*kgtoGg,"ERROR"))</f>
        <v>49.526685806237325</v>
      </c>
      <c r="AG464" s="93">
        <f>IF('Net zero activities &amp; levers'!$C$8="Off",('Activity data'!AZ7*EF!$H6)*kgtoGg,IF('Net zero activities &amp; levers'!$C$8="On",(('Net zero supporting data'!X134*EF!$H6)+('Net zero supporting data'!X124*'Net zero supporting data'!X144))*kgtoGg,"ERROR"))</f>
        <v>49.542087595463748</v>
      </c>
      <c r="AH464" s="93">
        <f>IF('Net zero activities &amp; levers'!$C$8="Off",('Activity data'!BA7*EF!$H6)*kgtoGg,IF('Net zero activities &amp; levers'!$C$8="On",(('Net zero supporting data'!Y134*EF!$H6)+('Net zero supporting data'!Y124*'Net zero supporting data'!Y144))*kgtoGg,"ERROR"))</f>
        <v>49.499313080220467</v>
      </c>
      <c r="AI464" s="93">
        <f>IF('Net zero activities &amp; levers'!$C$8="Off",('Activity data'!BB7*EF!$H6)*kgtoGg,IF('Net zero activities &amp; levers'!$C$8="On",(('Net zero supporting data'!Z134*EF!$H6)+('Net zero supporting data'!Z124*'Net zero supporting data'!Z144))*kgtoGg,"ERROR"))</f>
        <v>49.398605779622059</v>
      </c>
      <c r="AJ464" s="93">
        <f>IF('Net zero activities &amp; levers'!$C$8="Off",('Activity data'!BC7*EF!$H6)*kgtoGg,IF('Net zero activities &amp; levers'!$C$8="On",(('Net zero supporting data'!AA134*EF!$H6)+('Net zero supporting data'!AA124*'Net zero supporting data'!AA144))*kgtoGg,"ERROR"))</f>
        <v>15.628864648010964</v>
      </c>
      <c r="AK464" s="93">
        <f>IF('Net zero activities &amp; levers'!$C$8="Off",('Activity data'!BD7*EF!$H6)*kgtoGg,IF('Net zero activities &amp; levers'!$C$8="On",(('Net zero supporting data'!AB134*EF!$H6)+('Net zero supporting data'!AB124*'Net zero supporting data'!AB144))*kgtoGg,"ERROR"))</f>
        <v>15.640273456922923</v>
      </c>
      <c r="AL464" s="93">
        <f>IF('Net zero activities &amp; levers'!$C$8="Off",('Activity data'!BE7*EF!$H6)*kgtoGg,IF('Net zero activities &amp; levers'!$C$8="On",(('Net zero supporting data'!AC134*EF!$H6)+('Net zero supporting data'!AC124*'Net zero supporting data'!AC144))*kgtoGg,"ERROR"))</f>
        <v>15.650860984450333</v>
      </c>
      <c r="AM464" s="93">
        <f>IF('Net zero activities &amp; levers'!$C$8="Off",('Activity data'!BF7*EF!$H6)*kgtoGg,IF('Net zero activities &amp; levers'!$C$8="On",(('Net zero supporting data'!AD134*EF!$H6)+('Net zero supporting data'!AD124*'Net zero supporting data'!AD144))*kgtoGg,"ERROR"))</f>
        <v>15.660698851570245</v>
      </c>
      <c r="AN464" s="93">
        <f>IF('Net zero activities &amp; levers'!$C$8="Off",('Activity data'!BG7*EF!$H6)*kgtoGg,IF('Net zero activities &amp; levers'!$C$8="On",(('Net zero supporting data'!AE134*EF!$H6)+('Net zero supporting data'!AE124*'Net zero supporting data'!AE144))*kgtoGg,"ERROR"))</f>
        <v>15.669875280316276</v>
      </c>
      <c r="AO464" s="93">
        <f>IF('Net zero activities &amp; levers'!$C$8="Off",('Activity data'!BH7*EF!$H6)*kgtoGg,IF('Net zero activities &amp; levers'!$C$8="On",(('Net zero supporting data'!AF134*EF!$H6)+('Net zero supporting data'!AF124*'Net zero supporting data'!AF144))*kgtoGg,"ERROR"))</f>
        <v>15.678102267167921</v>
      </c>
      <c r="AP464" s="93">
        <f>IF('Net zero activities &amp; levers'!$C$8="Off",('Activity data'!BI7*EF!$H6)*kgtoGg,IF('Net zero activities &amp; levers'!$C$8="On",(('Net zero supporting data'!AG134*EF!$H6)+('Net zero supporting data'!AG124*'Net zero supporting data'!AG144))*kgtoGg,"ERROR"))</f>
        <v>15.685186406674521</v>
      </c>
      <c r="AQ464" s="93">
        <f>IF('Net zero activities &amp; levers'!$C$8="Off",('Activity data'!BJ7*EF!$H6)*kgtoGg,IF('Net zero activities &amp; levers'!$C$8="On",(('Net zero supporting data'!AH134*EF!$H6)+('Net zero supporting data'!AH124*'Net zero supporting data'!AH144))*kgtoGg,"ERROR"))</f>
        <v>15.691096683992601</v>
      </c>
      <c r="AR464" s="93">
        <f>IF('Net zero activities &amp; levers'!$C$8="Off",('Activity data'!BK7*EF!$H6)*kgtoGg,IF('Net zero activities &amp; levers'!$C$8="On",(('Net zero supporting data'!AI134*EF!$H6)+('Net zero supporting data'!AI124*'Net zero supporting data'!AI144))*kgtoGg,"ERROR"))</f>
        <v>15.695613653325545</v>
      </c>
      <c r="AS464" s="93">
        <f>IF('Net zero activities &amp; levers'!$C$8="Off",('Activity data'!BL7*EF!$H6)*kgtoGg,IF('Net zero activities &amp; levers'!$C$8="On",(('Net zero supporting data'!AJ134*EF!$H6)+('Net zero supporting data'!AJ124*'Net zero supporting data'!AJ144))*kgtoGg,"ERROR"))</f>
        <v>15.698499065157048</v>
      </c>
      <c r="AT464" s="93">
        <f>IF('Net zero activities &amp; levers'!$C$8="Off",('Activity data'!BM7*EF!$H6)*kgtoGg,IF('Net zero activities &amp; levers'!$C$8="On",(('Net zero supporting data'!AK134*EF!$H6)+('Net zero supporting data'!AK124*'Net zero supporting data'!AK144))*kgtoGg,"ERROR"))</f>
        <v>15.699723492348907</v>
      </c>
      <c r="AU464" s="93">
        <f>IF('Net zero activities &amp; levers'!$C$8="Off",('Activity data'!BN7*EF!$H6)*kgtoGg,IF('Net zero activities &amp; levers'!$C$8="On",(('Net zero supporting data'!AL134*EF!$H6)+('Net zero supporting data'!AL124*'Net zero supporting data'!AL144))*kgtoGg,"ERROR"))</f>
        <v>15.699320775330669</v>
      </c>
      <c r="AV464" s="93">
        <f>IF('Net zero activities &amp; levers'!$C$8="Off",('Activity data'!BO7*EF!$H6)*kgtoGg,IF('Net zero activities &amp; levers'!$C$8="On",(('Net zero supporting data'!AM134*EF!$H6)+('Net zero supporting data'!AM124*'Net zero supporting data'!AM144))*kgtoGg,"ERROR"))</f>
        <v>15.697314513897963</v>
      </c>
      <c r="AW464" s="93">
        <f>IF('Net zero activities &amp; levers'!$C$8="Off",('Activity data'!BP7*EF!$H6)*kgtoGg,IF('Net zero activities &amp; levers'!$C$8="On",(('Net zero supporting data'!AN134*EF!$H6)+('Net zero supporting data'!AN124*'Net zero supporting data'!AN144))*kgtoGg,"ERROR"))</f>
        <v>15.693480621612418</v>
      </c>
      <c r="AY464" s="79"/>
    </row>
    <row r="465" spans="1:51" x14ac:dyDescent="0.25">
      <c r="A465" s="95" t="str">
        <f t="shared" si="0"/>
        <v>PQ Cattle</v>
      </c>
      <c r="B465" s="95" t="s">
        <v>968</v>
      </c>
      <c r="C465" s="95" t="s">
        <v>1108</v>
      </c>
      <c r="D465" t="s">
        <v>15</v>
      </c>
      <c r="E465" t="s">
        <v>16</v>
      </c>
      <c r="F465" t="s">
        <v>67</v>
      </c>
      <c r="G465" t="s">
        <v>122</v>
      </c>
      <c r="H465" t="s">
        <v>1020</v>
      </c>
      <c r="I465" t="s">
        <v>121</v>
      </c>
      <c r="J465" t="s">
        <v>286</v>
      </c>
      <c r="K465" s="93">
        <f>IF('Net zero activities &amp; levers'!$C$8="Off",('Activity data'!AD8*EF!$H7)*kgtoGg,IF('Net zero activities &amp; levers'!$C$8="On",(('Net zero supporting data'!B135*EF!$H7)+('Net zero supporting data'!B125*'Net zero supporting data'!B145))*kgtoGg,"ERROR"))</f>
        <v>463.23498593143177</v>
      </c>
      <c r="L465" s="93">
        <f>IF('Net zero activities &amp; levers'!$C$8="Off",('Activity data'!AE8*EF!$H7)*kgtoGg,IF('Net zero activities &amp; levers'!$C$8="On",(('Net zero supporting data'!C135*EF!$H7)+('Net zero supporting data'!C125*'Net zero supporting data'!C145))*kgtoGg,"ERROR"))</f>
        <v>459.21749683621613</v>
      </c>
      <c r="M465" s="93">
        <f>IF('Net zero activities &amp; levers'!$C$8="Off",('Activity data'!AF8*EF!$H7)*kgtoGg,IF('Net zero activities &amp; levers'!$C$8="On",(('Net zero supporting data'!D135*EF!$H7)+('Net zero supporting data'!D125*'Net zero supporting data'!D145))*kgtoGg,"ERROR"))</f>
        <v>457.68816035731243</v>
      </c>
      <c r="N465" s="93">
        <f>IF('Net zero activities &amp; levers'!$C$8="Off",('Activity data'!AG8*EF!$H7)*kgtoGg,IF('Net zero activities &amp; levers'!$C$8="On",(('Net zero supporting data'!E135*EF!$H7)+('Net zero supporting data'!E125*'Net zero supporting data'!E145))*kgtoGg,"ERROR"))</f>
        <v>451.57633407663542</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431.25721304480419</v>
      </c>
      <c r="Q465" s="93">
        <f>IF('Net zero activities &amp; levers'!$C$8="Off",('Activity data'!AJ8*EF!$H7)*kgtoGg,IF('Net zero activities &amp; levers'!$C$8="On",(('Net zero supporting data'!H135*EF!$H7)+('Net zero supporting data'!H125*'Net zero supporting data'!H145))*kgtoGg,"ERROR"))</f>
        <v>422.22811200839209</v>
      </c>
      <c r="R465" s="93">
        <f>IF('Net zero activities &amp; levers'!$C$8="Off",('Activity data'!AK8*EF!$H7)*kgtoGg,IF('Net zero activities &amp; levers'!$C$8="On",(('Net zero supporting data'!I135*EF!$H7)+('Net zero supporting data'!I125*'Net zero supporting data'!I145))*kgtoGg,"ERROR"))</f>
        <v>413.6855559628558</v>
      </c>
      <c r="S465" s="93">
        <f>IF('Net zero activities &amp; levers'!$C$8="Off",('Activity data'!AL8*EF!$H7)*kgtoGg,IF('Net zero activities &amp; levers'!$C$8="On",(('Net zero supporting data'!J135*EF!$H7)+('Net zero supporting data'!J125*'Net zero supporting data'!J145))*kgtoGg,"ERROR"))</f>
        <v>369.96675064639845</v>
      </c>
      <c r="T465" s="93">
        <f>IF('Net zero activities &amp; levers'!$C$8="Off",('Activity data'!AM8*EF!$H7)*kgtoGg,IF('Net zero activities &amp; levers'!$C$8="On",(('Net zero supporting data'!K135*EF!$H7)+('Net zero supporting data'!K125*'Net zero supporting data'!K145))*kgtoGg,"ERROR"))</f>
        <v>384.22044526495358</v>
      </c>
      <c r="U465" s="93">
        <f>IF('Net zero activities &amp; levers'!$C$8="Off",('Activity data'!AN8*EF!$H7)*kgtoGg,IF('Net zero activities &amp; levers'!$C$8="On",(('Net zero supporting data'!L135*EF!$H7)+('Net zero supporting data'!L125*'Net zero supporting data'!L145))*kgtoGg,"ERROR"))</f>
        <v>1210.9459030996998</v>
      </c>
      <c r="V465" s="93">
        <f>IF('Net zero activities &amp; levers'!$C$8="Off",('Activity data'!AO8*EF!$H7)*kgtoGg,IF('Net zero activities &amp; levers'!$C$8="On",(('Net zero supporting data'!M135*EF!$H7)+('Net zero supporting data'!M125*'Net zero supporting data'!M145))*kgtoGg,"ERROR"))</f>
        <v>1216.7867544029255</v>
      </c>
      <c r="W465" s="93">
        <f>IF('Net zero activities &amp; levers'!$C$8="Off",('Activity data'!AP8*EF!$H7)*kgtoGg,IF('Net zero activities &amp; levers'!$C$8="On",(('Net zero supporting data'!N135*EF!$H7)+('Net zero supporting data'!N125*'Net zero supporting data'!N145))*kgtoGg,"ERROR"))</f>
        <v>1220.5248847970281</v>
      </c>
      <c r="X465" s="93">
        <f>IF('Net zero activities &amp; levers'!$C$8="Off",('Activity data'!AQ8*EF!$H7)*kgtoGg,IF('Net zero activities &amp; levers'!$C$8="On",(('Net zero supporting data'!O135*EF!$H7)+('Net zero supporting data'!O125*'Net zero supporting data'!O145))*kgtoGg,"ERROR"))</f>
        <v>1222.1595328966084</v>
      </c>
      <c r="Y465" s="93">
        <f>IF('Net zero activities &amp; levers'!$C$8="Off",('Activity data'!AR8*EF!$H7)*kgtoGg,IF('Net zero activities &amp; levers'!$C$8="On",(('Net zero supporting data'!P135*EF!$H7)+('Net zero supporting data'!P125*'Net zero supporting data'!P145))*kgtoGg,"ERROR"))</f>
        <v>1221.7253267296187</v>
      </c>
      <c r="Z465" s="93">
        <f>IF('Net zero activities &amp; levers'!$C$8="Off",('Activity data'!AS8*EF!$H7)*kgtoGg,IF('Net zero activities &amp; levers'!$C$8="On",(('Net zero supporting data'!Q135*EF!$H7)+('Net zero supporting data'!Q125*'Net zero supporting data'!Q145))*kgtoGg,"ERROR"))</f>
        <v>1219.2014537371233</v>
      </c>
      <c r="AA465" s="93">
        <f>IF('Net zero activities &amp; levers'!$C$8="Off",('Activity data'!AT8*EF!$H7)*kgtoGg,IF('Net zero activities &amp; levers'!$C$8="On",(('Net zero supporting data'!R135*EF!$H7)+('Net zero supporting data'!R125*'Net zero supporting data'!R145))*kgtoGg,"ERROR"))</f>
        <v>1214.5817314826613</v>
      </c>
      <c r="AB465" s="93">
        <f>IF('Net zero activities &amp; levers'!$C$8="Off",('Activity data'!AU8*EF!$H7)*kgtoGg,IF('Net zero activities &amp; levers'!$C$8="On",(('Net zero supporting data'!S135*EF!$H7)+('Net zero supporting data'!S125*'Net zero supporting data'!S145))*kgtoGg,"ERROR"))</f>
        <v>1207.8699823574666</v>
      </c>
      <c r="AC465" s="93">
        <f>IF('Net zero activities &amp; levers'!$C$8="Off",('Activity data'!AV8*EF!$H7)*kgtoGg,IF('Net zero activities &amp; levers'!$C$8="On",(('Net zero supporting data'!T135*EF!$H7)+('Net zero supporting data'!T125*'Net zero supporting data'!T145))*kgtoGg,"ERROR"))</f>
        <v>1199.081298415254</v>
      </c>
      <c r="AD465" s="93">
        <f>IF('Net zero activities &amp; levers'!$C$8="Off",('Activity data'!AW8*EF!$H7)*kgtoGg,IF('Net zero activities &amp; levers'!$C$8="On",(('Net zero supporting data'!U135*EF!$H7)+('Net zero supporting data'!U125*'Net zero supporting data'!U145))*kgtoGg,"ERROR"))</f>
        <v>1178.2591392805034</v>
      </c>
      <c r="AE465" s="93">
        <f>IF('Net zero activities &amp; levers'!$C$8="Off",('Activity data'!AX8*EF!$H7)*kgtoGg,IF('Net zero activities &amp; levers'!$C$8="On",(('Net zero supporting data'!V135*EF!$H7)+('Net zero supporting data'!V125*'Net zero supporting data'!V145))*kgtoGg,"ERROR"))</f>
        <v>1155.4756644581196</v>
      </c>
      <c r="AF465" s="93">
        <f>IF('Net zero activities &amp; levers'!$C$8="Off",('Activity data'!AY8*EF!$H7)*kgtoGg,IF('Net zero activities &amp; levers'!$C$8="On",(('Net zero supporting data'!W135*EF!$H7)+('Net zero supporting data'!W125*'Net zero supporting data'!W145))*kgtoGg,"ERROR"))</f>
        <v>1130.8332446231877</v>
      </c>
      <c r="AG465" s="93">
        <f>IF('Net zero activities &amp; levers'!$C$8="Off",('Activity data'!AZ8*EF!$H7)*kgtoGg,IF('Net zero activities &amp; levers'!$C$8="On",(('Net zero supporting data'!X135*EF!$H7)+('Net zero supporting data'!X125*'Net zero supporting data'!X145))*kgtoGg,"ERROR"))</f>
        <v>1104.4458826711734</v>
      </c>
      <c r="AH465" s="93">
        <f>IF('Net zero activities &amp; levers'!$C$8="Off",('Activity data'!BA8*EF!$H7)*kgtoGg,IF('Net zero activities &amp; levers'!$C$8="On",(('Net zero supporting data'!Y135*EF!$H7)+('Net zero supporting data'!Y125*'Net zero supporting data'!Y145))*kgtoGg,"ERROR"))</f>
        <v>1076.4349444121476</v>
      </c>
      <c r="AI465" s="93">
        <f>IF('Net zero activities &amp; levers'!$C$8="Off",('Activity data'!BB8*EF!$H7)*kgtoGg,IF('Net zero activities &amp; levers'!$C$8="On",(('Net zero supporting data'!Z135*EF!$H7)+('Net zero supporting data'!Z125*'Net zero supporting data'!Z145))*kgtoGg,"ERROR"))</f>
        <v>1046.9296670550386</v>
      </c>
      <c r="AJ465" s="93">
        <f>IF('Net zero activities &amp; levers'!$C$8="Off",('Activity data'!BC8*EF!$H7)*kgtoGg,IF('Net zero activities &amp; levers'!$C$8="On",(('Net zero supporting data'!AA135*EF!$H7)+('Net zero supporting data'!AA125*'Net zero supporting data'!AA145))*kgtoGg,"ERROR"))</f>
        <v>-80.836782317903939</v>
      </c>
      <c r="AK465" s="93">
        <f>IF('Net zero activities &amp; levers'!$C$8="Off",('Activity data'!BD8*EF!$H7)*kgtoGg,IF('Net zero activities &amp; levers'!$C$8="On",(('Net zero supporting data'!AB135*EF!$H7)+('Net zero supporting data'!AB125*'Net zero supporting data'!AB145))*kgtoGg,"ERROR"))</f>
        <v>-78.890466200610106</v>
      </c>
      <c r="AL465" s="93">
        <f>IF('Net zero activities &amp; levers'!$C$8="Off",('Activity data'!BE8*EF!$H7)*kgtoGg,IF('Net zero activities &amp; levers'!$C$8="On",(('Net zero supporting data'!AC135*EF!$H7)+('Net zero supporting data'!AC125*'Net zero supporting data'!AC145))*kgtoGg,"ERROR"))</f>
        <v>-76.96440050927697</v>
      </c>
      <c r="AM465" s="93">
        <f>IF('Net zero activities &amp; levers'!$C$8="Off",('Activity data'!BF8*EF!$H7)*kgtoGg,IF('Net zero activities &amp; levers'!$C$8="On",(('Net zero supporting data'!AD135*EF!$H7)+('Net zero supporting data'!AD125*'Net zero supporting data'!AD145))*kgtoGg,"ERROR"))</f>
        <v>-75.058386316845628</v>
      </c>
      <c r="AN465" s="93">
        <f>IF('Net zero activities &amp; levers'!$C$8="Off",('Activity data'!BG8*EF!$H7)*kgtoGg,IF('Net zero activities &amp; levers'!$C$8="On",(('Net zero supporting data'!AE135*EF!$H7)+('Net zero supporting data'!AE125*'Net zero supporting data'!AE145))*kgtoGg,"ERROR"))</f>
        <v>-73.545633197869449</v>
      </c>
      <c r="AO465" s="93">
        <f>IF('Net zero activities &amp; levers'!$C$8="Off",('Activity data'!BH8*EF!$H7)*kgtoGg,IF('Net zero activities &amp; levers'!$C$8="On",(('Net zero supporting data'!AF135*EF!$H7)+('Net zero supporting data'!AF125*'Net zero supporting data'!AF145))*kgtoGg,"ERROR"))</f>
        <v>-72.047230196727966</v>
      </c>
      <c r="AP465" s="93">
        <f>IF('Net zero activities &amp; levers'!$C$8="Off",('Activity data'!BI8*EF!$H7)*kgtoGg,IF('Net zero activities &amp; levers'!$C$8="On",(('Net zero supporting data'!AG135*EF!$H7)+('Net zero supporting data'!AG125*'Net zero supporting data'!AG145))*kgtoGg,"ERROR"))</f>
        <v>-70.562062843287677</v>
      </c>
      <c r="AQ465" s="93">
        <f>IF('Net zero activities &amp; levers'!$C$8="Off",('Activity data'!BJ8*EF!$H7)*kgtoGg,IF('Net zero activities &amp; levers'!$C$8="On",(('Net zero supporting data'!AH135*EF!$H7)+('Net zero supporting data'!AH125*'Net zero supporting data'!AH145))*kgtoGg,"ERROR"))</f>
        <v>-69.089763252231094</v>
      </c>
      <c r="AR465" s="93">
        <f>IF('Net zero activities &amp; levers'!$C$8="Off",('Activity data'!BK8*EF!$H7)*kgtoGg,IF('Net zero activities &amp; levers'!$C$8="On",(('Net zero supporting data'!AI135*EF!$H7)+('Net zero supporting data'!AI125*'Net zero supporting data'!AI145))*kgtoGg,"ERROR"))</f>
        <v>-67.629255024927176</v>
      </c>
      <c r="AS465" s="93">
        <f>IF('Net zero activities &amp; levers'!$C$8="Off",('Activity data'!BL8*EF!$H7)*kgtoGg,IF('Net zero activities &amp; levers'!$C$8="On",(('Net zero supporting data'!AJ135*EF!$H7)+('Net zero supporting data'!AJ125*'Net zero supporting data'!AJ145))*kgtoGg,"ERROR"))</f>
        <v>-66.179484044667291</v>
      </c>
      <c r="AT465" s="93">
        <f>IF('Net zero activities &amp; levers'!$C$8="Off",('Activity data'!BM8*EF!$H7)*kgtoGg,IF('Net zero activities &amp; levers'!$C$8="On",(('Net zero supporting data'!AK135*EF!$H7)+('Net zero supporting data'!AK125*'Net zero supporting data'!AK145))*kgtoGg,"ERROR"))</f>
        <v>-64.740281014136201</v>
      </c>
      <c r="AU465" s="93">
        <f>IF('Net zero activities &amp; levers'!$C$8="Off",('Activity data'!BN8*EF!$H7)*kgtoGg,IF('Net zero activities &amp; levers'!$C$8="On",(('Net zero supporting data'!AL135*EF!$H7)+('Net zero supporting data'!AL125*'Net zero supporting data'!AL145))*kgtoGg,"ERROR"))</f>
        <v>-63.311734849146887</v>
      </c>
      <c r="AV465" s="93">
        <f>IF('Net zero activities &amp; levers'!$C$8="Off",('Activity data'!BO8*EF!$H7)*kgtoGg,IF('Net zero activities &amp; levers'!$C$8="On",(('Net zero supporting data'!AM135*EF!$H7)+('Net zero supporting data'!AM125*'Net zero supporting data'!AM145))*kgtoGg,"ERROR"))</f>
        <v>-61.893900094857884</v>
      </c>
      <c r="AW465" s="93">
        <f>IF('Net zero activities &amp; levers'!$C$8="Off",('Activity data'!BP8*EF!$H7)*kgtoGg,IF('Net zero activities &amp; levers'!$C$8="On",(('Net zero supporting data'!AN135*EF!$H7)+('Net zero supporting data'!AN125*'Net zero supporting data'!AN145))*kgtoGg,"ERROR"))</f>
        <v>-60.485962401496174</v>
      </c>
      <c r="AY465" s="79"/>
    </row>
    <row r="466" spans="1:51" x14ac:dyDescent="0.25">
      <c r="A466" s="95" t="str">
        <f t="shared" si="0"/>
        <v>PQ Cattle</v>
      </c>
      <c r="B466" s="95" t="s">
        <v>968</v>
      </c>
      <c r="C466" s="95" t="s">
        <v>1108</v>
      </c>
      <c r="D466" t="s">
        <v>15</v>
      </c>
      <c r="E466" t="s">
        <v>16</v>
      </c>
      <c r="F466" t="s">
        <v>67</v>
      </c>
      <c r="G466" t="s">
        <v>123</v>
      </c>
      <c r="H466" t="s">
        <v>1020</v>
      </c>
      <c r="I466" t="s">
        <v>121</v>
      </c>
      <c r="J466" t="s">
        <v>286</v>
      </c>
      <c r="K466" s="93">
        <f>IF('Net zero activities &amp; levers'!$C$8="Off",('Activity data'!AD9*EF!$H8)*kgtoGg,IF('Net zero activities &amp; levers'!$C$8="On",(('Net zero supporting data'!B136*EF!$H8)+('Net zero supporting data'!B126*'Net zero supporting data'!B146))*kgtoGg,"ERROR"))</f>
        <v>326.20040935577731</v>
      </c>
      <c r="L466" s="93">
        <f>IF('Net zero activities &amp; levers'!$C$8="Off",('Activity data'!AE9*EF!$H8)*kgtoGg,IF('Net zero activities &amp; levers'!$C$8="On",(('Net zero supporting data'!C136*EF!$H8)+('Net zero supporting data'!C126*'Net zero supporting data'!C146))*kgtoGg,"ERROR"))</f>
        <v>323.37137738012325</v>
      </c>
      <c r="M466" s="93">
        <f>IF('Net zero activities &amp; levers'!$C$8="Off",('Activity data'!AF9*EF!$H8)*kgtoGg,IF('Net zero activities &amp; levers'!$C$8="On",(('Net zero supporting data'!D136*EF!$H8)+('Net zero supporting data'!D126*'Net zero supporting data'!D146))*kgtoGg,"ERROR"))</f>
        <v>322.29445054900742</v>
      </c>
      <c r="N466" s="93">
        <f>IF('Net zero activities &amp; levers'!$C$8="Off",('Activity data'!AG9*EF!$H8)*kgtoGg,IF('Net zero activities &amp; levers'!$C$8="On",(('Net zero supporting data'!E136*EF!$H8)+('Net zero supporting data'!E126*'Net zero supporting data'!E146))*kgtoGg,"ERROR"))</f>
        <v>317.99063003627231</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303.68232906672068</v>
      </c>
      <c r="Q466" s="93">
        <f>IF('Net zero activities &amp; levers'!$C$8="Off",('Activity data'!AJ9*EF!$H8)*kgtoGg,IF('Net zero activities &amp; levers'!$C$8="On",(('Net zero supporting data'!H136*EF!$H8)+('Net zero supporting data'!H126*'Net zero supporting data'!H146))*kgtoGg,"ERROR"))</f>
        <v>297.32422455466593</v>
      </c>
      <c r="R466" s="93">
        <f>IF('Net zero activities &amp; levers'!$C$8="Off",('Activity data'!AK9*EF!$H8)*kgtoGg,IF('Net zero activities &amp; levers'!$C$8="On",(('Net zero supporting data'!I136*EF!$H8)+('Net zero supporting data'!I126*'Net zero supporting data'!I146))*kgtoGg,"ERROR"))</f>
        <v>291.30873487096767</v>
      </c>
      <c r="S466" s="93">
        <f>IF('Net zero activities &amp; levers'!$C$8="Off",('Activity data'!AL9*EF!$H8)*kgtoGg,IF('Net zero activities &amp; levers'!$C$8="On",(('Net zero supporting data'!J136*EF!$H8)+('Net zero supporting data'!J126*'Net zero supporting data'!J146))*kgtoGg,"ERROR"))</f>
        <v>260.52286458075423</v>
      </c>
      <c r="T466" s="93">
        <f>IF('Net zero activities &amp; levers'!$C$8="Off",('Activity data'!AM9*EF!$H8)*kgtoGg,IF('Net zero activities &amp; levers'!$C$8="On",(('Net zero supporting data'!K136*EF!$H8)+('Net zero supporting data'!K126*'Net zero supporting data'!K146))*kgtoGg,"ERROR"))</f>
        <v>270.56001885582697</v>
      </c>
      <c r="U466" s="93">
        <f>IF('Net zero activities &amp; levers'!$C$8="Off",('Activity data'!AN9*EF!$H8)*kgtoGg,IF('Net zero activities &amp; levers'!$C$8="On",(('Net zero supporting data'!L136*EF!$H8)+('Net zero supporting data'!L126*'Net zero supporting data'!L146))*kgtoGg,"ERROR"))</f>
        <v>852.72283246173731</v>
      </c>
      <c r="V466" s="93">
        <f>IF('Net zero activities &amp; levers'!$C$8="Off",('Activity data'!AO9*EF!$H8)*kgtoGg,IF('Net zero activities &amp; levers'!$C$8="On",(('Net zero supporting data'!M136*EF!$H8)+('Net zero supporting data'!M126*'Net zero supporting data'!M146))*kgtoGg,"ERROR"))</f>
        <v>856.83583805061244</v>
      </c>
      <c r="W466" s="93">
        <f>IF('Net zero activities &amp; levers'!$C$8="Off",('Activity data'!AP9*EF!$H8)*kgtoGg,IF('Net zero activities &amp; levers'!$C$8="On",(('Net zero supporting data'!N136*EF!$H8)+('Net zero supporting data'!N126*'Net zero supporting data'!N146))*kgtoGg,"ERROR"))</f>
        <v>859.46815145917253</v>
      </c>
      <c r="X466" s="93">
        <f>IF('Net zero activities &amp; levers'!$C$8="Off",('Activity data'!AQ9*EF!$H8)*kgtoGg,IF('Net zero activities &amp; levers'!$C$8="On",(('Net zero supporting data'!O136*EF!$H8)+('Net zero supporting data'!O126*'Net zero supporting data'!O146))*kgtoGg,"ERROR"))</f>
        <v>860.61923653571034</v>
      </c>
      <c r="Y466" s="93">
        <f>IF('Net zero activities &amp; levers'!$C$8="Off",('Activity data'!AR9*EF!$H8)*kgtoGg,IF('Net zero activities &amp; levers'!$C$8="On",(('Net zero supporting data'!P136*EF!$H8)+('Net zero supporting data'!P126*'Net zero supporting data'!P146))*kgtoGg,"ERROR"))</f>
        <v>860.31347761482039</v>
      </c>
      <c r="Z466" s="93">
        <f>IF('Net zero activities &amp; levers'!$C$8="Off",('Activity data'!AS9*EF!$H8)*kgtoGg,IF('Net zero activities &amp; levers'!$C$8="On",(('Net zero supporting data'!Q136*EF!$H8)+('Net zero supporting data'!Q126*'Net zero supporting data'!Q146))*kgtoGg,"ERROR"))</f>
        <v>858.53621892685965</v>
      </c>
      <c r="AA466" s="93">
        <f>IF('Net zero activities &amp; levers'!$C$8="Off",('Activity data'!AT9*EF!$H8)*kgtoGg,IF('Net zero activities &amp; levers'!$C$8="On",(('Net zero supporting data'!R136*EF!$H8)+('Net zero supporting data'!R126*'Net zero supporting data'!R146))*kgtoGg,"ERROR"))</f>
        <v>855.28310692910031</v>
      </c>
      <c r="AB466" s="93">
        <f>IF('Net zero activities &amp; levers'!$C$8="Off",('Activity data'!AU9*EF!$H8)*kgtoGg,IF('Net zero activities &amp; levers'!$C$8="On",(('Net zero supporting data'!S136*EF!$H8)+('Net zero supporting data'!S126*'Net zero supporting data'!S146))*kgtoGg,"ERROR"))</f>
        <v>850.55683326967551</v>
      </c>
      <c r="AC466" s="93">
        <f>IF('Net zero activities &amp; levers'!$C$8="Off",('Activity data'!AV9*EF!$H8)*kgtoGg,IF('Net zero activities &amp; levers'!$C$8="On",(('Net zero supporting data'!T136*EF!$H8)+('Net zero supporting data'!T126*'Net zero supporting data'!T146))*kgtoGg,"ERROR"))</f>
        <v>844.36802545783894</v>
      </c>
      <c r="AD466" s="93">
        <f>IF('Net zero activities &amp; levers'!$C$8="Off",('Activity data'!AW9*EF!$H8)*kgtoGg,IF('Net zero activities &amp; levers'!$C$8="On",(('Net zero supporting data'!U136*EF!$H8)+('Net zero supporting data'!U126*'Net zero supporting data'!U146))*kgtoGg,"ERROR"))</f>
        <v>829.70549555464197</v>
      </c>
      <c r="AE466" s="93">
        <f>IF('Net zero activities &amp; levers'!$C$8="Off",('Activity data'!AX9*EF!$H8)*kgtoGg,IF('Net zero activities &amp; levers'!$C$8="On",(('Net zero supporting data'!V136*EF!$H8)+('Net zero supporting data'!V126*'Net zero supporting data'!V146))*kgtoGg,"ERROR"))</f>
        <v>813.66184807696902</v>
      </c>
      <c r="AF466" s="93">
        <f>IF('Net zero activities &amp; levers'!$C$8="Off",('Activity data'!AY9*EF!$H8)*kgtoGg,IF('Net zero activities &amp; levers'!$C$8="On",(('Net zero supporting data'!W136*EF!$H8)+('Net zero supporting data'!W126*'Net zero supporting data'!W146))*kgtoGg,"ERROR"))</f>
        <v>796.30917031773436</v>
      </c>
      <c r="AG466" s="93">
        <f>IF('Net zero activities &amp; levers'!$C$8="Off",('Activity data'!AZ9*EF!$H8)*kgtoGg,IF('Net zero activities &amp; levers'!$C$8="On",(('Net zero supporting data'!X136*EF!$H8)+('Net zero supporting data'!X126*'Net zero supporting data'!X146))*kgtoGg,"ERROR"))</f>
        <v>777.72774073667881</v>
      </c>
      <c r="AH466" s="93">
        <f>IF('Net zero activities &amp; levers'!$C$8="Off",('Activity data'!BA9*EF!$H8)*kgtoGg,IF('Net zero activities &amp; levers'!$C$8="On",(('Net zero supporting data'!Y136*EF!$H8)+('Net zero supporting data'!Y126*'Net zero supporting data'!Y146))*kgtoGg,"ERROR"))</f>
        <v>758.0030226043441</v>
      </c>
      <c r="AI466" s="93">
        <f>IF('Net zero activities &amp; levers'!$C$8="Off",('Activity data'!BB9*EF!$H8)*kgtoGg,IF('Net zero activities &amp; levers'!$C$8="On",(('Net zero supporting data'!Z136*EF!$H8)+('Net zero supporting data'!Z126*'Net zero supporting data'!Z146))*kgtoGg,"ERROR"))</f>
        <v>737.22602206606996</v>
      </c>
      <c r="AJ466" s="93">
        <f>IF('Net zero activities &amp; levers'!$C$8="Off",('Activity data'!BC9*EF!$H8)*kgtoGg,IF('Net zero activities &amp; levers'!$C$8="On",(('Net zero supporting data'!AA136*EF!$H8)+('Net zero supporting data'!AA126*'Net zero supporting data'!AA146))*kgtoGg,"ERROR"))</f>
        <v>-56.923575040610757</v>
      </c>
      <c r="AK466" s="93">
        <f>IF('Net zero activities &amp; levers'!$C$8="Off",('Activity data'!BD9*EF!$H8)*kgtoGg,IF('Net zero activities &amp; levers'!$C$8="On",(('Net zero supporting data'!AB136*EF!$H8)+('Net zero supporting data'!AB126*'Net zero supporting data'!AB146))*kgtoGg,"ERROR"))</f>
        <v>-55.553019850526375</v>
      </c>
      <c r="AL466" s="93">
        <f>IF('Net zero activities &amp; levers'!$C$8="Off",('Activity data'!BE9*EF!$H8)*kgtoGg,IF('Net zero activities &amp; levers'!$C$8="On",(('Net zero supporting data'!AC136*EF!$H8)+('Net zero supporting data'!AC126*'Net zero supporting data'!AC146))*kgtoGg,"ERROR"))</f>
        <v>-54.19672458777611</v>
      </c>
      <c r="AM466" s="93">
        <f>IF('Net zero activities &amp; levers'!$C$8="Off",('Activity data'!BF9*EF!$H8)*kgtoGg,IF('Net zero activities &amp; levers'!$C$8="On",(('Net zero supporting data'!AD136*EF!$H8)+('Net zero supporting data'!AD126*'Net zero supporting data'!AD146))*kgtoGg,"ERROR"))</f>
        <v>-52.854549172076716</v>
      </c>
      <c r="AN466" s="93">
        <f>IF('Net zero activities &amp; levers'!$C$8="Off",('Activity data'!BG9*EF!$H8)*kgtoGg,IF('Net zero activities &amp; levers'!$C$8="On",(('Net zero supporting data'!AE136*EF!$H8)+('Net zero supporting data'!AE126*'Net zero supporting data'!AE146))*kgtoGg,"ERROR"))</f>
        <v>-51.78929999692631</v>
      </c>
      <c r="AO466" s="93">
        <f>IF('Net zero activities &amp; levers'!$C$8="Off",('Activity data'!BH9*EF!$H8)*kgtoGg,IF('Net zero activities &amp; levers'!$C$8="On",(('Net zero supporting data'!AF136*EF!$H8)+('Net zero supporting data'!AF126*'Net zero supporting data'!AF146))*kgtoGg,"ERROR"))</f>
        <v>-50.734155875267454</v>
      </c>
      <c r="AP466" s="93">
        <f>IF('Net zero activities &amp; levers'!$C$8="Off",('Activity data'!BI9*EF!$H8)*kgtoGg,IF('Net zero activities &amp; levers'!$C$8="On",(('Net zero supporting data'!AG136*EF!$H8)+('Net zero supporting data'!AG126*'Net zero supporting data'!AG146))*kgtoGg,"ERROR"))</f>
        <v>-49.688332020491153</v>
      </c>
      <c r="AQ466" s="93">
        <f>IF('Net zero activities &amp; levers'!$C$8="Off",('Activity data'!BJ9*EF!$H8)*kgtoGg,IF('Net zero activities &amp; levers'!$C$8="On",(('Net zero supporting data'!AH136*EF!$H8)+('Net zero supporting data'!AH126*'Net zero supporting data'!AH146))*kgtoGg,"ERROR"))</f>
        <v>-48.651569375434605</v>
      </c>
      <c r="AR466" s="93">
        <f>IF('Net zero activities &amp; levers'!$C$8="Off",('Activity data'!BK9*EF!$H8)*kgtoGg,IF('Net zero activities &amp; levers'!$C$8="On",(('Net zero supporting data'!AI136*EF!$H8)+('Net zero supporting data'!AI126*'Net zero supporting data'!AI146))*kgtoGg,"ERROR"))</f>
        <v>-47.623109962646353</v>
      </c>
      <c r="AS466" s="93">
        <f>IF('Net zero activities &amp; levers'!$C$8="Off",('Activity data'!BL9*EF!$H8)*kgtoGg,IF('Net zero activities &amp; levers'!$C$8="On",(('Net zero supporting data'!AJ136*EF!$H8)+('Net zero supporting data'!AJ126*'Net zero supporting data'!AJ146))*kgtoGg,"ERROR"))</f>
        <v>-46.60221149513962</v>
      </c>
      <c r="AT466" s="93">
        <f>IF('Net zero activities &amp; levers'!$C$8="Off",('Activity data'!BM9*EF!$H8)*kgtoGg,IF('Net zero activities &amp; levers'!$C$8="On",(('Net zero supporting data'!AK136*EF!$H8)+('Net zero supporting data'!AK126*'Net zero supporting data'!AK146))*kgtoGg,"ERROR"))</f>
        <v>-45.588754757278259</v>
      </c>
      <c r="AU466" s="93">
        <f>IF('Net zero activities &amp; levers'!$C$8="Off",('Activity data'!BN9*EF!$H8)*kgtoGg,IF('Net zero activities &amp; levers'!$C$8="On",(('Net zero supporting data'!AL136*EF!$H8)+('Net zero supporting data'!AL126*'Net zero supporting data'!AL146))*kgtoGg,"ERROR"))</f>
        <v>-44.582802361722123</v>
      </c>
      <c r="AV466" s="93">
        <f>IF('Net zero activities &amp; levers'!$C$8="Off",('Activity data'!BO9*EF!$H8)*kgtoGg,IF('Net zero activities &amp; levers'!$C$8="On",(('Net zero supporting data'!AM136*EF!$H8)+('Net zero supporting data'!AM126*'Net zero supporting data'!AM146))*kgtoGg,"ERROR"))</f>
        <v>-43.584392718033477</v>
      </c>
      <c r="AW466" s="93">
        <f>IF('Net zero activities &amp; levers'!$C$8="Off",('Activity data'!BP9*EF!$H8)*kgtoGg,IF('Net zero activities &amp; levers'!$C$8="On",(('Net zero supporting data'!AN136*EF!$H8)+('Net zero supporting data'!AN126*'Net zero supporting data'!AN146))*kgtoGg,"ERROR"))</f>
        <v>-42.59295237809765</v>
      </c>
      <c r="AY466" s="79"/>
    </row>
    <row r="467" spans="1:51" x14ac:dyDescent="0.25">
      <c r="A467" s="95" t="str">
        <f t="shared" si="0"/>
        <v>PQ Cattle</v>
      </c>
      <c r="B467" s="95" t="s">
        <v>968</v>
      </c>
      <c r="C467" s="95" t="s">
        <v>1108</v>
      </c>
      <c r="D467" t="s">
        <v>15</v>
      </c>
      <c r="E467" t="s">
        <v>16</v>
      </c>
      <c r="F467" t="s">
        <v>67</v>
      </c>
      <c r="G467" t="s">
        <v>135</v>
      </c>
      <c r="H467" t="s">
        <v>1020</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32.967337371253549</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35.195504797614667</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36.435327957872921</v>
      </c>
      <c r="Q467" s="93">
        <f>IF('Net zero activities &amp; levers'!$C$8="Off",('Activity data'!AJ10*EF!$H9)*kgtoGg,IF('Net zero activities &amp; levers'!$C$8="On",(('Net zero supporting data'!H137*EF!$H9)+('Net zero supporting data'!H127*'Net zero supporting data'!H147))*kgtoGg,"ERROR"))</f>
        <v>37.125912791560353</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35.21788884404873</v>
      </c>
      <c r="T467" s="93">
        <f>IF('Net zero activities &amp; levers'!$C$8="Off",('Activity data'!AM10*EF!$H9)*kgtoGg,IF('Net zero activities &amp; levers'!$C$8="On",(('Net zero supporting data'!K137*EF!$H9)+('Net zero supporting data'!K127*'Net zero supporting data'!K147))*kgtoGg,"ERROR"))</f>
        <v>37.455910775606171</v>
      </c>
      <c r="U467" s="93">
        <f>IF('Net zero activities &amp; levers'!$C$8="Off",('Activity data'!AN10*EF!$H9)*kgtoGg,IF('Net zero activities &amp; levers'!$C$8="On",(('Net zero supporting data'!L137*EF!$H9)+('Net zero supporting data'!L127*'Net zero supporting data'!L147))*kgtoGg,"ERROR"))</f>
        <v>120.85470894098397</v>
      </c>
      <c r="V467" s="93">
        <f>IF('Net zero activities &amp; levers'!$C$8="Off",('Activity data'!AO10*EF!$H9)*kgtoGg,IF('Net zero activities &amp; levers'!$C$8="On",(('Net zero supporting data'!M137*EF!$H9)+('Net zero supporting data'!M127*'Net zero supporting data'!M147))*kgtoGg,"ERROR"))</f>
        <v>124.28654564348025</v>
      </c>
      <c r="W467" s="93">
        <f>IF('Net zero activities &amp; levers'!$C$8="Off",('Activity data'!AP10*EF!$H9)*kgtoGg,IF('Net zero activities &amp; levers'!$C$8="On",(('Net zero supporting data'!N137*EF!$H9)+('Net zero supporting data'!N127*'Net zero supporting data'!N147))*kgtoGg,"ERROR"))</f>
        <v>127.55864590441264</v>
      </c>
      <c r="X467" s="93">
        <f>IF('Net zero activities &amp; levers'!$C$8="Off",('Activity data'!AQ10*EF!$H9)*kgtoGg,IF('Net zero activities &amp; levers'!$C$8="On",(('Net zero supporting data'!O137*EF!$H9)+('Net zero supporting data'!O127*'Net zero supporting data'!O147))*kgtoGg,"ERROR"))</f>
        <v>130.65843671178916</v>
      </c>
      <c r="Y467" s="93">
        <f>IF('Net zero activities &amp; levers'!$C$8="Off",('Activity data'!AR10*EF!$H9)*kgtoGg,IF('Net zero activities &amp; levers'!$C$8="On",(('Net zero supporting data'!P137*EF!$H9)+('Net zero supporting data'!P127*'Net zero supporting data'!P147))*kgtoGg,"ERROR"))</f>
        <v>133.57680599902966</v>
      </c>
      <c r="Z467" s="93">
        <f>IF('Net zero activities &amp; levers'!$C$8="Off",('Activity data'!AS10*EF!$H9)*kgtoGg,IF('Net zero activities &amp; levers'!$C$8="On",(('Net zero supporting data'!Q137*EF!$H9)+('Net zero supporting data'!Q127*'Net zero supporting data'!Q147))*kgtoGg,"ERROR"))</f>
        <v>136.29836120715478</v>
      </c>
      <c r="AA467" s="93">
        <f>IF('Net zero activities &amp; levers'!$C$8="Off",('Activity data'!AT10*EF!$H9)*kgtoGg,IF('Net zero activities &amp; levers'!$C$8="On",(('Net zero supporting data'!R137*EF!$H9)+('Net zero supporting data'!R127*'Net zero supporting data'!R147))*kgtoGg,"ERROR"))</f>
        <v>138.8087353610496</v>
      </c>
      <c r="AB467" s="93">
        <f>IF('Net zero activities &amp; levers'!$C$8="Off",('Activity data'!AU10*EF!$H9)*kgtoGg,IF('Net zero activities &amp; levers'!$C$8="On",(('Net zero supporting data'!S137*EF!$H9)+('Net zero supporting data'!S127*'Net zero supporting data'!S147))*kgtoGg,"ERROR"))</f>
        <v>141.09420138271955</v>
      </c>
      <c r="AC467" s="93">
        <f>IF('Net zero activities &amp; levers'!$C$8="Off",('Activity data'!AV10*EF!$H9)*kgtoGg,IF('Net zero activities &amp; levers'!$C$8="On",(('Net zero supporting data'!T137*EF!$H9)+('Net zero supporting data'!T127*'Net zero supporting data'!T147))*kgtoGg,"ERROR"))</f>
        <v>143.14192494700313</v>
      </c>
      <c r="AD467" s="93">
        <f>IF('Net zero activities &amp; levers'!$C$8="Off",('Activity data'!AW10*EF!$H9)*kgtoGg,IF('Net zero activities &amp; levers'!$C$8="On",(('Net zero supporting data'!U137*EF!$H9)+('Net zero supporting data'!U127*'Net zero supporting data'!U147))*kgtoGg,"ERROR"))</f>
        <v>145.32079439837173</v>
      </c>
      <c r="AE467" s="93">
        <f>IF('Net zero activities &amp; levers'!$C$8="Off",('Activity data'!AX10*EF!$H9)*kgtoGg,IF('Net zero activities &amp; levers'!$C$8="On",(('Net zero supporting data'!V137*EF!$H9)+('Net zero supporting data'!V127*'Net zero supporting data'!V147))*kgtoGg,"ERROR"))</f>
        <v>147.24589460251983</v>
      </c>
      <c r="AF467" s="93">
        <f>IF('Net zero activities &amp; levers'!$C$8="Off",('Activity data'!AY10*EF!$H9)*kgtoGg,IF('Net zero activities &amp; levers'!$C$8="On",(('Net zero supporting data'!W137*EF!$H9)+('Net zero supporting data'!W127*'Net zero supporting data'!W147))*kgtoGg,"ERROR"))</f>
        <v>148.90595700146477</v>
      </c>
      <c r="AG467" s="93">
        <f>IF('Net zero activities &amp; levers'!$C$8="Off",('Activity data'!AZ10*EF!$H9)*kgtoGg,IF('Net zero activities &amp; levers'!$C$8="On",(('Net zero supporting data'!X137*EF!$H9)+('Net zero supporting data'!X127*'Net zero supporting data'!X147))*kgtoGg,"ERROR"))</f>
        <v>150.29119988084832</v>
      </c>
      <c r="AH467" s="93">
        <f>IF('Net zero activities &amp; levers'!$C$8="Off",('Activity data'!BA10*EF!$H9)*kgtoGg,IF('Net zero activities &amp; levers'!$C$8="On",(('Net zero supporting data'!Y137*EF!$H9)+('Net zero supporting data'!Y127*'Net zero supporting data'!Y147))*kgtoGg,"ERROR"))</f>
        <v>151.39298806651198</v>
      </c>
      <c r="AI467" s="93">
        <f>IF('Net zero activities &amp; levers'!$C$8="Off",('Activity data'!BB10*EF!$H9)*kgtoGg,IF('Net zero activities &amp; levers'!$C$8="On",(('Net zero supporting data'!Z137*EF!$H9)+('Net zero supporting data'!Z127*'Net zero supporting data'!Z147))*kgtoGg,"ERROR"))</f>
        <v>152.2040963869018</v>
      </c>
      <c r="AJ467" s="93">
        <f>IF('Net zero activities &amp; levers'!$C$8="Off",('Activity data'!BC10*EF!$H9)*kgtoGg,IF('Net zero activities &amp; levers'!$C$8="On",(('Net zero supporting data'!AA137*EF!$H9)+('Net zero supporting data'!AA127*'Net zero supporting data'!AA147))*kgtoGg,"ERROR"))</f>
        <v>-12.150089844770541</v>
      </c>
      <c r="AK467" s="93">
        <f>IF('Net zero activities &amp; levers'!$C$8="Off",('Activity data'!BD10*EF!$H9)*kgtoGg,IF('Net zero activities &amp; levers'!$C$8="On",(('Net zero supporting data'!AB137*EF!$H9)+('Net zero supporting data'!AB127*'Net zero supporting data'!AB147))*kgtoGg,"ERROR"))</f>
        <v>-12.261292624366734</v>
      </c>
      <c r="AL467" s="93">
        <f>IF('Net zero activities &amp; levers'!$C$8="Off",('Activity data'!BE10*EF!$H9)*kgtoGg,IF('Net zero activities &amp; levers'!$C$8="On",(('Net zero supporting data'!AC137*EF!$H9)+('Net zero supporting data'!AC127*'Net zero supporting data'!AC147))*kgtoGg,"ERROR"))</f>
        <v>-12.371760078813706</v>
      </c>
      <c r="AM467" s="93">
        <f>IF('Net zero activities &amp; levers'!$C$8="Off",('Activity data'!BF10*EF!$H9)*kgtoGg,IF('Net zero activities &amp; levers'!$C$8="On",(('Net zero supporting data'!AD137*EF!$H9)+('Net zero supporting data'!AD127*'Net zero supporting data'!AD147))*kgtoGg,"ERROR"))</f>
        <v>-12.481547229069234</v>
      </c>
      <c r="AN467" s="93">
        <f>IF('Net zero activities &amp; levers'!$C$8="Off",('Activity data'!BG10*EF!$H9)*kgtoGg,IF('Net zero activities &amp; levers'!$C$8="On",(('Net zero supporting data'!AE137*EF!$H9)+('Net zero supporting data'!AE127*'Net zero supporting data'!AE147))*kgtoGg,"ERROR"))</f>
        <v>-12.575061773814197</v>
      </c>
      <c r="AO467" s="93">
        <f>IF('Net zero activities &amp; levers'!$C$8="Off",('Activity data'!BH10*EF!$H9)*kgtoGg,IF('Net zero activities &amp; levers'!$C$8="On",(('Net zero supporting data'!AF137*EF!$H9)+('Net zero supporting data'!AF127*'Net zero supporting data'!AF147))*kgtoGg,"ERROR"))</f>
        <v>-12.667641248223251</v>
      </c>
      <c r="AP467" s="93">
        <f>IF('Net zero activities &amp; levers'!$C$8="Off",('Activity data'!BI10*EF!$H9)*kgtoGg,IF('Net zero activities &amp; levers'!$C$8="On",(('Net zero supporting data'!AG137*EF!$H9)+('Net zero supporting data'!AG127*'Net zero supporting data'!AG147))*kgtoGg,"ERROR"))</f>
        <v>-12.759143955764493</v>
      </c>
      <c r="AQ467" s="93">
        <f>IF('Net zero activities &amp; levers'!$C$8="Off",('Activity data'!BJ10*EF!$H9)*kgtoGg,IF('Net zero activities &amp; levers'!$C$8="On",(('Net zero supporting data'!AH137*EF!$H9)+('Net zero supporting data'!AH127*'Net zero supporting data'!AH147))*kgtoGg,"ERROR"))</f>
        <v>-12.849544731083009</v>
      </c>
      <c r="AR467" s="93">
        <f>IF('Net zero activities &amp; levers'!$C$8="Off",('Activity data'!BK10*EF!$H9)*kgtoGg,IF('Net zero activities &amp; levers'!$C$8="On",(('Net zero supporting data'!AI137*EF!$H9)+('Net zero supporting data'!AI127*'Net zero supporting data'!AI147))*kgtoGg,"ERROR"))</f>
        <v>-12.938674897522816</v>
      </c>
      <c r="AS467" s="93">
        <f>IF('Net zero activities &amp; levers'!$C$8="Off",('Activity data'!BL10*EF!$H9)*kgtoGg,IF('Net zero activities &amp; levers'!$C$8="On",(('Net zero supporting data'!AJ137*EF!$H9)+('Net zero supporting data'!AJ127*'Net zero supporting data'!AJ147))*kgtoGg,"ERROR"))</f>
        <v>-13.02634616662869</v>
      </c>
      <c r="AT467" s="93">
        <f>IF('Net zero activities &amp; levers'!$C$8="Off",('Activity data'!BM10*EF!$H9)*kgtoGg,IF('Net zero activities &amp; levers'!$C$8="On",(('Net zero supporting data'!AK137*EF!$H9)+('Net zero supporting data'!AK127*'Net zero supporting data'!AK147))*kgtoGg,"ERROR"))</f>
        <v>-13.112524146200343</v>
      </c>
      <c r="AU467" s="93">
        <f>IF('Net zero activities &amp; levers'!$C$8="Off",('Activity data'!BN10*EF!$H9)*kgtoGg,IF('Net zero activities &amp; levers'!$C$8="On",(('Net zero supporting data'!AL137*EF!$H9)+('Net zero supporting data'!AL127*'Net zero supporting data'!AL147))*kgtoGg,"ERROR"))</f>
        <v>-13.197221864241371</v>
      </c>
      <c r="AV467" s="93">
        <f>IF('Net zero activities &amp; levers'!$C$8="Off",('Activity data'!BO10*EF!$H9)*kgtoGg,IF('Net zero activities &amp; levers'!$C$8="On",(('Net zero supporting data'!AM137*EF!$H9)+('Net zero supporting data'!AM127*'Net zero supporting data'!AM147))*kgtoGg,"ERROR"))</f>
        <v>-13.28044453197926</v>
      </c>
      <c r="AW467" s="93">
        <f>IF('Net zero activities &amp; levers'!$C$8="Off",('Activity data'!BP10*EF!$H9)*kgtoGg,IF('Net zero activities &amp; levers'!$C$8="On",(('Net zero supporting data'!AN137*EF!$H9)+('Net zero supporting data'!AN127*'Net zero supporting data'!AN147))*kgtoGg,"ERROR"))</f>
        <v>-13.362004258887673</v>
      </c>
      <c r="AY467" s="79"/>
    </row>
    <row r="468" spans="1:51" x14ac:dyDescent="0.25">
      <c r="A468" s="95" t="str">
        <f t="shared" si="0"/>
        <v>PQ Sheep</v>
      </c>
      <c r="B468" s="95" t="s">
        <v>968</v>
      </c>
      <c r="C468" s="95" t="s">
        <v>152</v>
      </c>
      <c r="D468" t="s">
        <v>15</v>
      </c>
      <c r="E468" t="s">
        <v>16</v>
      </c>
      <c r="F468" t="s">
        <v>18</v>
      </c>
      <c r="G468" t="s">
        <v>122</v>
      </c>
      <c r="H468" t="s">
        <v>1020</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134.51556530099631</v>
      </c>
      <c r="T468" s="93">
        <f>IF('Net zero activities &amp; levers'!$C$8="Off",('Activity data'!AM11*EF!$H10)*kgtoGg,IF('Net zero activities &amp; levers'!$C$8="On",(('Net zero supporting data'!K138*EF!$H10)+('Net zero supporting data'!K128*'Net zero supporting data'!K148))*kgtoGg,"ERROR"))</f>
        <v>134.60509112337468</v>
      </c>
      <c r="U468" s="93">
        <f>IF('Net zero activities &amp; levers'!$C$8="Off",('Activity data'!AN11*EF!$H10)*kgtoGg,IF('Net zero activities &amp; levers'!$C$8="On",(('Net zero supporting data'!L138*EF!$H10)+('Net zero supporting data'!L128*'Net zero supporting data'!L148))*kgtoGg,"ERROR"))</f>
        <v>136.35833424652054</v>
      </c>
      <c r="V468" s="93">
        <f>IF('Net zero activities &amp; levers'!$C$8="Off",('Activity data'!AO11*EF!$H10)*kgtoGg,IF('Net zero activities &amp; levers'!$C$8="On",(('Net zero supporting data'!M138*EF!$H10)+('Net zero supporting data'!M128*'Net zero supporting data'!M148))*kgtoGg,"ERROR"))</f>
        <v>136.40110324414033</v>
      </c>
      <c r="W468" s="93">
        <f>IF('Net zero activities &amp; levers'!$C$8="Off",('Activity data'!AP11*EF!$H10)*kgtoGg,IF('Net zero activities &amp; levers'!$C$8="On",(('Net zero supporting data'!N138*EF!$H10)+('Net zero supporting data'!N128*'Net zero supporting data'!N148))*kgtoGg,"ERROR"))</f>
        <v>136.58404654274005</v>
      </c>
      <c r="X468" s="93">
        <f>IF('Net zero activities &amp; levers'!$C$8="Off",('Activity data'!AQ11*EF!$H10)*kgtoGg,IF('Net zero activities &amp; levers'!$C$8="On",(('Net zero supporting data'!O138*EF!$H10)+('Net zero supporting data'!O128*'Net zero supporting data'!O148))*kgtoGg,"ERROR"))</f>
        <v>136.84849552124783</v>
      </c>
      <c r="Y468" s="93">
        <f>IF('Net zero activities &amp; levers'!$C$8="Off",('Activity data'!AR11*EF!$H10)*kgtoGg,IF('Net zero activities &amp; levers'!$C$8="On",(('Net zero supporting data'!P138*EF!$H10)+('Net zero supporting data'!P128*'Net zero supporting data'!P148))*kgtoGg,"ERROR"))</f>
        <v>137.09415955987274</v>
      </c>
      <c r="Z468" s="93">
        <f>IF('Net zero activities &amp; levers'!$C$8="Off",('Activity data'!AS11*EF!$H10)*kgtoGg,IF('Net zero activities &amp; levers'!$C$8="On",(('Net zero supporting data'!Q138*EF!$H10)+('Net zero supporting data'!Q128*'Net zero supporting data'!Q148))*kgtoGg,"ERROR"))</f>
        <v>137.32408030952666</v>
      </c>
      <c r="AA468" s="93">
        <f>IF('Net zero activities &amp; levers'!$C$8="Off",('Activity data'!AT11*EF!$H10)*kgtoGg,IF('Net zero activities &amp; levers'!$C$8="On",(('Net zero supporting data'!R138*EF!$H10)+('Net zero supporting data'!R128*'Net zero supporting data'!R148))*kgtoGg,"ERROR"))</f>
        <v>137.53703172758449</v>
      </c>
      <c r="AB468" s="93">
        <f>IF('Net zero activities &amp; levers'!$C$8="Off",('Activity data'!AU11*EF!$H10)*kgtoGg,IF('Net zero activities &amp; levers'!$C$8="On",(('Net zero supporting data'!S138*EF!$H10)+('Net zero supporting data'!S128*'Net zero supporting data'!S148))*kgtoGg,"ERROR"))</f>
        <v>137.73493252382224</v>
      </c>
      <c r="AC468" s="93">
        <f>IF('Net zero activities &amp; levers'!$C$8="Off",('Activity data'!AV11*EF!$H10)*kgtoGg,IF('Net zero activities &amp; levers'!$C$8="On",(('Net zero supporting data'!T138*EF!$H10)+('Net zero supporting data'!T128*'Net zero supporting data'!T148))*kgtoGg,"ERROR"))</f>
        <v>137.92078465176073</v>
      </c>
      <c r="AD468" s="93">
        <f>IF('Net zero activities &amp; levers'!$C$8="Off",('Activity data'!AW11*EF!$H10)*kgtoGg,IF('Net zero activities &amp; levers'!$C$8="On",(('Net zero supporting data'!U138*EF!$H10)+('Net zero supporting data'!U128*'Net zero supporting data'!U148))*kgtoGg,"ERROR"))</f>
        <v>138.09441299579947</v>
      </c>
      <c r="AE468" s="93">
        <f>IF('Net zero activities &amp; levers'!$C$8="Off",('Activity data'!AX11*EF!$H10)*kgtoGg,IF('Net zero activities &amp; levers'!$C$8="On",(('Net zero supporting data'!V138*EF!$H10)+('Net zero supporting data'!V128*'Net zero supporting data'!V148))*kgtoGg,"ERROR"))</f>
        <v>138.25859465521103</v>
      </c>
      <c r="AF468" s="93">
        <f>IF('Net zero activities &amp; levers'!$C$8="Off",('Activity data'!AY11*EF!$H10)*kgtoGg,IF('Net zero activities &amp; levers'!$C$8="On",(('Net zero supporting data'!W138*EF!$H10)+('Net zero supporting data'!W128*'Net zero supporting data'!W148))*kgtoGg,"ERROR"))</f>
        <v>138.41372705764812</v>
      </c>
      <c r="AG468" s="93">
        <f>IF('Net zero activities &amp; levers'!$C$8="Off",('Activity data'!AZ11*EF!$H10)*kgtoGg,IF('Net zero activities &amp; levers'!$C$8="On",(('Net zero supporting data'!X138*EF!$H10)+('Net zero supporting data'!X128*'Net zero supporting data'!X148))*kgtoGg,"ERROR"))</f>
        <v>138.55768393469623</v>
      </c>
      <c r="AH468" s="93">
        <f>IF('Net zero activities &amp; levers'!$C$8="Off",('Activity data'!BA11*EF!$H10)*kgtoGg,IF('Net zero activities &amp; levers'!$C$8="On",(('Net zero supporting data'!Y138*EF!$H10)+('Net zero supporting data'!Y128*'Net zero supporting data'!Y148))*kgtoGg,"ERROR"))</f>
        <v>138.69178217062699</v>
      </c>
      <c r="AI468" s="93">
        <f>IF('Net zero activities &amp; levers'!$C$8="Off",('Activity data'!BB11*EF!$H10)*kgtoGg,IF('Net zero activities &amp; levers'!$C$8="On",(('Net zero supporting data'!Z138*EF!$H10)+('Net zero supporting data'!Z128*'Net zero supporting data'!Z148))*kgtoGg,"ERROR"))</f>
        <v>138.81816108295814</v>
      </c>
      <c r="AJ468" s="93">
        <f>IF('Net zero activities &amp; levers'!$C$8="Off",('Activity data'!BC11*EF!$H10)*kgtoGg,IF('Net zero activities &amp; levers'!$C$8="On",(('Net zero supporting data'!AA138*EF!$H10)+('Net zero supporting data'!AA128*'Net zero supporting data'!AA148))*kgtoGg,"ERROR"))</f>
        <v>135.77163521502163</v>
      </c>
      <c r="AK468" s="93">
        <f>IF('Net zero activities &amp; levers'!$C$8="Off",('Activity data'!BD11*EF!$H10)*kgtoGg,IF('Net zero activities &amp; levers'!$C$8="On",(('Net zero supporting data'!AB138*EF!$H10)+('Net zero supporting data'!AB128*'Net zero supporting data'!AB148))*kgtoGg,"ERROR"))</f>
        <v>135.89648953385836</v>
      </c>
      <c r="AL468" s="93">
        <f>IF('Net zero activities &amp; levers'!$C$8="Off",('Activity data'!BE11*EF!$H10)*kgtoGg,IF('Net zero activities &amp; levers'!$C$8="On",(('Net zero supporting data'!AC138*EF!$H10)+('Net zero supporting data'!AC128*'Net zero supporting data'!AC148))*kgtoGg,"ERROR"))</f>
        <v>136.01294647652736</v>
      </c>
      <c r="AM468" s="93">
        <f>IF('Net zero activities &amp; levers'!$C$8="Off",('Activity data'!BF11*EF!$H10)*kgtoGg,IF('Net zero activities &amp; levers'!$C$8="On",(('Net zero supporting data'!AD138*EF!$H10)+('Net zero supporting data'!AD128*'Net zero supporting data'!AD148))*kgtoGg,"ERROR"))</f>
        <v>136.12171776801748</v>
      </c>
      <c r="AN468" s="93">
        <f>IF('Net zero activities &amp; levers'!$C$8="Off",('Activity data'!BG11*EF!$H10)*kgtoGg,IF('Net zero activities &amp; levers'!$C$8="On",(('Net zero supporting data'!AE138*EF!$H10)+('Net zero supporting data'!AE128*'Net zero supporting data'!AE148))*kgtoGg,"ERROR"))</f>
        <v>136.22366859450332</v>
      </c>
      <c r="AO468" s="93">
        <f>IF('Net zero activities &amp; levers'!$C$8="Off",('Activity data'!BH11*EF!$H10)*kgtoGg,IF('Net zero activities &amp; levers'!$C$8="On",(('Net zero supporting data'!AF138*EF!$H10)+('Net zero supporting data'!AF128*'Net zero supporting data'!AF148))*kgtoGg,"ERROR"))</f>
        <v>136.31611723482146</v>
      </c>
      <c r="AP468" s="93">
        <f>IF('Net zero activities &amp; levers'!$C$8="Off",('Activity data'!BI11*EF!$H10)*kgtoGg,IF('Net zero activities &amp; levers'!$C$8="On",(('Net zero supporting data'!AG138*EF!$H10)+('Net zero supporting data'!AG128*'Net zero supporting data'!AG148))*kgtoGg,"ERROR"))</f>
        <v>136.39727280638544</v>
      </c>
      <c r="AQ468" s="93">
        <f>IF('Net zero activities &amp; levers'!$C$8="Off",('Activity data'!BJ11*EF!$H10)*kgtoGg,IF('Net zero activities &amp; levers'!$C$8="On",(('Net zero supporting data'!AH138*EF!$H10)+('Net zero supporting data'!AH128*'Net zero supporting data'!AH148))*kgtoGg,"ERROR"))</f>
        <v>136.46687299989276</v>
      </c>
      <c r="AR468" s="93">
        <f>IF('Net zero activities &amp; levers'!$C$8="Off",('Activity data'!BK11*EF!$H10)*kgtoGg,IF('Net zero activities &amp; levers'!$C$8="On",(('Net zero supporting data'!AI138*EF!$H10)+('Net zero supporting data'!AI128*'Net zero supporting data'!AI148))*kgtoGg,"ERROR"))</f>
        <v>136.52287982045266</v>
      </c>
      <c r="AS468" s="93">
        <f>IF('Net zero activities &amp; levers'!$C$8="Off",('Activity data'!BL11*EF!$H10)*kgtoGg,IF('Net zero activities &amp; levers'!$C$8="On",(('Net zero supporting data'!AJ138*EF!$H10)+('Net zero supporting data'!AJ128*'Net zero supporting data'!AJ148))*kgtoGg,"ERROR"))</f>
        <v>136.56307802336653</v>
      </c>
      <c r="AT468" s="93">
        <f>IF('Net zero activities &amp; levers'!$C$8="Off",('Activity data'!BM11*EF!$H10)*kgtoGg,IF('Net zero activities &amp; levers'!$C$8="On",(('Net zero supporting data'!AK138*EF!$H10)+('Net zero supporting data'!AK128*'Net zero supporting data'!AK148))*kgtoGg,"ERROR"))</f>
        <v>136.58721779491506</v>
      </c>
      <c r="AU468" s="93">
        <f>IF('Net zero activities &amp; levers'!$C$8="Off",('Activity data'!BN11*EF!$H10)*kgtoGg,IF('Net zero activities &amp; levers'!$C$8="On",(('Net zero supporting data'!AL138*EF!$H10)+('Net zero supporting data'!AL128*'Net zero supporting data'!AL148))*kgtoGg,"ERROR"))</f>
        <v>136.59564346547165</v>
      </c>
      <c r="AV468" s="93">
        <f>IF('Net zero activities &amp; levers'!$C$8="Off",('Activity data'!BO11*EF!$H10)*kgtoGg,IF('Net zero activities &amp; levers'!$C$8="On",(('Net zero supporting data'!AM138*EF!$H10)+('Net zero supporting data'!AM128*'Net zero supporting data'!AM148))*kgtoGg,"ERROR"))</f>
        <v>136.58860148831764</v>
      </c>
      <c r="AW468" s="93">
        <f>IF('Net zero activities &amp; levers'!$C$8="Off",('Activity data'!BP11*EF!$H10)*kgtoGg,IF('Net zero activities &amp; levers'!$C$8="On",(('Net zero supporting data'!AN138*EF!$H10)+('Net zero supporting data'!AN128*'Net zero supporting data'!AN148))*kgtoGg,"ERROR"))</f>
        <v>136.56400681676968</v>
      </c>
      <c r="AY468" s="79"/>
    </row>
    <row r="469" spans="1:51" x14ac:dyDescent="0.25">
      <c r="A469" s="95" t="str">
        <f t="shared" si="0"/>
        <v>PQ Sheep</v>
      </c>
      <c r="B469" s="95" t="s">
        <v>968</v>
      </c>
      <c r="C469" s="95" t="s">
        <v>152</v>
      </c>
      <c r="D469" t="s">
        <v>15</v>
      </c>
      <c r="E469" t="s">
        <v>16</v>
      </c>
      <c r="F469" t="s">
        <v>18</v>
      </c>
      <c r="G469" t="s">
        <v>123</v>
      </c>
      <c r="H469" t="s">
        <v>1020</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14.577965145623706</v>
      </c>
      <c r="T469" s="93">
        <f>IF('Net zero activities &amp; levers'!$C$8="Off",('Activity data'!AM12*EF!$H11)*kgtoGg,IF('Net zero activities &amp; levers'!$C$8="On",(('Net zero supporting data'!K139*EF!$H11)+('Net zero supporting data'!K129*'Net zero supporting data'!K149))*kgtoGg,"ERROR"))</f>
        <v>14.587667400640397</v>
      </c>
      <c r="U469" s="93">
        <f>IF('Net zero activities &amp; levers'!$C$8="Off",('Activity data'!AN12*EF!$H11)*kgtoGg,IF('Net zero activities &amp; levers'!$C$8="On",(('Net zero supporting data'!L139*EF!$H11)+('Net zero supporting data'!L129*'Net zero supporting data'!L149))*kgtoGg,"ERROR"))</f>
        <v>14.777673048565481</v>
      </c>
      <c r="V469" s="93">
        <f>IF('Net zero activities &amp; levers'!$C$8="Off",('Activity data'!AO12*EF!$H11)*kgtoGg,IF('Net zero activities &amp; levers'!$C$8="On",(('Net zero supporting data'!M139*EF!$H11)+('Net zero supporting data'!M129*'Net zero supporting data'!M149))*kgtoGg,"ERROR"))</f>
        <v>14.782308088051206</v>
      </c>
      <c r="W469" s="93">
        <f>IF('Net zero activities &amp; levers'!$C$8="Off",('Activity data'!AP12*EF!$H11)*kgtoGg,IF('Net zero activities &amp; levers'!$C$8="On",(('Net zero supporting data'!N139*EF!$H11)+('Net zero supporting data'!N129*'Net zero supporting data'!N149))*kgtoGg,"ERROR"))</f>
        <v>14.802134351462762</v>
      </c>
      <c r="X469" s="93">
        <f>IF('Net zero activities &amp; levers'!$C$8="Off",('Activity data'!AQ12*EF!$H11)*kgtoGg,IF('Net zero activities &amp; levers'!$C$8="On",(('Net zero supporting data'!O139*EF!$H11)+('Net zero supporting data'!O129*'Net zero supporting data'!O149))*kgtoGg,"ERROR"))</f>
        <v>14.830793696445298</v>
      </c>
      <c r="Y469" s="93">
        <f>IF('Net zero activities &amp; levers'!$C$8="Off",('Activity data'!AR12*EF!$H11)*kgtoGg,IF('Net zero activities &amp; levers'!$C$8="On",(('Net zero supporting data'!P139*EF!$H11)+('Net zero supporting data'!P129*'Net zero supporting data'!P149))*kgtoGg,"ERROR"))</f>
        <v>14.857417245806248</v>
      </c>
      <c r="Z469" s="93">
        <f>IF('Net zero activities &amp; levers'!$C$8="Off",('Activity data'!AS12*EF!$H11)*kgtoGg,IF('Net zero activities &amp; levers'!$C$8="On",(('Net zero supporting data'!Q139*EF!$H11)+('Net zero supporting data'!Q129*'Net zero supporting data'!Q149))*kgtoGg,"ERROR"))</f>
        <v>14.882334634862383</v>
      </c>
      <c r="AA469" s="93">
        <f>IF('Net zero activities &amp; levers'!$C$8="Off",('Activity data'!AT12*EF!$H11)*kgtoGg,IF('Net zero activities &amp; levers'!$C$8="On",(('Net zero supporting data'!R139*EF!$H11)+('Net zero supporting data'!R129*'Net zero supporting data'!R149))*kgtoGg,"ERROR"))</f>
        <v>14.905412992695631</v>
      </c>
      <c r="AB469" s="93">
        <f>IF('Net zero activities &amp; levers'!$C$8="Off",('Activity data'!AU12*EF!$H11)*kgtoGg,IF('Net zero activities &amp; levers'!$C$8="On",(('Net zero supporting data'!S139*EF!$H11)+('Net zero supporting data'!S129*'Net zero supporting data'!S149))*kgtoGg,"ERROR"))</f>
        <v>14.926860257206538</v>
      </c>
      <c r="AC469" s="93">
        <f>IF('Net zero activities &amp; levers'!$C$8="Off",('Activity data'!AV12*EF!$H11)*kgtoGg,IF('Net zero activities &amp; levers'!$C$8="On",(('Net zero supporting data'!T139*EF!$H11)+('Net zero supporting data'!T129*'Net zero supporting data'!T149))*kgtoGg,"ERROR"))</f>
        <v>14.947001761554121</v>
      </c>
      <c r="AD469" s="93">
        <f>IF('Net zero activities &amp; levers'!$C$8="Off",('Activity data'!AW12*EF!$H11)*kgtoGg,IF('Net zero activities &amp; levers'!$C$8="On",(('Net zero supporting data'!U139*EF!$H11)+('Net zero supporting data'!U129*'Net zero supporting data'!U149))*kgtoGg,"ERROR"))</f>
        <v>14.965818527792479</v>
      </c>
      <c r="AE469" s="93">
        <f>IF('Net zero activities &amp; levers'!$C$8="Off",('Activity data'!AX12*EF!$H11)*kgtoGg,IF('Net zero activities &amp; levers'!$C$8="On",(('Net zero supporting data'!V139*EF!$H11)+('Net zero supporting data'!V129*'Net zero supporting data'!V149))*kgtoGg,"ERROR"))</f>
        <v>14.983611520767653</v>
      </c>
      <c r="AF469" s="93">
        <f>IF('Net zero activities &amp; levers'!$C$8="Off",('Activity data'!AY12*EF!$H11)*kgtoGg,IF('Net zero activities &amp; levers'!$C$8="On",(('Net zero supporting data'!W139*EF!$H11)+('Net zero supporting data'!W129*'Net zero supporting data'!W149))*kgtoGg,"ERROR"))</f>
        <v>15.000423811231022</v>
      </c>
      <c r="AG469" s="93">
        <f>IF('Net zero activities &amp; levers'!$C$8="Off",('Activity data'!AZ12*EF!$H11)*kgtoGg,IF('Net zero activities &amp; levers'!$C$8="On",(('Net zero supporting data'!X139*EF!$H11)+('Net zero supporting data'!X129*'Net zero supporting data'!X149))*kgtoGg,"ERROR"))</f>
        <v>15.016024967360309</v>
      </c>
      <c r="AH469" s="93">
        <f>IF('Net zero activities &amp; levers'!$C$8="Off",('Activity data'!BA12*EF!$H11)*kgtoGg,IF('Net zero activities &amp; levers'!$C$8="On",(('Net zero supporting data'!Y139*EF!$H11)+('Net zero supporting data'!Y129*'Net zero supporting data'!Y149))*kgtoGg,"ERROR"))</f>
        <v>15.030557704929484</v>
      </c>
      <c r="AI469" s="93">
        <f>IF('Net zero activities &amp; levers'!$C$8="Off",('Activity data'!BB12*EF!$H11)*kgtoGg,IF('Net zero activities &amp; levers'!$C$8="On",(('Net zero supporting data'!Z139*EF!$H11)+('Net zero supporting data'!Z129*'Net zero supporting data'!Z149))*kgtoGg,"ERROR"))</f>
        <v>15.044253869941933</v>
      </c>
      <c r="AJ469" s="93">
        <f>IF('Net zero activities &amp; levers'!$C$8="Off",('Activity data'!BC12*EF!$H11)*kgtoGg,IF('Net zero activities &amp; levers'!$C$8="On",(('Net zero supporting data'!AA139*EF!$H11)+('Net zero supporting data'!AA129*'Net zero supporting data'!AA149))*kgtoGg,"ERROR"))</f>
        <v>14.714090235580054</v>
      </c>
      <c r="AK469" s="93">
        <f>IF('Net zero activities &amp; levers'!$C$8="Off",('Activity data'!BD12*EF!$H11)*kgtoGg,IF('Net zero activities &amp; levers'!$C$8="On",(('Net zero supporting data'!AB139*EF!$H11)+('Net zero supporting data'!AB129*'Net zero supporting data'!AB149))*kgtoGg,"ERROR"))</f>
        <v>14.727621174577411</v>
      </c>
      <c r="AL469" s="93">
        <f>IF('Net zero activities &amp; levers'!$C$8="Off",('Activity data'!BE12*EF!$H11)*kgtoGg,IF('Net zero activities &amp; levers'!$C$8="On",(('Net zero supporting data'!AC139*EF!$H11)+('Net zero supporting data'!AC129*'Net zero supporting data'!AC149))*kgtoGg,"ERROR"))</f>
        <v>14.740242057873667</v>
      </c>
      <c r="AM469" s="93">
        <f>IF('Net zero activities &amp; levers'!$C$8="Off",('Activity data'!BF12*EF!$H11)*kgtoGg,IF('Net zero activities &amp; levers'!$C$8="On",(('Net zero supporting data'!AD139*EF!$H11)+('Net zero supporting data'!AD129*'Net zero supporting data'!AD149))*kgtoGg,"ERROR"))</f>
        <v>14.752030017821943</v>
      </c>
      <c r="AN469" s="93">
        <f>IF('Net zero activities &amp; levers'!$C$8="Off",('Activity data'!BG12*EF!$H11)*kgtoGg,IF('Net zero activities &amp; levers'!$C$8="On",(('Net zero supporting data'!AE139*EF!$H11)+('Net zero supporting data'!AE129*'Net zero supporting data'!AE149))*kgtoGg,"ERROR"))</f>
        <v>14.763078817949665</v>
      </c>
      <c r="AO469" s="93">
        <f>IF('Net zero activities &amp; levers'!$C$8="Off",('Activity data'!BH12*EF!$H11)*kgtoGg,IF('Net zero activities &amp; levers'!$C$8="On",(('Net zero supporting data'!AF139*EF!$H11)+('Net zero supporting data'!AF129*'Net zero supporting data'!AF149))*kgtoGg,"ERROR"))</f>
        <v>14.773097829900454</v>
      </c>
      <c r="AP469" s="93">
        <f>IF('Net zero activities &amp; levers'!$C$8="Off",('Activity data'!BI12*EF!$H11)*kgtoGg,IF('Net zero activities &amp; levers'!$C$8="On",(('Net zero supporting data'!AG139*EF!$H11)+('Net zero supporting data'!AG129*'Net zero supporting data'!AG149))*kgtoGg,"ERROR"))</f>
        <v>14.781892968894116</v>
      </c>
      <c r="AQ469" s="93">
        <f>IF('Net zero activities &amp; levers'!$C$8="Off",('Activity data'!BJ12*EF!$H11)*kgtoGg,IF('Net zero activities &amp; levers'!$C$8="On",(('Net zero supporting data'!AH139*EF!$H11)+('Net zero supporting data'!AH129*'Net zero supporting data'!AH149))*kgtoGg,"ERROR"))</f>
        <v>14.789435807470511</v>
      </c>
      <c r="AR469" s="93">
        <f>IF('Net zero activities &amp; levers'!$C$8="Off",('Activity data'!BK12*EF!$H11)*kgtoGg,IF('Net zero activities &amp; levers'!$C$8="On",(('Net zero supporting data'!AI139*EF!$H11)+('Net zero supporting data'!AI129*'Net zero supporting data'!AI149))*kgtoGg,"ERROR"))</f>
        <v>14.795505480346009</v>
      </c>
      <c r="AS469" s="93">
        <f>IF('Net zero activities &amp; levers'!$C$8="Off",('Activity data'!BL12*EF!$H11)*kgtoGg,IF('Net zero activities &amp; levers'!$C$8="On",(('Net zero supporting data'!AJ139*EF!$H11)+('Net zero supporting data'!AJ129*'Net zero supporting data'!AJ149))*kgtoGg,"ERROR"))</f>
        <v>14.799861912998866</v>
      </c>
      <c r="AT469" s="93">
        <f>IF('Net zero activities &amp; levers'!$C$8="Off",('Activity data'!BM12*EF!$H11)*kgtoGg,IF('Net zero activities &amp; levers'!$C$8="On",(('Net zero supporting data'!AK139*EF!$H11)+('Net zero supporting data'!AK129*'Net zero supporting data'!AK149))*kgtoGg,"ERROR"))</f>
        <v>14.802478032162998</v>
      </c>
      <c r="AU469" s="93">
        <f>IF('Net zero activities &amp; levers'!$C$8="Off",('Activity data'!BN12*EF!$H11)*kgtoGg,IF('Net zero activities &amp; levers'!$C$8="On",(('Net zero supporting data'!AL139*EF!$H11)+('Net zero supporting data'!AL129*'Net zero supporting data'!AL149))*kgtoGg,"ERROR"))</f>
        <v>14.803391154234989</v>
      </c>
      <c r="AV469" s="93">
        <f>IF('Net zero activities &amp; levers'!$C$8="Off",('Activity data'!BO12*EF!$H11)*kgtoGg,IF('Net zero activities &amp; levers'!$C$8="On",(('Net zero supporting data'!AM139*EF!$H11)+('Net zero supporting data'!AM129*'Net zero supporting data'!AM149))*kgtoGg,"ERROR"))</f>
        <v>14.802627988297443</v>
      </c>
      <c r="AW469" s="93">
        <f>IF('Net zero activities &amp; levers'!$C$8="Off",('Activity data'!BP12*EF!$H11)*kgtoGg,IF('Net zero activities &amp; levers'!$C$8="On",(('Net zero supporting data'!AN139*EF!$H11)+('Net zero supporting data'!AN129*'Net zero supporting data'!AN149))*kgtoGg,"ERROR"))</f>
        <v>14.799962569884396</v>
      </c>
      <c r="AY469" s="79"/>
    </row>
    <row r="470" spans="1:51" x14ac:dyDescent="0.25">
      <c r="A470" s="95" t="str">
        <f t="shared" si="0"/>
        <v>PQ Goats</v>
      </c>
      <c r="B470" s="95" t="s">
        <v>968</v>
      </c>
      <c r="C470" s="95" t="s">
        <v>153</v>
      </c>
      <c r="D470" t="s">
        <v>15</v>
      </c>
      <c r="E470" t="s">
        <v>16</v>
      </c>
      <c r="F470" t="s">
        <v>19</v>
      </c>
      <c r="G470" t="s">
        <v>122</v>
      </c>
      <c r="H470" t="s">
        <v>1020</v>
      </c>
      <c r="I470" t="s">
        <v>121</v>
      </c>
      <c r="J470" t="s">
        <v>286</v>
      </c>
      <c r="K470" s="93">
        <f>IF('Net zero activities &amp; levers'!$C$8="Off",('Activity data'!AD13*EF!$H12)*kgtoGg,IF('Net zero activities &amp; levers'!$C$8="On",(('Net zero supporting data'!B140*EF!$H12)+('Net zero supporting data'!B130*'Net zero supporting data'!B150))*kgtoGg,"ERROR"))</f>
        <v>15.123414197798359</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15.545788610572222</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15.609909908763072</v>
      </c>
      <c r="T470" s="93">
        <f>IF('Net zero activities &amp; levers'!$C$8="Off",('Activity data'!AM13*EF!$H12)*kgtoGg,IF('Net zero activities &amp; levers'!$C$8="On",(('Net zero supporting data'!K140*EF!$H12)+('Net zero supporting data'!K130*'Net zero supporting data'!K150))*kgtoGg,"ERROR"))</f>
        <v>15.635455939498677</v>
      </c>
      <c r="U470" s="93">
        <f>IF('Net zero activities &amp; levers'!$C$8="Off",('Activity data'!AN13*EF!$H12)*kgtoGg,IF('Net zero activities &amp; levers'!$C$8="On",(('Net zero supporting data'!L140*EF!$H12)+('Net zero supporting data'!L130*'Net zero supporting data'!L150))*kgtoGg,"ERROR"))</f>
        <v>15.95246888070791</v>
      </c>
      <c r="V470" s="93">
        <f>IF('Net zero activities &amp; levers'!$C$8="Off",('Activity data'!AO13*EF!$H12)*kgtoGg,IF('Net zero activities &amp; levers'!$C$8="On",(('Net zero supporting data'!M140*EF!$H12)+('Net zero supporting data'!M130*'Net zero supporting data'!M150))*kgtoGg,"ERROR"))</f>
        <v>15.966791142533616</v>
      </c>
      <c r="W470" s="93">
        <f>IF('Net zero activities &amp; levers'!$C$8="Off",('Activity data'!AP13*EF!$H12)*kgtoGg,IF('Net zero activities &amp; levers'!$C$8="On",(('Net zero supporting data'!N140*EF!$H12)+('Net zero supporting data'!N130*'Net zero supporting data'!N150))*kgtoGg,"ERROR"))</f>
        <v>16.004709527553434</v>
      </c>
      <c r="X470" s="93">
        <f>IF('Net zero activities &amp; levers'!$C$8="Off",('Activity data'!AQ13*EF!$H12)*kgtoGg,IF('Net zero activities &amp; levers'!$C$8="On",(('Net zero supporting data'!O140*EF!$H12)+('Net zero supporting data'!O130*'Net zero supporting data'!O150))*kgtoGg,"ERROR"))</f>
        <v>16.055885293055152</v>
      </c>
      <c r="Y470" s="93">
        <f>IF('Net zero activities &amp; levers'!$C$8="Off",('Activity data'!AR13*EF!$H12)*kgtoGg,IF('Net zero activities &amp; levers'!$C$8="On",(('Net zero supporting data'!P140*EF!$H12)+('Net zero supporting data'!P130*'Net zero supporting data'!P150))*kgtoGg,"ERROR"))</f>
        <v>16.102820608505493</v>
      </c>
      <c r="Z470" s="93">
        <f>IF('Net zero activities &amp; levers'!$C$8="Off",('Activity data'!AS13*EF!$H12)*kgtoGg,IF('Net zero activities &amp; levers'!$C$8="On",(('Net zero supporting data'!Q140*EF!$H12)+('Net zero supporting data'!Q130*'Net zero supporting data'!Q150))*kgtoGg,"ERROR"))</f>
        <v>16.146135876832972</v>
      </c>
      <c r="AA470" s="93">
        <f>IF('Net zero activities &amp; levers'!$C$8="Off",('Activity data'!AT13*EF!$H12)*kgtoGg,IF('Net zero activities &amp; levers'!$C$8="On",(('Net zero supporting data'!R140*EF!$H12)+('Net zero supporting data'!R130*'Net zero supporting data'!R150))*kgtoGg,"ERROR"))</f>
        <v>16.185698238107559</v>
      </c>
      <c r="AB470" s="93">
        <f>IF('Net zero activities &amp; levers'!$C$8="Off",('Activity data'!AU13*EF!$H12)*kgtoGg,IF('Net zero activities &amp; levers'!$C$8="On",(('Net zero supporting data'!S140*EF!$H12)+('Net zero supporting data'!S130*'Net zero supporting data'!S150))*kgtoGg,"ERROR"))</f>
        <v>16.22191395009931</v>
      </c>
      <c r="AC470" s="93">
        <f>IF('Net zero activities &amp; levers'!$C$8="Off",('Activity data'!AV13*EF!$H12)*kgtoGg,IF('Net zero activities &amp; levers'!$C$8="On",(('Net zero supporting data'!T140*EF!$H12)+('Net zero supporting data'!T130*'Net zero supporting data'!T150))*kgtoGg,"ERROR"))</f>
        <v>16.25536732746065</v>
      </c>
      <c r="AD470" s="93">
        <f>IF('Net zero activities &amp; levers'!$C$8="Off",('Activity data'!AW13*EF!$H12)*kgtoGg,IF('Net zero activities &amp; levers'!$C$8="On",(('Net zero supporting data'!U140*EF!$H12)+('Net zero supporting data'!U130*'Net zero supporting data'!U150))*kgtoGg,"ERROR"))</f>
        <v>16.286085323517181</v>
      </c>
      <c r="AE470" s="93">
        <f>IF('Net zero activities &amp; levers'!$C$8="Off",('Activity data'!AX13*EF!$H12)*kgtoGg,IF('Net zero activities &amp; levers'!$C$8="On",(('Net zero supporting data'!V140*EF!$H12)+('Net zero supporting data'!V130*'Net zero supporting data'!V150))*kgtoGg,"ERROR"))</f>
        <v>16.31459834375584</v>
      </c>
      <c r="AF470" s="93">
        <f>IF('Net zero activities &amp; levers'!$C$8="Off",('Activity data'!AY13*EF!$H12)*kgtoGg,IF('Net zero activities &amp; levers'!$C$8="On",(('Net zero supporting data'!W140*EF!$H12)+('Net zero supporting data'!W130*'Net zero supporting data'!W150))*kgtoGg,"ERROR"))</f>
        <v>16.341020303059434</v>
      </c>
      <c r="AG470" s="93">
        <f>IF('Net zero activities &amp; levers'!$C$8="Off",('Activity data'!AZ13*EF!$H12)*kgtoGg,IF('Net zero activities &amp; levers'!$C$8="On",(('Net zero supporting data'!X140*EF!$H12)+('Net zero supporting data'!X130*'Net zero supporting data'!X150))*kgtoGg,"ERROR"))</f>
        <v>16.365028601066268</v>
      </c>
      <c r="AH470" s="93">
        <f>IF('Net zero activities &amp; levers'!$C$8="Off",('Activity data'!BA13*EF!$H12)*kgtoGg,IF('Net zero activities &amp; levers'!$C$8="On",(('Net zero supporting data'!Y140*EF!$H12)+('Net zero supporting data'!Y130*'Net zero supporting data'!Y150))*kgtoGg,"ERROR"))</f>
        <v>16.386889120844085</v>
      </c>
      <c r="AI470" s="93">
        <f>IF('Net zero activities &amp; levers'!$C$8="Off",('Activity data'!BB13*EF!$H12)*kgtoGg,IF('Net zero activities &amp; levers'!$C$8="On",(('Net zero supporting data'!Z140*EF!$H12)+('Net zero supporting data'!Z130*'Net zero supporting data'!Z150))*kgtoGg,"ERROR"))</f>
        <v>16.407003513902541</v>
      </c>
      <c r="AJ470" s="93">
        <f>IF('Net zero activities &amp; levers'!$C$8="Off",('Activity data'!BC13*EF!$H12)*kgtoGg,IF('Net zero activities &amp; levers'!$C$8="On",(('Net zero supporting data'!AA140*EF!$H12)+('Net zero supporting data'!AA130*'Net zero supporting data'!AA150))*kgtoGg,"ERROR"))</f>
        <v>15.886156568564889</v>
      </c>
      <c r="AK470" s="93">
        <f>IF('Net zero activities &amp; levers'!$C$8="Off",('Activity data'!BD13*EF!$H12)*kgtoGg,IF('Net zero activities &amp; levers'!$C$8="On",(('Net zero supporting data'!AB140*EF!$H12)+('Net zero supporting data'!AB130*'Net zero supporting data'!AB150))*kgtoGg,"ERROR"))</f>
        <v>15.906232465615583</v>
      </c>
      <c r="AL470" s="93">
        <f>IF('Net zero activities &amp; levers'!$C$8="Off",('Activity data'!BE13*EF!$H12)*kgtoGg,IF('Net zero activities &amp; levers'!$C$8="On",(('Net zero supporting data'!AC140*EF!$H12)+('Net zero supporting data'!AC130*'Net zero supporting data'!AC150))*kgtoGg,"ERROR"))</f>
        <v>15.924511297002383</v>
      </c>
      <c r="AM470" s="93">
        <f>IF('Net zero activities &amp; levers'!$C$8="Off",('Activity data'!BF13*EF!$H12)*kgtoGg,IF('Net zero activities &amp; levers'!$C$8="On",(('Net zero supporting data'!AD140*EF!$H12)+('Net zero supporting data'!AD130*'Net zero supporting data'!AD150))*kgtoGg,"ERROR"))</f>
        <v>15.941140997111155</v>
      </c>
      <c r="AN470" s="93">
        <f>IF('Net zero activities &amp; levers'!$C$8="Off",('Activity data'!BG13*EF!$H12)*kgtoGg,IF('Net zero activities &amp; levers'!$C$8="On",(('Net zero supporting data'!AE140*EF!$H12)+('Net zero supporting data'!AE130*'Net zero supporting data'!AE150))*kgtoGg,"ERROR"))</f>
        <v>15.956292884471127</v>
      </c>
      <c r="AO470" s="93">
        <f>IF('Net zero activities &amp; levers'!$C$8="Off",('Activity data'!BH13*EF!$H12)*kgtoGg,IF('Net zero activities &amp; levers'!$C$8="On",(('Net zero supporting data'!AF140*EF!$H12)+('Net zero supporting data'!AF130*'Net zero supporting data'!AF150))*kgtoGg,"ERROR"))</f>
        <v>15.969536826708435</v>
      </c>
      <c r="AP470" s="93">
        <f>IF('Net zero activities &amp; levers'!$C$8="Off",('Activity data'!BI13*EF!$H12)*kgtoGg,IF('Net zero activities &amp; levers'!$C$8="On",(('Net zero supporting data'!AG140*EF!$H12)+('Net zero supporting data'!AG130*'Net zero supporting data'!AG150))*kgtoGg,"ERROR"))</f>
        <v>15.980594577453482</v>
      </c>
      <c r="AQ470" s="93">
        <f>IF('Net zero activities &amp; levers'!$C$8="Off",('Activity data'!BJ13*EF!$H12)*kgtoGg,IF('Net zero activities &amp; levers'!$C$8="On",(('Net zero supporting data'!AH140*EF!$H12)+('Net zero supporting data'!AH130*'Net zero supporting data'!AH150))*kgtoGg,"ERROR"))</f>
        <v>15.989445822984647</v>
      </c>
      <c r="AR470" s="93">
        <f>IF('Net zero activities &amp; levers'!$C$8="Off",('Activity data'!BK13*EF!$H12)*kgtoGg,IF('Net zero activities &amp; levers'!$C$8="On",(('Net zero supporting data'!AI140*EF!$H12)+('Net zero supporting data'!AI130*'Net zero supporting data'!AI150))*kgtoGg,"ERROR"))</f>
        <v>15.995770985939464</v>
      </c>
      <c r="AS470" s="93">
        <f>IF('Net zero activities &amp; levers'!$C$8="Off",('Activity data'!BL13*EF!$H12)*kgtoGg,IF('Net zero activities &amp; levers'!$C$8="On",(('Net zero supporting data'!AJ140*EF!$H12)+('Net zero supporting data'!AJ130*'Net zero supporting data'!AJ150))*kgtoGg,"ERROR"))</f>
        <v>15.999221862064399</v>
      </c>
      <c r="AT470" s="93">
        <f>IF('Net zero activities &amp; levers'!$C$8="Off",('Activity data'!BM13*EF!$H12)*kgtoGg,IF('Net zero activities &amp; levers'!$C$8="On",(('Net zero supporting data'!AK140*EF!$H12)+('Net zero supporting data'!AK130*'Net zero supporting data'!AK150))*kgtoGg,"ERROR"))</f>
        <v>15.999780644603296</v>
      </c>
      <c r="AU470" s="93">
        <f>IF('Net zero activities &amp; levers'!$C$8="Off",('Activity data'!BN13*EF!$H12)*kgtoGg,IF('Net zero activities &amp; levers'!$C$8="On",(('Net zero supporting data'!AL140*EF!$H12)+('Net zero supporting data'!AL130*'Net zero supporting data'!AL150))*kgtoGg,"ERROR"))</f>
        <v>15.99752803776004</v>
      </c>
      <c r="AV470" s="93">
        <f>IF('Net zero activities &amp; levers'!$C$8="Off",('Activity data'!BO13*EF!$H12)*kgtoGg,IF('Net zero activities &amp; levers'!$C$8="On",(('Net zero supporting data'!AM140*EF!$H12)+('Net zero supporting data'!AM130*'Net zero supporting data'!AM150))*kgtoGg,"ERROR"))</f>
        <v>15.992527037206958</v>
      </c>
      <c r="AW470" s="93">
        <f>IF('Net zero activities &amp; levers'!$C$8="Off",('Activity data'!BP13*EF!$H12)*kgtoGg,IF('Net zero activities &amp; levers'!$C$8="On",(('Net zero supporting data'!AN140*EF!$H12)+('Net zero supporting data'!AN130*'Net zero supporting data'!AN150))*kgtoGg,"ERROR"))</f>
        <v>15.984450939829935</v>
      </c>
      <c r="AY470" s="79"/>
    </row>
    <row r="471" spans="1:51" x14ac:dyDescent="0.25">
      <c r="A471" s="95" t="str">
        <f t="shared" si="0"/>
        <v>PQ Goats</v>
      </c>
      <c r="B471" s="95" t="s">
        <v>968</v>
      </c>
      <c r="C471" s="95" t="s">
        <v>153</v>
      </c>
      <c r="D471" t="s">
        <v>15</v>
      </c>
      <c r="E471" t="s">
        <v>16</v>
      </c>
      <c r="F471" t="s">
        <v>19</v>
      </c>
      <c r="G471" t="s">
        <v>123</v>
      </c>
      <c r="H471" t="s">
        <v>1020</v>
      </c>
      <c r="I471" t="s">
        <v>121</v>
      </c>
      <c r="J471" t="s">
        <v>286</v>
      </c>
      <c r="K471" s="93">
        <f>IF('Net zero activities &amp; levers'!$C$8="Off",('Activity data'!AD14*EF!$H13)*kgtoGg,IF('Net zero activities &amp; levers'!$C$8="On",(('Net zero supporting data'!B141*EF!$H13)+('Net zero supporting data'!B131*'Net zero supporting data'!B151))*kgtoGg,"ERROR"))</f>
        <v>22.381101687842744</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23.101065436464115</v>
      </c>
      <c r="T471" s="93">
        <f>IF('Net zero activities &amp; levers'!$C$8="Off",('Activity data'!AM14*EF!$H13)*kgtoGg,IF('Net zero activities &amp; levers'!$C$8="On",(('Net zero supporting data'!K141*EF!$H13)+('Net zero supporting data'!K131*'Net zero supporting data'!K151))*kgtoGg,"ERROR"))</f>
        <v>23.138870941499981</v>
      </c>
      <c r="U471" s="93">
        <f>IF('Net zero activities &amp; levers'!$C$8="Off",('Activity data'!AN14*EF!$H13)*kgtoGg,IF('Net zero activities &amp; levers'!$C$8="On",(('Net zero supporting data'!L141*EF!$H13)+('Net zero supporting data'!L131*'Net zero supporting data'!L151))*kgtoGg,"ERROR"))</f>
        <v>23.608017576034321</v>
      </c>
      <c r="V471" s="93">
        <f>IF('Net zero activities &amp; levers'!$C$8="Off",('Activity data'!AO14*EF!$H13)*kgtoGg,IF('Net zero activities &amp; levers'!$C$8="On",(('Net zero supporting data'!M141*EF!$H13)+('Net zero supporting data'!M131*'Net zero supporting data'!M151))*kgtoGg,"ERROR"))</f>
        <v>23.62921305439183</v>
      </c>
      <c r="W471" s="93">
        <f>IF('Net zero activities &amp; levers'!$C$8="Off",('Activity data'!AP14*EF!$H13)*kgtoGg,IF('Net zero activities &amp; levers'!$C$8="On",(('Net zero supporting data'!N141*EF!$H13)+('Net zero supporting data'!N131*'Net zero supporting data'!N151))*kgtoGg,"ERROR"))</f>
        <v>23.685328374640804</v>
      </c>
      <c r="X471" s="93">
        <f>IF('Net zero activities &amp; levers'!$C$8="Off",('Activity data'!AQ14*EF!$H13)*kgtoGg,IF('Net zero activities &amp; levers'!$C$8="On",(('Net zero supporting data'!O141*EF!$H13)+('Net zero supporting data'!O131*'Net zero supporting data'!O151))*kgtoGg,"ERROR"))</f>
        <v>23.761063258091507</v>
      </c>
      <c r="Y471" s="93">
        <f>IF('Net zero activities &amp; levers'!$C$8="Off",('Activity data'!AR14*EF!$H13)*kgtoGg,IF('Net zero activities &amp; levers'!$C$8="On",(('Net zero supporting data'!P141*EF!$H13)+('Net zero supporting data'!P131*'Net zero supporting data'!P151))*kgtoGg,"ERROR"))</f>
        <v>23.830522710441766</v>
      </c>
      <c r="Z471" s="93">
        <f>IF('Net zero activities &amp; levers'!$C$8="Off",('Activity data'!AS14*EF!$H13)*kgtoGg,IF('Net zero activities &amp; levers'!$C$8="On",(('Net zero supporting data'!Q141*EF!$H13)+('Net zero supporting data'!Q131*'Net zero supporting data'!Q151))*kgtoGg,"ERROR"))</f>
        <v>23.894624864386248</v>
      </c>
      <c r="AA471" s="93">
        <f>IF('Net zero activities &amp; levers'!$C$8="Off",('Activity data'!AT14*EF!$H13)*kgtoGg,IF('Net zero activities &amp; levers'!$C$8="On",(('Net zero supporting data'!R141*EF!$H13)+('Net zero supporting data'!R131*'Net zero supporting data'!R151))*kgtoGg,"ERROR"))</f>
        <v>23.953173100856997</v>
      </c>
      <c r="AB471" s="93">
        <f>IF('Net zero activities &amp; levers'!$C$8="Off",('Activity data'!AU14*EF!$H13)*kgtoGg,IF('Net zero activities &amp; levers'!$C$8="On",(('Net zero supporting data'!S141*EF!$H13)+('Net zero supporting data'!S131*'Net zero supporting data'!S151))*kgtoGg,"ERROR"))</f>
        <v>24.006768639680701</v>
      </c>
      <c r="AC471" s="93">
        <f>IF('Net zero activities &amp; levers'!$C$8="Off",('Activity data'!AV14*EF!$H13)*kgtoGg,IF('Net zero activities &amp; levers'!$C$8="On",(('Net zero supporting data'!T141*EF!$H13)+('Net zero supporting data'!T131*'Net zero supporting data'!T151))*kgtoGg,"ERROR"))</f>
        <v>24.0562762066053</v>
      </c>
      <c r="AD471" s="93">
        <f>IF('Net zero activities &amp; levers'!$C$8="Off",('Activity data'!AW14*EF!$H13)*kgtoGg,IF('Net zero activities &amp; levers'!$C$8="On",(('Net zero supporting data'!U141*EF!$H13)+('Net zero supporting data'!U131*'Net zero supporting data'!U151))*kgtoGg,"ERROR"))</f>
        <v>24.101735689787876</v>
      </c>
      <c r="AE471" s="93">
        <f>IF('Net zero activities &amp; levers'!$C$8="Off",('Activity data'!AX14*EF!$H13)*kgtoGg,IF('Net zero activities &amp; levers'!$C$8="On",(('Net zero supporting data'!V141*EF!$H13)+('Net zero supporting data'!V131*'Net zero supporting data'!V151))*kgtoGg,"ERROR"))</f>
        <v>24.143932034941329</v>
      </c>
      <c r="AF471" s="93">
        <f>IF('Net zero activities &amp; levers'!$C$8="Off",('Activity data'!AY14*EF!$H13)*kgtoGg,IF('Net zero activities &amp; levers'!$C$8="On",(('Net zero supporting data'!W141*EF!$H13)+('Net zero supporting data'!W131*'Net zero supporting data'!W151))*kgtoGg,"ERROR"))</f>
        <v>24.183033824407083</v>
      </c>
      <c r="AG471" s="93">
        <f>IF('Net zero activities &amp; levers'!$C$8="Off",('Activity data'!AZ14*EF!$H13)*kgtoGg,IF('Net zero activities &amp; levers'!$C$8="On",(('Net zero supporting data'!X141*EF!$H13)+('Net zero supporting data'!X131*'Net zero supporting data'!X151))*kgtoGg,"ERROR"))</f>
        <v>24.218563642741437</v>
      </c>
      <c r="AH471" s="93">
        <f>IF('Net zero activities &amp; levers'!$C$8="Off",('Activity data'!BA14*EF!$H13)*kgtoGg,IF('Net zero activities &amp; levers'!$C$8="On",(('Net zero supporting data'!Y141*EF!$H13)+('Net zero supporting data'!Y131*'Net zero supporting data'!Y151))*kgtoGg,"ERROR"))</f>
        <v>24.250914969610982</v>
      </c>
      <c r="AI471" s="93">
        <f>IF('Net zero activities &amp; levers'!$C$8="Off",('Activity data'!BB14*EF!$H13)*kgtoGg,IF('Net zero activities &amp; levers'!$C$8="On",(('Net zero supporting data'!Z141*EF!$H13)+('Net zero supporting data'!Z131*'Net zero supporting data'!Z151))*kgtoGg,"ERROR"))</f>
        <v>24.280682208049512</v>
      </c>
      <c r="AJ471" s="93">
        <f>IF('Net zero activities &amp; levers'!$C$8="Off",('Activity data'!BC14*EF!$H13)*kgtoGg,IF('Net zero activities &amp; levers'!$C$8="On",(('Net zero supporting data'!AA141*EF!$H13)+('Net zero supporting data'!AA131*'Net zero supporting data'!AA151))*kgtoGg,"ERROR"))</f>
        <v>23.509882156226475</v>
      </c>
      <c r="AK471" s="93">
        <f>IF('Net zero activities &amp; levers'!$C$8="Off",('Activity data'!BD14*EF!$H13)*kgtoGg,IF('Net zero activities &amp; levers'!$C$8="On",(('Net zero supporting data'!AB141*EF!$H13)+('Net zero supporting data'!AB131*'Net zero supporting data'!AB151))*kgtoGg,"ERROR"))</f>
        <v>23.53959242452235</v>
      </c>
      <c r="AL471" s="93">
        <f>IF('Net zero activities &amp; levers'!$C$8="Off",('Activity data'!BE14*EF!$H13)*kgtoGg,IF('Net zero activities &amp; levers'!$C$8="On",(('Net zero supporting data'!AC141*EF!$H13)+('Net zero supporting data'!AC131*'Net zero supporting data'!AC151))*kgtoGg,"ERROR"))</f>
        <v>23.566643219974505</v>
      </c>
      <c r="AM471" s="93">
        <f>IF('Net zero activities &amp; levers'!$C$8="Off",('Activity data'!BF14*EF!$H13)*kgtoGg,IF('Net zero activities &amp; levers'!$C$8="On",(('Net zero supporting data'!AD141*EF!$H13)+('Net zero supporting data'!AD131*'Net zero supporting data'!AD151))*kgtoGg,"ERROR"))</f>
        <v>23.591253470299264</v>
      </c>
      <c r="AN471" s="93">
        <f>IF('Net zero activities &amp; levers'!$C$8="Off",('Activity data'!BG14*EF!$H13)*kgtoGg,IF('Net zero activities &amp; levers'!$C$8="On",(('Net zero supporting data'!AE141*EF!$H13)+('Net zero supporting data'!AE131*'Net zero supporting data'!AE151))*kgtoGg,"ERROR"))</f>
        <v>23.613676709346407</v>
      </c>
      <c r="AO471" s="93">
        <f>IF('Net zero activities &amp; levers'!$C$8="Off",('Activity data'!BH14*EF!$H13)*kgtoGg,IF('Net zero activities &amp; levers'!$C$8="On",(('Net zero supporting data'!AF141*EF!$H13)+('Net zero supporting data'!AF131*'Net zero supporting data'!AF151))*kgtoGg,"ERROR"))</f>
        <v>23.633276385324617</v>
      </c>
      <c r="AP471" s="93">
        <f>IF('Net zero activities &amp; levers'!$C$8="Off",('Activity data'!BI14*EF!$H13)*kgtoGg,IF('Net zero activities &amp; levers'!$C$8="On",(('Net zero supporting data'!AG141*EF!$H13)+('Net zero supporting data'!AG131*'Net zero supporting data'!AG151))*kgtoGg,"ERROR"))</f>
        <v>23.649640722148757</v>
      </c>
      <c r="AQ471" s="93">
        <f>IF('Net zero activities &amp; levers'!$C$8="Off",('Activity data'!BJ14*EF!$H13)*kgtoGg,IF('Net zero activities &amp; levers'!$C$8="On",(('Net zero supporting data'!AH141*EF!$H13)+('Net zero supporting data'!AH131*'Net zero supporting data'!AH151))*kgtoGg,"ERROR"))</f>
        <v>23.662739657594557</v>
      </c>
      <c r="AR471" s="93">
        <f>IF('Net zero activities &amp; levers'!$C$8="Off",('Activity data'!BK14*EF!$H13)*kgtoGg,IF('Net zero activities &amp; levers'!$C$8="On",(('Net zero supporting data'!AI141*EF!$H13)+('Net zero supporting data'!AI131*'Net zero supporting data'!AI151))*kgtoGg,"ERROR"))</f>
        <v>23.672100249947082</v>
      </c>
      <c r="AS471" s="93">
        <f>IF('Net zero activities &amp; levers'!$C$8="Off",('Activity data'!BL14*EF!$H13)*kgtoGg,IF('Net zero activities &amp; levers'!$C$8="On",(('Net zero supporting data'!AJ141*EF!$H13)+('Net zero supporting data'!AJ131*'Net zero supporting data'!AJ151))*kgtoGg,"ERROR"))</f>
        <v>23.67720719262908</v>
      </c>
      <c r="AT471" s="93">
        <f>IF('Net zero activities &amp; levers'!$C$8="Off",('Activity data'!BM14*EF!$H13)*kgtoGg,IF('Net zero activities &amp; levers'!$C$8="On",(('Net zero supporting data'!AK141*EF!$H13)+('Net zero supporting data'!AK131*'Net zero supporting data'!AK151))*kgtoGg,"ERROR"))</f>
        <v>23.678034133468028</v>
      </c>
      <c r="AU471" s="93">
        <f>IF('Net zero activities &amp; levers'!$C$8="Off",('Activity data'!BN14*EF!$H13)*kgtoGg,IF('Net zero activities &amp; levers'!$C$8="On",(('Net zero supporting data'!AL141*EF!$H13)+('Net zero supporting data'!AL131*'Net zero supporting data'!AL151))*kgtoGg,"ERROR"))</f>
        <v>23.674700506407216</v>
      </c>
      <c r="AV471" s="93">
        <f>IF('Net zero activities &amp; levers'!$C$8="Off",('Activity data'!BO14*EF!$H13)*kgtoGg,IF('Net zero activities &amp; levers'!$C$8="On",(('Net zero supporting data'!AM141*EF!$H13)+('Net zero supporting data'!AM131*'Net zero supporting data'!AM151))*kgtoGg,"ERROR"))</f>
        <v>23.667299538579741</v>
      </c>
      <c r="AW471" s="93">
        <f>IF('Net zero activities &amp; levers'!$C$8="Off",('Activity data'!BP14*EF!$H13)*kgtoGg,IF('Net zero activities &amp; levers'!$C$8="On",(('Net zero supporting data'!AN141*EF!$H13)+('Net zero supporting data'!AN131*'Net zero supporting data'!AN151))*kgtoGg,"ERROR"))</f>
        <v>23.655347742889163</v>
      </c>
      <c r="AY471" s="79"/>
    </row>
    <row r="472" spans="1:51" x14ac:dyDescent="0.25">
      <c r="A472" s="95" t="str">
        <f t="shared" ref="A472:A611" si="108">B472&amp;" "&amp;C472</f>
        <v>PQ Horses</v>
      </c>
      <c r="B472" s="95" t="s">
        <v>968</v>
      </c>
      <c r="C472" s="95" t="s">
        <v>3</v>
      </c>
      <c r="D472" t="s">
        <v>15</v>
      </c>
      <c r="E472" t="s">
        <v>16</v>
      </c>
      <c r="F472" t="s">
        <v>20</v>
      </c>
      <c r="G472" t="s">
        <v>3</v>
      </c>
      <c r="H472" t="s">
        <v>1020</v>
      </c>
      <c r="I472" t="s">
        <v>121</v>
      </c>
      <c r="J472" t="s">
        <v>286</v>
      </c>
      <c r="K472" s="27">
        <f>K1389</f>
        <v>5.5526214800767901</v>
      </c>
      <c r="L472" s="27">
        <f t="shared" ref="L472:AW479" si="109">L1389</f>
        <v>5.5795235710196529</v>
      </c>
      <c r="M472" s="27">
        <f t="shared" si="109"/>
        <v>5.6203482259438022</v>
      </c>
      <c r="N472" s="27">
        <f t="shared" si="109"/>
        <v>5.6290756550083767</v>
      </c>
      <c r="O472" s="27">
        <f t="shared" si="109"/>
        <v>5.6165815405282284</v>
      </c>
      <c r="P472" s="27">
        <f t="shared" si="109"/>
        <v>5.5833231296706112</v>
      </c>
      <c r="Q472" s="27">
        <f t="shared" si="109"/>
        <v>5.5648827699457364</v>
      </c>
      <c r="R472" s="27">
        <f t="shared" si="109"/>
        <v>5.5483103177944031</v>
      </c>
      <c r="S472" s="27">
        <f t="shared" si="109"/>
        <v>5.301317756839599</v>
      </c>
      <c r="T472" s="27">
        <f t="shared" si="109"/>
        <v>5.4334519326298842</v>
      </c>
      <c r="U472" s="27">
        <f t="shared" si="109"/>
        <v>11.663279711908721</v>
      </c>
      <c r="V472" s="27">
        <f t="shared" si="109"/>
        <v>11.812653235838557</v>
      </c>
      <c r="W472" s="27">
        <f t="shared" si="109"/>
        <v>11.932954790442608</v>
      </c>
      <c r="X472" s="27">
        <f t="shared" si="109"/>
        <v>12.029772886609605</v>
      </c>
      <c r="Y472" s="27">
        <f t="shared" si="109"/>
        <v>12.113873667726716</v>
      </c>
      <c r="Z472" s="27">
        <f t="shared" si="109"/>
        <v>12.184301808011908</v>
      </c>
      <c r="AA472" s="27">
        <f t="shared" si="109"/>
        <v>12.240662308750712</v>
      </c>
      <c r="AB472" s="27">
        <f t="shared" si="109"/>
        <v>12.282268429354316</v>
      </c>
      <c r="AC472" s="27">
        <f t="shared" si="109"/>
        <v>12.308384588149881</v>
      </c>
      <c r="AD472" s="27">
        <f t="shared" si="109"/>
        <v>12.31872545788376</v>
      </c>
      <c r="AE472" s="27">
        <f t="shared" si="109"/>
        <v>12.312750989800492</v>
      </c>
      <c r="AF472" s="27">
        <f t="shared" si="109"/>
        <v>12.290286651516004</v>
      </c>
      <c r="AG472" s="27">
        <f t="shared" si="109"/>
        <v>12.251535501678408</v>
      </c>
      <c r="AH472" s="27">
        <f t="shared" si="109"/>
        <v>12.196396092630039</v>
      </c>
      <c r="AI472" s="27">
        <f t="shared" si="109"/>
        <v>12.124769930026071</v>
      </c>
      <c r="AJ472" s="27">
        <f t="shared" si="109"/>
        <v>1.7851056965565462</v>
      </c>
      <c r="AK472" s="27">
        <f t="shared" si="109"/>
        <v>1.7851056965565462</v>
      </c>
      <c r="AL472" s="27">
        <f t="shared" si="109"/>
        <v>1.7851056965565462</v>
      </c>
      <c r="AM472" s="27">
        <f t="shared" si="109"/>
        <v>1.7851056965565462</v>
      </c>
      <c r="AN472" s="27">
        <f t="shared" si="109"/>
        <v>1.7851056965565462</v>
      </c>
      <c r="AO472" s="27">
        <f t="shared" si="109"/>
        <v>1.7851056965565462</v>
      </c>
      <c r="AP472" s="27">
        <f t="shared" si="109"/>
        <v>1.7851056965565462</v>
      </c>
      <c r="AQ472" s="27">
        <f t="shared" si="109"/>
        <v>1.7851056965565462</v>
      </c>
      <c r="AR472" s="27">
        <f t="shared" si="109"/>
        <v>1.7851056965565462</v>
      </c>
      <c r="AS472" s="27">
        <f t="shared" si="109"/>
        <v>1.7851056965565462</v>
      </c>
      <c r="AT472" s="27">
        <f t="shared" si="109"/>
        <v>1.7851056965565462</v>
      </c>
      <c r="AU472" s="27">
        <f t="shared" si="109"/>
        <v>1.7851056965565462</v>
      </c>
      <c r="AV472" s="27">
        <f t="shared" si="109"/>
        <v>1.7851056965565462</v>
      </c>
      <c r="AW472" s="27">
        <f t="shared" si="109"/>
        <v>1.7851056965565462</v>
      </c>
      <c r="AY472" s="79"/>
    </row>
    <row r="473" spans="1:51" x14ac:dyDescent="0.25">
      <c r="A473" s="95" t="str">
        <f t="shared" si="108"/>
        <v>PQ Mules&amp;Asses</v>
      </c>
      <c r="B473" s="95" t="s">
        <v>968</v>
      </c>
      <c r="C473" s="95" t="s">
        <v>1323</v>
      </c>
      <c r="D473" t="s">
        <v>15</v>
      </c>
      <c r="E473" t="s">
        <v>16</v>
      </c>
      <c r="F473" t="s">
        <v>140</v>
      </c>
      <c r="G473" t="s">
        <v>124</v>
      </c>
      <c r="H473" t="s">
        <v>1020</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25">
      <c r="A474" s="95" t="str">
        <f t="shared" si="108"/>
        <v>PQ Swine</v>
      </c>
      <c r="B474" s="95" t="s">
        <v>968</v>
      </c>
      <c r="C474" s="95" t="s">
        <v>155</v>
      </c>
      <c r="D474" t="s">
        <v>15</v>
      </c>
      <c r="E474" t="s">
        <v>16</v>
      </c>
      <c r="F474" t="s">
        <v>21</v>
      </c>
      <c r="G474" t="s">
        <v>122</v>
      </c>
      <c r="H474" t="s">
        <v>1020</v>
      </c>
      <c r="I474" t="s">
        <v>121</v>
      </c>
      <c r="J474" t="s">
        <v>286</v>
      </c>
      <c r="K474" s="27">
        <f t="shared" si="110"/>
        <v>1.8400999552016302</v>
      </c>
      <c r="L474" s="27">
        <f t="shared" si="109"/>
        <v>1.8300977880312248</v>
      </c>
      <c r="M474" s="27">
        <f t="shared" si="109"/>
        <v>1.8309187348828151</v>
      </c>
      <c r="N474" s="27">
        <f t="shared" si="109"/>
        <v>1.8141094978660448</v>
      </c>
      <c r="O474" s="27">
        <f t="shared" si="109"/>
        <v>1.7866561368117295</v>
      </c>
      <c r="P474" s="27">
        <f t="shared" si="109"/>
        <v>1.7489975228040082</v>
      </c>
      <c r="Q474" s="27">
        <f t="shared" si="109"/>
        <v>1.721653192801009</v>
      </c>
      <c r="R474" s="27">
        <f t="shared" si="109"/>
        <v>1.6967284692901872</v>
      </c>
      <c r="S474" s="27">
        <f t="shared" si="109"/>
        <v>1.5265878305982445</v>
      </c>
      <c r="T474" s="27">
        <f t="shared" si="109"/>
        <v>1.5810995176609606</v>
      </c>
      <c r="U474" s="27">
        <f t="shared" si="109"/>
        <v>5.0540136125986557</v>
      </c>
      <c r="V474" s="27">
        <f t="shared" si="109"/>
        <v>5.0678679159640359</v>
      </c>
      <c r="W474" s="27">
        <f t="shared" si="109"/>
        <v>5.0729847165704873</v>
      </c>
      <c r="X474" s="27">
        <f t="shared" si="109"/>
        <v>5.0695948867136602</v>
      </c>
      <c r="Y474" s="27">
        <f t="shared" si="109"/>
        <v>5.0582098272592386</v>
      </c>
      <c r="Z474" s="27">
        <f t="shared" si="109"/>
        <v>5.0387249592432335</v>
      </c>
      <c r="AA474" s="27">
        <f t="shared" si="109"/>
        <v>5.0111122815709459</v>
      </c>
      <c r="AB474" s="27">
        <f t="shared" si="109"/>
        <v>4.9753743834920021</v>
      </c>
      <c r="AC474" s="27">
        <f t="shared" si="109"/>
        <v>4.9315571021349269</v>
      </c>
      <c r="AD474" s="27">
        <f t="shared" si="109"/>
        <v>4.8797732145240138</v>
      </c>
      <c r="AE474" s="27">
        <f t="shared" si="109"/>
        <v>4.8201653478957827</v>
      </c>
      <c r="AF474" s="27">
        <f t="shared" si="109"/>
        <v>4.7529350466048701</v>
      </c>
      <c r="AG474" s="27">
        <f t="shared" si="109"/>
        <v>4.6783405786979539</v>
      </c>
      <c r="AH474" s="27">
        <f t="shared" si="109"/>
        <v>4.5966617003060959</v>
      </c>
      <c r="AI474" s="27">
        <f t="shared" si="109"/>
        <v>4.5082123470458679</v>
      </c>
      <c r="AJ474" s="27">
        <f t="shared" si="109"/>
        <v>-0.42008552544106242</v>
      </c>
      <c r="AK474" s="27">
        <f t="shared" si="109"/>
        <v>-0.41553771612775497</v>
      </c>
      <c r="AL474" s="27">
        <f t="shared" si="109"/>
        <v>-0.41097379422953517</v>
      </c>
      <c r="AM474" s="27">
        <f t="shared" si="109"/>
        <v>-0.40639849459231969</v>
      </c>
      <c r="AN474" s="27">
        <f t="shared" si="109"/>
        <v>-0.40181705013442426</v>
      </c>
      <c r="AO474" s="27">
        <f t="shared" si="109"/>
        <v>-0.39721731633182522</v>
      </c>
      <c r="AP474" s="27">
        <f t="shared" si="109"/>
        <v>-0.39259212331291987</v>
      </c>
      <c r="AQ474" s="27">
        <f t="shared" si="109"/>
        <v>-0.38794191787285037</v>
      </c>
      <c r="AR474" s="27">
        <f t="shared" si="109"/>
        <v>-0.38325899383328277</v>
      </c>
      <c r="AS474" s="27">
        <f t="shared" si="109"/>
        <v>-0.37853535700522173</v>
      </c>
      <c r="AT474" s="27">
        <f t="shared" si="109"/>
        <v>-0.37377234804073223</v>
      </c>
      <c r="AU474" s="27">
        <f t="shared" si="109"/>
        <v>-0.36897393039459231</v>
      </c>
      <c r="AV474" s="27">
        <f t="shared" si="109"/>
        <v>-0.36414349435249727</v>
      </c>
      <c r="AW474" s="27">
        <f t="shared" si="109"/>
        <v>-0.35927435241905337</v>
      </c>
      <c r="AY474" s="79"/>
    </row>
    <row r="475" spans="1:51" x14ac:dyDescent="0.25">
      <c r="A475" s="95" t="str">
        <f t="shared" si="108"/>
        <v>PQ Swine</v>
      </c>
      <c r="B475" s="95" t="s">
        <v>968</v>
      </c>
      <c r="C475" s="95" t="s">
        <v>155</v>
      </c>
      <c r="D475" t="s">
        <v>15</v>
      </c>
      <c r="E475" t="s">
        <v>16</v>
      </c>
      <c r="F475" t="s">
        <v>21</v>
      </c>
      <c r="G475" t="s">
        <v>123</v>
      </c>
      <c r="H475" t="s">
        <v>1020</v>
      </c>
      <c r="I475" t="s">
        <v>121</v>
      </c>
      <c r="J475" t="s">
        <v>286</v>
      </c>
      <c r="K475" s="27">
        <f t="shared" si="110"/>
        <v>0.25496723934882604</v>
      </c>
      <c r="L475" s="27">
        <f t="shared" si="109"/>
        <v>0.25358132281546891</v>
      </c>
      <c r="M475" s="27">
        <f t="shared" si="109"/>
        <v>0.25369507454499335</v>
      </c>
      <c r="N475" s="27">
        <f t="shared" si="109"/>
        <v>0.25136595935447842</v>
      </c>
      <c r="O475" s="27">
        <f t="shared" si="109"/>
        <v>0.247561977044127</v>
      </c>
      <c r="P475" s="27">
        <f t="shared" si="109"/>
        <v>0.24234393830437845</v>
      </c>
      <c r="Q475" s="27">
        <f t="shared" si="109"/>
        <v>0.23855506351363695</v>
      </c>
      <c r="R475" s="27">
        <f t="shared" si="109"/>
        <v>0.23510145332951485</v>
      </c>
      <c r="S475" s="27">
        <f t="shared" si="109"/>
        <v>0.21152649000988519</v>
      </c>
      <c r="T475" s="27">
        <f t="shared" si="109"/>
        <v>0.21907971793282416</v>
      </c>
      <c r="U475" s="27">
        <f t="shared" si="109"/>
        <v>0.70029233726842122</v>
      </c>
      <c r="V475" s="27">
        <f t="shared" si="109"/>
        <v>0.70221201205140604</v>
      </c>
      <c r="W475" s="27">
        <f t="shared" si="109"/>
        <v>0.7029210042565508</v>
      </c>
      <c r="X475" s="27">
        <f t="shared" si="109"/>
        <v>0.70245130392423227</v>
      </c>
      <c r="Y475" s="27">
        <f t="shared" si="109"/>
        <v>0.70087377158925745</v>
      </c>
      <c r="Z475" s="27">
        <f t="shared" si="109"/>
        <v>0.6981739166204699</v>
      </c>
      <c r="AA475" s="27">
        <f t="shared" si="109"/>
        <v>0.69434785914069519</v>
      </c>
      <c r="AB475" s="27">
        <f t="shared" si="109"/>
        <v>0.68939595792056851</v>
      </c>
      <c r="AC475" s="27">
        <f t="shared" si="109"/>
        <v>0.68332456422708854</v>
      </c>
      <c r="AD475" s="27">
        <f t="shared" si="109"/>
        <v>0.67614930462796652</v>
      </c>
      <c r="AE475" s="27">
        <f t="shared" si="109"/>
        <v>0.66788994178481698</v>
      </c>
      <c r="AF475" s="27">
        <f t="shared" si="109"/>
        <v>0.65857440201086193</v>
      </c>
      <c r="AG475" s="27">
        <f t="shared" si="109"/>
        <v>0.64823847134624946</v>
      </c>
      <c r="AH475" s="27">
        <f t="shared" si="109"/>
        <v>0.63692091325501032</v>
      </c>
      <c r="AI475" s="27">
        <f t="shared" si="109"/>
        <v>0.62466522716621964</v>
      </c>
      <c r="AJ475" s="27">
        <f t="shared" si="109"/>
        <v>-5.8207732905668316E-2</v>
      </c>
      <c r="AK475" s="27">
        <f t="shared" si="109"/>
        <v>-5.7577581058524868E-2</v>
      </c>
      <c r="AL475" s="27">
        <f t="shared" si="109"/>
        <v>-5.6945196625438323E-2</v>
      </c>
      <c r="AM475" s="27">
        <f t="shared" si="109"/>
        <v>-5.6311235674351458E-2</v>
      </c>
      <c r="AN475" s="27">
        <f t="shared" si="109"/>
        <v>-5.5676423286927873E-2</v>
      </c>
      <c r="AO475" s="27">
        <f t="shared" si="109"/>
        <v>-5.5039076698188007E-2</v>
      </c>
      <c r="AP475" s="27">
        <f t="shared" si="109"/>
        <v>-5.4398202439073888E-2</v>
      </c>
      <c r="AQ475" s="27">
        <f t="shared" si="109"/>
        <v>-5.3753862418246326E-2</v>
      </c>
      <c r="AR475" s="27">
        <f t="shared" si="109"/>
        <v>-5.3104988855115366E-2</v>
      </c>
      <c r="AS475" s="27">
        <f t="shared" si="109"/>
        <v>-5.2450474061865898E-2</v>
      </c>
      <c r="AT475" s="27">
        <f t="shared" si="109"/>
        <v>-5.1790503801426135E-2</v>
      </c>
      <c r="AU475" s="27">
        <f t="shared" si="109"/>
        <v>-5.1125627256529457E-2</v>
      </c>
      <c r="AV475" s="27">
        <f t="shared" si="109"/>
        <v>-5.0456314190669899E-2</v>
      </c>
      <c r="AW475" s="27">
        <f t="shared" si="109"/>
        <v>-4.9781637973620729E-2</v>
      </c>
      <c r="AY475" s="79"/>
    </row>
    <row r="476" spans="1:51" x14ac:dyDescent="0.25">
      <c r="A476" s="95" t="str">
        <f t="shared" si="108"/>
        <v>PQ Cattle MMCH4</v>
      </c>
      <c r="B476" s="95" t="s">
        <v>968</v>
      </c>
      <c r="C476" s="95" t="s">
        <v>1229</v>
      </c>
      <c r="D476" t="s">
        <v>15</v>
      </c>
      <c r="E476" t="s">
        <v>22</v>
      </c>
      <c r="F476" t="s">
        <v>6</v>
      </c>
      <c r="G476" t="s">
        <v>136</v>
      </c>
      <c r="H476" t="s">
        <v>1227</v>
      </c>
      <c r="I476" t="s">
        <v>121</v>
      </c>
      <c r="J476" t="s">
        <v>286</v>
      </c>
      <c r="K476" s="27">
        <f t="shared" si="110"/>
        <v>7.351330651107908</v>
      </c>
      <c r="L476" s="27">
        <f t="shared" si="109"/>
        <v>7.3924283487896005</v>
      </c>
      <c r="M476" s="27">
        <f t="shared" si="109"/>
        <v>7.4507389435191715</v>
      </c>
      <c r="N476" s="27">
        <f t="shared" si="109"/>
        <v>7.4882097119910753</v>
      </c>
      <c r="O476" s="27">
        <f t="shared" si="109"/>
        <v>7.5131092090175455</v>
      </c>
      <c r="P476" s="27">
        <f t="shared" si="109"/>
        <v>7.5251923679492423</v>
      </c>
      <c r="Q476" s="27">
        <f t="shared" si="109"/>
        <v>7.5518885629203734</v>
      </c>
      <c r="R476" s="27">
        <f t="shared" si="109"/>
        <v>7.5825135825669054</v>
      </c>
      <c r="S476" s="27">
        <f t="shared" si="109"/>
        <v>7.3670594492211752</v>
      </c>
      <c r="T476" s="27">
        <f t="shared" si="109"/>
        <v>7.4938201403917679</v>
      </c>
      <c r="U476" s="27">
        <f t="shared" si="109"/>
        <v>12.893716848831154</v>
      </c>
      <c r="V476" s="27">
        <f t="shared" si="109"/>
        <v>13.049144587269693</v>
      </c>
      <c r="W476" s="27">
        <f t="shared" si="109"/>
        <v>13.19775488481636</v>
      </c>
      <c r="X476" s="27">
        <f t="shared" si="109"/>
        <v>13.337019913111025</v>
      </c>
      <c r="Y476" s="27">
        <f t="shared" si="109"/>
        <v>13.463220566952655</v>
      </c>
      <c r="Z476" s="27">
        <f t="shared" si="109"/>
        <v>13.575767486447466</v>
      </c>
      <c r="AA476" s="27">
        <f t="shared" si="109"/>
        <v>13.674005026382902</v>
      </c>
      <c r="AB476" s="27">
        <f t="shared" si="109"/>
        <v>13.757436960081838</v>
      </c>
      <c r="AC476" s="27">
        <f t="shared" si="109"/>
        <v>13.825669744576842</v>
      </c>
      <c r="AD476" s="27">
        <f t="shared" si="109"/>
        <v>13.878289677767924</v>
      </c>
      <c r="AE476" s="27">
        <f t="shared" si="109"/>
        <v>13.915049092366717</v>
      </c>
      <c r="AF476" s="27">
        <f t="shared" si="109"/>
        <v>13.935710420523995</v>
      </c>
      <c r="AG476" s="27">
        <f t="shared" si="109"/>
        <v>13.940044142256493</v>
      </c>
      <c r="AH476" s="27">
        <f t="shared" si="109"/>
        <v>13.928008342806061</v>
      </c>
      <c r="AI476" s="27">
        <f t="shared" si="109"/>
        <v>13.899671543047996</v>
      </c>
      <c r="AJ476" s="27">
        <f t="shared" si="109"/>
        <v>4.3976157174808597</v>
      </c>
      <c r="AK476" s="27">
        <f t="shared" si="109"/>
        <v>4.4008259031545416</v>
      </c>
      <c r="AL476" s="27">
        <f t="shared" si="109"/>
        <v>4.403804998470318</v>
      </c>
      <c r="AM476" s="27">
        <f t="shared" si="109"/>
        <v>4.4065731559819081</v>
      </c>
      <c r="AN476" s="27">
        <f t="shared" si="109"/>
        <v>4.4091551994119804</v>
      </c>
      <c r="AO476" s="27">
        <f t="shared" si="109"/>
        <v>4.4114700909604787</v>
      </c>
      <c r="AP476" s="27">
        <f t="shared" si="109"/>
        <v>4.4134634106251305</v>
      </c>
      <c r="AQ476" s="27">
        <f t="shared" si="109"/>
        <v>4.4151264315171801</v>
      </c>
      <c r="AR476" s="27">
        <f t="shared" si="109"/>
        <v>4.4163974064588221</v>
      </c>
      <c r="AS476" s="27">
        <f t="shared" si="109"/>
        <v>4.4172092973227706</v>
      </c>
      <c r="AT476" s="27">
        <f t="shared" si="109"/>
        <v>4.4175538239653074</v>
      </c>
      <c r="AU476" s="27">
        <f t="shared" si="109"/>
        <v>4.4174405083324073</v>
      </c>
      <c r="AV476" s="27">
        <f t="shared" si="109"/>
        <v>4.4168759908828958</v>
      </c>
      <c r="AW476" s="27">
        <f t="shared" si="109"/>
        <v>4.4157972186653511</v>
      </c>
      <c r="AY476" s="79"/>
    </row>
    <row r="477" spans="1:51" x14ac:dyDescent="0.25">
      <c r="A477" s="95" t="str">
        <f t="shared" si="108"/>
        <v>PQ Cattle MMCH4</v>
      </c>
      <c r="B477" s="95" t="s">
        <v>968</v>
      </c>
      <c r="C477" s="95" t="s">
        <v>1229</v>
      </c>
      <c r="D477" t="s">
        <v>15</v>
      </c>
      <c r="E477" t="s">
        <v>22</v>
      </c>
      <c r="F477" t="s">
        <v>6</v>
      </c>
      <c r="G477" t="s">
        <v>137</v>
      </c>
      <c r="H477" t="s">
        <v>1227</v>
      </c>
      <c r="I477" t="s">
        <v>121</v>
      </c>
      <c r="J477" t="s">
        <v>286</v>
      </c>
      <c r="K477" s="27">
        <f t="shared" si="110"/>
        <v>2.0944490884992821</v>
      </c>
      <c r="L477" s="27">
        <f t="shared" si="109"/>
        <v>2.1061581299686476</v>
      </c>
      <c r="M477" s="27">
        <f t="shared" si="109"/>
        <v>2.1227712545548472</v>
      </c>
      <c r="N477" s="27">
        <f t="shared" si="109"/>
        <v>2.1334469567638776</v>
      </c>
      <c r="O477" s="27">
        <f t="shared" si="109"/>
        <v>2.1405410097083362</v>
      </c>
      <c r="P477" s="27">
        <f t="shared" si="109"/>
        <v>2.1439835920667925</v>
      </c>
      <c r="Q477" s="27">
        <f t="shared" si="109"/>
        <v>2.151589537694508</v>
      </c>
      <c r="R477" s="27">
        <f t="shared" si="109"/>
        <v>2.1603148348588097</v>
      </c>
      <c r="S477" s="27">
        <f t="shared" si="109"/>
        <v>2.0989303407289799</v>
      </c>
      <c r="T477" s="27">
        <f t="shared" si="109"/>
        <v>2.1350454097797478</v>
      </c>
      <c r="U477" s="27">
        <f t="shared" si="109"/>
        <v>3.6735163718057389</v>
      </c>
      <c r="V477" s="27">
        <f t="shared" si="109"/>
        <v>3.7177988970450366</v>
      </c>
      <c r="W477" s="27">
        <f t="shared" si="109"/>
        <v>3.7601390823815941</v>
      </c>
      <c r="X477" s="27">
        <f t="shared" si="109"/>
        <v>3.7998167306081263</v>
      </c>
      <c r="Y477" s="27">
        <f t="shared" si="109"/>
        <v>3.8357722408349422</v>
      </c>
      <c r="Z477" s="27">
        <f t="shared" si="109"/>
        <v>3.8678377000200475</v>
      </c>
      <c r="AA477" s="27">
        <f t="shared" si="109"/>
        <v>3.8958263099383315</v>
      </c>
      <c r="AB477" s="27">
        <f t="shared" si="109"/>
        <v>3.919596691897838</v>
      </c>
      <c r="AC477" s="27">
        <f t="shared" si="109"/>
        <v>3.9390367225635514</v>
      </c>
      <c r="AD477" s="27">
        <f t="shared" si="109"/>
        <v>3.9540285351128004</v>
      </c>
      <c r="AE477" s="27">
        <f t="shared" si="109"/>
        <v>3.9645015672826429</v>
      </c>
      <c r="AF477" s="27">
        <f t="shared" si="109"/>
        <v>3.9703881342158924</v>
      </c>
      <c r="AG477" s="27">
        <f t="shared" si="109"/>
        <v>3.9716228439525687</v>
      </c>
      <c r="AH477" s="27">
        <f t="shared" si="109"/>
        <v>3.9681937546645596</v>
      </c>
      <c r="AI477" s="27">
        <f t="shared" si="109"/>
        <v>3.9601203884617591</v>
      </c>
      <c r="AJ477" s="27">
        <f t="shared" si="109"/>
        <v>1.2529136109065901</v>
      </c>
      <c r="AK477" s="27">
        <f t="shared" si="109"/>
        <v>1.2538282168163573</v>
      </c>
      <c r="AL477" s="27">
        <f t="shared" si="109"/>
        <v>1.2546769833546632</v>
      </c>
      <c r="AM477" s="27">
        <f t="shared" si="109"/>
        <v>1.2554656521347973</v>
      </c>
      <c r="AN477" s="27">
        <f t="shared" si="109"/>
        <v>1.2562012956210231</v>
      </c>
      <c r="AO477" s="27">
        <f t="shared" si="109"/>
        <v>1.2568608255379636</v>
      </c>
      <c r="AP477" s="27">
        <f t="shared" si="109"/>
        <v>1.2574287372199238</v>
      </c>
      <c r="AQ477" s="27">
        <f t="shared" si="109"/>
        <v>1.257902544311023</v>
      </c>
      <c r="AR477" s="27">
        <f t="shared" si="109"/>
        <v>1.2582646545784513</v>
      </c>
      <c r="AS477" s="27">
        <f t="shared" si="109"/>
        <v>1.2584959683583183</v>
      </c>
      <c r="AT477" s="27">
        <f t="shared" si="109"/>
        <v>1.2585941265757443</v>
      </c>
      <c r="AU477" s="27">
        <f t="shared" si="109"/>
        <v>1.2585618421043605</v>
      </c>
      <c r="AV477" s="27">
        <f t="shared" si="109"/>
        <v>1.2584010068605544</v>
      </c>
      <c r="AW477" s="27">
        <f t="shared" si="109"/>
        <v>1.2580936565868464</v>
      </c>
      <c r="AY477" s="79"/>
    </row>
    <row r="478" spans="1:51" x14ac:dyDescent="0.25">
      <c r="A478" s="95" t="str">
        <f t="shared" si="108"/>
        <v>PQ Cattle MMCH4</v>
      </c>
      <c r="B478" s="95" t="s">
        <v>968</v>
      </c>
      <c r="C478" s="95" t="s">
        <v>1229</v>
      </c>
      <c r="D478" t="s">
        <v>15</v>
      </c>
      <c r="E478" t="s">
        <v>22</v>
      </c>
      <c r="F478" t="s">
        <v>67</v>
      </c>
      <c r="G478" t="s">
        <v>307</v>
      </c>
      <c r="H478" t="s">
        <v>1227</v>
      </c>
      <c r="I478" t="s">
        <v>121</v>
      </c>
      <c r="J478" t="s">
        <v>286</v>
      </c>
      <c r="K478" s="27">
        <f t="shared" si="110"/>
        <v>0.43258377187145641</v>
      </c>
      <c r="L478" s="27">
        <f t="shared" si="109"/>
        <v>0.43500213637199753</v>
      </c>
      <c r="M478" s="27">
        <f t="shared" si="109"/>
        <v>0.43843338143569016</v>
      </c>
      <c r="N478" s="27">
        <f t="shared" si="109"/>
        <v>0.44063832189202168</v>
      </c>
      <c r="O478" s="27">
        <f t="shared" si="109"/>
        <v>0.44210351490980404</v>
      </c>
      <c r="P478" s="27">
        <f t="shared" si="109"/>
        <v>0.44281453971808249</v>
      </c>
      <c r="Q478" s="27">
        <f t="shared" si="109"/>
        <v>0.44438545813589125</v>
      </c>
      <c r="R478" s="27">
        <f t="shared" si="109"/>
        <v>0.44618756541973903</v>
      </c>
      <c r="S478" s="27">
        <f t="shared" si="109"/>
        <v>0.43350932169879508</v>
      </c>
      <c r="T478" s="27">
        <f t="shared" si="109"/>
        <v>0.44096846352141772</v>
      </c>
      <c r="U478" s="27">
        <f t="shared" si="109"/>
        <v>0.75872150670699801</v>
      </c>
      <c r="V478" s="27">
        <f t="shared" si="109"/>
        <v>0.76786754033521754</v>
      </c>
      <c r="W478" s="27">
        <f t="shared" si="109"/>
        <v>0.77661240655096708</v>
      </c>
      <c r="X478" s="27">
        <f t="shared" si="109"/>
        <v>0.78480735711007588</v>
      </c>
      <c r="Y478" s="27">
        <f t="shared" si="109"/>
        <v>0.79223354393833789</v>
      </c>
      <c r="Z478" s="27">
        <f t="shared" si="109"/>
        <v>0.79885628657612706</v>
      </c>
      <c r="AA478" s="27">
        <f t="shared" si="109"/>
        <v>0.80463700405184546</v>
      </c>
      <c r="AB478" s="27">
        <f t="shared" si="109"/>
        <v>0.80954649626310582</v>
      </c>
      <c r="AC478" s="27">
        <f t="shared" si="109"/>
        <v>0.81356160545666301</v>
      </c>
      <c r="AD478" s="27">
        <f t="shared" si="109"/>
        <v>0.81665798762959563</v>
      </c>
      <c r="AE478" s="27">
        <f t="shared" si="109"/>
        <v>0.81882106897821283</v>
      </c>
      <c r="AF478" s="27">
        <f t="shared" si="109"/>
        <v>0.82003686999306757</v>
      </c>
      <c r="AG478" s="27">
        <f t="shared" si="109"/>
        <v>0.82029188473560344</v>
      </c>
      <c r="AH478" s="27">
        <f t="shared" si="109"/>
        <v>0.81958364676198259</v>
      </c>
      <c r="AI478" s="27">
        <f t="shared" si="109"/>
        <v>0.81791618813389544</v>
      </c>
      <c r="AJ478" s="27">
        <f t="shared" si="109"/>
        <v>0.2587745381881813</v>
      </c>
      <c r="AK478" s="27">
        <f t="shared" si="109"/>
        <v>0.25896343925834608</v>
      </c>
      <c r="AL478" s="27">
        <f t="shared" si="109"/>
        <v>0.25913874198238679</v>
      </c>
      <c r="AM478" s="27">
        <f t="shared" si="109"/>
        <v>0.25930163222285196</v>
      </c>
      <c r="AN478" s="27">
        <f t="shared" si="109"/>
        <v>0.25945357071387171</v>
      </c>
      <c r="AO478" s="27">
        <f t="shared" si="109"/>
        <v>0.25958978884430933</v>
      </c>
      <c r="AP478" s="27">
        <f t="shared" si="109"/>
        <v>0.25970708430821976</v>
      </c>
      <c r="AQ478" s="27">
        <f t="shared" si="109"/>
        <v>0.25980494357810247</v>
      </c>
      <c r="AR478" s="27">
        <f t="shared" si="109"/>
        <v>0.25987973318563101</v>
      </c>
      <c r="AS478" s="27">
        <f t="shared" si="109"/>
        <v>0.25992750832035744</v>
      </c>
      <c r="AT478" s="27">
        <f t="shared" si="109"/>
        <v>0.2599477817431719</v>
      </c>
      <c r="AU478" s="27">
        <f t="shared" si="109"/>
        <v>0.25994111376614593</v>
      </c>
      <c r="AV478" s="27">
        <f t="shared" si="109"/>
        <v>0.25990789514230944</v>
      </c>
      <c r="AW478" s="27">
        <f t="shared" si="109"/>
        <v>0.2598444155660255</v>
      </c>
      <c r="AY478" s="79"/>
    </row>
    <row r="479" spans="1:51" x14ac:dyDescent="0.25">
      <c r="A479" s="95" t="str">
        <f t="shared" si="108"/>
        <v>PQ Cattle MMCH4</v>
      </c>
      <c r="B479" s="95" t="s">
        <v>968</v>
      </c>
      <c r="C479" s="95" t="s">
        <v>1229</v>
      </c>
      <c r="D479" t="s">
        <v>15</v>
      </c>
      <c r="E479" t="s">
        <v>22</v>
      </c>
      <c r="F479" t="s">
        <v>67</v>
      </c>
      <c r="G479" t="s">
        <v>122</v>
      </c>
      <c r="H479" t="s">
        <v>1227</v>
      </c>
      <c r="I479" t="s">
        <v>121</v>
      </c>
      <c r="J479" t="s">
        <v>286</v>
      </c>
      <c r="K479" s="27">
        <f t="shared" si="110"/>
        <v>9.4871637196006525E-2</v>
      </c>
      <c r="L479" s="27">
        <f t="shared" si="109"/>
        <v>9.4048845784615531E-2</v>
      </c>
      <c r="M479" s="27">
        <f t="shared" si="109"/>
        <v>9.3735634002294232E-2</v>
      </c>
      <c r="N479" s="27">
        <f t="shared" si="109"/>
        <v>9.2483917307495112E-2</v>
      </c>
      <c r="O479" s="27">
        <f t="shared" si="109"/>
        <v>9.0667019955957343E-2</v>
      </c>
      <c r="P479" s="27">
        <f t="shared" ref="L479:AW485" si="111">P1396</f>
        <v>8.8322512540543879E-2</v>
      </c>
      <c r="Q479" s="27">
        <f t="shared" si="111"/>
        <v>8.6473330972337878E-2</v>
      </c>
      <c r="R479" s="27">
        <f t="shared" si="111"/>
        <v>8.4723794986300269E-2</v>
      </c>
      <c r="S479" s="27">
        <f t="shared" si="111"/>
        <v>7.5770078702790261E-2</v>
      </c>
      <c r="T479" s="27">
        <f t="shared" si="111"/>
        <v>7.8689269579177143E-2</v>
      </c>
      <c r="U479" s="27">
        <f t="shared" si="111"/>
        <v>0.24800462804394147</v>
      </c>
      <c r="V479" s="27">
        <f t="shared" si="111"/>
        <v>0.24920084841283532</v>
      </c>
      <c r="W479" s="27">
        <f t="shared" si="111"/>
        <v>0.24996642649158854</v>
      </c>
      <c r="X479" s="27">
        <f t="shared" si="111"/>
        <v>0.2503012063466436</v>
      </c>
      <c r="Y479" s="27">
        <f t="shared" si="111"/>
        <v>0.25021227988125561</v>
      </c>
      <c r="Z479" s="27">
        <f t="shared" si="111"/>
        <v>0.2496953846333905</v>
      </c>
      <c r="AA479" s="27">
        <f t="shared" si="111"/>
        <v>0.24874925442521903</v>
      </c>
      <c r="AB479" s="27">
        <f t="shared" si="111"/>
        <v>0.24737467209164213</v>
      </c>
      <c r="AC479" s="27">
        <f t="shared" si="111"/>
        <v>0.24557472852149176</v>
      </c>
      <c r="AD479" s="27">
        <f t="shared" si="111"/>
        <v>0.24131030034343104</v>
      </c>
      <c r="AE479" s="27">
        <f t="shared" si="111"/>
        <v>0.23664419000405892</v>
      </c>
      <c r="AF479" s="27">
        <f t="shared" si="111"/>
        <v>0.23159736326339173</v>
      </c>
      <c r="AG479" s="27">
        <f t="shared" si="111"/>
        <v>0.22619316818810492</v>
      </c>
      <c r="AH479" s="27">
        <f t="shared" si="111"/>
        <v>0.22045646078746098</v>
      </c>
      <c r="AI479" s="27">
        <f t="shared" si="111"/>
        <v>0.21441370915210514</v>
      </c>
      <c r="AJ479" s="27">
        <f t="shared" si="111"/>
        <v>-1.6555567081653722E-2</v>
      </c>
      <c r="AK479" s="27">
        <f t="shared" si="111"/>
        <v>-1.6156956868356984E-2</v>
      </c>
      <c r="AL479" s="27">
        <f t="shared" si="111"/>
        <v>-1.5762493990911713E-2</v>
      </c>
      <c r="AM479" s="27">
        <f t="shared" si="111"/>
        <v>-1.5372137708578686E-2</v>
      </c>
      <c r="AN479" s="27">
        <f t="shared" si="111"/>
        <v>-1.5062322238181812E-2</v>
      </c>
      <c r="AO479" s="27">
        <f t="shared" si="111"/>
        <v>-1.4755445706367474E-2</v>
      </c>
      <c r="AP479" s="27">
        <f t="shared" si="111"/>
        <v>-1.4451279866976845E-2</v>
      </c>
      <c r="AQ479" s="27">
        <f t="shared" si="111"/>
        <v>-1.4149749376213728E-2</v>
      </c>
      <c r="AR479" s="27">
        <f t="shared" si="111"/>
        <v>-1.3850633785054411E-2</v>
      </c>
      <c r="AS479" s="27">
        <f t="shared" si="111"/>
        <v>-1.3553717207866358E-2</v>
      </c>
      <c r="AT479" s="27">
        <f t="shared" si="111"/>
        <v>-1.3258964972152997E-2</v>
      </c>
      <c r="AU479" s="27">
        <f t="shared" si="111"/>
        <v>-1.296639528808627E-2</v>
      </c>
      <c r="AV479" s="27">
        <f t="shared" si="111"/>
        <v>-1.26760193266456E-2</v>
      </c>
      <c r="AW479" s="27">
        <f t="shared" si="111"/>
        <v>-1.2387670307042478E-2</v>
      </c>
      <c r="AY479" s="79"/>
    </row>
    <row r="480" spans="1:51" x14ac:dyDescent="0.25">
      <c r="A480" s="95" t="str">
        <f t="shared" si="108"/>
        <v>PQ Cattle MMCH4</v>
      </c>
      <c r="B480" s="95" t="s">
        <v>968</v>
      </c>
      <c r="C480" s="95" t="s">
        <v>1229</v>
      </c>
      <c r="D480" t="s">
        <v>15</v>
      </c>
      <c r="E480" t="s">
        <v>22</v>
      </c>
      <c r="F480" t="s">
        <v>67</v>
      </c>
      <c r="G480" t="s">
        <v>123</v>
      </c>
      <c r="H480" t="s">
        <v>1227</v>
      </c>
      <c r="I480" t="s">
        <v>121</v>
      </c>
      <c r="J480" t="s">
        <v>286</v>
      </c>
      <c r="K480" s="27">
        <f t="shared" si="110"/>
        <v>6.968944973410629E-2</v>
      </c>
      <c r="L480" s="27">
        <f t="shared" si="111"/>
        <v>6.908505539244103E-2</v>
      </c>
      <c r="M480" s="27">
        <f t="shared" si="111"/>
        <v>6.8854980763127779E-2</v>
      </c>
      <c r="N480" s="27">
        <f t="shared" si="111"/>
        <v>6.7935512624264296E-2</v>
      </c>
      <c r="O480" s="27">
        <f t="shared" si="111"/>
        <v>6.660088216573827E-2</v>
      </c>
      <c r="P480" s="27">
        <f t="shared" si="111"/>
        <v>6.487868745605771E-2</v>
      </c>
      <c r="Q480" s="27">
        <f t="shared" si="111"/>
        <v>6.3520342119606055E-2</v>
      </c>
      <c r="R480" s="27">
        <f t="shared" si="111"/>
        <v>6.2235193009075984E-2</v>
      </c>
      <c r="S480" s="27">
        <f t="shared" si="111"/>
        <v>5.5658100220174651E-2</v>
      </c>
      <c r="T480" s="27">
        <f t="shared" si="111"/>
        <v>5.7802437683476982E-2</v>
      </c>
      <c r="U480" s="27">
        <f t="shared" si="111"/>
        <v>0.182175690972702</v>
      </c>
      <c r="V480" s="27">
        <f t="shared" si="111"/>
        <v>0.18305439341457844</v>
      </c>
      <c r="W480" s="27">
        <f t="shared" si="111"/>
        <v>0.18361676080501965</v>
      </c>
      <c r="X480" s="27">
        <f t="shared" si="111"/>
        <v>0.18386267860058431</v>
      </c>
      <c r="Y480" s="27">
        <f t="shared" si="111"/>
        <v>0.18379735627008756</v>
      </c>
      <c r="Z480" s="27">
        <f t="shared" si="111"/>
        <v>0.18341766275515989</v>
      </c>
      <c r="AA480" s="27">
        <f t="shared" si="111"/>
        <v>0.18272266796500922</v>
      </c>
      <c r="AB480" s="27">
        <f t="shared" si="111"/>
        <v>0.18171294694329559</v>
      </c>
      <c r="AC480" s="27">
        <f t="shared" si="111"/>
        <v>0.1803907701509096</v>
      </c>
      <c r="AD480" s="27">
        <f t="shared" si="111"/>
        <v>0.17725826751953122</v>
      </c>
      <c r="AE480" s="27">
        <f t="shared" si="111"/>
        <v>0.17383070295376282</v>
      </c>
      <c r="AF480" s="27">
        <f t="shared" si="111"/>
        <v>0.17012347718159837</v>
      </c>
      <c r="AG480" s="27">
        <f t="shared" si="111"/>
        <v>0.16615374089176904</v>
      </c>
      <c r="AH480" s="27">
        <f t="shared" si="111"/>
        <v>0.16193975245589462</v>
      </c>
      <c r="AI480" s="27">
        <f t="shared" si="111"/>
        <v>0.1575009544252694</v>
      </c>
      <c r="AJ480" s="27">
        <f t="shared" si="111"/>
        <v>-1.2161151573392443E-2</v>
      </c>
      <c r="AK480" s="27">
        <f t="shared" si="111"/>
        <v>-1.1868346186618603E-2</v>
      </c>
      <c r="AL480" s="27">
        <f t="shared" si="111"/>
        <v>-1.1578587290470338E-2</v>
      </c>
      <c r="AM480" s="27">
        <f t="shared" si="111"/>
        <v>-1.1291844958198401E-2</v>
      </c>
      <c r="AN480" s="27">
        <f t="shared" si="111"/>
        <v>-1.1064265143100825E-2</v>
      </c>
      <c r="AO480" s="27">
        <f t="shared" si="111"/>
        <v>-1.0838844171453966E-2</v>
      </c>
      <c r="AP480" s="27">
        <f t="shared" si="111"/>
        <v>-1.0615414381460443E-2</v>
      </c>
      <c r="AQ480" s="27">
        <f t="shared" si="111"/>
        <v>-1.039392042815254E-2</v>
      </c>
      <c r="AR480" s="27">
        <f t="shared" si="111"/>
        <v>-1.017420037724082E-2</v>
      </c>
      <c r="AS480" s="27">
        <f t="shared" si="111"/>
        <v>-9.956095646546443E-3</v>
      </c>
      <c r="AT480" s="27">
        <f t="shared" si="111"/>
        <v>-9.739580766843E-3</v>
      </c>
      <c r="AU480" s="27">
        <f t="shared" si="111"/>
        <v>-9.5246691146980388E-3</v>
      </c>
      <c r="AV480" s="27">
        <f t="shared" si="111"/>
        <v>-9.3113688959297666E-3</v>
      </c>
      <c r="AW480" s="27">
        <f t="shared" si="111"/>
        <v>-9.0995575990930264E-3</v>
      </c>
      <c r="AY480" s="79"/>
    </row>
    <row r="481" spans="1:51" x14ac:dyDescent="0.25">
      <c r="A481" s="95" t="str">
        <f t="shared" si="108"/>
        <v>PQ Cattle MMCH4</v>
      </c>
      <c r="B481" s="95" t="s">
        <v>968</v>
      </c>
      <c r="C481" s="95" t="s">
        <v>1229</v>
      </c>
      <c r="D481" t="s">
        <v>15</v>
      </c>
      <c r="E481" t="s">
        <v>22</v>
      </c>
      <c r="F481" t="s">
        <v>67</v>
      </c>
      <c r="G481" t="s">
        <v>135</v>
      </c>
      <c r="H481" t="s">
        <v>1227</v>
      </c>
      <c r="I481" t="s">
        <v>121</v>
      </c>
      <c r="J481" t="s">
        <v>286</v>
      </c>
      <c r="K481" s="27">
        <f t="shared" si="110"/>
        <v>0.47107022937833831</v>
      </c>
      <c r="L481" s="27">
        <f t="shared" si="111"/>
        <v>0.48695387967725956</v>
      </c>
      <c r="M481" s="27">
        <f t="shared" si="111"/>
        <v>0.50580611066616787</v>
      </c>
      <c r="N481" s="27">
        <f t="shared" si="111"/>
        <v>0.51986569055899423</v>
      </c>
      <c r="O481" s="27">
        <f t="shared" si="111"/>
        <v>0.5307082628613855</v>
      </c>
      <c r="P481" s="27">
        <f t="shared" si="111"/>
        <v>0.53817886796858139</v>
      </c>
      <c r="Q481" s="27">
        <f t="shared" si="111"/>
        <v>0.54837935702304763</v>
      </c>
      <c r="R481" s="27">
        <f t="shared" si="111"/>
        <v>0.55907244781022658</v>
      </c>
      <c r="S481" s="27">
        <f t="shared" si="111"/>
        <v>0.52019632078645839</v>
      </c>
      <c r="T481" s="27">
        <f t="shared" si="111"/>
        <v>0.55325369057346974</v>
      </c>
      <c r="U481" s="27">
        <f t="shared" si="111"/>
        <v>1.7851204886019707</v>
      </c>
      <c r="V481" s="27">
        <f t="shared" si="111"/>
        <v>1.8358114551753451</v>
      </c>
      <c r="W481" s="27">
        <f t="shared" si="111"/>
        <v>1.8841429870431068</v>
      </c>
      <c r="X481" s="27">
        <f t="shared" si="111"/>
        <v>1.9299293707853407</v>
      </c>
      <c r="Y481" s="27">
        <f t="shared" si="111"/>
        <v>1.9730360139075687</v>
      </c>
      <c r="Z481" s="27">
        <f t="shared" si="111"/>
        <v>2.0132355560309785</v>
      </c>
      <c r="AA481" s="27">
        <f t="shared" si="111"/>
        <v>2.0503157854688139</v>
      </c>
      <c r="AB481" s="27">
        <f t="shared" si="111"/>
        <v>2.0840739423253991</v>
      </c>
      <c r="AC481" s="27">
        <f t="shared" si="111"/>
        <v>2.1143204533767861</v>
      </c>
      <c r="AD481" s="27">
        <f t="shared" si="111"/>
        <v>2.1465040938299391</v>
      </c>
      <c r="AE481" s="27">
        <f t="shared" si="111"/>
        <v>2.1749393600032643</v>
      </c>
      <c r="AF481" s="27">
        <f t="shared" si="111"/>
        <v>2.1994598063034698</v>
      </c>
      <c r="AG481" s="27">
        <f t="shared" si="111"/>
        <v>2.2199209490040412</v>
      </c>
      <c r="AH481" s="27">
        <f t="shared" si="111"/>
        <v>2.2361952396921123</v>
      </c>
      <c r="AI481" s="27">
        <f t="shared" si="111"/>
        <v>2.2481759568184136</v>
      </c>
      <c r="AJ481" s="27">
        <f t="shared" si="111"/>
        <v>-0.17946652232513363</v>
      </c>
      <c r="AK481" s="27">
        <f t="shared" si="111"/>
        <v>-0.18110907611543389</v>
      </c>
      <c r="AL481" s="27">
        <f t="shared" si="111"/>
        <v>-0.18274076856651822</v>
      </c>
      <c r="AM481" s="27">
        <f t="shared" si="111"/>
        <v>-0.18436241238183759</v>
      </c>
      <c r="AN481" s="27">
        <f t="shared" si="111"/>
        <v>-0.18574369682883446</v>
      </c>
      <c r="AO481" s="27">
        <f t="shared" si="111"/>
        <v>-0.18711116954081883</v>
      </c>
      <c r="AP481" s="27">
        <f t="shared" si="111"/>
        <v>-0.18846273754694579</v>
      </c>
      <c r="AQ481" s="27">
        <f t="shared" si="111"/>
        <v>-0.18979802913484242</v>
      </c>
      <c r="AR481" s="27">
        <f t="shared" si="111"/>
        <v>-0.19111455281570203</v>
      </c>
      <c r="AS481" s="27">
        <f t="shared" si="111"/>
        <v>-0.19240952741879389</v>
      </c>
      <c r="AT481" s="27">
        <f t="shared" si="111"/>
        <v>-0.19368244494387601</v>
      </c>
      <c r="AU481" s="27">
        <f t="shared" si="111"/>
        <v>-0.19493349782495742</v>
      </c>
      <c r="AV481" s="27">
        <f t="shared" si="111"/>
        <v>-0.19616276303602645</v>
      </c>
      <c r="AW481" s="27">
        <f t="shared" si="111"/>
        <v>-0.19736746528407936</v>
      </c>
      <c r="AY481" s="79"/>
    </row>
    <row r="482" spans="1:51" x14ac:dyDescent="0.25">
      <c r="A482" s="95" t="str">
        <f t="shared" si="108"/>
        <v>PQ Sheep MMCH4</v>
      </c>
      <c r="B482" s="95" t="s">
        <v>968</v>
      </c>
      <c r="C482" s="95" t="s">
        <v>1324</v>
      </c>
      <c r="D482" t="s">
        <v>15</v>
      </c>
      <c r="E482" t="s">
        <v>22</v>
      </c>
      <c r="F482" t="s">
        <v>18</v>
      </c>
      <c r="G482" t="s">
        <v>122</v>
      </c>
      <c r="H482" t="s">
        <v>1227</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3.6578192116978575E-2</v>
      </c>
      <c r="T482" s="27">
        <f t="shared" si="111"/>
        <v>3.6602536457524273E-2</v>
      </c>
      <c r="U482" s="27">
        <f t="shared" si="111"/>
        <v>3.7079287706665597E-2</v>
      </c>
      <c r="V482" s="27">
        <f t="shared" si="111"/>
        <v>3.7090917681294085E-2</v>
      </c>
      <c r="W482" s="27">
        <f t="shared" si="111"/>
        <v>3.7140664601717173E-2</v>
      </c>
      <c r="X482" s="27">
        <f t="shared" si="111"/>
        <v>3.7212574982641126E-2</v>
      </c>
      <c r="Y482" s="27">
        <f t="shared" si="111"/>
        <v>3.7279377262220796E-2</v>
      </c>
      <c r="Z482" s="27">
        <f t="shared" si="111"/>
        <v>3.7341898542443672E-2</v>
      </c>
      <c r="AA482" s="27">
        <f t="shared" si="111"/>
        <v>3.7399805431240309E-2</v>
      </c>
      <c r="AB482" s="27">
        <f t="shared" si="111"/>
        <v>3.7453619674437284E-2</v>
      </c>
      <c r="AC482" s="27">
        <f t="shared" si="111"/>
        <v>3.7504157579295157E-2</v>
      </c>
      <c r="AD482" s="27">
        <f t="shared" si="111"/>
        <v>3.755137152744302E-2</v>
      </c>
      <c r="AE482" s="27">
        <f t="shared" si="111"/>
        <v>3.7596016682571363E-2</v>
      </c>
      <c r="AF482" s="27">
        <f t="shared" si="111"/>
        <v>3.7638201115333593E-2</v>
      </c>
      <c r="AG482" s="27">
        <f t="shared" si="111"/>
        <v>3.7677346639447794E-2</v>
      </c>
      <c r="AH482" s="27">
        <f t="shared" si="111"/>
        <v>3.7713811349129885E-2</v>
      </c>
      <c r="AI482" s="27">
        <f t="shared" si="111"/>
        <v>3.7748176979043722E-2</v>
      </c>
      <c r="AJ482" s="27">
        <f t="shared" si="111"/>
        <v>3.6919749367433322E-2</v>
      </c>
      <c r="AK482" s="27">
        <f t="shared" si="111"/>
        <v>3.6953700421728228E-2</v>
      </c>
      <c r="AL482" s="27">
        <f t="shared" si="111"/>
        <v>3.6985368016573254E-2</v>
      </c>
      <c r="AM482" s="27">
        <f t="shared" si="111"/>
        <v>3.7014945688034803E-2</v>
      </c>
      <c r="AN482" s="27">
        <f t="shared" si="111"/>
        <v>3.7042668702165847E-2</v>
      </c>
      <c r="AO482" s="27">
        <f t="shared" si="111"/>
        <v>3.7067807831001554E-2</v>
      </c>
      <c r="AP482" s="27">
        <f t="shared" si="111"/>
        <v>3.7089876088168584E-2</v>
      </c>
      <c r="AQ482" s="27">
        <f t="shared" si="111"/>
        <v>3.710880214511815E-2</v>
      </c>
      <c r="AR482" s="27">
        <f t="shared" si="111"/>
        <v>3.7124031819377158E-2</v>
      </c>
      <c r="AS482" s="27">
        <f t="shared" si="111"/>
        <v>3.7134962729756575E-2</v>
      </c>
      <c r="AT482" s="27">
        <f t="shared" si="111"/>
        <v>3.7141526945573433E-2</v>
      </c>
      <c r="AU482" s="27">
        <f t="shared" si="111"/>
        <v>3.7143818098984892E-2</v>
      </c>
      <c r="AV482" s="27">
        <f t="shared" si="111"/>
        <v>3.7141903206885624E-2</v>
      </c>
      <c r="AW482" s="27">
        <f t="shared" si="111"/>
        <v>3.7135215292227401E-2</v>
      </c>
      <c r="AY482" s="79"/>
    </row>
    <row r="483" spans="1:51" x14ac:dyDescent="0.25">
      <c r="A483" s="95" t="str">
        <f t="shared" si="108"/>
        <v>PQ Sheep MMCH4</v>
      </c>
      <c r="B483" s="95" t="s">
        <v>968</v>
      </c>
      <c r="C483" s="95" t="s">
        <v>1324</v>
      </c>
      <c r="D483" t="s">
        <v>15</v>
      </c>
      <c r="E483" t="s">
        <v>22</v>
      </c>
      <c r="F483" t="s">
        <v>18</v>
      </c>
      <c r="G483" t="s">
        <v>123</v>
      </c>
      <c r="H483" t="s">
        <v>1227</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4.1774038907199012E-3</v>
      </c>
      <c r="T483" s="27">
        <f t="shared" si="111"/>
        <v>4.1801841304481904E-3</v>
      </c>
      <c r="U483" s="27">
        <f t="shared" si="111"/>
        <v>4.2346313955480986E-3</v>
      </c>
      <c r="V483" s="27">
        <f t="shared" si="111"/>
        <v>4.2359595940852672E-3</v>
      </c>
      <c r="W483" s="27">
        <f t="shared" si="111"/>
        <v>4.24164092951765E-3</v>
      </c>
      <c r="X483" s="27">
        <f t="shared" si="111"/>
        <v>4.2498534377819787E-3</v>
      </c>
      <c r="Y483" s="27">
        <f t="shared" si="111"/>
        <v>4.2574825765248842E-3</v>
      </c>
      <c r="Z483" s="27">
        <f t="shared" si="111"/>
        <v>4.2646228047357425E-3</v>
      </c>
      <c r="AA483" s="27">
        <f t="shared" si="111"/>
        <v>4.2712360474510998E-3</v>
      </c>
      <c r="AB483" s="27">
        <f t="shared" si="111"/>
        <v>4.2773818905312679E-3</v>
      </c>
      <c r="AC483" s="27">
        <f t="shared" si="111"/>
        <v>4.2831535601563532E-3</v>
      </c>
      <c r="AD483" s="27">
        <f t="shared" si="111"/>
        <v>4.2885456180814241E-3</v>
      </c>
      <c r="AE483" s="27">
        <f t="shared" si="111"/>
        <v>4.2936443075994434E-3</v>
      </c>
      <c r="AF483" s="27">
        <f t="shared" si="111"/>
        <v>4.2984619708941515E-3</v>
      </c>
      <c r="AG483" s="27">
        <f t="shared" si="111"/>
        <v>4.3029325763362138E-3</v>
      </c>
      <c r="AH483" s="27">
        <f t="shared" si="111"/>
        <v>4.3070970199919519E-3</v>
      </c>
      <c r="AI483" s="27">
        <f t="shared" si="111"/>
        <v>4.3110217387328335E-3</v>
      </c>
      <c r="AJ483" s="27">
        <f t="shared" si="111"/>
        <v>4.2164113567638812E-3</v>
      </c>
      <c r="AK483" s="27">
        <f t="shared" si="111"/>
        <v>4.2202887289929962E-3</v>
      </c>
      <c r="AL483" s="27">
        <f t="shared" si="111"/>
        <v>4.2239053192687616E-3</v>
      </c>
      <c r="AM483" s="27">
        <f t="shared" si="111"/>
        <v>4.2272832303324572E-3</v>
      </c>
      <c r="AN483" s="27">
        <f t="shared" si="111"/>
        <v>4.2304493306887332E-3</v>
      </c>
      <c r="AO483" s="27">
        <f t="shared" si="111"/>
        <v>4.2333203390281212E-3</v>
      </c>
      <c r="AP483" s="27">
        <f t="shared" si="111"/>
        <v>4.235840639185552E-3</v>
      </c>
      <c r="AQ483" s="27">
        <f t="shared" si="111"/>
        <v>4.2380020851007644E-3</v>
      </c>
      <c r="AR483" s="27">
        <f t="shared" si="111"/>
        <v>4.2397413864938057E-3</v>
      </c>
      <c r="AS483" s="27">
        <f t="shared" si="111"/>
        <v>4.2409897485616204E-3</v>
      </c>
      <c r="AT483" s="27">
        <f t="shared" si="111"/>
        <v>4.241739413296421E-3</v>
      </c>
      <c r="AU483" s="27">
        <f t="shared" si="111"/>
        <v>4.2420010739368554E-3</v>
      </c>
      <c r="AV483" s="27">
        <f t="shared" si="111"/>
        <v>4.2417823841317337E-3</v>
      </c>
      <c r="AW483" s="27">
        <f t="shared" si="111"/>
        <v>4.2410185923996346E-3</v>
      </c>
      <c r="AY483" s="79"/>
    </row>
    <row r="484" spans="1:51" x14ac:dyDescent="0.25">
      <c r="A484" s="95" t="str">
        <f t="shared" si="108"/>
        <v>PQ Goats MMCH4</v>
      </c>
      <c r="B484" s="95" t="s">
        <v>968</v>
      </c>
      <c r="C484" s="95" t="s">
        <v>1325</v>
      </c>
      <c r="D484" t="s">
        <v>15</v>
      </c>
      <c r="E484" t="s">
        <v>22</v>
      </c>
      <c r="F484" t="s">
        <v>19</v>
      </c>
      <c r="G484" t="s">
        <v>122</v>
      </c>
      <c r="H484" t="s">
        <v>1227</v>
      </c>
      <c r="I484" t="s">
        <v>121</v>
      </c>
      <c r="J484" t="s">
        <v>286</v>
      </c>
      <c r="K484" s="27">
        <f t="shared" si="110"/>
        <v>1.5789672763163301E-2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1.6230654784419023E-2</v>
      </c>
      <c r="R484" s="27">
        <f t="shared" si="111"/>
        <v>1.6337439810579345E-2</v>
      </c>
      <c r="S484" s="27">
        <f t="shared" si="111"/>
        <v>1.6297600931786334E-2</v>
      </c>
      <c r="T484" s="27">
        <f t="shared" si="111"/>
        <v>1.6324272387083224E-2</v>
      </c>
      <c r="U484" s="27">
        <f t="shared" si="111"/>
        <v>1.6655251261159847E-2</v>
      </c>
      <c r="V484" s="27">
        <f t="shared" si="111"/>
        <v>1.6670204486965774E-2</v>
      </c>
      <c r="W484" s="27">
        <f t="shared" si="111"/>
        <v>1.6709793357794805E-2</v>
      </c>
      <c r="X484" s="27">
        <f t="shared" si="111"/>
        <v>1.6763223659981074E-2</v>
      </c>
      <c r="Y484" s="27">
        <f t="shared" si="111"/>
        <v>1.6812226700055496E-2</v>
      </c>
      <c r="Z484" s="27">
        <f t="shared" si="111"/>
        <v>1.6857450212656173E-2</v>
      </c>
      <c r="AA484" s="27">
        <f t="shared" si="111"/>
        <v>1.6898755484739163E-2</v>
      </c>
      <c r="AB484" s="27">
        <f t="shared" si="111"/>
        <v>1.6936566671667971E-2</v>
      </c>
      <c r="AC484" s="27">
        <f t="shared" si="111"/>
        <v>1.697149382994385E-2</v>
      </c>
      <c r="AD484" s="27">
        <f t="shared" si="111"/>
        <v>1.7003565100315018E-2</v>
      </c>
      <c r="AE484" s="27">
        <f t="shared" si="111"/>
        <v>1.7033334255161247E-2</v>
      </c>
      <c r="AF484" s="27">
        <f t="shared" si="111"/>
        <v>1.7060920227859537E-2</v>
      </c>
      <c r="AG484" s="27">
        <f t="shared" si="111"/>
        <v>1.7085986205962782E-2</v>
      </c>
      <c r="AH484" s="27">
        <f t="shared" si="111"/>
        <v>1.7108809785956688E-2</v>
      </c>
      <c r="AI484" s="27">
        <f t="shared" si="111"/>
        <v>1.712981031401661E-2</v>
      </c>
      <c r="AJ484" s="27">
        <f t="shared" si="111"/>
        <v>1.6586017575220102E-2</v>
      </c>
      <c r="AK484" s="27">
        <f t="shared" si="111"/>
        <v>1.6606977911339412E-2</v>
      </c>
      <c r="AL484" s="27">
        <f t="shared" si="111"/>
        <v>1.6626062012476617E-2</v>
      </c>
      <c r="AM484" s="27">
        <f t="shared" si="111"/>
        <v>1.664342433023323E-2</v>
      </c>
      <c r="AN484" s="27">
        <f t="shared" si="111"/>
        <v>1.6659243730537236E-2</v>
      </c>
      <c r="AO484" s="27">
        <f t="shared" si="111"/>
        <v>1.6673071131631082E-2</v>
      </c>
      <c r="AP484" s="27">
        <f t="shared" si="111"/>
        <v>1.6684616029064781E-2</v>
      </c>
      <c r="AQ484" s="27">
        <f t="shared" si="111"/>
        <v>1.6693857214200334E-2</v>
      </c>
      <c r="AR484" s="27">
        <f t="shared" si="111"/>
        <v>1.6700461030767416E-2</v>
      </c>
      <c r="AS484" s="27">
        <f t="shared" si="111"/>
        <v>1.6704063934453468E-2</v>
      </c>
      <c r="AT484" s="27">
        <f t="shared" si="111"/>
        <v>1.6704647334029751E-2</v>
      </c>
      <c r="AU484" s="27">
        <f t="shared" si="111"/>
        <v>1.6702295489105456E-2</v>
      </c>
      <c r="AV484" s="27">
        <f t="shared" si="111"/>
        <v>1.6697074170612902E-2</v>
      </c>
      <c r="AW484" s="27">
        <f t="shared" si="111"/>
        <v>1.668864228260674E-2</v>
      </c>
      <c r="AY484" s="79"/>
    </row>
    <row r="485" spans="1:51" x14ac:dyDescent="0.25">
      <c r="A485" s="95" t="str">
        <f t="shared" si="108"/>
        <v>PQ Goats MMCH4</v>
      </c>
      <c r="B485" s="95" t="s">
        <v>968</v>
      </c>
      <c r="C485" s="95" t="s">
        <v>1325</v>
      </c>
      <c r="D485" t="s">
        <v>15</v>
      </c>
      <c r="E485" t="s">
        <v>22</v>
      </c>
      <c r="F485" t="s">
        <v>19</v>
      </c>
      <c r="G485" t="s">
        <v>123</v>
      </c>
      <c r="H485" t="s">
        <v>1227</v>
      </c>
      <c r="I485" t="s">
        <v>121</v>
      </c>
      <c r="J485" t="s">
        <v>286</v>
      </c>
      <c r="K485" s="27">
        <f t="shared" si="110"/>
        <v>2.6592218800664803E-2</v>
      </c>
      <c r="L485" s="27">
        <f t="shared" si="111"/>
        <v>2.6661345733624896E-2</v>
      </c>
      <c r="M485" s="27">
        <f t="shared" si="111"/>
        <v>2.6756703894783639E-2</v>
      </c>
      <c r="N485" s="27">
        <f t="shared" si="111"/>
        <v>2.6872875319249701E-2</v>
      </c>
      <c r="O485" s="27">
        <f t="shared" si="111"/>
        <v>2.7009694315810229E-2</v>
      </c>
      <c r="P485" s="27">
        <f t="shared" si="111"/>
        <v>2.7166328132291764E-2</v>
      </c>
      <c r="Q485" s="27">
        <f t="shared" si="111"/>
        <v>2.7334899828466052E-2</v>
      </c>
      <c r="R485" s="27">
        <f t="shared" si="111"/>
        <v>2.7514742110372921E-2</v>
      </c>
      <c r="S485" s="27">
        <f t="shared" si="111"/>
        <v>2.7447647358155608E-2</v>
      </c>
      <c r="T485" s="27">
        <f t="shared" si="111"/>
        <v>2.7492566159553547E-2</v>
      </c>
      <c r="U485" s="27">
        <f t="shared" si="111"/>
        <v>2.8049985098492974E-2</v>
      </c>
      <c r="V485" s="27">
        <f t="shared" si="111"/>
        <v>2.80751686129566E-2</v>
      </c>
      <c r="W485" s="27">
        <f t="shared" si="111"/>
        <v>2.81418423136056E-2</v>
      </c>
      <c r="X485" s="27">
        <f t="shared" si="111"/>
        <v>2.8231827097181202E-2</v>
      </c>
      <c r="Y485" s="27">
        <f t="shared" si="111"/>
        <v>2.8314355695658353E-2</v>
      </c>
      <c r="Z485" s="27">
        <f t="shared" si="111"/>
        <v>2.8390518993026845E-2</v>
      </c>
      <c r="AA485" s="27">
        <f t="shared" si="111"/>
        <v>2.8460083375349849E-2</v>
      </c>
      <c r="AB485" s="27">
        <f t="shared" si="111"/>
        <v>2.8523763184995402E-2</v>
      </c>
      <c r="AC485" s="27">
        <f t="shared" si="111"/>
        <v>2.8582585850220259E-2</v>
      </c>
      <c r="AD485" s="27">
        <f t="shared" si="111"/>
        <v>2.8636598764339351E-2</v>
      </c>
      <c r="AE485" s="27">
        <f t="shared" si="111"/>
        <v>2.8686734564558631E-2</v>
      </c>
      <c r="AF485" s="27">
        <f t="shared" si="111"/>
        <v>2.873319355283693E-2</v>
      </c>
      <c r="AG485" s="27">
        <f t="shared" si="111"/>
        <v>2.8775408485608011E-2</v>
      </c>
      <c r="AH485" s="27">
        <f t="shared" si="111"/>
        <v>2.8813846877721389E-2</v>
      </c>
      <c r="AI485" s="27">
        <f t="shared" si="111"/>
        <v>2.884921497213825E-2</v>
      </c>
      <c r="AJ485" s="27">
        <f t="shared" si="111"/>
        <v>2.7933385004716402E-2</v>
      </c>
      <c r="AK485" s="27">
        <f t="shared" si="111"/>
        <v>2.7968685409771071E-2</v>
      </c>
      <c r="AL485" s="27">
        <f t="shared" si="111"/>
        <v>2.8000825948759214E-2</v>
      </c>
      <c r="AM485" s="27">
        <f t="shared" si="111"/>
        <v>2.8030066741750678E-2</v>
      </c>
      <c r="AN485" s="27">
        <f t="shared" si="111"/>
        <v>2.8056709026267227E-2</v>
      </c>
      <c r="AO485" s="27">
        <f t="shared" si="111"/>
        <v>2.8079996480088933E-2</v>
      </c>
      <c r="AP485" s="27">
        <f t="shared" si="111"/>
        <v>2.8099439849384365E-2</v>
      </c>
      <c r="AQ485" s="27">
        <f t="shared" ref="L485:AW492" si="112">AQ1402</f>
        <v>2.8115003415570192E-2</v>
      </c>
      <c r="AR485" s="27">
        <f t="shared" si="112"/>
        <v>2.8126125250563565E-2</v>
      </c>
      <c r="AS485" s="27">
        <f t="shared" si="112"/>
        <v>2.8132193090256906E-2</v>
      </c>
      <c r="AT485" s="27">
        <f t="shared" si="112"/>
        <v>2.8133175624183573E-2</v>
      </c>
      <c r="AU485" s="27">
        <f t="shared" si="112"/>
        <v>2.8129214758385396E-2</v>
      </c>
      <c r="AV485" s="27">
        <f t="shared" si="112"/>
        <v>2.8120421261150549E-2</v>
      </c>
      <c r="AW485" s="27">
        <f t="shared" si="112"/>
        <v>2.8106220674847984E-2</v>
      </c>
      <c r="AY485" s="79"/>
    </row>
    <row r="486" spans="1:51" x14ac:dyDescent="0.25">
      <c r="A486" s="95" t="str">
        <f t="shared" si="108"/>
        <v>PQ Horses MMCH4</v>
      </c>
      <c r="B486" s="95" t="s">
        <v>968</v>
      </c>
      <c r="C486" s="95" t="s">
        <v>1326</v>
      </c>
      <c r="D486" t="s">
        <v>15</v>
      </c>
      <c r="E486" t="s">
        <v>22</v>
      </c>
      <c r="F486" t="s">
        <v>20</v>
      </c>
      <c r="G486" t="s">
        <v>3</v>
      </c>
      <c r="H486" t="s">
        <v>1227</v>
      </c>
      <c r="I486" t="s">
        <v>121</v>
      </c>
      <c r="J486" t="s">
        <v>286</v>
      </c>
      <c r="K486" s="27">
        <f t="shared" si="110"/>
        <v>4.1336182129460552E-3</v>
      </c>
      <c r="L486" s="27">
        <f t="shared" si="112"/>
        <v>4.1536453250924088E-3</v>
      </c>
      <c r="M486" s="27">
        <f t="shared" si="112"/>
        <v>4.1840370126470534E-3</v>
      </c>
      <c r="N486" s="27">
        <f t="shared" si="112"/>
        <v>4.1905340987284578E-3</v>
      </c>
      <c r="O486" s="27">
        <f t="shared" si="112"/>
        <v>4.1812329246154597E-3</v>
      </c>
      <c r="P486" s="27">
        <f t="shared" si="112"/>
        <v>4.1564738854214557E-3</v>
      </c>
      <c r="Q486" s="27">
        <f t="shared" si="112"/>
        <v>4.142746062070715E-3</v>
      </c>
      <c r="R486" s="27">
        <f t="shared" si="112"/>
        <v>4.130408792135833E-3</v>
      </c>
      <c r="S486" s="27">
        <f t="shared" si="112"/>
        <v>3.9465365523139234E-3</v>
      </c>
      <c r="T486" s="27">
        <f t="shared" si="112"/>
        <v>4.0449031054022467E-3</v>
      </c>
      <c r="U486" s="27">
        <f t="shared" si="112"/>
        <v>8.6826637855320493E-3</v>
      </c>
      <c r="V486" s="27">
        <f t="shared" si="112"/>
        <v>8.7938640755687025E-3</v>
      </c>
      <c r="W486" s="27">
        <f t="shared" si="112"/>
        <v>8.8834218995517203E-3</v>
      </c>
      <c r="X486" s="27">
        <f t="shared" si="112"/>
        <v>8.9554975933649264E-3</v>
      </c>
      <c r="Y486" s="27">
        <f t="shared" si="112"/>
        <v>9.018105952641001E-3</v>
      </c>
      <c r="Z486" s="27">
        <f t="shared" si="112"/>
        <v>9.0705357904088645E-3</v>
      </c>
      <c r="AA486" s="27">
        <f t="shared" si="112"/>
        <v>9.1124930520699761E-3</v>
      </c>
      <c r="AB486" s="27">
        <f t="shared" si="112"/>
        <v>9.143466497408213E-3</v>
      </c>
      <c r="AC486" s="27">
        <f t="shared" si="112"/>
        <v>9.1629085267338015E-3</v>
      </c>
      <c r="AD486" s="27">
        <f t="shared" si="112"/>
        <v>9.1706067297579116E-3</v>
      </c>
      <c r="AE486" s="27">
        <f t="shared" si="112"/>
        <v>9.1661590701848112E-3</v>
      </c>
      <c r="AF486" s="27">
        <f t="shared" si="112"/>
        <v>9.149435618350802E-3</v>
      </c>
      <c r="AG486" s="27">
        <f t="shared" si="112"/>
        <v>9.120587540138371E-3</v>
      </c>
      <c r="AH486" s="27">
        <f t="shared" si="112"/>
        <v>9.0795393134023624E-3</v>
      </c>
      <c r="AI486" s="27">
        <f t="shared" si="112"/>
        <v>9.0262176145749634E-3</v>
      </c>
      <c r="AJ486" s="27">
        <f t="shared" si="112"/>
        <v>1.3289120185476511E-3</v>
      </c>
      <c r="AK486" s="27">
        <f t="shared" si="112"/>
        <v>1.3289120185476511E-3</v>
      </c>
      <c r="AL486" s="27">
        <f t="shared" si="112"/>
        <v>1.3289120185476511E-3</v>
      </c>
      <c r="AM486" s="27">
        <f t="shared" si="112"/>
        <v>1.3289120185476511E-3</v>
      </c>
      <c r="AN486" s="27">
        <f t="shared" si="112"/>
        <v>1.3289120185476511E-3</v>
      </c>
      <c r="AO486" s="27">
        <f t="shared" si="112"/>
        <v>1.3289120185476511E-3</v>
      </c>
      <c r="AP486" s="27">
        <f t="shared" si="112"/>
        <v>1.3289120185476511E-3</v>
      </c>
      <c r="AQ486" s="27">
        <f t="shared" si="112"/>
        <v>1.3289120185476511E-3</v>
      </c>
      <c r="AR486" s="27">
        <f t="shared" si="112"/>
        <v>1.3289120185476511E-3</v>
      </c>
      <c r="AS486" s="27">
        <f t="shared" si="112"/>
        <v>1.3289120185476511E-3</v>
      </c>
      <c r="AT486" s="27">
        <f t="shared" si="112"/>
        <v>1.3289120185476511E-3</v>
      </c>
      <c r="AU486" s="27">
        <f t="shared" si="112"/>
        <v>1.3289120185476511E-3</v>
      </c>
      <c r="AV486" s="27">
        <f t="shared" si="112"/>
        <v>1.3289120185476511E-3</v>
      </c>
      <c r="AW486" s="27">
        <f t="shared" si="112"/>
        <v>1.3289120185476511E-3</v>
      </c>
      <c r="AY486" s="79"/>
    </row>
    <row r="487" spans="1:51" x14ac:dyDescent="0.25">
      <c r="A487" s="95" t="str">
        <f t="shared" si="108"/>
        <v>PQ Mules MMCH4</v>
      </c>
      <c r="B487" s="95" t="s">
        <v>968</v>
      </c>
      <c r="C487" s="95" t="s">
        <v>1327</v>
      </c>
      <c r="D487" t="s">
        <v>15</v>
      </c>
      <c r="E487" t="s">
        <v>22</v>
      </c>
      <c r="F487" t="s">
        <v>140</v>
      </c>
      <c r="G487" t="s">
        <v>124</v>
      </c>
      <c r="H487" t="s">
        <v>1227</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25">
      <c r="A488" s="95" t="str">
        <f t="shared" si="108"/>
        <v>PQ Swine MMCH4</v>
      </c>
      <c r="B488" s="95" t="s">
        <v>968</v>
      </c>
      <c r="C488" s="95" t="s">
        <v>1230</v>
      </c>
      <c r="D488" t="s">
        <v>15</v>
      </c>
      <c r="E488" t="s">
        <v>22</v>
      </c>
      <c r="F488" t="s">
        <v>21</v>
      </c>
      <c r="G488" t="s">
        <v>122</v>
      </c>
      <c r="H488" t="s">
        <v>1227</v>
      </c>
      <c r="I488" t="s">
        <v>121</v>
      </c>
      <c r="J488" t="s">
        <v>286</v>
      </c>
      <c r="K488" s="27">
        <f t="shared" si="110"/>
        <v>23.279067868377393</v>
      </c>
      <c r="L488" s="27">
        <f t="shared" si="112"/>
        <v>23.152530650802596</v>
      </c>
      <c r="M488" s="27">
        <f t="shared" si="112"/>
        <v>23.162916433064304</v>
      </c>
      <c r="N488" s="27">
        <f t="shared" si="112"/>
        <v>22.950263110497293</v>
      </c>
      <c r="O488" s="27">
        <f t="shared" si="112"/>
        <v>22.602951186820601</v>
      </c>
      <c r="P488" s="27">
        <f t="shared" si="112"/>
        <v>22.12653281137495</v>
      </c>
      <c r="Q488" s="27">
        <f t="shared" si="112"/>
        <v>21.780600237355962</v>
      </c>
      <c r="R488" s="27">
        <f t="shared" si="112"/>
        <v>21.465278056857681</v>
      </c>
      <c r="S488" s="27">
        <f t="shared" si="112"/>
        <v>19.312832226900145</v>
      </c>
      <c r="T488" s="27">
        <f t="shared" si="112"/>
        <v>20.002458493758922</v>
      </c>
      <c r="U488" s="27">
        <f t="shared" si="112"/>
        <v>63.938225509328625</v>
      </c>
      <c r="V488" s="27">
        <f t="shared" si="112"/>
        <v>64.113496025150383</v>
      </c>
      <c r="W488" s="27">
        <f t="shared" si="112"/>
        <v>64.178228567667873</v>
      </c>
      <c r="X488" s="27">
        <f t="shared" si="112"/>
        <v>64.135343897693133</v>
      </c>
      <c r="Y488" s="27">
        <f t="shared" si="112"/>
        <v>63.991311737388052</v>
      </c>
      <c r="Z488" s="27">
        <f t="shared" si="112"/>
        <v>63.744809060362954</v>
      </c>
      <c r="AA488" s="27">
        <f t="shared" si="112"/>
        <v>63.395481625326759</v>
      </c>
      <c r="AB488" s="27">
        <f t="shared" si="112"/>
        <v>62.943362188824892</v>
      </c>
      <c r="AC488" s="27">
        <f t="shared" si="112"/>
        <v>62.389030635456976</v>
      </c>
      <c r="AD488" s="27">
        <f t="shared" si="112"/>
        <v>61.733913705110233</v>
      </c>
      <c r="AE488" s="27">
        <f t="shared" si="112"/>
        <v>60.979815772111941</v>
      </c>
      <c r="AF488" s="27">
        <f t="shared" si="112"/>
        <v>60.129286570076758</v>
      </c>
      <c r="AG488" s="27">
        <f t="shared" si="112"/>
        <v>59.185593442917096</v>
      </c>
      <c r="AH488" s="27">
        <f t="shared" si="112"/>
        <v>58.152275579872715</v>
      </c>
      <c r="AI488" s="27">
        <f t="shared" si="112"/>
        <v>57.033304574173563</v>
      </c>
      <c r="AJ488" s="27">
        <f t="shared" si="112"/>
        <v>-5.3144936119483299</v>
      </c>
      <c r="AK488" s="27">
        <f t="shared" si="112"/>
        <v>-5.2569593669429695</v>
      </c>
      <c r="AL488" s="27">
        <f t="shared" si="112"/>
        <v>-5.1992212819469339</v>
      </c>
      <c r="AM488" s="27">
        <f t="shared" si="112"/>
        <v>-5.1413392574015706</v>
      </c>
      <c r="AN488" s="27">
        <f t="shared" si="112"/>
        <v>-5.0833794948522248</v>
      </c>
      <c r="AO488" s="27">
        <f t="shared" si="112"/>
        <v>-5.0251883541674571</v>
      </c>
      <c r="AP488" s="27">
        <f t="shared" si="112"/>
        <v>-4.9666751294444857</v>
      </c>
      <c r="AQ488" s="27">
        <f t="shared" si="112"/>
        <v>-4.9078454730797514</v>
      </c>
      <c r="AR488" s="27">
        <f t="shared" si="112"/>
        <v>-4.8486018943647</v>
      </c>
      <c r="AS488" s="27">
        <f t="shared" si="112"/>
        <v>-4.7888432589736398</v>
      </c>
      <c r="AT488" s="27">
        <f t="shared" si="112"/>
        <v>-4.7285865274691332</v>
      </c>
      <c r="AU488" s="27">
        <f t="shared" si="112"/>
        <v>-4.667881841438601</v>
      </c>
      <c r="AV488" s="27">
        <f t="shared" si="112"/>
        <v>-4.6067720913188221</v>
      </c>
      <c r="AW488" s="27">
        <f t="shared" si="112"/>
        <v>-4.5451726737388229</v>
      </c>
      <c r="AY488" s="79"/>
    </row>
    <row r="489" spans="1:51" x14ac:dyDescent="0.25">
      <c r="A489" s="95" t="str">
        <f t="shared" si="108"/>
        <v>PQ Swine MMCH4</v>
      </c>
      <c r="B489" s="95" t="s">
        <v>968</v>
      </c>
      <c r="C489" s="95" t="s">
        <v>1230</v>
      </c>
      <c r="D489" t="s">
        <v>15</v>
      </c>
      <c r="E489" t="s">
        <v>22</v>
      </c>
      <c r="F489" t="s">
        <v>21</v>
      </c>
      <c r="G489" t="s">
        <v>123</v>
      </c>
      <c r="H489" t="s">
        <v>1227</v>
      </c>
      <c r="I489" t="s">
        <v>121</v>
      </c>
      <c r="J489" t="s">
        <v>286</v>
      </c>
      <c r="K489" s="27">
        <f t="shared" si="110"/>
        <v>7.7932061732677776E-2</v>
      </c>
      <c r="L489" s="27">
        <f t="shared" si="112"/>
        <v>7.7508449141861113E-2</v>
      </c>
      <c r="M489" s="27">
        <f t="shared" si="112"/>
        <v>7.7543217949140597E-2</v>
      </c>
      <c r="N489" s="27">
        <f t="shared" si="112"/>
        <v>7.6831311787104617E-2</v>
      </c>
      <c r="O489" s="27">
        <f t="shared" si="112"/>
        <v>7.5668604825232008E-2</v>
      </c>
      <c r="P489" s="27">
        <f t="shared" si="112"/>
        <v>7.4073684167079393E-2</v>
      </c>
      <c r="Q489" s="27">
        <f t="shared" si="112"/>
        <v>7.2915594897087016E-2</v>
      </c>
      <c r="R489" s="27">
        <f t="shared" si="112"/>
        <v>7.1859980996426681E-2</v>
      </c>
      <c r="S489" s="27">
        <f t="shared" si="112"/>
        <v>6.4654170942306688E-2</v>
      </c>
      <c r="T489" s="27">
        <f t="shared" si="112"/>
        <v>6.6962854309922146E-2</v>
      </c>
      <c r="U489" s="27">
        <f t="shared" si="112"/>
        <v>0.21404799219815959</v>
      </c>
      <c r="V489" s="27">
        <f t="shared" si="112"/>
        <v>0.21463475077183489</v>
      </c>
      <c r="W489" s="27">
        <f t="shared" si="112"/>
        <v>0.21485145792386132</v>
      </c>
      <c r="X489" s="27">
        <f t="shared" si="112"/>
        <v>0.21470789157632744</v>
      </c>
      <c r="Y489" s="27">
        <f t="shared" si="112"/>
        <v>0.21422571061994838</v>
      </c>
      <c r="Z489" s="27">
        <f t="shared" si="112"/>
        <v>0.21340048591800548</v>
      </c>
      <c r="AA489" s="27">
        <f t="shared" si="112"/>
        <v>0.21223103156587736</v>
      </c>
      <c r="AB489" s="27">
        <f t="shared" si="112"/>
        <v>0.21071745722367313</v>
      </c>
      <c r="AC489" s="27">
        <f t="shared" si="112"/>
        <v>0.20886170418915742</v>
      </c>
      <c r="AD489" s="27">
        <f t="shared" si="112"/>
        <v>0.20666854880396013</v>
      </c>
      <c r="AE489" s="27">
        <f t="shared" si="112"/>
        <v>0.20414403162830727</v>
      </c>
      <c r="AF489" s="27">
        <f t="shared" si="112"/>
        <v>0.20129668848496379</v>
      </c>
      <c r="AG489" s="27">
        <f t="shared" si="112"/>
        <v>0.19813745756307569</v>
      </c>
      <c r="AH489" s="27">
        <f t="shared" si="112"/>
        <v>0.19467818711687174</v>
      </c>
      <c r="AI489" s="27">
        <f t="shared" si="112"/>
        <v>0.19093217297290849</v>
      </c>
      <c r="AJ489" s="27">
        <f t="shared" si="112"/>
        <v>-1.7791496059294212E-2</v>
      </c>
      <c r="AK489" s="27">
        <f t="shared" si="112"/>
        <v>-1.759888687241214E-2</v>
      </c>
      <c r="AL489" s="27">
        <f t="shared" si="112"/>
        <v>-1.7405595284034153E-2</v>
      </c>
      <c r="AM489" s="27">
        <f t="shared" si="112"/>
        <v>-1.7211821824736444E-2</v>
      </c>
      <c r="AN489" s="27">
        <f t="shared" si="112"/>
        <v>-1.7017788119497636E-2</v>
      </c>
      <c r="AO489" s="27">
        <f t="shared" si="112"/>
        <v>-1.6822979822456646E-2</v>
      </c>
      <c r="AP489" s="27">
        <f t="shared" si="112"/>
        <v>-1.6627093274633003E-2</v>
      </c>
      <c r="AQ489" s="27">
        <f t="shared" si="112"/>
        <v>-1.6430147398730621E-2</v>
      </c>
      <c r="AR489" s="27">
        <f t="shared" si="112"/>
        <v>-1.6231815822063071E-2</v>
      </c>
      <c r="AS489" s="27">
        <f t="shared" si="112"/>
        <v>-1.6031759974093191E-2</v>
      </c>
      <c r="AT489" s="27">
        <f t="shared" si="112"/>
        <v>-1.5830036634225372E-2</v>
      </c>
      <c r="AU489" s="27">
        <f t="shared" si="112"/>
        <v>-1.5626813663016086E-2</v>
      </c>
      <c r="AV489" s="27">
        <f t="shared" si="112"/>
        <v>-1.5422234646118577E-2</v>
      </c>
      <c r="AW489" s="27">
        <f t="shared" si="112"/>
        <v>-1.5216016354188486E-2</v>
      </c>
      <c r="AY489" s="79"/>
    </row>
    <row r="490" spans="1:51" x14ac:dyDescent="0.25">
      <c r="A490" s="95" t="str">
        <f t="shared" si="108"/>
        <v>PQ Poultry MMCH4</v>
      </c>
      <c r="B490" s="95" t="s">
        <v>968</v>
      </c>
      <c r="C490" s="95" t="s">
        <v>1231</v>
      </c>
      <c r="D490" t="s">
        <v>15</v>
      </c>
      <c r="E490" t="s">
        <v>22</v>
      </c>
      <c r="F490" t="s">
        <v>28</v>
      </c>
      <c r="G490" t="s">
        <v>131</v>
      </c>
      <c r="H490" t="s">
        <v>1227</v>
      </c>
      <c r="I490" t="s">
        <v>121</v>
      </c>
      <c r="J490" t="s">
        <v>286</v>
      </c>
      <c r="K490" s="27">
        <f t="shared" si="110"/>
        <v>0.55586528215230246</v>
      </c>
      <c r="L490" s="27">
        <f t="shared" si="112"/>
        <v>0.56716712532642333</v>
      </c>
      <c r="M490" s="27">
        <f t="shared" si="112"/>
        <v>0.58037790885594753</v>
      </c>
      <c r="N490" s="27">
        <f t="shared" si="112"/>
        <v>0.59052015237226141</v>
      </c>
      <c r="O490" s="27">
        <f t="shared" si="112"/>
        <v>0.5986618277459016</v>
      </c>
      <c r="P490" s="27">
        <f t="shared" si="112"/>
        <v>0.60475451589519713</v>
      </c>
      <c r="Q490" s="27">
        <f t="shared" si="112"/>
        <v>0.61256702388185857</v>
      </c>
      <c r="R490" s="27">
        <f t="shared" si="112"/>
        <v>0.62068986953889782</v>
      </c>
      <c r="S490" s="27">
        <f t="shared" si="112"/>
        <v>0.59622101179856346</v>
      </c>
      <c r="T490" s="27">
        <f t="shared" si="112"/>
        <v>0.61809135680643945</v>
      </c>
      <c r="U490" s="27">
        <f t="shared" si="112"/>
        <v>1.373668837271812</v>
      </c>
      <c r="V490" s="27">
        <f t="shared" si="112"/>
        <v>1.4038681554321815</v>
      </c>
      <c r="W490" s="27">
        <f t="shared" si="112"/>
        <v>1.4328290155562637</v>
      </c>
      <c r="X490" s="27">
        <f t="shared" si="112"/>
        <v>1.460295648957926</v>
      </c>
      <c r="Y490" s="27">
        <f t="shared" si="112"/>
        <v>1.4859212180508141</v>
      </c>
      <c r="Z490" s="27">
        <f t="shared" si="112"/>
        <v>1.5095937275054243</v>
      </c>
      <c r="AA490" s="27">
        <f t="shared" si="112"/>
        <v>1.5311992010813591</v>
      </c>
      <c r="AB490" s="27">
        <f t="shared" si="112"/>
        <v>1.5506393195302268</v>
      </c>
      <c r="AC490" s="27">
        <f t="shared" si="112"/>
        <v>1.5678278043895033</v>
      </c>
      <c r="AD490" s="27">
        <f t="shared" si="112"/>
        <v>1.5826815313976288</v>
      </c>
      <c r="AE490" s="27">
        <f t="shared" si="112"/>
        <v>1.5951352940969563</v>
      </c>
      <c r="AF490" s="27">
        <f t="shared" si="112"/>
        <v>1.6051302673357504</v>
      </c>
      <c r="AG490" s="27">
        <f t="shared" si="112"/>
        <v>1.6126141322836316</v>
      </c>
      <c r="AH490" s="27">
        <f t="shared" si="112"/>
        <v>1.6175553910519496</v>
      </c>
      <c r="AI490" s="27">
        <f t="shared" si="112"/>
        <v>1.6199377421840562</v>
      </c>
      <c r="AJ490" s="27">
        <f t="shared" si="112"/>
        <v>0.21118052827101272</v>
      </c>
      <c r="AK490" s="27">
        <f t="shared" si="112"/>
        <v>0.21273045495969528</v>
      </c>
      <c r="AL490" s="27">
        <f t="shared" si="112"/>
        <v>0.21424196096407097</v>
      </c>
      <c r="AM490" s="27">
        <f t="shared" si="112"/>
        <v>0.21571732327397183</v>
      </c>
      <c r="AN490" s="27">
        <f t="shared" si="112"/>
        <v>0.21715916671304386</v>
      </c>
      <c r="AO490" s="27">
        <f t="shared" si="112"/>
        <v>0.2185615794759829</v>
      </c>
      <c r="AP490" s="27">
        <f t="shared" si="112"/>
        <v>0.21992066841646388</v>
      </c>
      <c r="AQ490" s="27">
        <f t="shared" si="112"/>
        <v>0.22123614681909931</v>
      </c>
      <c r="AR490" s="27">
        <f t="shared" si="112"/>
        <v>0.22250337724956543</v>
      </c>
      <c r="AS490" s="27">
        <f t="shared" si="112"/>
        <v>0.22371719705711082</v>
      </c>
      <c r="AT490" s="27">
        <f t="shared" si="112"/>
        <v>0.22487715475079265</v>
      </c>
      <c r="AU490" s="27">
        <f t="shared" si="112"/>
        <v>0.22598422868600801</v>
      </c>
      <c r="AV490" s="27">
        <f t="shared" si="112"/>
        <v>0.22703914928135227</v>
      </c>
      <c r="AW490" s="27">
        <f t="shared" si="112"/>
        <v>0.22803688221361912</v>
      </c>
      <c r="AY490" s="79"/>
    </row>
    <row r="491" spans="1:51" x14ac:dyDescent="0.25">
      <c r="A491" s="95" t="str">
        <f t="shared" si="108"/>
        <v>PQ Poultry MMCH4</v>
      </c>
      <c r="B491" s="95" t="s">
        <v>968</v>
      </c>
      <c r="C491" s="95" t="s">
        <v>1231</v>
      </c>
      <c r="D491" t="s">
        <v>15</v>
      </c>
      <c r="E491" t="s">
        <v>22</v>
      </c>
      <c r="F491" t="s">
        <v>28</v>
      </c>
      <c r="G491" t="s">
        <v>132</v>
      </c>
      <c r="H491" t="s">
        <v>1227</v>
      </c>
      <c r="I491" t="s">
        <v>121</v>
      </c>
      <c r="J491" t="s">
        <v>286</v>
      </c>
      <c r="K491" s="27">
        <f t="shared" si="110"/>
        <v>2.2100196981344116</v>
      </c>
      <c r="L491" s="27">
        <f t="shared" si="112"/>
        <v>2.2391217074451495</v>
      </c>
      <c r="M491" s="27">
        <f t="shared" si="112"/>
        <v>2.2858678822724832</v>
      </c>
      <c r="N491" s="27">
        <f t="shared" si="112"/>
        <v>2.29929007480786</v>
      </c>
      <c r="O491" s="27">
        <f t="shared" si="112"/>
        <v>2.2910596881616572</v>
      </c>
      <c r="P491" s="27">
        <f t="shared" si="112"/>
        <v>2.2612642885898926</v>
      </c>
      <c r="Q491" s="27">
        <f t="shared" si="112"/>
        <v>2.2487211059946213</v>
      </c>
      <c r="R491" s="27">
        <f t="shared" si="112"/>
        <v>2.2390235702415184</v>
      </c>
      <c r="S491" s="27">
        <f t="shared" si="112"/>
        <v>1.9526804721775937</v>
      </c>
      <c r="T491" s="27">
        <f t="shared" si="112"/>
        <v>2.100459804618418</v>
      </c>
      <c r="U491" s="27">
        <f t="shared" si="112"/>
        <v>9.1333253803948828</v>
      </c>
      <c r="V491" s="27">
        <f t="shared" si="112"/>
        <v>9.2970707439361586</v>
      </c>
      <c r="W491" s="27">
        <f t="shared" si="112"/>
        <v>9.4425409001496003</v>
      </c>
      <c r="X491" s="27">
        <f t="shared" si="112"/>
        <v>9.5703569928358032</v>
      </c>
      <c r="Y491" s="27">
        <f t="shared" si="112"/>
        <v>9.6822560637136306</v>
      </c>
      <c r="Z491" s="27">
        <f t="shared" si="112"/>
        <v>9.7773987663862059</v>
      </c>
      <c r="AA491" s="27">
        <f t="shared" si="112"/>
        <v>9.8551407097026438</v>
      </c>
      <c r="AB491" s="27">
        <f t="shared" si="112"/>
        <v>9.9148485168231666</v>
      </c>
      <c r="AC491" s="27">
        <f t="shared" si="112"/>
        <v>9.9559572971640158</v>
      </c>
      <c r="AD491" s="27">
        <f t="shared" si="112"/>
        <v>9.9780818543236887</v>
      </c>
      <c r="AE491" s="27">
        <f t="shared" si="112"/>
        <v>9.9808650627783955</v>
      </c>
      <c r="AF491" s="27">
        <f t="shared" si="112"/>
        <v>9.9641144926279814</v>
      </c>
      <c r="AG491" s="27">
        <f t="shared" si="112"/>
        <v>9.9278067613283412</v>
      </c>
      <c r="AH491" s="27">
        <f t="shared" si="112"/>
        <v>9.8719390395073479</v>
      </c>
      <c r="AI491" s="27">
        <f t="shared" si="112"/>
        <v>9.7965950136724871</v>
      </c>
      <c r="AJ491" s="27">
        <f t="shared" si="112"/>
        <v>-2.0919754098137773</v>
      </c>
      <c r="AK491" s="27">
        <f t="shared" si="112"/>
        <v>-2.0949358900923882</v>
      </c>
      <c r="AL491" s="27">
        <f t="shared" si="112"/>
        <v>-2.0976165546607759</v>
      </c>
      <c r="AM491" s="27">
        <f t="shared" si="112"/>
        <v>-2.1000401992552491</v>
      </c>
      <c r="AN491" s="27">
        <f t="shared" si="112"/>
        <v>-2.1022328856249954</v>
      </c>
      <c r="AO491" s="27">
        <f t="shared" si="112"/>
        <v>-2.1041334183696132</v>
      </c>
      <c r="AP491" s="27">
        <f t="shared" si="112"/>
        <v>-2.1057026664304765</v>
      </c>
      <c r="AQ491" s="27">
        <f t="shared" si="112"/>
        <v>-2.1069388532626809</v>
      </c>
      <c r="AR491" s="27">
        <f t="shared" si="112"/>
        <v>-2.107796866715046</v>
      </c>
      <c r="AS491" s="27">
        <f t="shared" si="112"/>
        <v>-2.1082275012492091</v>
      </c>
      <c r="AT491" s="27">
        <f t="shared" si="112"/>
        <v>-2.1082293468263522</v>
      </c>
      <c r="AU491" s="27">
        <f t="shared" si="112"/>
        <v>-2.1078151792766633</v>
      </c>
      <c r="AV491" s="27">
        <f t="shared" si="112"/>
        <v>-2.1069951517588699</v>
      </c>
      <c r="AW491" s="27">
        <f t="shared" si="112"/>
        <v>-2.1057231360288351</v>
      </c>
      <c r="AY491" s="79"/>
    </row>
    <row r="492" spans="1:51" x14ac:dyDescent="0.25">
      <c r="A492" s="95" t="str">
        <f t="shared" si="108"/>
        <v>PQ Poultry MMCH4</v>
      </c>
      <c r="B492" s="95" t="s">
        <v>968</v>
      </c>
      <c r="C492" s="95" t="s">
        <v>1231</v>
      </c>
      <c r="D492" t="s">
        <v>15</v>
      </c>
      <c r="E492" t="s">
        <v>22</v>
      </c>
      <c r="F492" t="s">
        <v>28</v>
      </c>
      <c r="G492" t="s">
        <v>134</v>
      </c>
      <c r="H492" t="s">
        <v>1227</v>
      </c>
      <c r="I492" t="s">
        <v>121</v>
      </c>
      <c r="J492" t="s">
        <v>286</v>
      </c>
      <c r="K492" s="27">
        <f t="shared" si="110"/>
        <v>2.3161053423012629E-2</v>
      </c>
      <c r="L492" s="27">
        <f t="shared" si="112"/>
        <v>2.3631963555267661E-2</v>
      </c>
      <c r="M492" s="27">
        <f t="shared" si="112"/>
        <v>2.4182412868997839E-2</v>
      </c>
      <c r="N492" s="27">
        <f t="shared" si="112"/>
        <v>2.4605006348844244E-2</v>
      </c>
      <c r="O492" s="27">
        <f t="shared" si="112"/>
        <v>2.4944242822745925E-2</v>
      </c>
      <c r="P492" s="27">
        <f t="shared" si="112"/>
        <v>2.5198104828966571E-2</v>
      </c>
      <c r="Q492" s="27">
        <f t="shared" si="112"/>
        <v>2.5523625995077459E-2</v>
      </c>
      <c r="R492" s="27">
        <f t="shared" si="112"/>
        <v>2.5862077897454101E-2</v>
      </c>
      <c r="S492" s="27">
        <f t="shared" si="112"/>
        <v>2.4842542158273501E-2</v>
      </c>
      <c r="T492" s="27">
        <f t="shared" si="112"/>
        <v>2.5753806533601667E-2</v>
      </c>
      <c r="U492" s="27">
        <f t="shared" si="112"/>
        <v>5.7236201552992215E-2</v>
      </c>
      <c r="V492" s="27">
        <f t="shared" si="112"/>
        <v>5.8494506476340941E-2</v>
      </c>
      <c r="W492" s="27">
        <f t="shared" si="112"/>
        <v>5.9701208981511052E-2</v>
      </c>
      <c r="X492" s="27">
        <f t="shared" si="112"/>
        <v>6.0845652039913642E-2</v>
      </c>
      <c r="Y492" s="27">
        <f t="shared" si="112"/>
        <v>6.1913384085450655E-2</v>
      </c>
      <c r="Z492" s="27">
        <f t="shared" si="112"/>
        <v>6.2899738646059397E-2</v>
      </c>
      <c r="AA492" s="27">
        <f t="shared" si="112"/>
        <v>6.3799966711723347E-2</v>
      </c>
      <c r="AB492" s="27">
        <f t="shared" si="112"/>
        <v>6.4609971647092854E-2</v>
      </c>
      <c r="AC492" s="27">
        <f t="shared" si="112"/>
        <v>6.5326158516229374E-2</v>
      </c>
      <c r="AD492" s="27">
        <f t="shared" si="112"/>
        <v>6.5945063808234589E-2</v>
      </c>
      <c r="AE492" s="27">
        <f t="shared" si="112"/>
        <v>6.6463970587373244E-2</v>
      </c>
      <c r="AF492" s="27">
        <f t="shared" ref="L492:AW499" si="113">AF1409</f>
        <v>6.6880427805656326E-2</v>
      </c>
      <c r="AG492" s="27">
        <f t="shared" si="113"/>
        <v>6.7192255511818053E-2</v>
      </c>
      <c r="AH492" s="27">
        <f t="shared" si="113"/>
        <v>6.7398141293831301E-2</v>
      </c>
      <c r="AI492" s="27">
        <f t="shared" si="113"/>
        <v>6.7497405924335729E-2</v>
      </c>
      <c r="AJ492" s="27">
        <f t="shared" si="113"/>
        <v>8.7991886779588708E-3</v>
      </c>
      <c r="AK492" s="27">
        <f t="shared" si="113"/>
        <v>8.8637689566539793E-3</v>
      </c>
      <c r="AL492" s="27">
        <f t="shared" si="113"/>
        <v>8.9267483735029646E-3</v>
      </c>
      <c r="AM492" s="27">
        <f t="shared" si="113"/>
        <v>8.9882218030821696E-3</v>
      </c>
      <c r="AN492" s="27">
        <f t="shared" si="113"/>
        <v>9.0482986130435011E-3</v>
      </c>
      <c r="AO492" s="27">
        <f t="shared" si="113"/>
        <v>9.1067324781659627E-3</v>
      </c>
      <c r="AP492" s="27">
        <f t="shared" si="113"/>
        <v>9.1633611840193346E-3</v>
      </c>
      <c r="AQ492" s="27">
        <f t="shared" si="113"/>
        <v>9.2181727841291489E-3</v>
      </c>
      <c r="AR492" s="27">
        <f t="shared" si="113"/>
        <v>9.2709740520652353E-3</v>
      </c>
      <c r="AS492" s="27">
        <f t="shared" si="113"/>
        <v>9.3215498773796274E-3</v>
      </c>
      <c r="AT492" s="27">
        <f t="shared" si="113"/>
        <v>9.3698814479497017E-3</v>
      </c>
      <c r="AU492" s="27">
        <f t="shared" si="113"/>
        <v>9.4160095285836763E-3</v>
      </c>
      <c r="AV492" s="27">
        <f t="shared" si="113"/>
        <v>9.4599645533896878E-3</v>
      </c>
      <c r="AW492" s="27">
        <f t="shared" si="113"/>
        <v>9.5015367589008064E-3</v>
      </c>
      <c r="AY492" s="79"/>
    </row>
    <row r="493" spans="1:51" x14ac:dyDescent="0.25">
      <c r="A493" s="95" t="str">
        <f t="shared" si="108"/>
        <v>PQ Poultry MMCH4</v>
      </c>
      <c r="B493" s="95" t="s">
        <v>968</v>
      </c>
      <c r="C493" s="95" t="s">
        <v>1231</v>
      </c>
      <c r="D493" t="s">
        <v>15</v>
      </c>
      <c r="E493" t="s">
        <v>22</v>
      </c>
      <c r="F493" t="s">
        <v>28</v>
      </c>
      <c r="G493" t="s">
        <v>133</v>
      </c>
      <c r="H493" t="s">
        <v>1227</v>
      </c>
      <c r="I493" t="s">
        <v>121</v>
      </c>
      <c r="J493" t="s">
        <v>286</v>
      </c>
      <c r="K493" s="27">
        <f t="shared" si="110"/>
        <v>9.2084154088933889E-2</v>
      </c>
      <c r="L493" s="27">
        <f t="shared" si="113"/>
        <v>9.3296737810214664E-2</v>
      </c>
      <c r="M493" s="27">
        <f t="shared" si="113"/>
        <v>9.5244495094686882E-2</v>
      </c>
      <c r="N493" s="27">
        <f t="shared" si="113"/>
        <v>9.5803753116994267E-2</v>
      </c>
      <c r="O493" s="27">
        <f t="shared" si="113"/>
        <v>9.5460820340069155E-2</v>
      </c>
      <c r="P493" s="27">
        <f t="shared" si="113"/>
        <v>9.4219345357912279E-2</v>
      </c>
      <c r="Q493" s="27">
        <f t="shared" si="113"/>
        <v>9.3696712749775993E-2</v>
      </c>
      <c r="R493" s="27">
        <f t="shared" si="113"/>
        <v>9.3292648760063338E-2</v>
      </c>
      <c r="S493" s="27">
        <f t="shared" si="113"/>
        <v>8.1361686340733153E-2</v>
      </c>
      <c r="T493" s="27">
        <f t="shared" si="113"/>
        <v>8.7519158525767499E-2</v>
      </c>
      <c r="U493" s="27">
        <f t="shared" si="113"/>
        <v>0.38055522418312043</v>
      </c>
      <c r="V493" s="27">
        <f t="shared" si="113"/>
        <v>0.38737794766400691</v>
      </c>
      <c r="W493" s="27">
        <f t="shared" si="113"/>
        <v>0.39343920417290035</v>
      </c>
      <c r="X493" s="27">
        <f t="shared" si="113"/>
        <v>0.39876487470149208</v>
      </c>
      <c r="Y493" s="27">
        <f t="shared" si="113"/>
        <v>0.40342733598806829</v>
      </c>
      <c r="Z493" s="27">
        <f t="shared" si="113"/>
        <v>0.40739161526609236</v>
      </c>
      <c r="AA493" s="27">
        <f t="shared" si="113"/>
        <v>0.41063086290427719</v>
      </c>
      <c r="AB493" s="27">
        <f t="shared" si="113"/>
        <v>0.41311868820096576</v>
      </c>
      <c r="AC493" s="27">
        <f t="shared" si="113"/>
        <v>0.41483155404850092</v>
      </c>
      <c r="AD493" s="27">
        <f t="shared" si="113"/>
        <v>0.4157534105968208</v>
      </c>
      <c r="AE493" s="27">
        <f t="shared" si="113"/>
        <v>0.41586937761576692</v>
      </c>
      <c r="AF493" s="27">
        <f t="shared" si="113"/>
        <v>0.41517143719283295</v>
      </c>
      <c r="AG493" s="27">
        <f t="shared" si="113"/>
        <v>0.41365861505534796</v>
      </c>
      <c r="AH493" s="27">
        <f t="shared" si="113"/>
        <v>0.41133079331280648</v>
      </c>
      <c r="AI493" s="27">
        <f t="shared" si="113"/>
        <v>0.40819145890302061</v>
      </c>
      <c r="AJ493" s="27">
        <f t="shared" si="113"/>
        <v>-8.7165642075574146E-2</v>
      </c>
      <c r="AK493" s="27">
        <f t="shared" si="113"/>
        <v>-8.7288995420516255E-2</v>
      </c>
      <c r="AL493" s="27">
        <f t="shared" si="113"/>
        <v>-8.7400689777532417E-2</v>
      </c>
      <c r="AM493" s="27">
        <f t="shared" si="113"/>
        <v>-8.7501674968968782E-2</v>
      </c>
      <c r="AN493" s="27">
        <f t="shared" si="113"/>
        <v>-8.759303690104156E-2</v>
      </c>
      <c r="AO493" s="27">
        <f t="shared" si="113"/>
        <v>-8.7672225765400638E-2</v>
      </c>
      <c r="AP493" s="27">
        <f t="shared" si="113"/>
        <v>-8.773761110126993E-2</v>
      </c>
      <c r="AQ493" s="27">
        <f t="shared" si="113"/>
        <v>-8.7789118885945122E-2</v>
      </c>
      <c r="AR493" s="27">
        <f t="shared" si="113"/>
        <v>-8.7824869446460341E-2</v>
      </c>
      <c r="AS493" s="27">
        <f t="shared" si="113"/>
        <v>-8.7842812552050467E-2</v>
      </c>
      <c r="AT493" s="27">
        <f t="shared" si="113"/>
        <v>-8.7842889451098083E-2</v>
      </c>
      <c r="AU493" s="27">
        <f t="shared" si="113"/>
        <v>-8.7825632469861054E-2</v>
      </c>
      <c r="AV493" s="27">
        <f t="shared" si="113"/>
        <v>-8.7791464656619661E-2</v>
      </c>
      <c r="AW493" s="27">
        <f t="shared" si="113"/>
        <v>-8.7738464001201541E-2</v>
      </c>
      <c r="AY493" s="79"/>
    </row>
    <row r="494" spans="1:51" x14ac:dyDescent="0.25">
      <c r="A494" s="95" t="str">
        <f t="shared" si="108"/>
        <v>PQ Cattle MMN2O</v>
      </c>
      <c r="B494" s="95" t="s">
        <v>968</v>
      </c>
      <c r="C494" s="95" t="s">
        <v>1232</v>
      </c>
      <c r="D494" t="s">
        <v>15</v>
      </c>
      <c r="E494" t="s">
        <v>657</v>
      </c>
      <c r="F494" t="s">
        <v>6</v>
      </c>
      <c r="G494" t="s">
        <v>136</v>
      </c>
      <c r="H494" t="s">
        <v>1227</v>
      </c>
      <c r="I494" t="s">
        <v>139</v>
      </c>
      <c r="J494" t="s">
        <v>287</v>
      </c>
      <c r="K494" s="27">
        <f t="shared" si="110"/>
        <v>5.9474079071945893E-2</v>
      </c>
      <c r="L494" s="27">
        <f t="shared" si="113"/>
        <v>5.9806569587962537E-2</v>
      </c>
      <c r="M494" s="27">
        <f t="shared" si="113"/>
        <v>6.0278316688762053E-2</v>
      </c>
      <c r="N494" s="27">
        <f t="shared" si="113"/>
        <v>6.0581464452445992E-2</v>
      </c>
      <c r="O494" s="27">
        <f t="shared" si="113"/>
        <v>6.0782907527895308E-2</v>
      </c>
      <c r="P494" s="27">
        <f t="shared" si="113"/>
        <v>6.0880663265441164E-2</v>
      </c>
      <c r="Q494" s="27">
        <f t="shared" si="113"/>
        <v>6.1096642070638009E-2</v>
      </c>
      <c r="R494" s="27">
        <f t="shared" si="113"/>
        <v>6.1344406036983781E-2</v>
      </c>
      <c r="S494" s="27">
        <f t="shared" si="113"/>
        <v>5.9601328930113273E-2</v>
      </c>
      <c r="T494" s="27">
        <f t="shared" si="113"/>
        <v>6.0626854202705693E-2</v>
      </c>
      <c r="U494" s="27">
        <f t="shared" si="113"/>
        <v>0.10431335111869787</v>
      </c>
      <c r="V494" s="27">
        <f t="shared" si="113"/>
        <v>0.10557079987792001</v>
      </c>
      <c r="W494" s="27">
        <f t="shared" si="113"/>
        <v>0.10677309385797164</v>
      </c>
      <c r="X494" s="27">
        <f t="shared" si="113"/>
        <v>0.10789978230362134</v>
      </c>
      <c r="Y494" s="27">
        <f t="shared" si="113"/>
        <v>0.10892077673602073</v>
      </c>
      <c r="Z494" s="27">
        <f t="shared" si="113"/>
        <v>0.10983130908819148</v>
      </c>
      <c r="AA494" s="27">
        <f t="shared" si="113"/>
        <v>0.11062607502856897</v>
      </c>
      <c r="AB494" s="27">
        <f t="shared" si="113"/>
        <v>0.11130105996088024</v>
      </c>
      <c r="AC494" s="27">
        <f t="shared" si="113"/>
        <v>0.11185308002540331</v>
      </c>
      <c r="AD494" s="27">
        <f t="shared" si="113"/>
        <v>0.11227878827005904</v>
      </c>
      <c r="AE494" s="27">
        <f t="shared" si="113"/>
        <v>0.11257618100536711</v>
      </c>
      <c r="AF494" s="27">
        <f t="shared" si="113"/>
        <v>0.11274333624880213</v>
      </c>
      <c r="AG494" s="27">
        <f t="shared" si="113"/>
        <v>0.11277839712706036</v>
      </c>
      <c r="AH494" s="27">
        <f t="shared" si="113"/>
        <v>0.11268102453940491</v>
      </c>
      <c r="AI494" s="27">
        <f t="shared" si="113"/>
        <v>0.11245177283662604</v>
      </c>
      <c r="AJ494" s="27">
        <f t="shared" si="113"/>
        <v>3.5577796363991845E-2</v>
      </c>
      <c r="AK494" s="27">
        <f t="shared" si="113"/>
        <v>3.5603767558276704E-2</v>
      </c>
      <c r="AL494" s="27">
        <f t="shared" si="113"/>
        <v>3.5627869174539424E-2</v>
      </c>
      <c r="AM494" s="27">
        <f t="shared" si="113"/>
        <v>3.5650264251912672E-2</v>
      </c>
      <c r="AN494" s="27">
        <f t="shared" si="113"/>
        <v>3.5671153620438649E-2</v>
      </c>
      <c r="AO494" s="27">
        <f t="shared" si="113"/>
        <v>3.5689881664317018E-2</v>
      </c>
      <c r="AP494" s="27">
        <f t="shared" si="113"/>
        <v>3.5706008112300056E-2</v>
      </c>
      <c r="AQ494" s="27">
        <f t="shared" si="113"/>
        <v>3.5719462361704167E-2</v>
      </c>
      <c r="AR494" s="27">
        <f t="shared" si="113"/>
        <v>3.5729744862623404E-2</v>
      </c>
      <c r="AS494" s="27">
        <f t="shared" si="113"/>
        <v>3.5736313260064892E-2</v>
      </c>
      <c r="AT494" s="27">
        <f t="shared" si="113"/>
        <v>3.5739100565622635E-2</v>
      </c>
      <c r="AU494" s="27">
        <f t="shared" si="113"/>
        <v>3.5738183814189306E-2</v>
      </c>
      <c r="AV494" s="27">
        <f t="shared" si="113"/>
        <v>3.5733616728715514E-2</v>
      </c>
      <c r="AW494" s="27">
        <f t="shared" si="113"/>
        <v>3.5724889195264529E-2</v>
      </c>
      <c r="AY494" s="79"/>
    </row>
    <row r="495" spans="1:51" x14ac:dyDescent="0.25">
      <c r="A495" s="95" t="str">
        <f t="shared" si="108"/>
        <v>PQ Cattle MMN2O</v>
      </c>
      <c r="B495" s="95" t="s">
        <v>968</v>
      </c>
      <c r="C495" s="95" t="s">
        <v>1232</v>
      </c>
      <c r="D495" t="s">
        <v>15</v>
      </c>
      <c r="E495" t="s">
        <v>657</v>
      </c>
      <c r="F495" t="s">
        <v>6</v>
      </c>
      <c r="G495" t="s">
        <v>137</v>
      </c>
      <c r="H495" t="s">
        <v>1227</v>
      </c>
      <c r="I495" t="s">
        <v>139</v>
      </c>
      <c r="J495" t="s">
        <v>287</v>
      </c>
      <c r="K495" s="27">
        <f t="shared" si="110"/>
        <v>0.26041511380118898</v>
      </c>
      <c r="L495" s="27">
        <f t="shared" si="113"/>
        <v>0.26187096745907495</v>
      </c>
      <c r="M495" s="27">
        <f t="shared" si="113"/>
        <v>0.26393657447404822</v>
      </c>
      <c r="N495" s="27">
        <f t="shared" si="113"/>
        <v>0.26526394701365208</v>
      </c>
      <c r="O495" s="27">
        <f t="shared" si="113"/>
        <v>0.26614599213711054</v>
      </c>
      <c r="P495" s="27">
        <f t="shared" si="113"/>
        <v>0.26657402855087214</v>
      </c>
      <c r="Q495" s="27">
        <f t="shared" si="113"/>
        <v>0.26751972028770321</v>
      </c>
      <c r="R495" s="27">
        <f t="shared" si="113"/>
        <v>0.26860458755254507</v>
      </c>
      <c r="S495" s="27">
        <f t="shared" si="113"/>
        <v>0.26097229411928624</v>
      </c>
      <c r="T495" s="27">
        <f t="shared" si="113"/>
        <v>0.26546269203272144</v>
      </c>
      <c r="U495" s="27">
        <f t="shared" si="113"/>
        <v>0.45674979127794169</v>
      </c>
      <c r="V495" s="27">
        <f t="shared" si="113"/>
        <v>0.46225569682270645</v>
      </c>
      <c r="W495" s="27">
        <f t="shared" si="113"/>
        <v>0.46752009987901733</v>
      </c>
      <c r="X495" s="27">
        <f t="shared" si="113"/>
        <v>0.47245345411284095</v>
      </c>
      <c r="Y495" s="27">
        <f t="shared" si="113"/>
        <v>0.47692401314381044</v>
      </c>
      <c r="Z495" s="27">
        <f t="shared" si="113"/>
        <v>0.48091089936063391</v>
      </c>
      <c r="AA495" s="27">
        <f t="shared" si="113"/>
        <v>0.48439088704666999</v>
      </c>
      <c r="AB495" s="27">
        <f t="shared" si="113"/>
        <v>0.48734639776167055</v>
      </c>
      <c r="AC495" s="27">
        <f t="shared" si="113"/>
        <v>0.48976349055514479</v>
      </c>
      <c r="AD495" s="27">
        <f t="shared" si="113"/>
        <v>0.49162751035516583</v>
      </c>
      <c r="AE495" s="27">
        <f t="shared" si="113"/>
        <v>0.49292968374258739</v>
      </c>
      <c r="AF495" s="27">
        <f t="shared" si="113"/>
        <v>0.49366159506296176</v>
      </c>
      <c r="AG495" s="27">
        <f t="shared" si="113"/>
        <v>0.49381511375117121</v>
      </c>
      <c r="AH495" s="27">
        <f t="shared" si="113"/>
        <v>0.4933887550098322</v>
      </c>
      <c r="AI495" s="27">
        <f t="shared" si="113"/>
        <v>0.49238494613712885</v>
      </c>
      <c r="AJ495" s="27">
        <f t="shared" si="113"/>
        <v>0.15578208243824307</v>
      </c>
      <c r="AK495" s="27">
        <f t="shared" si="113"/>
        <v>0.15589580074411316</v>
      </c>
      <c r="AL495" s="27">
        <f t="shared" si="113"/>
        <v>0.15600133285557738</v>
      </c>
      <c r="AM495" s="27">
        <f t="shared" si="113"/>
        <v>0.1560993926610211</v>
      </c>
      <c r="AN495" s="27">
        <f t="shared" si="113"/>
        <v>0.15619085952132081</v>
      </c>
      <c r="AO495" s="27">
        <f t="shared" si="113"/>
        <v>0.15627286273606522</v>
      </c>
      <c r="AP495" s="27">
        <f t="shared" si="113"/>
        <v>0.15634347451942091</v>
      </c>
      <c r="AQ495" s="27">
        <f t="shared" si="113"/>
        <v>0.15640238572820886</v>
      </c>
      <c r="AR495" s="27">
        <f t="shared" si="113"/>
        <v>0.15644740901715809</v>
      </c>
      <c r="AS495" s="27">
        <f t="shared" si="113"/>
        <v>0.15647616961326835</v>
      </c>
      <c r="AT495" s="27">
        <f t="shared" si="113"/>
        <v>0.15648837419895245</v>
      </c>
      <c r="AU495" s="27">
        <f t="shared" si="113"/>
        <v>0.15648436008166708</v>
      </c>
      <c r="AV495" s="27">
        <f t="shared" si="113"/>
        <v>0.15646436249445</v>
      </c>
      <c r="AW495" s="27">
        <f t="shared" si="113"/>
        <v>0.15642614783602549</v>
      </c>
      <c r="AY495" s="79"/>
    </row>
    <row r="496" spans="1:51" x14ac:dyDescent="0.25">
      <c r="A496" s="95" t="str">
        <f t="shared" si="108"/>
        <v>PQ Cattle MMN2O</v>
      </c>
      <c r="B496" s="95" t="s">
        <v>968</v>
      </c>
      <c r="C496" s="95" t="s">
        <v>1232</v>
      </c>
      <c r="D496" t="s">
        <v>15</v>
      </c>
      <c r="E496" t="s">
        <v>657</v>
      </c>
      <c r="F496" t="s">
        <v>67</v>
      </c>
      <c r="G496" t="s">
        <v>307</v>
      </c>
      <c r="H496" t="s">
        <v>1227</v>
      </c>
      <c r="I496" t="s">
        <v>139</v>
      </c>
      <c r="J496" t="s">
        <v>287</v>
      </c>
      <c r="K496" s="27">
        <f t="shared" si="110"/>
        <v>1.1586934798802538E-2</v>
      </c>
      <c r="L496" s="27">
        <f t="shared" si="113"/>
        <v>1.1651711689683767E-2</v>
      </c>
      <c r="M496" s="27">
        <f t="shared" si="113"/>
        <v>1.1743619004328788E-2</v>
      </c>
      <c r="N496" s="27">
        <f t="shared" si="113"/>
        <v>1.1802679244134426E-2</v>
      </c>
      <c r="O496" s="27">
        <f t="shared" si="113"/>
        <v>1.1841925043604104E-2</v>
      </c>
      <c r="P496" s="27">
        <f t="shared" si="113"/>
        <v>1.186097013643829E-2</v>
      </c>
      <c r="Q496" s="27">
        <f t="shared" si="113"/>
        <v>1.1903047834366352E-2</v>
      </c>
      <c r="R496" s="27">
        <f t="shared" si="113"/>
        <v>1.1951318021451862E-2</v>
      </c>
      <c r="S496" s="27">
        <f t="shared" si="113"/>
        <v>1.1611726032777913E-2</v>
      </c>
      <c r="T496" s="27">
        <f t="shared" si="113"/>
        <v>1.1811522223882912E-2</v>
      </c>
      <c r="U496" s="27">
        <f t="shared" si="113"/>
        <v>2.0322668579614574E-2</v>
      </c>
      <c r="V496" s="27">
        <f t="shared" si="113"/>
        <v>2.0567648863686182E-2</v>
      </c>
      <c r="W496" s="27">
        <f t="shared" si="113"/>
        <v>2.0801883713106869E-2</v>
      </c>
      <c r="X496" s="27">
        <f t="shared" si="113"/>
        <v>2.1021388844788085E-2</v>
      </c>
      <c r="Y496" s="27">
        <f t="shared" si="113"/>
        <v>2.1220302322773034E-2</v>
      </c>
      <c r="Z496" s="27">
        <f t="shared" si="113"/>
        <v>2.1397695216642653E-2</v>
      </c>
      <c r="AA496" s="27">
        <f t="shared" si="113"/>
        <v>2.1552534119155507E-2</v>
      </c>
      <c r="AB496" s="27">
        <f t="shared" si="113"/>
        <v>2.1684036893522194E-2</v>
      </c>
      <c r="AC496" s="27">
        <f t="shared" si="113"/>
        <v>2.1791583249767946E-2</v>
      </c>
      <c r="AD496" s="27">
        <f t="shared" si="113"/>
        <v>2.1874521123731019E-2</v>
      </c>
      <c r="AE496" s="27">
        <f t="shared" si="113"/>
        <v>2.1932460150066901E-2</v>
      </c>
      <c r="AF496" s="27">
        <f t="shared" si="113"/>
        <v>2.1965025881847573E-2</v>
      </c>
      <c r="AG496" s="27">
        <f t="shared" si="113"/>
        <v>2.1971856556936734E-2</v>
      </c>
      <c r="AH496" s="27">
        <f t="shared" si="113"/>
        <v>2.1952886110618599E-2</v>
      </c>
      <c r="AI496" s="27">
        <f t="shared" si="113"/>
        <v>2.190822254332906E-2</v>
      </c>
      <c r="AJ496" s="27">
        <f t="shared" si="113"/>
        <v>6.931382766868284E-3</v>
      </c>
      <c r="AK496" s="27">
        <f t="shared" si="113"/>
        <v>6.9364425599667493E-3</v>
      </c>
      <c r="AL496" s="27">
        <f t="shared" si="113"/>
        <v>6.9411381157540699E-3</v>
      </c>
      <c r="AM496" s="27">
        <f t="shared" si="113"/>
        <v>6.9455011980478565E-3</v>
      </c>
      <c r="AN496" s="27">
        <f t="shared" si="113"/>
        <v>6.9495709332144289E-3</v>
      </c>
      <c r="AO496" s="27">
        <f t="shared" si="113"/>
        <v>6.9532195920371295E-3</v>
      </c>
      <c r="AP496" s="27">
        <f t="shared" si="113"/>
        <v>6.9563613994300545E-3</v>
      </c>
      <c r="AQ496" s="27">
        <f t="shared" si="113"/>
        <v>6.9589826003472414E-3</v>
      </c>
      <c r="AR496" s="27">
        <f t="shared" si="113"/>
        <v>6.9609858708405197E-3</v>
      </c>
      <c r="AS496" s="27">
        <f t="shared" si="113"/>
        <v>6.9622655475345486E-3</v>
      </c>
      <c r="AT496" s="27">
        <f t="shared" si="113"/>
        <v>6.9628085795287523E-3</v>
      </c>
      <c r="AU496" s="27">
        <f t="shared" si="113"/>
        <v>6.9626299750131342E-3</v>
      </c>
      <c r="AV496" s="27">
        <f t="shared" si="113"/>
        <v>6.9617402004688092E-3</v>
      </c>
      <c r="AW496" s="27">
        <f t="shared" si="113"/>
        <v>6.960039873828548E-3</v>
      </c>
      <c r="AY496" s="79"/>
    </row>
    <row r="497" spans="1:51" x14ac:dyDescent="0.25">
      <c r="A497" s="95" t="str">
        <f t="shared" si="108"/>
        <v>PQ Cattle MMN2O</v>
      </c>
      <c r="B497" s="95" t="s">
        <v>968</v>
      </c>
      <c r="C497" s="95" t="s">
        <v>1232</v>
      </c>
      <c r="D497" t="s">
        <v>15</v>
      </c>
      <c r="E497" t="s">
        <v>657</v>
      </c>
      <c r="F497" t="s">
        <v>67</v>
      </c>
      <c r="G497" t="s">
        <v>122</v>
      </c>
      <c r="H497" t="s">
        <v>1227</v>
      </c>
      <c r="I497" t="s">
        <v>139</v>
      </c>
      <c r="J497" t="s">
        <v>287</v>
      </c>
      <c r="K497" s="27">
        <f t="shared" si="110"/>
        <v>0.52525224947331295</v>
      </c>
      <c r="L497" s="27">
        <f t="shared" si="113"/>
        <v>0.5206969044571037</v>
      </c>
      <c r="M497" s="27">
        <f t="shared" si="113"/>
        <v>0.51896282251134873</v>
      </c>
      <c r="N497" s="27">
        <f t="shared" si="113"/>
        <v>0.51203275332440923</v>
      </c>
      <c r="O497" s="27">
        <f t="shared" si="113"/>
        <v>0.50197358865556674</v>
      </c>
      <c r="P497" s="27">
        <f t="shared" si="113"/>
        <v>0.48899333628247277</v>
      </c>
      <c r="Q497" s="27">
        <f t="shared" si="113"/>
        <v>0.47875543160314166</v>
      </c>
      <c r="R497" s="27">
        <f t="shared" si="113"/>
        <v>0.46906920988966783</v>
      </c>
      <c r="S497" s="27">
        <f t="shared" si="113"/>
        <v>0.41949739097667643</v>
      </c>
      <c r="T497" s="27">
        <f t="shared" si="113"/>
        <v>0.43565935064957972</v>
      </c>
      <c r="U497" s="27">
        <f t="shared" si="113"/>
        <v>1.3730656770552265</v>
      </c>
      <c r="V497" s="27">
        <f t="shared" si="113"/>
        <v>1.3796884935069886</v>
      </c>
      <c r="W497" s="27">
        <f t="shared" si="113"/>
        <v>1.3839270796629521</v>
      </c>
      <c r="X497" s="27">
        <f t="shared" si="113"/>
        <v>1.3857805722044871</v>
      </c>
      <c r="Y497" s="27">
        <f t="shared" si="113"/>
        <v>1.3852882351123565</v>
      </c>
      <c r="Z497" s="27">
        <f t="shared" si="113"/>
        <v>1.3824264694708266</v>
      </c>
      <c r="AA497" s="27">
        <f t="shared" si="113"/>
        <v>1.3771882651473364</v>
      </c>
      <c r="AB497" s="27">
        <f t="shared" si="113"/>
        <v>1.3695779562696064</v>
      </c>
      <c r="AC497" s="27">
        <f t="shared" si="113"/>
        <v>1.3596126553947701</v>
      </c>
      <c r="AD497" s="27">
        <f t="shared" si="113"/>
        <v>1.33600285419975</v>
      </c>
      <c r="AE497" s="27">
        <f t="shared" si="113"/>
        <v>1.3101691590672178</v>
      </c>
      <c r="AF497" s="27">
        <f t="shared" si="113"/>
        <v>1.2822276459176047</v>
      </c>
      <c r="AG497" s="27">
        <f t="shared" si="113"/>
        <v>1.2523075801974097</v>
      </c>
      <c r="AH497" s="27">
        <f t="shared" si="113"/>
        <v>1.2205465760046283</v>
      </c>
      <c r="AI497" s="27">
        <f t="shared" si="113"/>
        <v>1.1870911726481781</v>
      </c>
      <c r="AJ497" s="27">
        <f t="shared" si="113"/>
        <v>-9.1659099684125458E-2</v>
      </c>
      <c r="AK497" s="27">
        <f t="shared" si="113"/>
        <v>-8.9452213438823466E-2</v>
      </c>
      <c r="AL497" s="27">
        <f t="shared" si="113"/>
        <v>-8.7268288718690495E-2</v>
      </c>
      <c r="AM497" s="27">
        <f t="shared" si="113"/>
        <v>-8.5107099964586319E-2</v>
      </c>
      <c r="AN497" s="27">
        <f t="shared" si="113"/>
        <v>-8.3391821536204336E-2</v>
      </c>
      <c r="AO497" s="27">
        <f t="shared" si="113"/>
        <v>-8.1692814399719135E-2</v>
      </c>
      <c r="AP497" s="27">
        <f t="shared" si="113"/>
        <v>-8.0008814881266738E-2</v>
      </c>
      <c r="AQ497" s="27">
        <f t="shared" si="113"/>
        <v>-7.8339405843548718E-2</v>
      </c>
      <c r="AR497" s="27">
        <f t="shared" si="113"/>
        <v>-7.6683366781164067E-2</v>
      </c>
      <c r="AS497" s="27">
        <f t="shared" si="113"/>
        <v>-7.5039502453707246E-2</v>
      </c>
      <c r="AT497" s="27">
        <f t="shared" si="113"/>
        <v>-7.3407620898571099E-2</v>
      </c>
      <c r="AU497" s="27">
        <f t="shared" si="113"/>
        <v>-7.1787822935495418E-2</v>
      </c>
      <c r="AV497" s="27">
        <f t="shared" si="113"/>
        <v>-7.0180170412069726E-2</v>
      </c>
      <c r="AW497" s="27">
        <f t="shared" si="113"/>
        <v>-6.8583739954492046E-2</v>
      </c>
      <c r="AY497" s="79"/>
    </row>
    <row r="498" spans="1:51" x14ac:dyDescent="0.25">
      <c r="A498" s="95" t="str">
        <f t="shared" si="108"/>
        <v>PQ Cattle MMN2O</v>
      </c>
      <c r="B498" s="95" t="s">
        <v>968</v>
      </c>
      <c r="C498" s="95" t="s">
        <v>1232</v>
      </c>
      <c r="D498" t="s">
        <v>15</v>
      </c>
      <c r="E498" t="s">
        <v>657</v>
      </c>
      <c r="F498" t="s">
        <v>67</v>
      </c>
      <c r="G498" t="s">
        <v>123</v>
      </c>
      <c r="H498" t="s">
        <v>1227</v>
      </c>
      <c r="I498" t="s">
        <v>139</v>
      </c>
      <c r="J498" t="s">
        <v>287</v>
      </c>
      <c r="K498" s="27">
        <f t="shared" si="110"/>
        <v>0.80452586370517853</v>
      </c>
      <c r="L498" s="27">
        <f t="shared" si="113"/>
        <v>0.79754846782098077</v>
      </c>
      <c r="M498" s="27">
        <f t="shared" si="113"/>
        <v>0.79489238443144161</v>
      </c>
      <c r="N498" s="27">
        <f t="shared" si="113"/>
        <v>0.78427763712907461</v>
      </c>
      <c r="O498" s="27">
        <f t="shared" si="113"/>
        <v>0.76887007218962322</v>
      </c>
      <c r="P498" s="27">
        <f t="shared" si="113"/>
        <v>0.74898829393537247</v>
      </c>
      <c r="Q498" s="27">
        <f t="shared" si="113"/>
        <v>0.73330695394505496</v>
      </c>
      <c r="R498" s="27">
        <f t="shared" si="113"/>
        <v>0.71847062359542468</v>
      </c>
      <c r="S498" s="27">
        <f t="shared" si="113"/>
        <v>0.64254175234089539</v>
      </c>
      <c r="T498" s="27">
        <f t="shared" si="113"/>
        <v>0.66729693345254038</v>
      </c>
      <c r="U498" s="27">
        <f t="shared" si="113"/>
        <v>2.1031168374137881</v>
      </c>
      <c r="V498" s="27">
        <f t="shared" si="113"/>
        <v>2.1132609674605565</v>
      </c>
      <c r="W498" s="27">
        <f t="shared" si="113"/>
        <v>2.1197531856118057</v>
      </c>
      <c r="X498" s="27">
        <f t="shared" si="113"/>
        <v>2.1225921695273335</v>
      </c>
      <c r="Y498" s="27">
        <f t="shared" si="113"/>
        <v>2.1218380596217075</v>
      </c>
      <c r="Z498" s="27">
        <f t="shared" si="113"/>
        <v>2.1174547095707896</v>
      </c>
      <c r="AA498" s="27">
        <f t="shared" si="113"/>
        <v>2.1094313819946655</v>
      </c>
      <c r="AB498" s="27">
        <f t="shared" si="113"/>
        <v>2.0977747154519557</v>
      </c>
      <c r="AC498" s="27">
        <f t="shared" si="113"/>
        <v>2.0825109211484589</v>
      </c>
      <c r="AD498" s="27">
        <f t="shared" si="113"/>
        <v>2.0463479238126498</v>
      </c>
      <c r="AE498" s="27">
        <f t="shared" si="113"/>
        <v>2.0067786008634618</v>
      </c>
      <c r="AF498" s="27">
        <f t="shared" si="113"/>
        <v>1.9639807451237425</v>
      </c>
      <c r="AG498" s="27">
        <f t="shared" si="113"/>
        <v>1.9181523517379118</v>
      </c>
      <c r="AH498" s="27">
        <f t="shared" si="113"/>
        <v>1.8695042034320957</v>
      </c>
      <c r="AI498" s="27">
        <f t="shared" si="113"/>
        <v>1.8182607536268967</v>
      </c>
      <c r="AJ498" s="27">
        <f t="shared" si="113"/>
        <v>-0.14039371828250841</v>
      </c>
      <c r="AK498" s="27">
        <f t="shared" si="113"/>
        <v>-0.13701344325392734</v>
      </c>
      <c r="AL498" s="27">
        <f t="shared" si="113"/>
        <v>-0.13366833826200414</v>
      </c>
      <c r="AM498" s="27">
        <f t="shared" si="113"/>
        <v>-0.13035805781909493</v>
      </c>
      <c r="AN498" s="27">
        <f t="shared" si="113"/>
        <v>-0.12773077566947513</v>
      </c>
      <c r="AO498" s="27">
        <f t="shared" si="113"/>
        <v>-0.12512841616450843</v>
      </c>
      <c r="AP498" s="27">
        <f t="shared" si="113"/>
        <v>-0.12254904374217125</v>
      </c>
      <c r="AQ498" s="27">
        <f t="shared" si="113"/>
        <v>-0.11999201947565157</v>
      </c>
      <c r="AR498" s="27">
        <f t="shared" si="113"/>
        <v>-0.11745547392381339</v>
      </c>
      <c r="AS498" s="27">
        <f t="shared" si="113"/>
        <v>-0.11493757634376978</v>
      </c>
      <c r="AT498" s="27">
        <f t="shared" si="113"/>
        <v>-0.11243803270749411</v>
      </c>
      <c r="AU498" s="27">
        <f t="shared" si="113"/>
        <v>-0.10995699744000494</v>
      </c>
      <c r="AV498" s="27">
        <f t="shared" si="113"/>
        <v>-0.10749456527290084</v>
      </c>
      <c r="AW498" s="27">
        <f t="shared" si="113"/>
        <v>-0.10504932187981528</v>
      </c>
      <c r="AY498" s="79"/>
    </row>
    <row r="499" spans="1:51" x14ac:dyDescent="0.25">
      <c r="A499" s="95" t="str">
        <f t="shared" si="108"/>
        <v>PQ Cattle MMN2O</v>
      </c>
      <c r="B499" s="95" t="s">
        <v>968</v>
      </c>
      <c r="C499" s="95" t="s">
        <v>1232</v>
      </c>
      <c r="D499" t="s">
        <v>15</v>
      </c>
      <c r="E499" t="s">
        <v>657</v>
      </c>
      <c r="F499" t="s">
        <v>67</v>
      </c>
      <c r="G499" t="s">
        <v>135</v>
      </c>
      <c r="H499" t="s">
        <v>1227</v>
      </c>
      <c r="I499" t="s">
        <v>139</v>
      </c>
      <c r="J499" t="s">
        <v>287</v>
      </c>
      <c r="K499" s="27">
        <f t="shared" si="110"/>
        <v>0.97926119892671493</v>
      </c>
      <c r="L499" s="27">
        <f t="shared" si="113"/>
        <v>1.0122801448609147</v>
      </c>
      <c r="M499" s="27">
        <f t="shared" si="113"/>
        <v>1.0514701788925804</v>
      </c>
      <c r="N499" s="27">
        <f t="shared" si="113"/>
        <v>1.0806972456941155</v>
      </c>
      <c r="O499" s="27">
        <f t="shared" si="113"/>
        <v>1.1032367943433714</v>
      </c>
      <c r="P499" s="27">
        <f t="shared" si="113"/>
        <v>1.1187666946803869</v>
      </c>
      <c r="Q499" s="27">
        <f t="shared" si="113"/>
        <v>1.1399714801203364</v>
      </c>
      <c r="R499" s="27">
        <f t="shared" si="113"/>
        <v>1.1622002864669057</v>
      </c>
      <c r="S499" s="27">
        <f t="shared" si="113"/>
        <v>1.0813845600959935</v>
      </c>
      <c r="T499" s="27">
        <f t="shared" si="113"/>
        <v>1.1501042489069657</v>
      </c>
      <c r="U499" s="27">
        <f t="shared" ref="L499:AW505" si="114">U1416</f>
        <v>3.7109100106027491</v>
      </c>
      <c r="V499" s="27">
        <f t="shared" si="114"/>
        <v>3.81628643561459</v>
      </c>
      <c r="W499" s="27">
        <f t="shared" si="114"/>
        <v>3.9167580657264067</v>
      </c>
      <c r="X499" s="27">
        <f t="shared" si="114"/>
        <v>4.0119388397207816</v>
      </c>
      <c r="Y499" s="27">
        <f t="shared" si="114"/>
        <v>4.1015489666041693</v>
      </c>
      <c r="Z499" s="27">
        <f t="shared" si="114"/>
        <v>4.185115809425092</v>
      </c>
      <c r="AA499" s="27">
        <f t="shared" si="114"/>
        <v>4.2621982223461794</v>
      </c>
      <c r="AB499" s="27">
        <f t="shared" si="114"/>
        <v>4.332374707921506</v>
      </c>
      <c r="AC499" s="27">
        <f t="shared" si="114"/>
        <v>4.3952511811697104</v>
      </c>
      <c r="AD499" s="27">
        <f t="shared" si="114"/>
        <v>4.4621545606882416</v>
      </c>
      <c r="AE499" s="27">
        <f t="shared" si="114"/>
        <v>4.5212658165225097</v>
      </c>
      <c r="AF499" s="27">
        <f t="shared" si="114"/>
        <v>4.572238941429692</v>
      </c>
      <c r="AG499" s="27">
        <f t="shared" si="114"/>
        <v>4.6147735825145579</v>
      </c>
      <c r="AH499" s="27">
        <f t="shared" si="114"/>
        <v>4.6486045920264791</v>
      </c>
      <c r="AI499" s="27">
        <f t="shared" si="114"/>
        <v>4.6735101171168392</v>
      </c>
      <c r="AJ499" s="27">
        <f t="shared" si="114"/>
        <v>-0.37307516132200708</v>
      </c>
      <c r="AK499" s="27">
        <f t="shared" si="114"/>
        <v>-0.37648970355727795</v>
      </c>
      <c r="AL499" s="27">
        <f t="shared" si="114"/>
        <v>-0.37988166723122341</v>
      </c>
      <c r="AM499" s="27">
        <f t="shared" si="114"/>
        <v>-0.38325274179247815</v>
      </c>
      <c r="AN499" s="27">
        <f t="shared" si="114"/>
        <v>-0.3861241570916577</v>
      </c>
      <c r="AO499" s="27">
        <f t="shared" si="114"/>
        <v>-0.38896686054418655</v>
      </c>
      <c r="AP499" s="27">
        <f t="shared" si="114"/>
        <v>-0.39177650128046815</v>
      </c>
      <c r="AQ499" s="27">
        <f t="shared" si="114"/>
        <v>-0.39455230658450102</v>
      </c>
      <c r="AR499" s="27">
        <f t="shared" si="114"/>
        <v>-0.39728909714720628</v>
      </c>
      <c r="AS499" s="27">
        <f t="shared" si="114"/>
        <v>-0.39998109146847105</v>
      </c>
      <c r="AT499" s="27">
        <f t="shared" si="114"/>
        <v>-0.40262723351695445</v>
      </c>
      <c r="AU499" s="27">
        <f t="shared" si="114"/>
        <v>-0.4052279233246403</v>
      </c>
      <c r="AV499" s="27">
        <f t="shared" si="114"/>
        <v>-0.40778332090512204</v>
      </c>
      <c r="AW499" s="27">
        <f t="shared" si="114"/>
        <v>-0.41028765697691083</v>
      </c>
      <c r="AY499" s="79"/>
    </row>
    <row r="500" spans="1:51" x14ac:dyDescent="0.25">
      <c r="A500" s="95" t="str">
        <f t="shared" si="108"/>
        <v>PQ Sheep MMN2O</v>
      </c>
      <c r="B500" s="95" t="s">
        <v>968</v>
      </c>
      <c r="C500" s="95" t="s">
        <v>1328</v>
      </c>
      <c r="D500" t="s">
        <v>15</v>
      </c>
      <c r="E500" t="s">
        <v>657</v>
      </c>
      <c r="F500" t="s">
        <v>18</v>
      </c>
      <c r="G500" t="s">
        <v>122</v>
      </c>
      <c r="H500" t="s">
        <v>1227</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0.11888990250365807</v>
      </c>
      <c r="T500" s="27">
        <f t="shared" si="114"/>
        <v>0.1189690287837306</v>
      </c>
      <c r="U500" s="27">
        <f t="shared" si="114"/>
        <v>0.12051861082287679</v>
      </c>
      <c r="V500" s="27">
        <f t="shared" si="114"/>
        <v>0.1205564116673056</v>
      </c>
      <c r="W500" s="27">
        <f t="shared" si="114"/>
        <v>0.1207181038170992</v>
      </c>
      <c r="X500" s="27">
        <f t="shared" si="114"/>
        <v>0.1209518337442019</v>
      </c>
      <c r="Y500" s="27">
        <f t="shared" si="114"/>
        <v>0.12116896083678347</v>
      </c>
      <c r="Z500" s="27">
        <f t="shared" si="114"/>
        <v>0.12137217342001694</v>
      </c>
      <c r="AA500" s="27">
        <f t="shared" si="114"/>
        <v>0.1215603878714394</v>
      </c>
      <c r="AB500" s="27">
        <f t="shared" si="114"/>
        <v>0.12173530001872475</v>
      </c>
      <c r="AC500" s="27">
        <f t="shared" si="114"/>
        <v>0.12189956310100271</v>
      </c>
      <c r="AD500" s="27">
        <f t="shared" si="114"/>
        <v>0.12205302234453672</v>
      </c>
      <c r="AE500" s="27">
        <f t="shared" si="114"/>
        <v>0.12219813225383717</v>
      </c>
      <c r="AF500" s="27">
        <f t="shared" si="114"/>
        <v>0.12233524409037175</v>
      </c>
      <c r="AG500" s="27">
        <f t="shared" si="114"/>
        <v>0.12246247857835596</v>
      </c>
      <c r="AH500" s="27">
        <f t="shared" si="114"/>
        <v>0.12258099962950754</v>
      </c>
      <c r="AI500" s="27">
        <f t="shared" si="114"/>
        <v>0.1226926980528978</v>
      </c>
      <c r="AJ500" s="27">
        <f t="shared" si="114"/>
        <v>0.12000006421083369</v>
      </c>
      <c r="AK500" s="27">
        <f t="shared" si="114"/>
        <v>0.12011041514130365</v>
      </c>
      <c r="AL500" s="27">
        <f t="shared" si="114"/>
        <v>0.12021334415571779</v>
      </c>
      <c r="AM500" s="27">
        <f t="shared" si="114"/>
        <v>0.12030948030331916</v>
      </c>
      <c r="AN500" s="27">
        <f t="shared" si="114"/>
        <v>0.12039958826810335</v>
      </c>
      <c r="AO500" s="27">
        <f t="shared" si="114"/>
        <v>0.12048129784431058</v>
      </c>
      <c r="AP500" s="27">
        <f t="shared" si="114"/>
        <v>0.12055302618273207</v>
      </c>
      <c r="AQ500" s="27">
        <f t="shared" si="114"/>
        <v>0.12061454144456668</v>
      </c>
      <c r="AR500" s="27">
        <f t="shared" si="114"/>
        <v>0.12066404237348154</v>
      </c>
      <c r="AS500" s="27">
        <f t="shared" si="114"/>
        <v>0.12069957105311468</v>
      </c>
      <c r="AT500" s="27">
        <f t="shared" si="114"/>
        <v>0.12072090668873016</v>
      </c>
      <c r="AU500" s="27">
        <f t="shared" si="114"/>
        <v>0.12072835361242823</v>
      </c>
      <c r="AV500" s="27">
        <f t="shared" si="114"/>
        <v>0.12072212964886384</v>
      </c>
      <c r="AW500" s="27">
        <f t="shared" si="114"/>
        <v>0.12070039195556491</v>
      </c>
      <c r="AY500" s="79"/>
    </row>
    <row r="501" spans="1:51" x14ac:dyDescent="0.25">
      <c r="A501" s="95" t="str">
        <f t="shared" si="108"/>
        <v>PQ Sheep MMN2O</v>
      </c>
      <c r="B501" s="95" t="s">
        <v>968</v>
      </c>
      <c r="C501" s="95" t="s">
        <v>1328</v>
      </c>
      <c r="D501" t="s">
        <v>15</v>
      </c>
      <c r="E501" t="s">
        <v>657</v>
      </c>
      <c r="F501" t="s">
        <v>18</v>
      </c>
      <c r="G501" t="s">
        <v>123</v>
      </c>
      <c r="H501" t="s">
        <v>1227</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6.3575358075834407E-2</v>
      </c>
      <c r="T501" s="27">
        <f t="shared" si="114"/>
        <v>6.3617670177054816E-2</v>
      </c>
      <c r="U501" s="27">
        <f t="shared" si="114"/>
        <v>6.4446295913404186E-2</v>
      </c>
      <c r="V501" s="27">
        <f t="shared" si="114"/>
        <v>6.4466509591517507E-2</v>
      </c>
      <c r="W501" s="27">
        <f t="shared" si="114"/>
        <v>6.4552973085091836E-2</v>
      </c>
      <c r="X501" s="27">
        <f t="shared" si="114"/>
        <v>6.4677958163687016E-2</v>
      </c>
      <c r="Y501" s="27">
        <f t="shared" si="114"/>
        <v>6.479406501858509E-2</v>
      </c>
      <c r="Z501" s="27">
        <f t="shared" si="114"/>
        <v>6.4902731208669517E-2</v>
      </c>
      <c r="AA501" s="27">
        <f t="shared" si="114"/>
        <v>6.500337727610038E-2</v>
      </c>
      <c r="AB501" s="27">
        <f t="shared" si="114"/>
        <v>6.5096910050215798E-2</v>
      </c>
      <c r="AC501" s="27">
        <f t="shared" si="114"/>
        <v>6.518474832793783E-2</v>
      </c>
      <c r="AD501" s="27">
        <f t="shared" si="114"/>
        <v>6.5266809345335172E-2</v>
      </c>
      <c r="AE501" s="27">
        <f t="shared" si="114"/>
        <v>6.5344405627692656E-2</v>
      </c>
      <c r="AF501" s="27">
        <f t="shared" si="114"/>
        <v>6.5417725009074529E-2</v>
      </c>
      <c r="AG501" s="27">
        <f t="shared" si="114"/>
        <v>6.5485762562835198E-2</v>
      </c>
      <c r="AH501" s="27">
        <f t="shared" si="114"/>
        <v>6.5549140680806597E-2</v>
      </c>
      <c r="AI501" s="27">
        <f t="shared" si="114"/>
        <v>6.560887045696083E-2</v>
      </c>
      <c r="AJ501" s="27">
        <f t="shared" si="114"/>
        <v>6.4169007549586779E-2</v>
      </c>
      <c r="AK501" s="27">
        <f t="shared" si="114"/>
        <v>6.42280167654318E-2</v>
      </c>
      <c r="AL501" s="27">
        <f t="shared" si="114"/>
        <v>6.4283057175171951E-2</v>
      </c>
      <c r="AM501" s="27">
        <f t="shared" si="114"/>
        <v>6.4334465157507542E-2</v>
      </c>
      <c r="AN501" s="27">
        <f t="shared" si="114"/>
        <v>6.4382649620662147E-2</v>
      </c>
      <c r="AO501" s="27">
        <f t="shared" si="114"/>
        <v>6.4426343117386445E-2</v>
      </c>
      <c r="AP501" s="27">
        <f t="shared" si="114"/>
        <v>6.4464699232609876E-2</v>
      </c>
      <c r="AQ501" s="27">
        <f t="shared" si="114"/>
        <v>6.4497593992517213E-2</v>
      </c>
      <c r="AR501" s="27">
        <f t="shared" si="114"/>
        <v>6.452406419069702E-2</v>
      </c>
      <c r="AS501" s="27">
        <f t="shared" si="114"/>
        <v>6.4543062848127733E-2</v>
      </c>
      <c r="AT501" s="27">
        <f t="shared" si="114"/>
        <v>6.4554471896713567E-2</v>
      </c>
      <c r="AU501" s="27">
        <f t="shared" si="114"/>
        <v>6.4558454075441099E-2</v>
      </c>
      <c r="AV501" s="27">
        <f t="shared" si="114"/>
        <v>6.4555125864180746E-2</v>
      </c>
      <c r="AW501" s="27">
        <f t="shared" si="114"/>
        <v>6.4543501818688898E-2</v>
      </c>
      <c r="AY501" s="79"/>
    </row>
    <row r="502" spans="1:51" x14ac:dyDescent="0.25">
      <c r="A502" s="95" t="str">
        <f t="shared" si="108"/>
        <v>PQ Goats MMN2O</v>
      </c>
      <c r="B502" s="95" t="s">
        <v>968</v>
      </c>
      <c r="C502" s="95" t="s">
        <v>1329</v>
      </c>
      <c r="D502" t="s">
        <v>15</v>
      </c>
      <c r="E502" t="s">
        <v>657</v>
      </c>
      <c r="F502" t="s">
        <v>19</v>
      </c>
      <c r="G502" t="s">
        <v>122</v>
      </c>
      <c r="H502" t="s">
        <v>1227</v>
      </c>
      <c r="I502" t="s">
        <v>139</v>
      </c>
      <c r="J502" t="s">
        <v>287</v>
      </c>
      <c r="K502" s="27">
        <f t="shared" si="110"/>
        <v>1.4486129996083084E-2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1.4890706011157261E-2</v>
      </c>
      <c r="R502" s="27">
        <f t="shared" si="114"/>
        <v>1.4988675221399694E-2</v>
      </c>
      <c r="S502" s="27">
        <f t="shared" si="114"/>
        <v>1.4952125307683931E-2</v>
      </c>
      <c r="T502" s="27">
        <f t="shared" si="114"/>
        <v>1.497659485650934E-2</v>
      </c>
      <c r="U502" s="27">
        <f t="shared" si="114"/>
        <v>1.5280249217669807E-2</v>
      </c>
      <c r="V502" s="27">
        <f t="shared" si="114"/>
        <v>1.5293967954982137E-2</v>
      </c>
      <c r="W502" s="27">
        <f t="shared" si="114"/>
        <v>1.5330288500558316E-2</v>
      </c>
      <c r="X502" s="27">
        <f t="shared" si="114"/>
        <v>1.5379307775042967E-2</v>
      </c>
      <c r="Y502" s="27">
        <f t="shared" si="114"/>
        <v>1.5424265287422665E-2</v>
      </c>
      <c r="Z502" s="27">
        <f t="shared" si="114"/>
        <v>1.5465755297522263E-2</v>
      </c>
      <c r="AA502" s="27">
        <f t="shared" si="114"/>
        <v>1.5503650543984475E-2</v>
      </c>
      <c r="AB502" s="27">
        <f t="shared" si="114"/>
        <v>1.5538340165319426E-2</v>
      </c>
      <c r="AC502" s="27">
        <f t="shared" si="114"/>
        <v>1.5570383853796523E-2</v>
      </c>
      <c r="AD502" s="27">
        <f t="shared" si="114"/>
        <v>1.5599807426957595E-2</v>
      </c>
      <c r="AE502" s="27">
        <f t="shared" si="114"/>
        <v>1.5627118939580072E-2</v>
      </c>
      <c r="AF502" s="27">
        <f t="shared" si="114"/>
        <v>1.5652427506297684E-2</v>
      </c>
      <c r="AG502" s="27">
        <f t="shared" si="114"/>
        <v>1.5675424120776597E-2</v>
      </c>
      <c r="AH502" s="27">
        <f t="shared" si="114"/>
        <v>1.5696363462061685E-2</v>
      </c>
      <c r="AI502" s="27">
        <f t="shared" si="114"/>
        <v>1.5715630256505467E-2</v>
      </c>
      <c r="AJ502" s="27">
        <f t="shared" si="114"/>
        <v>1.5216731234132433E-2</v>
      </c>
      <c r="AK502" s="27">
        <f t="shared" si="114"/>
        <v>1.5235961154748286E-2</v>
      </c>
      <c r="AL502" s="27">
        <f t="shared" si="114"/>
        <v>1.5253469736089939E-2</v>
      </c>
      <c r="AM502" s="27">
        <f t="shared" si="114"/>
        <v>1.5269398678749371E-2</v>
      </c>
      <c r="AN502" s="27">
        <f t="shared" si="114"/>
        <v>1.5283912082079585E-2</v>
      </c>
      <c r="AO502" s="27">
        <f t="shared" si="114"/>
        <v>1.5296597939016455E-2</v>
      </c>
      <c r="AP502" s="27">
        <f t="shared" si="114"/>
        <v>1.530718972818932E-2</v>
      </c>
      <c r="AQ502" s="27">
        <f t="shared" si="114"/>
        <v>1.5315667991874672E-2</v>
      </c>
      <c r="AR502" s="27">
        <f t="shared" si="114"/>
        <v>1.5321726619352006E-2</v>
      </c>
      <c r="AS502" s="27">
        <f t="shared" si="114"/>
        <v>1.5325032079315765E-2</v>
      </c>
      <c r="AT502" s="27">
        <f t="shared" si="114"/>
        <v>1.5325567315367106E-2</v>
      </c>
      <c r="AU502" s="27">
        <f t="shared" si="114"/>
        <v>1.5323409630922659E-2</v>
      </c>
      <c r="AV502" s="27">
        <f t="shared" si="114"/>
        <v>1.5318619367085746E-2</v>
      </c>
      <c r="AW502" s="27">
        <f t="shared" si="114"/>
        <v>1.5310883587655623E-2</v>
      </c>
      <c r="AY502" s="79"/>
    </row>
    <row r="503" spans="1:51" x14ac:dyDescent="0.25">
      <c r="A503" s="95" t="str">
        <f t="shared" si="108"/>
        <v>PQ Goats MMN2O</v>
      </c>
      <c r="B503" s="95" t="s">
        <v>968</v>
      </c>
      <c r="C503" s="95" t="s">
        <v>1329</v>
      </c>
      <c r="D503" t="s">
        <v>15</v>
      </c>
      <c r="E503" t="s">
        <v>657</v>
      </c>
      <c r="F503" t="s">
        <v>19</v>
      </c>
      <c r="G503" t="s">
        <v>123</v>
      </c>
      <c r="H503" t="s">
        <v>1227</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0.11664735601685972</v>
      </c>
      <c r="P503" s="27">
        <f t="shared" si="114"/>
        <v>0.11732381389682567</v>
      </c>
      <c r="Q503" s="27">
        <f t="shared" si="114"/>
        <v>0.11805182815822728</v>
      </c>
      <c r="R503" s="27">
        <f t="shared" si="114"/>
        <v>0.11882851694408277</v>
      </c>
      <c r="S503" s="27">
        <f t="shared" si="114"/>
        <v>0.11853875337411246</v>
      </c>
      <c r="T503" s="27">
        <f t="shared" si="114"/>
        <v>0.11873274518154472</v>
      </c>
      <c r="U503" s="27">
        <f t="shared" si="114"/>
        <v>0.12114008251238399</v>
      </c>
      <c r="V503" s="27">
        <f t="shared" si="114"/>
        <v>0.12124884310563787</v>
      </c>
      <c r="W503" s="27">
        <f t="shared" si="114"/>
        <v>0.12153678827101554</v>
      </c>
      <c r="X503" s="27">
        <f t="shared" si="114"/>
        <v>0.12192540751872388</v>
      </c>
      <c r="Y503" s="27">
        <f t="shared" si="114"/>
        <v>0.12228182557720234</v>
      </c>
      <c r="Z503" s="27">
        <f t="shared" si="114"/>
        <v>0.12261075367093349</v>
      </c>
      <c r="AA503" s="27">
        <f t="shared" si="114"/>
        <v>0.12291118288631245</v>
      </c>
      <c r="AB503" s="27">
        <f t="shared" si="114"/>
        <v>0.12318619826930632</v>
      </c>
      <c r="AC503" s="27">
        <f t="shared" si="114"/>
        <v>0.12344023699673938</v>
      </c>
      <c r="AD503" s="27">
        <f t="shared" si="114"/>
        <v>0.12367350374715462</v>
      </c>
      <c r="AE503" s="27">
        <f t="shared" si="114"/>
        <v>0.12389002632119744</v>
      </c>
      <c r="AF503" s="27">
        <f t="shared" si="114"/>
        <v>0.12409066976730669</v>
      </c>
      <c r="AG503" s="27">
        <f t="shared" si="114"/>
        <v>0.12427298431831933</v>
      </c>
      <c r="AH503" s="27">
        <f t="shared" si="114"/>
        <v>0.12443898904081413</v>
      </c>
      <c r="AI503" s="27">
        <f t="shared" si="114"/>
        <v>0.12459173400167312</v>
      </c>
      <c r="AJ503" s="27">
        <f t="shared" si="114"/>
        <v>0.12063651914393841</v>
      </c>
      <c r="AK503" s="27">
        <f t="shared" si="114"/>
        <v>0.12078897177327232</v>
      </c>
      <c r="AL503" s="27">
        <f t="shared" si="114"/>
        <v>0.12092777782009714</v>
      </c>
      <c r="AM503" s="27">
        <f t="shared" si="114"/>
        <v>0.12105406067063253</v>
      </c>
      <c r="AN503" s="27">
        <f t="shared" si="114"/>
        <v>0.12116912128593484</v>
      </c>
      <c r="AO503" s="27">
        <f t="shared" si="114"/>
        <v>0.12126969332073484</v>
      </c>
      <c r="AP503" s="27">
        <f t="shared" si="114"/>
        <v>0.12135366382383837</v>
      </c>
      <c r="AQ503" s="27">
        <f t="shared" si="114"/>
        <v>0.12142087853662052</v>
      </c>
      <c r="AR503" s="27">
        <f t="shared" si="114"/>
        <v>0.12146891064801223</v>
      </c>
      <c r="AS503" s="27">
        <f t="shared" si="114"/>
        <v>0.12149511595965648</v>
      </c>
      <c r="AT503" s="27">
        <f t="shared" si="114"/>
        <v>0.12149935925035804</v>
      </c>
      <c r="AU503" s="27">
        <f t="shared" si="114"/>
        <v>0.12148225337283523</v>
      </c>
      <c r="AV503" s="27">
        <f t="shared" si="114"/>
        <v>0.12144427670451041</v>
      </c>
      <c r="AW503" s="27">
        <f t="shared" si="114"/>
        <v>0.12138294832268144</v>
      </c>
      <c r="AY503" s="79"/>
    </row>
    <row r="504" spans="1:51" x14ac:dyDescent="0.25">
      <c r="A504" s="95" t="str">
        <f t="shared" si="108"/>
        <v>PQ Horses MMN2O</v>
      </c>
      <c r="B504" s="95" t="s">
        <v>968</v>
      </c>
      <c r="C504" s="95" t="s">
        <v>1330</v>
      </c>
      <c r="D504" t="s">
        <v>15</v>
      </c>
      <c r="E504" t="s">
        <v>657</v>
      </c>
      <c r="F504" t="s">
        <v>20</v>
      </c>
      <c r="G504" t="s">
        <v>3</v>
      </c>
      <c r="H504" t="s">
        <v>1227</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25">
      <c r="A505" s="95" t="str">
        <f t="shared" si="108"/>
        <v>PQ Mules MMN2O</v>
      </c>
      <c r="B505" s="95" t="s">
        <v>968</v>
      </c>
      <c r="C505" s="95" t="s">
        <v>1331</v>
      </c>
      <c r="D505" t="s">
        <v>15</v>
      </c>
      <c r="E505" t="s">
        <v>657</v>
      </c>
      <c r="F505" t="s">
        <v>140</v>
      </c>
      <c r="G505" t="s">
        <v>124</v>
      </c>
      <c r="H505" t="s">
        <v>1227</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25">
      <c r="A506" s="95" t="str">
        <f t="shared" si="108"/>
        <v>PQ Swine MMN2O</v>
      </c>
      <c r="B506" s="95" t="s">
        <v>968</v>
      </c>
      <c r="C506" s="95" t="s">
        <v>1233</v>
      </c>
      <c r="D506" t="s">
        <v>15</v>
      </c>
      <c r="E506" t="s">
        <v>657</v>
      </c>
      <c r="F506" t="s">
        <v>21</v>
      </c>
      <c r="G506" t="s">
        <v>122</v>
      </c>
      <c r="H506" t="s">
        <v>1227</v>
      </c>
      <c r="I506" t="s">
        <v>139</v>
      </c>
      <c r="J506" t="s">
        <v>287</v>
      </c>
      <c r="K506" s="27">
        <f t="shared" si="110"/>
        <v>9.7466979224281824E-2</v>
      </c>
      <c r="L506" s="27">
        <f t="shared" si="115"/>
        <v>9.6937181363551519E-2</v>
      </c>
      <c r="M506" s="27">
        <f t="shared" si="115"/>
        <v>9.6980665528366608E-2</v>
      </c>
      <c r="N506" s="27">
        <f t="shared" si="115"/>
        <v>9.6090308702663593E-2</v>
      </c>
      <c r="O506" s="27">
        <f t="shared" si="115"/>
        <v>9.4636150647850484E-2</v>
      </c>
      <c r="P506" s="27">
        <f t="shared" si="115"/>
        <v>9.2641437622218339E-2</v>
      </c>
      <c r="Q506" s="27">
        <f t="shared" si="115"/>
        <v>9.1193054757597189E-2</v>
      </c>
      <c r="R506" s="27">
        <f t="shared" si="115"/>
        <v>8.9872834352323558E-2</v>
      </c>
      <c r="S506" s="27">
        <f t="shared" si="115"/>
        <v>8.0860772779409465E-2</v>
      </c>
      <c r="T506" s="27">
        <f t="shared" si="115"/>
        <v>8.3748164551472229E-2</v>
      </c>
      <c r="U506" s="27">
        <f t="shared" si="115"/>
        <v>0.26770254430249885</v>
      </c>
      <c r="V506" s="27">
        <f t="shared" si="115"/>
        <v>0.26843638329557273</v>
      </c>
      <c r="W506" s="27">
        <f t="shared" si="115"/>
        <v>0.26870741156063732</v>
      </c>
      <c r="X506" s="27">
        <f t="shared" si="115"/>
        <v>0.26852785801231227</v>
      </c>
      <c r="Y506" s="27">
        <f t="shared" si="115"/>
        <v>0.26792481068861962</v>
      </c>
      <c r="Z506" s="27">
        <f t="shared" si="115"/>
        <v>0.26689273021889548</v>
      </c>
      <c r="AA506" s="27">
        <f t="shared" si="115"/>
        <v>0.26543013343256128</v>
      </c>
      <c r="AB506" s="27">
        <f t="shared" si="115"/>
        <v>0.26353715747778594</v>
      </c>
      <c r="AC506" s="27">
        <f t="shared" si="115"/>
        <v>0.26121623026966229</v>
      </c>
      <c r="AD506" s="27">
        <f t="shared" si="115"/>
        <v>0.25847332541622875</v>
      </c>
      <c r="AE506" s="27">
        <f t="shared" si="115"/>
        <v>0.25531599764072704</v>
      </c>
      <c r="AF506" s="27">
        <f t="shared" si="115"/>
        <v>0.25175492240639524</v>
      </c>
      <c r="AG506" s="27">
        <f t="shared" si="115"/>
        <v>0.2478037797344021</v>
      </c>
      <c r="AH506" s="27">
        <f t="shared" si="115"/>
        <v>0.24347738783336567</v>
      </c>
      <c r="AI506" s="27">
        <f t="shared" si="115"/>
        <v>0.23879237534138331</v>
      </c>
      <c r="AJ506" s="27">
        <f t="shared" si="115"/>
        <v>-2.2251219051901461E-2</v>
      </c>
      <c r="AK506" s="27">
        <f t="shared" si="115"/>
        <v>-2.2010329292297307E-2</v>
      </c>
      <c r="AL506" s="27">
        <f t="shared" si="115"/>
        <v>-2.1768586076349947E-2</v>
      </c>
      <c r="AM506" s="27">
        <f t="shared" si="115"/>
        <v>-2.1526240200831197E-2</v>
      </c>
      <c r="AN506" s="27">
        <f t="shared" si="115"/>
        <v>-2.1283568844564598E-2</v>
      </c>
      <c r="AO506" s="27">
        <f t="shared" si="115"/>
        <v>-2.1039928732674035E-2</v>
      </c>
      <c r="AP506" s="27">
        <f t="shared" si="115"/>
        <v>-2.0794940089199746E-2</v>
      </c>
      <c r="AQ506" s="27">
        <f t="shared" si="115"/>
        <v>-2.054862658012397E-2</v>
      </c>
      <c r="AR506" s="27">
        <f t="shared" si="115"/>
        <v>-2.0300580022227385E-2</v>
      </c>
      <c r="AS506" s="27">
        <f t="shared" si="115"/>
        <v>-2.0050376976853562E-2</v>
      </c>
      <c r="AT506" s="27">
        <f t="shared" si="115"/>
        <v>-1.9798088456072588E-2</v>
      </c>
      <c r="AU506" s="27">
        <f t="shared" si="115"/>
        <v>-1.9543924397373666E-2</v>
      </c>
      <c r="AV506" s="27">
        <f t="shared" si="115"/>
        <v>-1.9288064378450123E-2</v>
      </c>
      <c r="AW506" s="27">
        <f t="shared" si="115"/>
        <v>-1.9030154173993289E-2</v>
      </c>
      <c r="AY506" s="79"/>
    </row>
    <row r="507" spans="1:51" x14ac:dyDescent="0.25">
      <c r="A507" s="95" t="str">
        <f t="shared" si="108"/>
        <v>PQ Swine MMN2O</v>
      </c>
      <c r="B507" s="95" t="s">
        <v>968</v>
      </c>
      <c r="C507" s="95" t="s">
        <v>1233</v>
      </c>
      <c r="D507" t="s">
        <v>15</v>
      </c>
      <c r="E507" t="s">
        <v>657</v>
      </c>
      <c r="F507" t="s">
        <v>21</v>
      </c>
      <c r="G507" t="s">
        <v>123</v>
      </c>
      <c r="H507" t="s">
        <v>1227</v>
      </c>
      <c r="I507" t="s">
        <v>139</v>
      </c>
      <c r="J507" t="s">
        <v>287</v>
      </c>
      <c r="K507" s="27">
        <f t="shared" si="110"/>
        <v>3.8131055665722169E-2</v>
      </c>
      <c r="L507" s="27">
        <f t="shared" si="115"/>
        <v>3.7923788015899962E-2</v>
      </c>
      <c r="M507" s="27">
        <f t="shared" si="115"/>
        <v>3.7940799901590251E-2</v>
      </c>
      <c r="N507" s="27">
        <f t="shared" si="115"/>
        <v>3.759247428451009E-2</v>
      </c>
      <c r="O507" s="27">
        <f t="shared" si="115"/>
        <v>3.7023578211438569E-2</v>
      </c>
      <c r="P507" s="27">
        <f t="shared" si="115"/>
        <v>3.6243206089281214E-2</v>
      </c>
      <c r="Q507" s="27">
        <f t="shared" si="115"/>
        <v>3.567656938754183E-2</v>
      </c>
      <c r="R507" s="27">
        <f t="shared" si="115"/>
        <v>3.5160072434777256E-2</v>
      </c>
      <c r="S507" s="27">
        <f t="shared" si="115"/>
        <v>3.1634371482160743E-2</v>
      </c>
      <c r="T507" s="27">
        <f t="shared" si="115"/>
        <v>3.2763977603798337E-2</v>
      </c>
      <c r="U507" s="27">
        <f t="shared" si="115"/>
        <v>0.10473065544757326</v>
      </c>
      <c r="V507" s="27">
        <f t="shared" si="115"/>
        <v>0.10501774811954566</v>
      </c>
      <c r="W507" s="27">
        <f t="shared" si="115"/>
        <v>0.10512377986429053</v>
      </c>
      <c r="X507" s="27">
        <f t="shared" si="115"/>
        <v>0.10505353488080327</v>
      </c>
      <c r="Y507" s="27">
        <f t="shared" si="115"/>
        <v>0.10481761055800391</v>
      </c>
      <c r="Z507" s="27">
        <f t="shared" si="115"/>
        <v>0.10441383978193423</v>
      </c>
      <c r="AA507" s="27">
        <f t="shared" si="115"/>
        <v>0.10384164230623445</v>
      </c>
      <c r="AB507" s="27">
        <f t="shared" si="115"/>
        <v>0.10310107178604509</v>
      </c>
      <c r="AC507" s="27">
        <f t="shared" si="115"/>
        <v>0.10219307807090795</v>
      </c>
      <c r="AD507" s="27">
        <f t="shared" si="115"/>
        <v>0.10111999815723396</v>
      </c>
      <c r="AE507" s="27">
        <f t="shared" si="115"/>
        <v>9.9884787605714245E-2</v>
      </c>
      <c r="AF507" s="27">
        <f t="shared" si="115"/>
        <v>9.8491622873711313E-2</v>
      </c>
      <c r="AG507" s="27">
        <f t="shared" si="115"/>
        <v>9.6945855862482944E-2</v>
      </c>
      <c r="AH507" s="27">
        <f t="shared" si="115"/>
        <v>9.5253283755261486E-2</v>
      </c>
      <c r="AI507" s="27">
        <f t="shared" si="115"/>
        <v>9.3420412011947257E-2</v>
      </c>
      <c r="AJ507" s="27">
        <f t="shared" si="115"/>
        <v>-8.7051274087999644E-3</v>
      </c>
      <c r="AK507" s="27">
        <f t="shared" si="115"/>
        <v>-8.6108864575991286E-3</v>
      </c>
      <c r="AL507" s="27">
        <f t="shared" si="115"/>
        <v>-8.5163116169970788E-3</v>
      </c>
      <c r="AM507" s="27">
        <f t="shared" si="115"/>
        <v>-8.4215010037687853E-3</v>
      </c>
      <c r="AN507" s="27">
        <f t="shared" si="115"/>
        <v>-8.3265630558819938E-3</v>
      </c>
      <c r="AO507" s="27">
        <f t="shared" si="115"/>
        <v>-8.2312461111809163E-3</v>
      </c>
      <c r="AP507" s="27">
        <f t="shared" si="115"/>
        <v>-8.135401593620856E-3</v>
      </c>
      <c r="AQ507" s="27">
        <f t="shared" si="115"/>
        <v>-8.0390387618132202E-3</v>
      </c>
      <c r="AR507" s="27">
        <f t="shared" si="115"/>
        <v>-7.9419979262182108E-3</v>
      </c>
      <c r="AS507" s="27">
        <f t="shared" si="115"/>
        <v>-7.8441134290601709E-3</v>
      </c>
      <c r="AT507" s="27">
        <f t="shared" si="115"/>
        <v>-7.7454130516986675E-3</v>
      </c>
      <c r="AU507" s="27">
        <f t="shared" si="115"/>
        <v>-7.6459789259300508E-3</v>
      </c>
      <c r="AV507" s="27">
        <f t="shared" si="115"/>
        <v>-7.5458813061838152E-3</v>
      </c>
      <c r="AW507" s="27">
        <f t="shared" si="115"/>
        <v>-7.444981612347289E-3</v>
      </c>
      <c r="AY507" s="79"/>
    </row>
    <row r="508" spans="1:51" x14ac:dyDescent="0.25">
      <c r="A508" s="95" t="str">
        <f t="shared" si="108"/>
        <v>PQ Poultry MMN2O</v>
      </c>
      <c r="B508" s="95" t="s">
        <v>968</v>
      </c>
      <c r="C508" s="95" t="s">
        <v>1234</v>
      </c>
      <c r="D508" t="s">
        <v>15</v>
      </c>
      <c r="E508" t="s">
        <v>657</v>
      </c>
      <c r="F508" t="s">
        <v>28</v>
      </c>
      <c r="G508" t="s">
        <v>131</v>
      </c>
      <c r="H508" t="s">
        <v>1227</v>
      </c>
      <c r="I508" t="s">
        <v>139</v>
      </c>
      <c r="J508" t="s">
        <v>287</v>
      </c>
      <c r="K508" s="27">
        <f t="shared" si="110"/>
        <v>0.3278422472608899</v>
      </c>
      <c r="L508" s="27">
        <f t="shared" si="115"/>
        <v>0.33450793008613738</v>
      </c>
      <c r="M508" s="27">
        <f t="shared" si="115"/>
        <v>0.34229948156355033</v>
      </c>
      <c r="N508" s="27">
        <f t="shared" si="115"/>
        <v>0.34828124731402305</v>
      </c>
      <c r="O508" s="27">
        <f t="shared" si="115"/>
        <v>0.35308310351311478</v>
      </c>
      <c r="P508" s="27">
        <f t="shared" si="115"/>
        <v>0.35667649320457162</v>
      </c>
      <c r="Q508" s="27">
        <f t="shared" si="115"/>
        <v>0.36128421068096001</v>
      </c>
      <c r="R508" s="27">
        <f t="shared" si="115"/>
        <v>0.36607496135357975</v>
      </c>
      <c r="S508" s="27">
        <f t="shared" si="115"/>
        <v>0.35164354142672727</v>
      </c>
      <c r="T508" s="27">
        <f t="shared" si="115"/>
        <v>0.36454239171647873</v>
      </c>
      <c r="U508" s="27">
        <f t="shared" si="115"/>
        <v>0.81017234402499216</v>
      </c>
      <c r="V508" s="27">
        <f t="shared" si="115"/>
        <v>0.82798351635276735</v>
      </c>
      <c r="W508" s="27">
        <f t="shared" si="115"/>
        <v>0.84506426194084328</v>
      </c>
      <c r="X508" s="27">
        <f t="shared" si="115"/>
        <v>0.86126373168327053</v>
      </c>
      <c r="Y508" s="27">
        <f t="shared" si="115"/>
        <v>0.8763773651993314</v>
      </c>
      <c r="Z508" s="27">
        <f t="shared" si="115"/>
        <v>0.89033910907341196</v>
      </c>
      <c r="AA508" s="27">
        <f t="shared" si="115"/>
        <v>0.90308174157394194</v>
      </c>
      <c r="AB508" s="27">
        <f t="shared" si="115"/>
        <v>0.91454727526335933</v>
      </c>
      <c r="AC508" s="27">
        <f t="shared" si="115"/>
        <v>0.92468482420589437</v>
      </c>
      <c r="AD508" s="27">
        <f t="shared" si="115"/>
        <v>0.93344536277323964</v>
      </c>
      <c r="AE508" s="27">
        <f t="shared" si="115"/>
        <v>0.94079043302909848</v>
      </c>
      <c r="AF508" s="27">
        <f t="shared" si="115"/>
        <v>0.94668534064993604</v>
      </c>
      <c r="AG508" s="27">
        <f t="shared" si="115"/>
        <v>0.95109922865749519</v>
      </c>
      <c r="AH508" s="27">
        <f t="shared" si="115"/>
        <v>0.95401351999914974</v>
      </c>
      <c r="AI508" s="27">
        <f t="shared" si="115"/>
        <v>0.95541860028387315</v>
      </c>
      <c r="AJ508" s="27">
        <f t="shared" si="115"/>
        <v>0.12455157965260578</v>
      </c>
      <c r="AK508" s="27">
        <f t="shared" si="115"/>
        <v>0.12546570662729262</v>
      </c>
      <c r="AL508" s="27">
        <f t="shared" si="115"/>
        <v>0.12635717357285206</v>
      </c>
      <c r="AM508" s="27">
        <f t="shared" si="115"/>
        <v>0.12722732342881915</v>
      </c>
      <c r="AN508" s="27">
        <f t="shared" si="115"/>
        <v>0.12807770428267184</v>
      </c>
      <c r="AO508" s="27">
        <f t="shared" si="115"/>
        <v>0.12890482942711159</v>
      </c>
      <c r="AP508" s="27">
        <f t="shared" si="115"/>
        <v>0.12970640273413572</v>
      </c>
      <c r="AQ508" s="27">
        <f t="shared" si="115"/>
        <v>0.13048225510266878</v>
      </c>
      <c r="AR508" s="27">
        <f t="shared" si="115"/>
        <v>0.13122965143314799</v>
      </c>
      <c r="AS508" s="27">
        <f t="shared" si="115"/>
        <v>0.13194554686006624</v>
      </c>
      <c r="AT508" s="27">
        <f t="shared" si="115"/>
        <v>0.1326296750998292</v>
      </c>
      <c r="AU508" s="27">
        <f t="shared" si="115"/>
        <v>0.13328261317396048</v>
      </c>
      <c r="AV508" s="27">
        <f t="shared" si="115"/>
        <v>0.1339047918740231</v>
      </c>
      <c r="AW508" s="27">
        <f t="shared" si="115"/>
        <v>0.13449324202045793</v>
      </c>
      <c r="AY508" s="79"/>
    </row>
    <row r="509" spans="1:51" x14ac:dyDescent="0.25">
      <c r="A509" s="95" t="str">
        <f t="shared" si="108"/>
        <v>PQ Poultry MMN2O</v>
      </c>
      <c r="B509" s="95" t="s">
        <v>968</v>
      </c>
      <c r="C509" s="95" t="s">
        <v>1234</v>
      </c>
      <c r="D509" t="s">
        <v>15</v>
      </c>
      <c r="E509" t="s">
        <v>657</v>
      </c>
      <c r="F509" t="s">
        <v>28</v>
      </c>
      <c r="G509" t="s">
        <v>132</v>
      </c>
      <c r="H509" t="s">
        <v>1227</v>
      </c>
      <c r="I509" t="s">
        <v>139</v>
      </c>
      <c r="J509" t="s">
        <v>287</v>
      </c>
      <c r="K509" s="27">
        <f t="shared" si="110"/>
        <v>1.7017151675634967</v>
      </c>
      <c r="L509" s="27">
        <f t="shared" si="115"/>
        <v>1.724123714732765</v>
      </c>
      <c r="M509" s="27">
        <f t="shared" si="115"/>
        <v>1.7601182693498119</v>
      </c>
      <c r="N509" s="27">
        <f t="shared" si="115"/>
        <v>1.7704533576020518</v>
      </c>
      <c r="O509" s="27">
        <f t="shared" si="115"/>
        <v>1.7641159598844758</v>
      </c>
      <c r="P509" s="27">
        <f t="shared" si="115"/>
        <v>1.741173502214217</v>
      </c>
      <c r="Q509" s="27">
        <f t="shared" si="115"/>
        <v>1.7315152516158581</v>
      </c>
      <c r="R509" s="27">
        <f t="shared" si="115"/>
        <v>1.7240481490859689</v>
      </c>
      <c r="S509" s="27">
        <f t="shared" si="115"/>
        <v>1.5035639635767468</v>
      </c>
      <c r="T509" s="27">
        <f t="shared" si="115"/>
        <v>1.6173540495561818</v>
      </c>
      <c r="U509" s="27">
        <f t="shared" si="115"/>
        <v>7.0326605429040603</v>
      </c>
      <c r="V509" s="27">
        <f t="shared" si="115"/>
        <v>7.1587444728308389</v>
      </c>
      <c r="W509" s="27">
        <f t="shared" si="115"/>
        <v>7.2707564931151909</v>
      </c>
      <c r="X509" s="27">
        <f t="shared" si="115"/>
        <v>7.3691748844835665</v>
      </c>
      <c r="Y509" s="27">
        <f t="shared" si="115"/>
        <v>7.4553371690594963</v>
      </c>
      <c r="Z509" s="27">
        <f t="shared" si="115"/>
        <v>7.5285970501173791</v>
      </c>
      <c r="AA509" s="27">
        <f t="shared" si="115"/>
        <v>7.5884583464710351</v>
      </c>
      <c r="AB509" s="27">
        <f t="shared" si="115"/>
        <v>7.6344333579538368</v>
      </c>
      <c r="AC509" s="27">
        <f t="shared" si="115"/>
        <v>7.6660871188162911</v>
      </c>
      <c r="AD509" s="27">
        <f t="shared" si="115"/>
        <v>7.6831230278292386</v>
      </c>
      <c r="AE509" s="27">
        <f t="shared" si="115"/>
        <v>7.6852660983393646</v>
      </c>
      <c r="AF509" s="27">
        <f t="shared" si="115"/>
        <v>7.6723681593235442</v>
      </c>
      <c r="AG509" s="27">
        <f t="shared" si="115"/>
        <v>7.6444112062228218</v>
      </c>
      <c r="AH509" s="27">
        <f t="shared" si="115"/>
        <v>7.601393060420655</v>
      </c>
      <c r="AI509" s="27">
        <f t="shared" si="115"/>
        <v>7.5433781605278138</v>
      </c>
      <c r="AJ509" s="27">
        <f t="shared" si="115"/>
        <v>-1.6108210655566082</v>
      </c>
      <c r="AK509" s="27">
        <f t="shared" si="115"/>
        <v>-1.613100635371139</v>
      </c>
      <c r="AL509" s="27">
        <f t="shared" si="115"/>
        <v>-1.6151647470887973</v>
      </c>
      <c r="AM509" s="27">
        <f t="shared" si="115"/>
        <v>-1.6170309534265412</v>
      </c>
      <c r="AN509" s="27">
        <f t="shared" si="115"/>
        <v>-1.6187193219312461</v>
      </c>
      <c r="AO509" s="27">
        <f t="shared" si="115"/>
        <v>-1.6201827321446018</v>
      </c>
      <c r="AP509" s="27">
        <f t="shared" si="115"/>
        <v>-1.6213910531514668</v>
      </c>
      <c r="AQ509" s="27">
        <f t="shared" si="115"/>
        <v>-1.6223429170122639</v>
      </c>
      <c r="AR509" s="27">
        <f t="shared" si="115"/>
        <v>-1.623003587370585</v>
      </c>
      <c r="AS509" s="27">
        <f t="shared" si="115"/>
        <v>-1.6233351759618906</v>
      </c>
      <c r="AT509" s="27">
        <f t="shared" si="115"/>
        <v>-1.623336597056291</v>
      </c>
      <c r="AU509" s="27">
        <f t="shared" si="115"/>
        <v>-1.6230176880430305</v>
      </c>
      <c r="AV509" s="27">
        <f t="shared" si="115"/>
        <v>-1.6223862668543294</v>
      </c>
      <c r="AW509" s="27">
        <f t="shared" si="115"/>
        <v>-1.6214068147422027</v>
      </c>
      <c r="AY509" s="79"/>
    </row>
    <row r="510" spans="1:51" x14ac:dyDescent="0.25">
      <c r="A510" s="95" t="str">
        <f t="shared" si="108"/>
        <v>PQ Poultry MMN2O</v>
      </c>
      <c r="B510" s="95" t="s">
        <v>968</v>
      </c>
      <c r="C510" s="95" t="s">
        <v>1234</v>
      </c>
      <c r="D510" t="s">
        <v>15</v>
      </c>
      <c r="E510" t="s">
        <v>657</v>
      </c>
      <c r="F510" t="s">
        <v>28</v>
      </c>
      <c r="G510" t="s">
        <v>134</v>
      </c>
      <c r="H510" t="s">
        <v>1227</v>
      </c>
      <c r="I510" t="s">
        <v>139</v>
      </c>
      <c r="J510" t="s">
        <v>287</v>
      </c>
      <c r="K510" s="27">
        <f t="shared" si="110"/>
        <v>1.3660093635870426E-2</v>
      </c>
      <c r="L510" s="27">
        <f t="shared" si="115"/>
        <v>1.3937830420255738E-2</v>
      </c>
      <c r="M510" s="27">
        <f t="shared" si="115"/>
        <v>1.4262478398481276E-2</v>
      </c>
      <c r="N510" s="27">
        <f t="shared" si="115"/>
        <v>1.4511718638084306E-2</v>
      </c>
      <c r="O510" s="27">
        <f t="shared" si="115"/>
        <v>1.4711795979713132E-2</v>
      </c>
      <c r="P510" s="27">
        <f t="shared" si="115"/>
        <v>1.4861520550190495E-2</v>
      </c>
      <c r="Q510" s="27">
        <f t="shared" si="115"/>
        <v>1.5053508778373347E-2</v>
      </c>
      <c r="R510" s="27">
        <f t="shared" si="115"/>
        <v>1.5253123389732505E-2</v>
      </c>
      <c r="S510" s="27">
        <f t="shared" si="115"/>
        <v>1.4651814226113646E-2</v>
      </c>
      <c r="T510" s="27">
        <f t="shared" si="115"/>
        <v>1.5189266321519962E-2</v>
      </c>
      <c r="U510" s="27">
        <f t="shared" si="115"/>
        <v>3.3757181001041366E-2</v>
      </c>
      <c r="V510" s="27">
        <f t="shared" si="115"/>
        <v>3.4499313181365336E-2</v>
      </c>
      <c r="W510" s="27">
        <f t="shared" si="115"/>
        <v>3.5211010914201833E-2</v>
      </c>
      <c r="X510" s="27">
        <f t="shared" si="115"/>
        <v>3.5885988820136307E-2</v>
      </c>
      <c r="Y510" s="27">
        <f t="shared" si="115"/>
        <v>3.6515723549972179E-2</v>
      </c>
      <c r="Z510" s="27">
        <f t="shared" si="115"/>
        <v>3.7097462878058866E-2</v>
      </c>
      <c r="AA510" s="27">
        <f t="shared" si="115"/>
        <v>3.7628405898914287E-2</v>
      </c>
      <c r="AB510" s="27">
        <f t="shared" si="115"/>
        <v>3.8106136469306676E-2</v>
      </c>
      <c r="AC510" s="27">
        <f t="shared" si="115"/>
        <v>3.85285343419123E-2</v>
      </c>
      <c r="AD510" s="27">
        <f t="shared" si="115"/>
        <v>3.8893556782218362E-2</v>
      </c>
      <c r="AE510" s="27">
        <f t="shared" si="115"/>
        <v>3.9199601376212471E-2</v>
      </c>
      <c r="AF510" s="27">
        <f t="shared" si="115"/>
        <v>3.9445222527080714E-2</v>
      </c>
      <c r="AG510" s="27">
        <f t="shared" si="115"/>
        <v>3.9629134527395672E-2</v>
      </c>
      <c r="AH510" s="27">
        <f t="shared" si="115"/>
        <v>3.9750563333297947E-2</v>
      </c>
      <c r="AI510" s="27">
        <f t="shared" si="115"/>
        <v>3.9809108345161416E-2</v>
      </c>
      <c r="AJ510" s="27">
        <f t="shared" si="115"/>
        <v>5.189649152191912E-3</v>
      </c>
      <c r="AK510" s="27">
        <f t="shared" si="115"/>
        <v>5.2277377761371976E-3</v>
      </c>
      <c r="AL510" s="27">
        <f t="shared" si="115"/>
        <v>5.2648822322021753E-3</v>
      </c>
      <c r="AM510" s="27">
        <f t="shared" si="115"/>
        <v>5.3011384762008023E-3</v>
      </c>
      <c r="AN510" s="27">
        <f t="shared" si="115"/>
        <v>5.3365710117779979E-3</v>
      </c>
      <c r="AO510" s="27">
        <f t="shared" si="115"/>
        <v>5.3710345594629892E-3</v>
      </c>
      <c r="AP510" s="27">
        <f t="shared" si="115"/>
        <v>5.4044334472556589E-3</v>
      </c>
      <c r="AQ510" s="27">
        <f t="shared" si="115"/>
        <v>5.4367606292778717E-3</v>
      </c>
      <c r="AR510" s="27">
        <f t="shared" si="115"/>
        <v>5.4679021430478368E-3</v>
      </c>
      <c r="AS510" s="27">
        <f t="shared" si="115"/>
        <v>5.4977311191694326E-3</v>
      </c>
      <c r="AT510" s="27">
        <f t="shared" si="115"/>
        <v>5.5262364624928872E-3</v>
      </c>
      <c r="AU510" s="27">
        <f t="shared" si="115"/>
        <v>5.5534422155816918E-3</v>
      </c>
      <c r="AV510" s="27">
        <f t="shared" si="115"/>
        <v>5.5793663280842998E-3</v>
      </c>
      <c r="AW510" s="27">
        <f t="shared" si="115"/>
        <v>5.6038850841857524E-3</v>
      </c>
      <c r="AY510" s="79"/>
    </row>
    <row r="511" spans="1:51" x14ac:dyDescent="0.25">
      <c r="A511" s="95" t="str">
        <f t="shared" si="108"/>
        <v>PQ Poultry MMN2O</v>
      </c>
      <c r="B511" s="95" t="s">
        <v>968</v>
      </c>
      <c r="C511" s="95" t="s">
        <v>1234</v>
      </c>
      <c r="D511" t="s">
        <v>15</v>
      </c>
      <c r="E511" t="s">
        <v>657</v>
      </c>
      <c r="F511" t="s">
        <v>28</v>
      </c>
      <c r="G511" t="s">
        <v>133</v>
      </c>
      <c r="H511" t="s">
        <v>1227</v>
      </c>
      <c r="I511" t="s">
        <v>139</v>
      </c>
      <c r="J511" t="s">
        <v>287</v>
      </c>
      <c r="K511" s="27">
        <f t="shared" si="110"/>
        <v>7.0904798648479081E-2</v>
      </c>
      <c r="L511" s="27">
        <f t="shared" si="115"/>
        <v>7.183848811386527E-2</v>
      </c>
      <c r="M511" s="27">
        <f t="shared" si="115"/>
        <v>7.3338261222908901E-2</v>
      </c>
      <c r="N511" s="27">
        <f t="shared" si="115"/>
        <v>7.3768889900085566E-2</v>
      </c>
      <c r="O511" s="27">
        <f t="shared" si="115"/>
        <v>7.3504831661853232E-2</v>
      </c>
      <c r="P511" s="27">
        <f t="shared" si="115"/>
        <v>7.2548895925592438E-2</v>
      </c>
      <c r="Q511" s="27">
        <f t="shared" si="115"/>
        <v>7.2146468817327503E-2</v>
      </c>
      <c r="R511" s="27">
        <f t="shared" si="115"/>
        <v>7.1835339545248775E-2</v>
      </c>
      <c r="S511" s="27">
        <f t="shared" si="115"/>
        <v>6.264849848236452E-2</v>
      </c>
      <c r="T511" s="27">
        <f t="shared" si="115"/>
        <v>6.7389752064840963E-2</v>
      </c>
      <c r="U511" s="27">
        <f t="shared" si="115"/>
        <v>0.29302752262100273</v>
      </c>
      <c r="V511" s="27">
        <f t="shared" si="115"/>
        <v>0.29828101970128529</v>
      </c>
      <c r="W511" s="27">
        <f t="shared" si="115"/>
        <v>0.30294818721313321</v>
      </c>
      <c r="X511" s="27">
        <f t="shared" si="115"/>
        <v>0.30704895352014883</v>
      </c>
      <c r="Y511" s="27">
        <f t="shared" si="115"/>
        <v>0.31063904871081255</v>
      </c>
      <c r="Z511" s="27">
        <f t="shared" si="115"/>
        <v>0.31369154375489111</v>
      </c>
      <c r="AA511" s="27">
        <f t="shared" si="115"/>
        <v>0.31618576443629343</v>
      </c>
      <c r="AB511" s="27">
        <f t="shared" si="115"/>
        <v>0.31810138991474352</v>
      </c>
      <c r="AC511" s="27">
        <f t="shared" si="115"/>
        <v>0.31942029661734572</v>
      </c>
      <c r="AD511" s="27">
        <f t="shared" si="115"/>
        <v>0.320130126159552</v>
      </c>
      <c r="AE511" s="27">
        <f t="shared" si="115"/>
        <v>0.32021942076414051</v>
      </c>
      <c r="AF511" s="27">
        <f t="shared" si="115"/>
        <v>0.31968200663848134</v>
      </c>
      <c r="AG511" s="27">
        <f t="shared" si="115"/>
        <v>0.31851713359261785</v>
      </c>
      <c r="AH511" s="27">
        <f t="shared" si="115"/>
        <v>0.31672471085086101</v>
      </c>
      <c r="AI511" s="27">
        <f t="shared" si="115"/>
        <v>0.31430742335532585</v>
      </c>
      <c r="AJ511" s="27">
        <f t="shared" si="115"/>
        <v>-6.7117544398192078E-2</v>
      </c>
      <c r="AK511" s="27">
        <f t="shared" si="115"/>
        <v>-6.7212526473797524E-2</v>
      </c>
      <c r="AL511" s="27">
        <f t="shared" si="115"/>
        <v>-6.7298531128699962E-2</v>
      </c>
      <c r="AM511" s="27">
        <f t="shared" si="115"/>
        <v>-6.7376289726105959E-2</v>
      </c>
      <c r="AN511" s="27">
        <f t="shared" si="115"/>
        <v>-6.7446638413801982E-2</v>
      </c>
      <c r="AO511" s="27">
        <f t="shared" si="115"/>
        <v>-6.750761383935848E-2</v>
      </c>
      <c r="AP511" s="27">
        <f t="shared" si="115"/>
        <v>-6.7557960547977858E-2</v>
      </c>
      <c r="AQ511" s="27">
        <f t="shared" si="115"/>
        <v>-6.759762154217773E-2</v>
      </c>
      <c r="AR511" s="27">
        <f t="shared" si="115"/>
        <v>-6.7625149473774446E-2</v>
      </c>
      <c r="AS511" s="27">
        <f t="shared" si="115"/>
        <v>-6.7638965665078848E-2</v>
      </c>
      <c r="AT511" s="27">
        <f t="shared" si="115"/>
        <v>-6.7639024877345522E-2</v>
      </c>
      <c r="AU511" s="27">
        <f t="shared" si="115"/>
        <v>-6.7625737001792988E-2</v>
      </c>
      <c r="AV511" s="27">
        <f t="shared" si="115"/>
        <v>-6.7599427785597133E-2</v>
      </c>
      <c r="AW511" s="27">
        <f t="shared" si="115"/>
        <v>-6.7558617280925187E-2</v>
      </c>
      <c r="AY511" s="79"/>
    </row>
    <row r="512" spans="1:51" x14ac:dyDescent="0.25">
      <c r="A512" s="95" t="str">
        <f t="shared" si="108"/>
        <v>PQ Synthetic</v>
      </c>
      <c r="B512" s="95" t="s">
        <v>968</v>
      </c>
      <c r="C512" s="95" t="s">
        <v>1126</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6.6035651430821094</v>
      </c>
      <c r="U512" s="22">
        <f t="shared" si="116"/>
        <v>6.6008394987584191</v>
      </c>
      <c r="V512" s="22">
        <f t="shared" si="116"/>
        <v>6.5354261970149441</v>
      </c>
      <c r="W512" s="22">
        <f t="shared" si="116"/>
        <v>6.5337920332710731</v>
      </c>
      <c r="X512" s="22">
        <f t="shared" si="116"/>
        <v>6.5322793572104443</v>
      </c>
      <c r="Y512" s="22">
        <f t="shared" si="116"/>
        <v>6.5308880056970544</v>
      </c>
      <c r="Z512" s="22">
        <f t="shared" si="116"/>
        <v>6.5296169227266478</v>
      </c>
      <c r="AA512" s="22">
        <f t="shared" si="116"/>
        <v>6.5284672118777083</v>
      </c>
      <c r="AB512" s="22">
        <f t="shared" si="116"/>
        <v>6.5274397960506132</v>
      </c>
      <c r="AC512" s="22">
        <f t="shared" si="116"/>
        <v>6.5265355793719113</v>
      </c>
      <c r="AD512" s="22">
        <f t="shared" si="116"/>
        <v>6.5257554079256641</v>
      </c>
      <c r="AE512" s="22">
        <f t="shared" si="116"/>
        <v>6.5250999875184093</v>
      </c>
      <c r="AF512" s="22">
        <f t="shared" si="116"/>
        <v>6.524570013447069</v>
      </c>
      <c r="AG512" s="22">
        <f t="shared" si="116"/>
        <v>6.524166065107158</v>
      </c>
      <c r="AH512" s="22">
        <f t="shared" si="116"/>
        <v>6.5238886062718322</v>
      </c>
      <c r="AI512" s="22">
        <f t="shared" si="116"/>
        <v>6.523738107982866</v>
      </c>
      <c r="AJ512" s="22">
        <f t="shared" si="116"/>
        <v>6.5237149971504902</v>
      </c>
      <c r="AK512" s="22">
        <f t="shared" si="116"/>
        <v>6.7170770118746468</v>
      </c>
      <c r="AL512" s="22">
        <f t="shared" si="116"/>
        <v>6.7172409254060446</v>
      </c>
      <c r="AM512" s="22">
        <f t="shared" si="116"/>
        <v>6.7174011054610014</v>
      </c>
      <c r="AN512" s="22">
        <f t="shared" si="116"/>
        <v>6.717557770633813</v>
      </c>
      <c r="AO512" s="22">
        <f t="shared" si="116"/>
        <v>6.7177111790148194</v>
      </c>
      <c r="AP512" s="22">
        <f t="shared" si="116"/>
        <v>6.7178606782023653</v>
      </c>
      <c r="AQ512" s="22">
        <f t="shared" si="116"/>
        <v>6.7180058277133394</v>
      </c>
      <c r="AR512" s="22">
        <f t="shared" si="116"/>
        <v>6.7181465717092257</v>
      </c>
      <c r="AS512" s="22">
        <f t="shared" si="116"/>
        <v>6.7182823869267976</v>
      </c>
      <c r="AT512" s="22">
        <f t="shared" si="116"/>
        <v>6.7184126908492701</v>
      </c>
      <c r="AU512" s="22">
        <f t="shared" si="116"/>
        <v>6.7185374065365453</v>
      </c>
      <c r="AV512" s="22">
        <f t="shared" si="116"/>
        <v>6.7186566123512304</v>
      </c>
      <c r="AW512" s="22">
        <f t="shared" si="116"/>
        <v>6.7187703615819192</v>
      </c>
      <c r="AY512" s="79"/>
    </row>
    <row r="513" spans="1:51" x14ac:dyDescent="0.25">
      <c r="A513" s="95" t="str">
        <f t="shared" si="108"/>
        <v>PQ Organic</v>
      </c>
      <c r="B513" s="95" t="s">
        <v>968</v>
      </c>
      <c r="C513" s="95" t="s">
        <v>1127</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4.358352994434192E-2</v>
      </c>
      <c r="U513" s="22">
        <f t="shared" si="117"/>
        <v>4.3565540691805578E-2</v>
      </c>
      <c r="V513" s="22">
        <f t="shared" si="117"/>
        <v>4.3133812900298642E-2</v>
      </c>
      <c r="W513" s="22">
        <f t="shared" si="117"/>
        <v>4.312302741958908E-2</v>
      </c>
      <c r="X513" s="22">
        <f t="shared" si="117"/>
        <v>4.3113043757588947E-2</v>
      </c>
      <c r="Y513" s="22">
        <f t="shared" si="117"/>
        <v>4.3103860837600566E-2</v>
      </c>
      <c r="Z513" s="22">
        <f t="shared" si="117"/>
        <v>4.3095471689995883E-2</v>
      </c>
      <c r="AA513" s="22">
        <f t="shared" si="116"/>
        <v>4.3087883598392877E-2</v>
      </c>
      <c r="AB513" s="22">
        <f t="shared" si="116"/>
        <v>4.3081102653934056E-2</v>
      </c>
      <c r="AC513" s="22">
        <f t="shared" si="116"/>
        <v>4.3075134823854618E-2</v>
      </c>
      <c r="AD513" s="22">
        <f t="shared" si="116"/>
        <v>4.3069985692309382E-2</v>
      </c>
      <c r="AE513" s="22">
        <f t="shared" si="116"/>
        <v>4.3065659917621506E-2</v>
      </c>
      <c r="AF513" s="22">
        <f t="shared" si="116"/>
        <v>4.3062162088750661E-2</v>
      </c>
      <c r="AG513" s="22">
        <f t="shared" si="116"/>
        <v>4.3059496029707253E-2</v>
      </c>
      <c r="AH513" s="22">
        <f t="shared" si="116"/>
        <v>4.3057664801394106E-2</v>
      </c>
      <c r="AI513" s="22">
        <f t="shared" si="116"/>
        <v>4.3056671512686932E-2</v>
      </c>
      <c r="AJ513" s="22">
        <f t="shared" si="116"/>
        <v>4.3056518981193247E-2</v>
      </c>
      <c r="AK513" s="22">
        <f t="shared" si="116"/>
        <v>4.4332708278372678E-2</v>
      </c>
      <c r="AL513" s="22">
        <f t="shared" si="116"/>
        <v>4.4333790107679898E-2</v>
      </c>
      <c r="AM513" s="22">
        <f t="shared" si="116"/>
        <v>4.4334847296042611E-2</v>
      </c>
      <c r="AN513" s="22">
        <f t="shared" si="116"/>
        <v>4.4335881286183175E-2</v>
      </c>
      <c r="AO513" s="22">
        <f t="shared" si="116"/>
        <v>4.433689378149782E-2</v>
      </c>
      <c r="AP513" s="22">
        <f t="shared" si="116"/>
        <v>4.433788047613562E-2</v>
      </c>
      <c r="AQ513" s="22">
        <f t="shared" si="116"/>
        <v>4.4338838462908037E-2</v>
      </c>
      <c r="AR513" s="22">
        <f t="shared" si="116"/>
        <v>4.4339767373280901E-2</v>
      </c>
      <c r="AS513" s="22">
        <f t="shared" si="116"/>
        <v>4.4340663753716876E-2</v>
      </c>
      <c r="AT513" s="22">
        <f t="shared" si="116"/>
        <v>4.4341523759605192E-2</v>
      </c>
      <c r="AU513" s="22">
        <f t="shared" si="116"/>
        <v>4.4342346883141204E-2</v>
      </c>
      <c r="AV513" s="22">
        <f t="shared" si="116"/>
        <v>4.4343133641518123E-2</v>
      </c>
      <c r="AW513" s="22">
        <f t="shared" si="116"/>
        <v>4.4343884386440678E-2</v>
      </c>
      <c r="AY513" s="79"/>
    </row>
    <row r="514" spans="1:51" x14ac:dyDescent="0.25">
      <c r="A514" s="95" t="str">
        <f t="shared" si="108"/>
        <v>PQ Crop residues</v>
      </c>
      <c r="B514" s="95" t="s">
        <v>968</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2.9710792197336011</v>
      </c>
      <c r="U514" s="22">
        <f t="shared" si="116"/>
        <v>2.9914277552243997</v>
      </c>
      <c r="V514" s="22">
        <f t="shared" si="116"/>
        <v>3.4797764662170874</v>
      </c>
      <c r="W514" s="22">
        <f t="shared" si="116"/>
        <v>3.4919764582156594</v>
      </c>
      <c r="X514" s="22">
        <f t="shared" si="116"/>
        <v>3.5032694733160721</v>
      </c>
      <c r="Y514" s="22">
        <f t="shared" si="116"/>
        <v>3.5136567294244192</v>
      </c>
      <c r="Z514" s="22">
        <f t="shared" si="116"/>
        <v>3.5231461102325734</v>
      </c>
      <c r="AA514" s="22">
        <f t="shared" si="116"/>
        <v>3.5317293768790967</v>
      </c>
      <c r="AB514" s="22">
        <f t="shared" si="116"/>
        <v>3.539399639370707</v>
      </c>
      <c r="AC514" s="22">
        <f t="shared" si="116"/>
        <v>3.5461501478717818</v>
      </c>
      <c r="AD514" s="22">
        <f t="shared" si="116"/>
        <v>3.5519745858679355</v>
      </c>
      <c r="AE514" s="22">
        <f t="shared" si="116"/>
        <v>3.5568676840988758</v>
      </c>
      <c r="AF514" s="22">
        <f t="shared" si="116"/>
        <v>3.5608242517647808</v>
      </c>
      <c r="AG514" s="22">
        <f t="shared" si="116"/>
        <v>3.5638399633378826</v>
      </c>
      <c r="AH514" s="22">
        <f t="shared" si="116"/>
        <v>3.5659113564792468</v>
      </c>
      <c r="AI514" s="22">
        <f t="shared" si="116"/>
        <v>3.5670349145853852</v>
      </c>
      <c r="AJ514" s="22">
        <f t="shared" si="116"/>
        <v>3.5672074505207347</v>
      </c>
      <c r="AK514" s="22">
        <f t="shared" si="116"/>
        <v>2.1236464601919001</v>
      </c>
      <c r="AL514" s="22">
        <f t="shared" si="116"/>
        <v>2.122422749423007</v>
      </c>
      <c r="AM514" s="22">
        <f t="shared" si="116"/>
        <v>2.1212269112482072</v>
      </c>
      <c r="AN514" s="22">
        <f t="shared" si="116"/>
        <v>2.1200573137327008</v>
      </c>
      <c r="AO514" s="22">
        <f t="shared" si="116"/>
        <v>2.1189120300805597</v>
      </c>
      <c r="AP514" s="22">
        <f t="shared" si="116"/>
        <v>2.1177959308532275</v>
      </c>
      <c r="AQ514" s="22">
        <f t="shared" si="116"/>
        <v>2.1167123045158354</v>
      </c>
      <c r="AR514" s="22">
        <f t="shared" si="116"/>
        <v>2.1156615679356672</v>
      </c>
      <c r="AS514" s="22">
        <f t="shared" si="116"/>
        <v>2.1146476275800086</v>
      </c>
      <c r="AT514" s="22">
        <f t="shared" si="116"/>
        <v>2.1136748322787415</v>
      </c>
      <c r="AU514" s="22">
        <f t="shared" si="116"/>
        <v>2.1127437564348668</v>
      </c>
      <c r="AV514" s="22">
        <f t="shared" si="116"/>
        <v>2.111853815025504</v>
      </c>
      <c r="AW514" s="22">
        <f t="shared" si="116"/>
        <v>2.1110046102200224</v>
      </c>
      <c r="AY514" s="79"/>
    </row>
    <row r="515" spans="1:51" x14ac:dyDescent="0.25">
      <c r="A515" s="95" t="str">
        <f t="shared" si="108"/>
        <v>PQ Organic</v>
      </c>
      <c r="B515" s="95" t="s">
        <v>968</v>
      </c>
      <c r="C515" s="95" t="s">
        <v>1127</v>
      </c>
      <c r="D515" t="s">
        <v>369</v>
      </c>
      <c r="E515" t="s">
        <v>55</v>
      </c>
      <c r="F515" t="s">
        <v>421</v>
      </c>
      <c r="G515" t="s">
        <v>1152</v>
      </c>
      <c r="H515" t="s">
        <v>1153</v>
      </c>
      <c r="I515" t="s">
        <v>139</v>
      </c>
      <c r="J515" t="s">
        <v>287</v>
      </c>
      <c r="K515" s="22">
        <f t="shared" si="117"/>
        <v>0.31878106382562998</v>
      </c>
      <c r="L515" s="22">
        <f t="shared" si="116"/>
        <v>0.32056321299147922</v>
      </c>
      <c r="M515" s="22">
        <f t="shared" si="116"/>
        <v>0.32309177745176459</v>
      </c>
      <c r="N515" s="22">
        <f t="shared" si="116"/>
        <v>0.32471664946511047</v>
      </c>
      <c r="O515" s="22">
        <f t="shared" si="116"/>
        <v>0.32579638434951891</v>
      </c>
      <c r="P515" s="22">
        <f t="shared" si="116"/>
        <v>0.32632035510276458</v>
      </c>
      <c r="Q515" s="22">
        <f t="shared" si="116"/>
        <v>0.32747800149861978</v>
      </c>
      <c r="R515" s="22">
        <f t="shared" si="116"/>
        <v>0.32880601635823309</v>
      </c>
      <c r="S515" s="22">
        <f t="shared" si="116"/>
        <v>0.3194631230654072</v>
      </c>
      <c r="T515" s="22">
        <f t="shared" si="116"/>
        <v>0.32495993852650251</v>
      </c>
      <c r="U515" s="22">
        <f t="shared" si="116"/>
        <v>0.55911956199622048</v>
      </c>
      <c r="V515" s="22">
        <f t="shared" si="116"/>
        <v>0.56585948734565139</v>
      </c>
      <c r="W515" s="22">
        <f t="shared" si="116"/>
        <v>0.57230378307872798</v>
      </c>
      <c r="X515" s="22">
        <f t="shared" si="116"/>
        <v>0.57834283314741031</v>
      </c>
      <c r="Y515" s="22">
        <f t="shared" si="116"/>
        <v>0.58381536330507111</v>
      </c>
      <c r="Z515" s="22">
        <f t="shared" si="116"/>
        <v>0.58869581671270654</v>
      </c>
      <c r="AA515" s="22">
        <f t="shared" si="116"/>
        <v>0.59295576215312973</v>
      </c>
      <c r="AB515" s="22">
        <f t="shared" si="116"/>
        <v>0.59657368139031808</v>
      </c>
      <c r="AC515" s="22">
        <f t="shared" si="116"/>
        <v>0.59953250893616183</v>
      </c>
      <c r="AD515" s="22">
        <f t="shared" si="116"/>
        <v>0.60181430512751644</v>
      </c>
      <c r="AE515" s="22">
        <f t="shared" si="116"/>
        <v>0.60340833018876772</v>
      </c>
      <c r="AF515" s="22">
        <f t="shared" si="116"/>
        <v>0.60430428229357946</v>
      </c>
      <c r="AG515" s="22">
        <f t="shared" si="116"/>
        <v>0.60449220860104358</v>
      </c>
      <c r="AH515" s="22">
        <f t="shared" si="116"/>
        <v>0.60397029153121029</v>
      </c>
      <c r="AI515" s="22">
        <f t="shared" si="116"/>
        <v>0.60274150240431557</v>
      </c>
      <c r="AJ515" s="22">
        <f t="shared" si="116"/>
        <v>0.19069698851099628</v>
      </c>
      <c r="AK515" s="22">
        <f t="shared" si="116"/>
        <v>0.19083619411236313</v>
      </c>
      <c r="AL515" s="22">
        <f t="shared" si="116"/>
        <v>0.19096537877553132</v>
      </c>
      <c r="AM515" s="22">
        <f t="shared" si="116"/>
        <v>0.19108541639025195</v>
      </c>
      <c r="AN515" s="22">
        <f t="shared" si="116"/>
        <v>0.19119738340555115</v>
      </c>
      <c r="AO515" s="22">
        <f t="shared" si="116"/>
        <v>0.19129776572073925</v>
      </c>
      <c r="AP515" s="22">
        <f t="shared" si="116"/>
        <v>0.19138420348192833</v>
      </c>
      <c r="AQ515" s="22">
        <f t="shared" si="116"/>
        <v>0.19145631825873433</v>
      </c>
      <c r="AR515" s="22">
        <f t="shared" si="116"/>
        <v>0.19151143246366148</v>
      </c>
      <c r="AS515" s="22">
        <f t="shared" si="116"/>
        <v>0.19154663907394784</v>
      </c>
      <c r="AT515" s="22">
        <f t="shared" si="116"/>
        <v>0.19156157903173729</v>
      </c>
      <c r="AU515" s="22">
        <f t="shared" si="116"/>
        <v>0.19155666524405471</v>
      </c>
      <c r="AV515" s="22">
        <f t="shared" si="116"/>
        <v>0.19153218566591518</v>
      </c>
      <c r="AW515" s="22">
        <f t="shared" si="116"/>
        <v>0.1914854060866179</v>
      </c>
      <c r="AY515" s="79"/>
    </row>
    <row r="516" spans="1:51" x14ac:dyDescent="0.25">
      <c r="A516" s="95" t="str">
        <f t="shared" si="108"/>
        <v>PQ Organic</v>
      </c>
      <c r="B516" s="95" t="s">
        <v>968</v>
      </c>
      <c r="C516" s="95" t="s">
        <v>1127</v>
      </c>
      <c r="D516" t="s">
        <v>369</v>
      </c>
      <c r="E516" t="s">
        <v>55</v>
      </c>
      <c r="F516" t="s">
        <v>421</v>
      </c>
      <c r="G516" t="s">
        <v>1154</v>
      </c>
      <c r="H516" t="s">
        <v>1155</v>
      </c>
      <c r="I516" t="s">
        <v>139</v>
      </c>
      <c r="J516" t="s">
        <v>287</v>
      </c>
      <c r="K516" s="22">
        <f t="shared" si="117"/>
        <v>0.93210651077804862</v>
      </c>
      <c r="L516" s="22">
        <f t="shared" si="116"/>
        <v>0.93731746283627526</v>
      </c>
      <c r="M516" s="22">
        <f t="shared" si="116"/>
        <v>0.94471091139331731</v>
      </c>
      <c r="N516" s="22">
        <f t="shared" si="116"/>
        <v>0.94946198965576145</v>
      </c>
      <c r="O516" s="22">
        <f t="shared" si="116"/>
        <v>0.95261910289076102</v>
      </c>
      <c r="P516" s="22">
        <f t="shared" si="116"/>
        <v>0.954151178054501</v>
      </c>
      <c r="Q516" s="22">
        <f t="shared" si="116"/>
        <v>0.95753610227115837</v>
      </c>
      <c r="R516" s="22">
        <f t="shared" si="116"/>
        <v>0.96141917889497153</v>
      </c>
      <c r="S516" s="22">
        <f t="shared" si="116"/>
        <v>0.93410083205454864</v>
      </c>
      <c r="T516" s="22">
        <f t="shared" si="116"/>
        <v>0.95017335975849948</v>
      </c>
      <c r="U516" s="22">
        <f t="shared" si="116"/>
        <v>1.6348492529189775</v>
      </c>
      <c r="V516" s="22">
        <f t="shared" si="116"/>
        <v>1.654556597592997</v>
      </c>
      <c r="W516" s="22">
        <f t="shared" si="116"/>
        <v>1.6733995299117927</v>
      </c>
      <c r="X516" s="22">
        <f t="shared" si="116"/>
        <v>1.6910575357556168</v>
      </c>
      <c r="Y516" s="22">
        <f t="shared" si="116"/>
        <v>1.7070590539423278</v>
      </c>
      <c r="Z516" s="22">
        <f t="shared" si="116"/>
        <v>1.7213293570218551</v>
      </c>
      <c r="AA516" s="22">
        <f t="shared" si="116"/>
        <v>1.7337853129463565</v>
      </c>
      <c r="AB516" s="22">
        <f t="shared" si="116"/>
        <v>1.7443640030228067</v>
      </c>
      <c r="AC516" s="22">
        <f t="shared" si="116"/>
        <v>1.753015528262897</v>
      </c>
      <c r="AD516" s="22">
        <f t="shared" si="116"/>
        <v>1.7596874336160764</v>
      </c>
      <c r="AE516" s="22">
        <f t="shared" si="116"/>
        <v>1.7643483162924332</v>
      </c>
      <c r="AF516" s="22">
        <f t="shared" si="116"/>
        <v>1.7669680540529458</v>
      </c>
      <c r="AG516" s="22">
        <f t="shared" si="116"/>
        <v>1.7675175450817782</v>
      </c>
      <c r="AH516" s="22">
        <f t="shared" si="116"/>
        <v>1.7659914748282959</v>
      </c>
      <c r="AI516" s="22">
        <f t="shared" si="116"/>
        <v>1.7623985313459991</v>
      </c>
      <c r="AJ516" s="22">
        <f t="shared" si="116"/>
        <v>0.55759241920998737</v>
      </c>
      <c r="AK516" s="22">
        <f t="shared" si="116"/>
        <v>0.55799945231858428</v>
      </c>
      <c r="AL516" s="22">
        <f t="shared" si="116"/>
        <v>0.55837718449685969</v>
      </c>
      <c r="AM516" s="22">
        <f t="shared" si="116"/>
        <v>0.55872817097289618</v>
      </c>
      <c r="AN516" s="22">
        <f t="shared" si="116"/>
        <v>0.55905555925217576</v>
      </c>
      <c r="AO516" s="22">
        <f t="shared" si="116"/>
        <v>0.55934907420701951</v>
      </c>
      <c r="AP516" s="22">
        <f t="shared" si="116"/>
        <v>0.55960181569365119</v>
      </c>
      <c r="AQ516" s="22">
        <f t="shared" si="116"/>
        <v>0.55981267719269234</v>
      </c>
      <c r="AR516" s="22">
        <f t="shared" si="116"/>
        <v>0.55997382951658647</v>
      </c>
      <c r="AS516" s="22">
        <f t="shared" si="116"/>
        <v>0.56007677261576738</v>
      </c>
      <c r="AT516" s="22">
        <f t="shared" si="116"/>
        <v>0.56012045661556076</v>
      </c>
      <c r="AU516" s="22">
        <f t="shared" si="116"/>
        <v>0.56010608884403601</v>
      </c>
      <c r="AV516" s="22">
        <f t="shared" si="116"/>
        <v>0.56003451127323822</v>
      </c>
      <c r="AW516" s="22">
        <f t="shared" si="116"/>
        <v>0.55989772915101532</v>
      </c>
      <c r="AY516" s="79"/>
    </row>
    <row r="517" spans="1:51" x14ac:dyDescent="0.25">
      <c r="A517" s="95" t="str">
        <f t="shared" si="108"/>
        <v>PQ Organic</v>
      </c>
      <c r="B517" s="95" t="s">
        <v>968</v>
      </c>
      <c r="C517" s="95" t="s">
        <v>1127</v>
      </c>
      <c r="D517" t="s">
        <v>369</v>
      </c>
      <c r="E517" t="s">
        <v>55</v>
      </c>
      <c r="F517" t="s">
        <v>421</v>
      </c>
      <c r="G517" t="s">
        <v>1156</v>
      </c>
      <c r="H517" t="s">
        <v>1157</v>
      </c>
      <c r="I517" t="s">
        <v>139</v>
      </c>
      <c r="J517" t="s">
        <v>287</v>
      </c>
      <c r="K517" s="22">
        <f t="shared" si="117"/>
        <v>4.9862442750846919E-2</v>
      </c>
      <c r="L517" s="22">
        <f t="shared" si="116"/>
        <v>5.0141199304605817E-2</v>
      </c>
      <c r="M517" s="22">
        <f t="shared" si="116"/>
        <v>5.0536707115294892E-2</v>
      </c>
      <c r="N517" s="22">
        <f t="shared" si="116"/>
        <v>5.0790863013925151E-2</v>
      </c>
      <c r="O517" s="22">
        <f t="shared" si="116"/>
        <v>5.0959750770976343E-2</v>
      </c>
      <c r="P517" s="22">
        <f t="shared" si="116"/>
        <v>5.1041708153806126E-2</v>
      </c>
      <c r="Q517" s="22">
        <f t="shared" si="116"/>
        <v>5.122278251388987E-2</v>
      </c>
      <c r="R517" s="22">
        <f t="shared" si="116"/>
        <v>5.1430505218981189E-2</v>
      </c>
      <c r="S517" s="22">
        <f t="shared" si="116"/>
        <v>4.9969127694387626E-2</v>
      </c>
      <c r="T517" s="22">
        <f t="shared" si="116"/>
        <v>5.08289173034428E-2</v>
      </c>
      <c r="U517" s="22">
        <f t="shared" si="116"/>
        <v>8.7455217120941425E-2</v>
      </c>
      <c r="V517" s="22">
        <f t="shared" si="116"/>
        <v>8.8509448943396227E-2</v>
      </c>
      <c r="W517" s="22">
        <f t="shared" si="116"/>
        <v>8.9517439578736563E-2</v>
      </c>
      <c r="X517" s="22">
        <f t="shared" si="116"/>
        <v>9.0462043328738057E-2</v>
      </c>
      <c r="Y517" s="22">
        <f t="shared" si="116"/>
        <v>9.1318034328999972E-2</v>
      </c>
      <c r="Z517" s="22">
        <f t="shared" si="116"/>
        <v>9.2081415082285539E-2</v>
      </c>
      <c r="AA517" s="22">
        <f t="shared" si="116"/>
        <v>9.2747738492765894E-2</v>
      </c>
      <c r="AB517" s="22">
        <f t="shared" si="116"/>
        <v>9.3313638765123857E-2</v>
      </c>
      <c r="AC517" s="22">
        <f t="shared" si="116"/>
        <v>9.3776446584834763E-2</v>
      </c>
      <c r="AD517" s="22">
        <f t="shared" si="116"/>
        <v>9.4133355902455834E-2</v>
      </c>
      <c r="AE517" s="22">
        <f t="shared" si="116"/>
        <v>9.4382686845787919E-2</v>
      </c>
      <c r="AF517" s="22">
        <f t="shared" si="116"/>
        <v>9.4522828044884072E-2</v>
      </c>
      <c r="AG517" s="22">
        <f t="shared" si="116"/>
        <v>9.4552222716684439E-2</v>
      </c>
      <c r="AH517" s="22">
        <f t="shared" si="116"/>
        <v>9.4470586562695413E-2</v>
      </c>
      <c r="AI517" s="22">
        <f t="shared" si="116"/>
        <v>9.4278384344792743E-2</v>
      </c>
      <c r="AJ517" s="22">
        <f t="shared" si="116"/>
        <v>2.9828050506756527E-2</v>
      </c>
      <c r="AK517" s="22">
        <f t="shared" si="116"/>
        <v>2.9849824483056911E-2</v>
      </c>
      <c r="AL517" s="22">
        <f t="shared" si="116"/>
        <v>2.9870031024795022E-2</v>
      </c>
      <c r="AM517" s="22">
        <f t="shared" si="116"/>
        <v>2.9888806822265943E-2</v>
      </c>
      <c r="AN517" s="22">
        <f t="shared" si="116"/>
        <v>2.9906320249266097E-2</v>
      </c>
      <c r="AO517" s="22">
        <f t="shared" si="116"/>
        <v>2.9922021644399784E-2</v>
      </c>
      <c r="AP517" s="22">
        <f t="shared" si="116"/>
        <v>2.9935541888880673E-2</v>
      </c>
      <c r="AQ517" s="22">
        <f t="shared" si="116"/>
        <v>2.9946821790160959E-2</v>
      </c>
      <c r="AR517" s="22">
        <f t="shared" si="116"/>
        <v>2.995544253085038E-2</v>
      </c>
      <c r="AS517" s="22">
        <f t="shared" si="116"/>
        <v>2.9960949406223684E-2</v>
      </c>
      <c r="AT517" s="22">
        <f t="shared" si="116"/>
        <v>2.9963286253905406E-2</v>
      </c>
      <c r="AU517" s="22">
        <f t="shared" si="116"/>
        <v>2.9962517659139858E-2</v>
      </c>
      <c r="AV517" s="22">
        <f t="shared" si="116"/>
        <v>2.995868866268411E-2</v>
      </c>
      <c r="AW517" s="22">
        <f t="shared" si="116"/>
        <v>2.9951371590375517E-2</v>
      </c>
      <c r="AY517" s="79"/>
    </row>
    <row r="518" spans="1:51" x14ac:dyDescent="0.25">
      <c r="A518" s="95" t="str">
        <f t="shared" si="108"/>
        <v>PQ Organic</v>
      </c>
      <c r="B518" s="95" t="s">
        <v>968</v>
      </c>
      <c r="C518" s="95" t="s">
        <v>1127</v>
      </c>
      <c r="D518" t="s">
        <v>369</v>
      </c>
      <c r="E518" t="s">
        <v>55</v>
      </c>
      <c r="F518" t="s">
        <v>421</v>
      </c>
      <c r="G518" t="s">
        <v>1158</v>
      </c>
      <c r="H518" t="s">
        <v>1159</v>
      </c>
      <c r="I518" t="s">
        <v>139</v>
      </c>
      <c r="J518" t="s">
        <v>287</v>
      </c>
      <c r="K518" s="22">
        <f t="shared" si="117"/>
        <v>0.39999978998352292</v>
      </c>
      <c r="L518" s="22">
        <f t="shared" si="116"/>
        <v>0.39653071954810204</v>
      </c>
      <c r="M518" s="22">
        <f t="shared" si="116"/>
        <v>0.39521014945095018</v>
      </c>
      <c r="N518" s="22">
        <f t="shared" si="116"/>
        <v>0.38993263522397326</v>
      </c>
      <c r="O518" s="22">
        <f t="shared" si="116"/>
        <v>0.382272194437701</v>
      </c>
      <c r="P518" s="22">
        <f t="shared" si="116"/>
        <v>0.37238723301511389</v>
      </c>
      <c r="Q518" s="22">
        <f t="shared" si="116"/>
        <v>0.36459067483623864</v>
      </c>
      <c r="R518" s="22">
        <f t="shared" si="116"/>
        <v>0.35721424445443944</v>
      </c>
      <c r="S518" s="22">
        <f t="shared" si="116"/>
        <v>0.31946339774377674</v>
      </c>
      <c r="T518" s="22">
        <f t="shared" si="116"/>
        <v>0.33177135164852617</v>
      </c>
      <c r="U518" s="22">
        <f t="shared" si="116"/>
        <v>1.0456423232959036</v>
      </c>
      <c r="V518" s="22">
        <f t="shared" si="116"/>
        <v>1.0506858527476302</v>
      </c>
      <c r="W518" s="22">
        <f t="shared" si="116"/>
        <v>1.0539136991279403</v>
      </c>
      <c r="X518" s="22">
        <f t="shared" si="116"/>
        <v>1.0553252049864941</v>
      </c>
      <c r="Y518" s="22">
        <f t="shared" si="116"/>
        <v>1.0549502713547947</v>
      </c>
      <c r="Z518" s="22">
        <f t="shared" si="116"/>
        <v>1.0527709267508603</v>
      </c>
      <c r="AA518" s="22">
        <f t="shared" si="116"/>
        <v>1.0487818326891256</v>
      </c>
      <c r="AB518" s="22">
        <f t="shared" si="116"/>
        <v>1.0429862897745465</v>
      </c>
      <c r="AC518" s="22">
        <f t="shared" si="116"/>
        <v>1.0353973298775558</v>
      </c>
      <c r="AD518" s="22">
        <f t="shared" si="116"/>
        <v>1.0174175581982712</v>
      </c>
      <c r="AE518" s="22">
        <f t="shared" si="116"/>
        <v>0.99774420575118894</v>
      </c>
      <c r="AF518" s="22">
        <f t="shared" si="116"/>
        <v>0.97646566881417607</v>
      </c>
      <c r="AG518" s="22">
        <f t="shared" si="116"/>
        <v>0.95368038799648891</v>
      </c>
      <c r="AH518" s="22">
        <f t="shared" si="116"/>
        <v>0.92949316172660157</v>
      </c>
      <c r="AI518" s="22">
        <f t="shared" si="116"/>
        <v>0.90401558532438187</v>
      </c>
      <c r="AJ518" s="22">
        <f t="shared" si="116"/>
        <v>-6.9801929759449391E-2</v>
      </c>
      <c r="AK518" s="22">
        <f t="shared" si="116"/>
        <v>-6.8121301003411724E-2</v>
      </c>
      <c r="AL518" s="22">
        <f t="shared" si="116"/>
        <v>-6.6458158331925851E-2</v>
      </c>
      <c r="AM518" s="22">
        <f t="shared" si="116"/>
        <v>-6.481232997303113E-2</v>
      </c>
      <c r="AN518" s="22">
        <f t="shared" si="116"/>
        <v>-6.3506079477571004E-2</v>
      </c>
      <c r="AO518" s="22">
        <f t="shared" si="116"/>
        <v>-6.2212220196709189E-2</v>
      </c>
      <c r="AP518" s="22">
        <f t="shared" si="116"/>
        <v>-6.0929789794195444E-2</v>
      </c>
      <c r="AQ518" s="22">
        <f t="shared" si="116"/>
        <v>-5.9658470603933263E-2</v>
      </c>
      <c r="AR518" s="22">
        <f t="shared" si="116"/>
        <v>-5.839733316411725E-2</v>
      </c>
      <c r="AS518" s="22">
        <f t="shared" si="116"/>
        <v>-5.7145467253207828E-2</v>
      </c>
      <c r="AT518" s="22">
        <f t="shared" si="116"/>
        <v>-5.590272668429646E-2</v>
      </c>
      <c r="AU518" s="22">
        <f t="shared" si="116"/>
        <v>-5.4669188235492674E-2</v>
      </c>
      <c r="AV518" s="22">
        <f t="shared" si="116"/>
        <v>-5.3444899006114648E-2</v>
      </c>
      <c r="AW518" s="22">
        <f t="shared" si="116"/>
        <v>-5.2229155811497792E-2</v>
      </c>
      <c r="AY518" s="79"/>
    </row>
    <row r="519" spans="1:51" x14ac:dyDescent="0.25">
      <c r="A519" s="95" t="str">
        <f t="shared" si="108"/>
        <v>PQ Organic</v>
      </c>
      <c r="B519" s="95" t="s">
        <v>968</v>
      </c>
      <c r="C519" s="95" t="s">
        <v>1127</v>
      </c>
      <c r="D519" t="s">
        <v>369</v>
      </c>
      <c r="E519" t="s">
        <v>55</v>
      </c>
      <c r="F519" t="s">
        <v>421</v>
      </c>
      <c r="G519" t="s">
        <v>1160</v>
      </c>
      <c r="H519" t="s">
        <v>1161</v>
      </c>
      <c r="I519" t="s">
        <v>139</v>
      </c>
      <c r="J519" t="s">
        <v>287</v>
      </c>
      <c r="K519" s="22">
        <f t="shared" si="117"/>
        <v>2.6602988559851242</v>
      </c>
      <c r="L519" s="22">
        <f t="shared" si="116"/>
        <v>2.6372269335947092</v>
      </c>
      <c r="M519" s="22">
        <f t="shared" si="116"/>
        <v>2.6284441511866339</v>
      </c>
      <c r="N519" s="22">
        <f t="shared" si="116"/>
        <v>2.5933447201068063</v>
      </c>
      <c r="O519" s="22">
        <f t="shared" si="116"/>
        <v>2.5423970387070201</v>
      </c>
      <c r="P519" s="22">
        <f t="shared" ref="L519:AW525" si="118">P1470</f>
        <v>2.4766546252796315</v>
      </c>
      <c r="Q519" s="22">
        <f t="shared" si="118"/>
        <v>2.4248016610449814</v>
      </c>
      <c r="R519" s="22">
        <f t="shared" si="118"/>
        <v>2.3757428620222041</v>
      </c>
      <c r="S519" s="22">
        <f t="shared" si="118"/>
        <v>2.1246713944072271</v>
      </c>
      <c r="T519" s="22">
        <f t="shared" si="118"/>
        <v>2.2065285266163999</v>
      </c>
      <c r="U519" s="22">
        <f t="shared" si="118"/>
        <v>6.9543063423815932</v>
      </c>
      <c r="V519" s="22">
        <f t="shared" si="118"/>
        <v>6.9878495990695715</v>
      </c>
      <c r="W519" s="22">
        <f t="shared" si="118"/>
        <v>7.0093172004230366</v>
      </c>
      <c r="X519" s="22">
        <f t="shared" si="118"/>
        <v>7.0187047739037158</v>
      </c>
      <c r="Y519" s="22">
        <f t="shared" si="118"/>
        <v>7.0162111838157779</v>
      </c>
      <c r="Z519" s="22">
        <f t="shared" si="118"/>
        <v>7.0017169063140772</v>
      </c>
      <c r="AA519" s="22">
        <f t="shared" si="118"/>
        <v>6.9751864364623621</v>
      </c>
      <c r="AB519" s="22">
        <f t="shared" si="118"/>
        <v>6.9366417257611337</v>
      </c>
      <c r="AC519" s="22">
        <f t="shared" si="118"/>
        <v>6.8861694459309035</v>
      </c>
      <c r="AD519" s="22">
        <f t="shared" si="118"/>
        <v>6.7665904680738294</v>
      </c>
      <c r="AE519" s="22">
        <f t="shared" si="118"/>
        <v>6.6357479068551806</v>
      </c>
      <c r="AF519" s="22">
        <f t="shared" si="118"/>
        <v>6.4942296638758421</v>
      </c>
      <c r="AG519" s="22">
        <f t="shared" si="118"/>
        <v>6.3426904430800271</v>
      </c>
      <c r="AH519" s="22">
        <f t="shared" si="118"/>
        <v>6.181827232682128</v>
      </c>
      <c r="AI519" s="22">
        <f t="shared" si="118"/>
        <v>6.0123822253262711</v>
      </c>
      <c r="AJ519" s="22">
        <f t="shared" si="118"/>
        <v>-0.46423522845416099</v>
      </c>
      <c r="AK519" s="22">
        <f t="shared" si="118"/>
        <v>-0.45305778569298638</v>
      </c>
      <c r="AL519" s="22">
        <f t="shared" si="118"/>
        <v>-0.44199663851969367</v>
      </c>
      <c r="AM519" s="22">
        <f t="shared" si="118"/>
        <v>-0.43105064452180719</v>
      </c>
      <c r="AN519" s="22">
        <f t="shared" si="118"/>
        <v>-0.42236309821373103</v>
      </c>
      <c r="AO519" s="22">
        <f t="shared" si="118"/>
        <v>-0.41375796278397442</v>
      </c>
      <c r="AP519" s="22">
        <f t="shared" si="118"/>
        <v>-0.40522883797411285</v>
      </c>
      <c r="AQ519" s="22">
        <f t="shared" si="118"/>
        <v>-0.3967736110661545</v>
      </c>
      <c r="AR519" s="22">
        <f t="shared" si="118"/>
        <v>-0.38838610044140948</v>
      </c>
      <c r="AS519" s="22">
        <f t="shared" si="118"/>
        <v>-0.38006025244339864</v>
      </c>
      <c r="AT519" s="22">
        <f t="shared" si="118"/>
        <v>-0.37179509481944717</v>
      </c>
      <c r="AU519" s="22">
        <f t="shared" si="118"/>
        <v>-0.36359113820161632</v>
      </c>
      <c r="AV519" s="22">
        <f t="shared" si="118"/>
        <v>-0.35544869583572547</v>
      </c>
      <c r="AW519" s="22">
        <f t="shared" si="118"/>
        <v>-0.34736309101592239</v>
      </c>
      <c r="AY519" s="79"/>
    </row>
    <row r="520" spans="1:51" x14ac:dyDescent="0.25">
      <c r="A520" s="95" t="str">
        <f t="shared" si="108"/>
        <v>PQ Organic</v>
      </c>
      <c r="B520" s="95" t="s">
        <v>968</v>
      </c>
      <c r="C520" s="95" t="s">
        <v>1127</v>
      </c>
      <c r="D520" t="s">
        <v>369</v>
      </c>
      <c r="E520" t="s">
        <v>55</v>
      </c>
      <c r="F520" t="s">
        <v>421</v>
      </c>
      <c r="G520" t="s">
        <v>1162</v>
      </c>
      <c r="H520" t="s">
        <v>1163</v>
      </c>
      <c r="I520" t="s">
        <v>139</v>
      </c>
      <c r="J520" t="s">
        <v>287</v>
      </c>
      <c r="K520" s="22">
        <f t="shared" si="117"/>
        <v>0.34358078636628736</v>
      </c>
      <c r="L520" s="22">
        <f t="shared" si="118"/>
        <v>0.35516571939691516</v>
      </c>
      <c r="M520" s="22">
        <f t="shared" si="118"/>
        <v>0.36891582276573964</v>
      </c>
      <c r="N520" s="22">
        <f t="shared" si="118"/>
        <v>0.379170347917821</v>
      </c>
      <c r="O520" s="22">
        <f t="shared" si="118"/>
        <v>0.38707850955818851</v>
      </c>
      <c r="P520" s="22">
        <f t="shared" si="118"/>
        <v>0.39252728601928999</v>
      </c>
      <c r="Q520" s="22">
        <f t="shared" si="118"/>
        <v>0.3999671364536494</v>
      </c>
      <c r="R520" s="22">
        <f t="shared" si="118"/>
        <v>0.40776627193753145</v>
      </c>
      <c r="S520" s="22">
        <f t="shared" si="118"/>
        <v>0.37941149708510857</v>
      </c>
      <c r="T520" s="22">
        <f t="shared" si="118"/>
        <v>0.40352229075935825</v>
      </c>
      <c r="U520" s="22">
        <f t="shared" si="118"/>
        <v>1.3019992837200502</v>
      </c>
      <c r="V520" s="22">
        <f t="shared" si="118"/>
        <v>1.3389713551242044</v>
      </c>
      <c r="W520" s="22">
        <f t="shared" si="118"/>
        <v>1.3742225442034364</v>
      </c>
      <c r="X520" s="22">
        <f t="shared" si="118"/>
        <v>1.4076173986220344</v>
      </c>
      <c r="Y520" s="22">
        <f t="shared" si="118"/>
        <v>1.4390577517114058</v>
      </c>
      <c r="Z520" s="22">
        <f t="shared" si="118"/>
        <v>1.4683777754211462</v>
      </c>
      <c r="AA520" s="22">
        <f t="shared" si="118"/>
        <v>1.4954226905831736</v>
      </c>
      <c r="AB520" s="22">
        <f t="shared" si="118"/>
        <v>1.5200446118078883</v>
      </c>
      <c r="AC520" s="22">
        <f t="shared" si="118"/>
        <v>1.5421052715646864</v>
      </c>
      <c r="AD520" s="22">
        <f t="shared" si="118"/>
        <v>1.5655788001500457</v>
      </c>
      <c r="AE520" s="22">
        <f t="shared" si="118"/>
        <v>1.5863184064827547</v>
      </c>
      <c r="AF520" s="22">
        <f t="shared" si="118"/>
        <v>1.604202691450189</v>
      </c>
      <c r="AG520" s="22">
        <f t="shared" si="118"/>
        <v>1.6191262740936789</v>
      </c>
      <c r="AH520" s="22">
        <f t="shared" si="118"/>
        <v>1.6309961254310048</v>
      </c>
      <c r="AI520" s="22">
        <f t="shared" si="118"/>
        <v>1.6397344068055653</v>
      </c>
      <c r="AJ520" s="22">
        <f t="shared" si="118"/>
        <v>-0.13089608517240703</v>
      </c>
      <c r="AK520" s="22">
        <f t="shared" si="118"/>
        <v>-0.13209410170523925</v>
      </c>
      <c r="AL520" s="22">
        <f t="shared" si="118"/>
        <v>-0.13328419638855493</v>
      </c>
      <c r="AM520" s="22">
        <f t="shared" si="118"/>
        <v>-0.13446696197747518</v>
      </c>
      <c r="AN520" s="22">
        <f t="shared" si="118"/>
        <v>-0.13547441854530159</v>
      </c>
      <c r="AO520" s="22">
        <f t="shared" si="118"/>
        <v>-0.13647180135664599</v>
      </c>
      <c r="AP520" s="22">
        <f t="shared" si="118"/>
        <v>-0.1374575838778328</v>
      </c>
      <c r="AQ520" s="22">
        <f t="shared" si="118"/>
        <v>-0.13843149499593352</v>
      </c>
      <c r="AR520" s="22">
        <f t="shared" si="118"/>
        <v>-0.13939171751336263</v>
      </c>
      <c r="AS520" s="22">
        <f t="shared" si="118"/>
        <v>-0.14033622294950923</v>
      </c>
      <c r="AT520" s="22">
        <f t="shared" si="118"/>
        <v>-0.14126464078823431</v>
      </c>
      <c r="AU520" s="22">
        <f t="shared" si="118"/>
        <v>-0.14217711138361663</v>
      </c>
      <c r="AV520" s="22">
        <f t="shared" si="118"/>
        <v>-0.14307369087756849</v>
      </c>
      <c r="AW520" s="22">
        <f t="shared" si="118"/>
        <v>-0.14395235507647042</v>
      </c>
      <c r="AY520" s="79"/>
    </row>
    <row r="521" spans="1:51" x14ac:dyDescent="0.25">
      <c r="A521" s="95" t="str">
        <f t="shared" si="108"/>
        <v>PQ Organic</v>
      </c>
      <c r="B521" s="95" t="s">
        <v>968</v>
      </c>
      <c r="C521" s="95" t="s">
        <v>1127</v>
      </c>
      <c r="D521" t="s">
        <v>369</v>
      </c>
      <c r="E521" t="s">
        <v>55</v>
      </c>
      <c r="F521" t="s">
        <v>421</v>
      </c>
      <c r="G521" t="s">
        <v>1164</v>
      </c>
      <c r="H521" t="s">
        <v>1165</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5.9207171446821721E-2</v>
      </c>
      <c r="T521" s="22">
        <f t="shared" si="118"/>
        <v>5.9246576334297835E-2</v>
      </c>
      <c r="U521" s="22">
        <f t="shared" si="118"/>
        <v>6.0018268189792646E-2</v>
      </c>
      <c r="V521" s="22">
        <f t="shared" si="118"/>
        <v>6.0037093010318184E-2</v>
      </c>
      <c r="W521" s="22">
        <f t="shared" si="118"/>
        <v>6.0117615700915394E-2</v>
      </c>
      <c r="X521" s="22">
        <f t="shared" si="118"/>
        <v>6.0234013204612538E-2</v>
      </c>
      <c r="Y521" s="22">
        <f t="shared" si="118"/>
        <v>6.0342142496718161E-2</v>
      </c>
      <c r="Z521" s="22">
        <f t="shared" si="118"/>
        <v>6.0443342363168437E-2</v>
      </c>
      <c r="AA521" s="22">
        <f t="shared" si="118"/>
        <v>6.0537073159976813E-2</v>
      </c>
      <c r="AB521" s="22">
        <f t="shared" si="118"/>
        <v>6.0624179409324928E-2</v>
      </c>
      <c r="AC521" s="22">
        <f t="shared" si="118"/>
        <v>6.0705982424299358E-2</v>
      </c>
      <c r="AD521" s="22">
        <f t="shared" si="118"/>
        <v>6.0782405127579278E-2</v>
      </c>
      <c r="AE521" s="22">
        <f t="shared" si="118"/>
        <v>6.0854669862410914E-2</v>
      </c>
      <c r="AF521" s="22">
        <f t="shared" si="118"/>
        <v>6.0922951557005132E-2</v>
      </c>
      <c r="AG521" s="22">
        <f t="shared" si="118"/>
        <v>6.0986314332021271E-2</v>
      </c>
      <c r="AH521" s="22">
        <f t="shared" si="118"/>
        <v>6.1045337815494746E-2</v>
      </c>
      <c r="AI521" s="22">
        <f t="shared" si="118"/>
        <v>6.1100963630343091E-2</v>
      </c>
      <c r="AJ521" s="22">
        <f t="shared" si="118"/>
        <v>5.9760031976995184E-2</v>
      </c>
      <c r="AK521" s="22">
        <f t="shared" si="118"/>
        <v>5.9814986740369232E-2</v>
      </c>
      <c r="AL521" s="22">
        <f t="shared" si="118"/>
        <v>5.9866245389547455E-2</v>
      </c>
      <c r="AM521" s="22">
        <f t="shared" si="118"/>
        <v>5.9914121191052938E-2</v>
      </c>
      <c r="AN521" s="22">
        <f t="shared" si="118"/>
        <v>5.9958994957515464E-2</v>
      </c>
      <c r="AO521" s="22">
        <f t="shared" si="118"/>
        <v>5.9999686326466663E-2</v>
      </c>
      <c r="AP521" s="22">
        <f t="shared" si="118"/>
        <v>6.0035407039000573E-2</v>
      </c>
      <c r="AQ521" s="22">
        <f t="shared" si="118"/>
        <v>6.0066041639394212E-2</v>
      </c>
      <c r="AR521" s="22">
        <f t="shared" si="118"/>
        <v>6.0090693101993796E-2</v>
      </c>
      <c r="AS521" s="22">
        <f t="shared" si="118"/>
        <v>6.010838638445111E-2</v>
      </c>
      <c r="AT521" s="22">
        <f t="shared" si="118"/>
        <v>6.0119011530987615E-2</v>
      </c>
      <c r="AU521" s="22">
        <f t="shared" si="118"/>
        <v>6.0122720098989259E-2</v>
      </c>
      <c r="AV521" s="22">
        <f t="shared" si="118"/>
        <v>6.0119620565134202E-2</v>
      </c>
      <c r="AW521" s="22">
        <f t="shared" si="118"/>
        <v>6.0108795193871321E-2</v>
      </c>
      <c r="AY521" s="79"/>
    </row>
    <row r="522" spans="1:51" x14ac:dyDescent="0.25">
      <c r="A522" s="95" t="str">
        <f t="shared" si="108"/>
        <v>PQ Organic</v>
      </c>
      <c r="B522" s="95" t="s">
        <v>968</v>
      </c>
      <c r="C522" s="95" t="s">
        <v>1127</v>
      </c>
      <c r="D522" t="s">
        <v>369</v>
      </c>
      <c r="E522" t="s">
        <v>55</v>
      </c>
      <c r="F522" t="s">
        <v>421</v>
      </c>
      <c r="G522" t="s">
        <v>1166</v>
      </c>
      <c r="H522" t="s">
        <v>1167</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4.8186589457144935E-2</v>
      </c>
      <c r="T522" s="22">
        <f t="shared" si="118"/>
        <v>4.8218659679197723E-2</v>
      </c>
      <c r="U522" s="22">
        <f t="shared" si="118"/>
        <v>4.884671195258742E-2</v>
      </c>
      <c r="V522" s="22">
        <f t="shared" si="118"/>
        <v>4.8862032797615189E-2</v>
      </c>
      <c r="W522" s="22">
        <f t="shared" si="118"/>
        <v>4.8927567322217112E-2</v>
      </c>
      <c r="X522" s="22">
        <f t="shared" si="118"/>
        <v>4.9022299068176782E-2</v>
      </c>
      <c r="Y522" s="22">
        <f t="shared" si="118"/>
        <v>4.9110301613808693E-2</v>
      </c>
      <c r="Z522" s="22">
        <f t="shared" si="118"/>
        <v>4.9192664548882145E-2</v>
      </c>
      <c r="AA522" s="22">
        <f t="shared" si="118"/>
        <v>4.9268948676546534E-2</v>
      </c>
      <c r="AB522" s="22">
        <f t="shared" si="118"/>
        <v>4.9339841323060789E-2</v>
      </c>
      <c r="AC522" s="22">
        <f t="shared" si="118"/>
        <v>4.9406417857669777E-2</v>
      </c>
      <c r="AD522" s="22">
        <f t="shared" si="118"/>
        <v>4.9468615549911547E-2</v>
      </c>
      <c r="AE522" s="22">
        <f t="shared" si="118"/>
        <v>4.9527429221033953E-2</v>
      </c>
      <c r="AF522" s="22">
        <f t="shared" si="118"/>
        <v>4.9583001238822449E-2</v>
      </c>
      <c r="AG522" s="22">
        <f t="shared" si="118"/>
        <v>4.9634569924708931E-2</v>
      </c>
      <c r="AH522" s="22">
        <f t="shared" si="118"/>
        <v>4.9682607017124701E-2</v>
      </c>
      <c r="AI522" s="22">
        <f t="shared" si="118"/>
        <v>4.972787886912871E-2</v>
      </c>
      <c r="AJ522" s="22">
        <f t="shared" si="118"/>
        <v>4.8636542777722926E-2</v>
      </c>
      <c r="AK522" s="22">
        <f t="shared" si="118"/>
        <v>4.8681268485043679E-2</v>
      </c>
      <c r="AL522" s="22">
        <f t="shared" si="118"/>
        <v>4.872298605782617E-2</v>
      </c>
      <c r="AM522" s="22">
        <f t="shared" si="118"/>
        <v>4.8761950452437537E-2</v>
      </c>
      <c r="AN522" s="22">
        <f t="shared" si="118"/>
        <v>4.8798471598594094E-2</v>
      </c>
      <c r="AO522" s="22">
        <f t="shared" si="118"/>
        <v>4.8831588841694647E-2</v>
      </c>
      <c r="AP522" s="22">
        <f t="shared" si="118"/>
        <v>4.8860660646138712E-2</v>
      </c>
      <c r="AQ522" s="22">
        <f t="shared" si="118"/>
        <v>4.8885593046661804E-2</v>
      </c>
      <c r="AR522" s="22">
        <f t="shared" si="118"/>
        <v>4.8905655986315542E-2</v>
      </c>
      <c r="AS522" s="22">
        <f t="shared" si="118"/>
        <v>4.8920055913167046E-2</v>
      </c>
      <c r="AT522" s="22">
        <f t="shared" si="118"/>
        <v>4.8928703338159067E-2</v>
      </c>
      <c r="AU522" s="22">
        <f t="shared" si="118"/>
        <v>4.8931721608402395E-2</v>
      </c>
      <c r="AV522" s="22">
        <f t="shared" si="118"/>
        <v>4.8929199009167666E-2</v>
      </c>
      <c r="AW522" s="22">
        <f t="shared" si="118"/>
        <v>4.892038862846515E-2</v>
      </c>
      <c r="AY522" s="79"/>
    </row>
    <row r="523" spans="1:51" x14ac:dyDescent="0.25">
      <c r="A523" s="95" t="str">
        <f t="shared" si="108"/>
        <v>PQ Organic</v>
      </c>
      <c r="B523" s="95" t="s">
        <v>968</v>
      </c>
      <c r="C523" s="95" t="s">
        <v>1127</v>
      </c>
      <c r="D523" t="s">
        <v>369</v>
      </c>
      <c r="E523" t="s">
        <v>55</v>
      </c>
      <c r="F523" t="s">
        <v>421</v>
      </c>
      <c r="G523" t="s">
        <v>1168</v>
      </c>
      <c r="H523" t="s">
        <v>1169</v>
      </c>
      <c r="I523" t="s">
        <v>139</v>
      </c>
      <c r="J523" t="s">
        <v>287</v>
      </c>
      <c r="K523" s="22">
        <f t="shared" si="117"/>
        <v>7.214092738049376E-3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7.4155715935563154E-3</v>
      </c>
      <c r="R523" s="22">
        <f t="shared" si="118"/>
        <v>7.4643602602570466E-3</v>
      </c>
      <c r="S523" s="22">
        <f t="shared" si="118"/>
        <v>7.4461584032265975E-3</v>
      </c>
      <c r="T523" s="22">
        <f t="shared" si="118"/>
        <v>7.4583442385416504E-3</v>
      </c>
      <c r="U523" s="22">
        <f t="shared" si="118"/>
        <v>7.6095641103995637E-3</v>
      </c>
      <c r="V523" s="22">
        <f t="shared" si="118"/>
        <v>7.616396041581105E-3</v>
      </c>
      <c r="W523" s="22">
        <f t="shared" si="118"/>
        <v>7.6344836732780402E-3</v>
      </c>
      <c r="X523" s="22">
        <f t="shared" si="118"/>
        <v>7.6588952719713966E-3</v>
      </c>
      <c r="Y523" s="22">
        <f t="shared" si="118"/>
        <v>7.6812841131364881E-3</v>
      </c>
      <c r="Z523" s="22">
        <f t="shared" si="118"/>
        <v>7.7019461381660883E-3</v>
      </c>
      <c r="AA523" s="22">
        <f t="shared" si="118"/>
        <v>7.7208179709042681E-3</v>
      </c>
      <c r="AB523" s="22">
        <f t="shared" si="118"/>
        <v>7.7380934023290734E-3</v>
      </c>
      <c r="AC523" s="22">
        <f t="shared" si="118"/>
        <v>7.754051159190669E-3</v>
      </c>
      <c r="AD523" s="22">
        <f t="shared" si="118"/>
        <v>7.7687040986248812E-3</v>
      </c>
      <c r="AE523" s="22">
        <f t="shared" si="118"/>
        <v>7.7823052319108766E-3</v>
      </c>
      <c r="AF523" s="22">
        <f t="shared" si="118"/>
        <v>7.7949088981362474E-3</v>
      </c>
      <c r="AG523" s="22">
        <f t="shared" si="118"/>
        <v>7.8063612121467459E-3</v>
      </c>
      <c r="AH523" s="22">
        <f t="shared" si="118"/>
        <v>7.8167890041067195E-3</v>
      </c>
      <c r="AI523" s="22">
        <f t="shared" si="118"/>
        <v>7.8263838677397213E-3</v>
      </c>
      <c r="AJ523" s="22">
        <f t="shared" si="118"/>
        <v>7.5779321545979533E-3</v>
      </c>
      <c r="AK523" s="22">
        <f t="shared" si="118"/>
        <v>7.5875086550646472E-3</v>
      </c>
      <c r="AL523" s="22">
        <f t="shared" si="118"/>
        <v>7.5962279285727895E-3</v>
      </c>
      <c r="AM523" s="22">
        <f t="shared" si="118"/>
        <v>7.6041605420171859E-3</v>
      </c>
      <c r="AN523" s="22">
        <f t="shared" si="118"/>
        <v>7.6113882168756348E-3</v>
      </c>
      <c r="AO523" s="22">
        <f t="shared" si="118"/>
        <v>7.6177057736301935E-3</v>
      </c>
      <c r="AP523" s="22">
        <f t="shared" si="118"/>
        <v>7.6229804846382823E-3</v>
      </c>
      <c r="AQ523" s="22">
        <f t="shared" si="118"/>
        <v>7.6272026599535862E-3</v>
      </c>
      <c r="AR523" s="22">
        <f t="shared" si="118"/>
        <v>7.6302198564372984E-3</v>
      </c>
      <c r="AS523" s="22">
        <f t="shared" si="118"/>
        <v>7.6318659754992515E-3</v>
      </c>
      <c r="AT523" s="22">
        <f t="shared" si="118"/>
        <v>7.6321325230528187E-3</v>
      </c>
      <c r="AU523" s="22">
        <f t="shared" si="118"/>
        <v>7.631057996199485E-3</v>
      </c>
      <c r="AV523" s="22">
        <f t="shared" si="118"/>
        <v>7.6286724448087007E-3</v>
      </c>
      <c r="AW523" s="22">
        <f t="shared" si="118"/>
        <v>7.6248200266524988E-3</v>
      </c>
      <c r="AY523" s="79"/>
    </row>
    <row r="524" spans="1:51" x14ac:dyDescent="0.25">
      <c r="A524" s="95" t="str">
        <f t="shared" si="108"/>
        <v>PQ Organic</v>
      </c>
      <c r="B524" s="95" t="s">
        <v>968</v>
      </c>
      <c r="C524" s="95" t="s">
        <v>1127</v>
      </c>
      <c r="D524" t="s">
        <v>369</v>
      </c>
      <c r="E524" t="s">
        <v>55</v>
      </c>
      <c r="F524" t="s">
        <v>421</v>
      </c>
      <c r="G524" t="s">
        <v>1170</v>
      </c>
      <c r="H524" t="s">
        <v>1171</v>
      </c>
      <c r="I524" t="s">
        <v>139</v>
      </c>
      <c r="J524" t="s">
        <v>287</v>
      </c>
      <c r="K524" s="22">
        <f t="shared" si="117"/>
        <v>8.7045671471293537E-2</v>
      </c>
      <c r="L524" s="22">
        <f t="shared" si="118"/>
        <v>8.7271948200639354E-2</v>
      </c>
      <c r="M524" s="22">
        <f t="shared" si="118"/>
        <v>8.7584088952434122E-2</v>
      </c>
      <c r="N524" s="22">
        <f t="shared" si="118"/>
        <v>8.7964358824768801E-2</v>
      </c>
      <c r="O524" s="22">
        <f t="shared" si="118"/>
        <v>8.8412215452112072E-2</v>
      </c>
      <c r="P524" s="22">
        <f t="shared" si="118"/>
        <v>8.8924932944132923E-2</v>
      </c>
      <c r="Q524" s="22">
        <f t="shared" si="118"/>
        <v>8.9476727309038592E-2</v>
      </c>
      <c r="R524" s="22">
        <f t="shared" si="118"/>
        <v>9.0065414259340087E-2</v>
      </c>
      <c r="S524" s="22">
        <f t="shared" si="118"/>
        <v>8.9845789571278714E-2</v>
      </c>
      <c r="T524" s="22">
        <f t="shared" si="118"/>
        <v>8.9992824583989703E-2</v>
      </c>
      <c r="U524" s="22">
        <f t="shared" si="118"/>
        <v>9.1817452539803057E-2</v>
      </c>
      <c r="V524" s="22">
        <f t="shared" si="118"/>
        <v>9.1899887027234312E-2</v>
      </c>
      <c r="W524" s="22">
        <f t="shared" si="118"/>
        <v>9.211813346563695E-2</v>
      </c>
      <c r="X524" s="22">
        <f t="shared" si="118"/>
        <v>9.2412685265441663E-2</v>
      </c>
      <c r="Y524" s="22">
        <f t="shared" si="118"/>
        <v>9.2682830352765116E-2</v>
      </c>
      <c r="Z524" s="22">
        <f t="shared" si="118"/>
        <v>9.293213957403032E-2</v>
      </c>
      <c r="AA524" s="22">
        <f t="shared" si="118"/>
        <v>9.3159848228775613E-2</v>
      </c>
      <c r="AB524" s="22">
        <f t="shared" si="118"/>
        <v>9.3368294610452568E-2</v>
      </c>
      <c r="AC524" s="22">
        <f t="shared" si="118"/>
        <v>9.356084185258419E-2</v>
      </c>
      <c r="AD524" s="22">
        <f t="shared" si="118"/>
        <v>9.3737645090135047E-2</v>
      </c>
      <c r="AE524" s="22">
        <f t="shared" si="118"/>
        <v>9.390175717222761E-2</v>
      </c>
      <c r="AF524" s="22">
        <f t="shared" si="118"/>
        <v>9.40538337575203E-2</v>
      </c>
      <c r="AG524" s="22">
        <f t="shared" si="118"/>
        <v>9.4192018058601723E-2</v>
      </c>
      <c r="AH524" s="22">
        <f t="shared" si="118"/>
        <v>9.4317840415768184E-2</v>
      </c>
      <c r="AI524" s="22">
        <f t="shared" si="118"/>
        <v>9.4433612610268142E-2</v>
      </c>
      <c r="AJ524" s="22">
        <f t="shared" si="118"/>
        <v>9.1435779482264015E-2</v>
      </c>
      <c r="AK524" s="22">
        <f t="shared" si="118"/>
        <v>9.1551330105708581E-2</v>
      </c>
      <c r="AL524" s="22">
        <f t="shared" si="118"/>
        <v>9.1656537377754754E-2</v>
      </c>
      <c r="AM524" s="22">
        <f t="shared" si="118"/>
        <v>9.175225276274665E-2</v>
      </c>
      <c r="AN524" s="22">
        <f t="shared" si="118"/>
        <v>9.1839462316889414E-2</v>
      </c>
      <c r="AO524" s="22">
        <f t="shared" si="118"/>
        <v>9.1915690331932545E-2</v>
      </c>
      <c r="AP524" s="22">
        <f t="shared" si="118"/>
        <v>9.1979335308257068E-2</v>
      </c>
      <c r="AQ524" s="22">
        <f t="shared" si="118"/>
        <v>9.2030280326395222E-2</v>
      </c>
      <c r="AR524" s="22">
        <f t="shared" si="118"/>
        <v>9.2066685998379513E-2</v>
      </c>
      <c r="AS524" s="22">
        <f t="shared" si="118"/>
        <v>9.2086548168755195E-2</v>
      </c>
      <c r="AT524" s="22">
        <f t="shared" si="118"/>
        <v>9.2089764347368611E-2</v>
      </c>
      <c r="AU524" s="22">
        <f t="shared" si="118"/>
        <v>9.2076799042532853E-2</v>
      </c>
      <c r="AV524" s="22">
        <f t="shared" si="118"/>
        <v>9.2048014837757555E-2</v>
      </c>
      <c r="AW524" s="22">
        <f t="shared" si="118"/>
        <v>9.2001531331463521E-2</v>
      </c>
      <c r="AY524" s="79"/>
    </row>
    <row r="525" spans="1:51" x14ac:dyDescent="0.25">
      <c r="A525" s="95" t="str">
        <f t="shared" si="108"/>
        <v>PQ Organic</v>
      </c>
      <c r="B525" s="95" t="s">
        <v>968</v>
      </c>
      <c r="C525" s="95" t="s">
        <v>1127</v>
      </c>
      <c r="D525" t="s">
        <v>369</v>
      </c>
      <c r="E525" t="s">
        <v>55</v>
      </c>
      <c r="F525" t="s">
        <v>421</v>
      </c>
      <c r="G525" t="s">
        <v>1172</v>
      </c>
      <c r="H525" t="s">
        <v>1173</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25">
      <c r="A526" s="95" t="str">
        <f t="shared" si="108"/>
        <v>PQ Organic</v>
      </c>
      <c r="B526" s="95" t="s">
        <v>968</v>
      </c>
      <c r="C526" s="95" t="s">
        <v>1127</v>
      </c>
      <c r="D526" t="s">
        <v>369</v>
      </c>
      <c r="E526" t="s">
        <v>55</v>
      </c>
      <c r="F526" t="s">
        <v>421</v>
      </c>
      <c r="G526" t="s">
        <v>1174</v>
      </c>
      <c r="H526" t="s">
        <v>1175</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25">
      <c r="A527" s="95" t="str">
        <f t="shared" si="108"/>
        <v>PQ Organic</v>
      </c>
      <c r="B527" s="95" t="s">
        <v>968</v>
      </c>
      <c r="C527" s="95" t="s">
        <v>1127</v>
      </c>
      <c r="D527" t="s">
        <v>369</v>
      </c>
      <c r="E527" t="s">
        <v>55</v>
      </c>
      <c r="F527" t="s">
        <v>421</v>
      </c>
      <c r="G527" t="s">
        <v>1176</v>
      </c>
      <c r="H527" t="s">
        <v>1177</v>
      </c>
      <c r="I527" t="s">
        <v>139</v>
      </c>
      <c r="J527" t="s">
        <v>287</v>
      </c>
      <c r="K527" s="22">
        <f t="shared" si="117"/>
        <v>0.12462873299340151</v>
      </c>
      <c r="L527" s="22">
        <f t="shared" si="119"/>
        <v>0.12395129293471774</v>
      </c>
      <c r="M527" s="22">
        <f t="shared" si="119"/>
        <v>0.12400689511310994</v>
      </c>
      <c r="N527" s="22">
        <f t="shared" si="119"/>
        <v>0.12286841678965586</v>
      </c>
      <c r="O527" s="22">
        <f t="shared" si="119"/>
        <v>0.12100901910044999</v>
      </c>
      <c r="P527" s="22">
        <f t="shared" si="119"/>
        <v>0.11845842648899831</v>
      </c>
      <c r="Q527" s="22">
        <f t="shared" si="119"/>
        <v>0.11660641339960404</v>
      </c>
      <c r="R527" s="22">
        <f t="shared" si="119"/>
        <v>0.1149182786313902</v>
      </c>
      <c r="S527" s="22">
        <f t="shared" si="119"/>
        <v>0.10339476754661255</v>
      </c>
      <c r="T527" s="22">
        <f t="shared" si="119"/>
        <v>0.10708680746691927</v>
      </c>
      <c r="U527" s="22">
        <f t="shared" si="119"/>
        <v>0.34230494451620991</v>
      </c>
      <c r="V527" s="22">
        <f t="shared" si="119"/>
        <v>0.34324328716985369</v>
      </c>
      <c r="W527" s="22">
        <f t="shared" si="119"/>
        <v>0.3435898446352561</v>
      </c>
      <c r="X527" s="22">
        <f t="shared" si="119"/>
        <v>0.34336025373780221</v>
      </c>
      <c r="Y527" s="22">
        <f t="shared" si="119"/>
        <v>0.34258915131434525</v>
      </c>
      <c r="Z527" s="22">
        <f t="shared" si="119"/>
        <v>0.34126945430195527</v>
      </c>
      <c r="AA527" s="22">
        <f t="shared" si="119"/>
        <v>0.3393992662053118</v>
      </c>
      <c r="AB527" s="22">
        <f t="shared" si="119"/>
        <v>0.33697876239255126</v>
      </c>
      <c r="AC527" s="22">
        <f t="shared" si="119"/>
        <v>0.3340110473815755</v>
      </c>
      <c r="AD527" s="22">
        <f t="shared" si="119"/>
        <v>0.33050375948442778</v>
      </c>
      <c r="AE527" s="22">
        <f t="shared" si="119"/>
        <v>0.32646655874795893</v>
      </c>
      <c r="AF527" s="22">
        <f t="shared" si="119"/>
        <v>0.32191309563582443</v>
      </c>
      <c r="AG527" s="22">
        <f t="shared" si="119"/>
        <v>0.31686086246920969</v>
      </c>
      <c r="AH527" s="22">
        <f t="shared" si="119"/>
        <v>0.31132880694281095</v>
      </c>
      <c r="AI527" s="22">
        <f t="shared" si="119"/>
        <v>0.30533819170490117</v>
      </c>
      <c r="AJ527" s="22">
        <f t="shared" si="119"/>
        <v>-2.8452110243571058E-2</v>
      </c>
      <c r="AK527" s="22">
        <f t="shared" si="119"/>
        <v>-2.814409017595957E-2</v>
      </c>
      <c r="AL527" s="22">
        <f t="shared" si="119"/>
        <v>-2.7834978813803351E-2</v>
      </c>
      <c r="AM527" s="22">
        <f t="shared" si="119"/>
        <v>-2.7525096845033417E-2</v>
      </c>
      <c r="AN527" s="22">
        <f t="shared" si="119"/>
        <v>-2.7214798691689582E-2</v>
      </c>
      <c r="AO527" s="22">
        <f t="shared" si="119"/>
        <v>-2.6903261813323635E-2</v>
      </c>
      <c r="AP527" s="22">
        <f t="shared" si="119"/>
        <v>-2.659000059935173E-2</v>
      </c>
      <c r="AQ527" s="22">
        <f t="shared" si="119"/>
        <v>-2.6275045310908511E-2</v>
      </c>
      <c r="AR527" s="22">
        <f t="shared" si="119"/>
        <v>-2.5957874013715753E-2</v>
      </c>
      <c r="AS527" s="22">
        <f t="shared" si="119"/>
        <v>-2.5637945266726723E-2</v>
      </c>
      <c r="AT527" s="22">
        <f t="shared" si="119"/>
        <v>-2.5315349871404581E-2</v>
      </c>
      <c r="AU527" s="22">
        <f t="shared" si="119"/>
        <v>-2.4990356269877063E-2</v>
      </c>
      <c r="AV527" s="22">
        <f t="shared" si="119"/>
        <v>-2.4663194083915266E-2</v>
      </c>
      <c r="AW527" s="22">
        <f t="shared" si="119"/>
        <v>-2.433341037395171E-2</v>
      </c>
      <c r="AY527" s="79"/>
    </row>
    <row r="528" spans="1:51" x14ac:dyDescent="0.25">
      <c r="A528" s="95" t="str">
        <f t="shared" si="108"/>
        <v>PQ Organic</v>
      </c>
      <c r="B528" s="95" t="s">
        <v>968</v>
      </c>
      <c r="C528" s="95" t="s">
        <v>1127</v>
      </c>
      <c r="D528" t="s">
        <v>369</v>
      </c>
      <c r="E528" t="s">
        <v>55</v>
      </c>
      <c r="F528" t="s">
        <v>421</v>
      </c>
      <c r="G528" t="s">
        <v>1178</v>
      </c>
      <c r="H528" t="s">
        <v>1179</v>
      </c>
      <c r="I528" t="s">
        <v>139</v>
      </c>
      <c r="J528" t="s">
        <v>287</v>
      </c>
      <c r="K528" s="22">
        <f t="shared" si="117"/>
        <v>3.1618785484610064E-2</v>
      </c>
      <c r="L528" s="22">
        <f t="shared" si="119"/>
        <v>3.1446916354757493E-2</v>
      </c>
      <c r="M528" s="22">
        <f t="shared" si="119"/>
        <v>3.1461022839745618E-2</v>
      </c>
      <c r="N528" s="22">
        <f t="shared" si="119"/>
        <v>3.1172186541537576E-2</v>
      </c>
      <c r="O528" s="22">
        <f t="shared" si="119"/>
        <v>3.0700450247237825E-2</v>
      </c>
      <c r="P528" s="22">
        <f t="shared" si="119"/>
        <v>3.0053355161673637E-2</v>
      </c>
      <c r="Q528" s="22">
        <f t="shared" si="119"/>
        <v>2.9583492368545915E-2</v>
      </c>
      <c r="R528" s="22">
        <f t="shared" si="119"/>
        <v>2.9155206131309674E-2</v>
      </c>
      <c r="S528" s="22">
        <f t="shared" si="119"/>
        <v>2.6231647363859134E-2</v>
      </c>
      <c r="T528" s="22">
        <f t="shared" si="119"/>
        <v>2.716833199056537E-2</v>
      </c>
      <c r="U528" s="22">
        <f t="shared" si="119"/>
        <v>8.684407159585289E-2</v>
      </c>
      <c r="V528" s="22">
        <f t="shared" si="119"/>
        <v>8.7082132710364829E-2</v>
      </c>
      <c r="W528" s="22">
        <f t="shared" si="119"/>
        <v>8.7170055662748783E-2</v>
      </c>
      <c r="X528" s="22">
        <f t="shared" si="119"/>
        <v>8.7111807575317793E-2</v>
      </c>
      <c r="Y528" s="22">
        <f t="shared" si="119"/>
        <v>8.6916175945850438E-2</v>
      </c>
      <c r="Z528" s="22">
        <f t="shared" si="119"/>
        <v>8.6581363774233103E-2</v>
      </c>
      <c r="AA528" s="22">
        <f t="shared" si="119"/>
        <v>8.6106889912360693E-2</v>
      </c>
      <c r="AB528" s="22">
        <f t="shared" si="119"/>
        <v>8.5492798851799182E-2</v>
      </c>
      <c r="AC528" s="22">
        <f t="shared" si="119"/>
        <v>8.4739878220595588E-2</v>
      </c>
      <c r="AD528" s="22">
        <f t="shared" si="119"/>
        <v>8.3850065887683914E-2</v>
      </c>
      <c r="AE528" s="22">
        <f t="shared" si="119"/>
        <v>8.2825812643839453E-2</v>
      </c>
      <c r="AF528" s="22">
        <f t="shared" si="119"/>
        <v>8.1670581663819047E-2</v>
      </c>
      <c r="AG528" s="22">
        <f t="shared" si="119"/>
        <v>8.0388810816306083E-2</v>
      </c>
      <c r="AH528" s="22">
        <f t="shared" si="119"/>
        <v>7.8985307203801092E-2</v>
      </c>
      <c r="AI528" s="22">
        <f t="shared" si="119"/>
        <v>7.7465465241367507E-2</v>
      </c>
      <c r="AJ528" s="22">
        <f t="shared" si="119"/>
        <v>-7.2184090198813182E-3</v>
      </c>
      <c r="AK528" s="22">
        <f t="shared" si="119"/>
        <v>-7.1402631524810738E-3</v>
      </c>
      <c r="AL528" s="22">
        <f t="shared" si="119"/>
        <v>-7.0618404194874671E-3</v>
      </c>
      <c r="AM528" s="22">
        <f t="shared" si="119"/>
        <v>-6.9832221806532197E-3</v>
      </c>
      <c r="AN528" s="22">
        <f t="shared" si="119"/>
        <v>-6.9044983542032711E-3</v>
      </c>
      <c r="AO528" s="22">
        <f t="shared" si="119"/>
        <v>-6.8254602584848501E-3</v>
      </c>
      <c r="AP528" s="22">
        <f t="shared" si="119"/>
        <v>-6.7459846922384176E-3</v>
      </c>
      <c r="AQ528" s="22">
        <f t="shared" si="119"/>
        <v>-6.66607933282939E-3</v>
      </c>
      <c r="AR528" s="22">
        <f t="shared" si="119"/>
        <v>-6.5856117635382473E-3</v>
      </c>
      <c r="AS528" s="22">
        <f t="shared" si="119"/>
        <v>-6.5044446187038276E-3</v>
      </c>
      <c r="AT528" s="22">
        <f t="shared" si="119"/>
        <v>-6.4226009350040626E-3</v>
      </c>
      <c r="AU528" s="22">
        <f t="shared" si="119"/>
        <v>-6.3401488172318849E-3</v>
      </c>
      <c r="AV528" s="22">
        <f t="shared" si="119"/>
        <v>-6.2571465213074788E-3</v>
      </c>
      <c r="AW528" s="22">
        <f t="shared" si="119"/>
        <v>-6.1734791347329209E-3</v>
      </c>
      <c r="AY528" s="79"/>
    </row>
    <row r="529" spans="1:51" x14ac:dyDescent="0.25">
      <c r="A529" s="95" t="str">
        <f t="shared" si="108"/>
        <v>PQ Organic</v>
      </c>
      <c r="B529" s="95" t="s">
        <v>968</v>
      </c>
      <c r="C529" s="95" t="s">
        <v>1127</v>
      </c>
      <c r="D529" t="s">
        <v>369</v>
      </c>
      <c r="E529" t="s">
        <v>55</v>
      </c>
      <c r="F529" t="s">
        <v>421</v>
      </c>
      <c r="G529" t="s">
        <v>1180</v>
      </c>
      <c r="H529" t="s">
        <v>1181</v>
      </c>
      <c r="I529" t="s">
        <v>139</v>
      </c>
      <c r="J529" t="s">
        <v>287</v>
      </c>
      <c r="K529" s="22">
        <f t="shared" si="117"/>
        <v>0.15700744358616767</v>
      </c>
      <c r="L529" s="22">
        <f t="shared" si="119"/>
        <v>0.16019971617730661</v>
      </c>
      <c r="M529" s="22">
        <f t="shared" si="119"/>
        <v>0.16393118028621728</v>
      </c>
      <c r="N529" s="22">
        <f t="shared" si="119"/>
        <v>0.1667959170810015</v>
      </c>
      <c r="O529" s="22">
        <f t="shared" si="119"/>
        <v>0.16909558154641685</v>
      </c>
      <c r="P529" s="22">
        <f t="shared" si="119"/>
        <v>0.17081649742586288</v>
      </c>
      <c r="Q529" s="22">
        <f t="shared" si="119"/>
        <v>0.17302318661183388</v>
      </c>
      <c r="R529" s="22">
        <f t="shared" si="119"/>
        <v>0.17531753251219057</v>
      </c>
      <c r="S529" s="22">
        <f t="shared" si="119"/>
        <v>0.16840615861524894</v>
      </c>
      <c r="T529" s="22">
        <f t="shared" si="119"/>
        <v>0.17458356718938842</v>
      </c>
      <c r="U529" s="22">
        <f t="shared" si="119"/>
        <v>0.38800090489360167</v>
      </c>
      <c r="V529" s="22">
        <f t="shared" si="119"/>
        <v>0.39653088130091707</v>
      </c>
      <c r="W529" s="22">
        <f t="shared" si="119"/>
        <v>0.40471104789547857</v>
      </c>
      <c r="X529" s="22">
        <f t="shared" si="119"/>
        <v>0.41246916129593358</v>
      </c>
      <c r="Y529" s="22">
        <f t="shared" si="119"/>
        <v>0.41970725517029195</v>
      </c>
      <c r="Z529" s="22">
        <f t="shared" si="119"/>
        <v>0.42639369577393321</v>
      </c>
      <c r="AA529" s="22">
        <f t="shared" si="119"/>
        <v>0.43249628984221433</v>
      </c>
      <c r="AB529" s="22">
        <f t="shared" si="119"/>
        <v>0.4379872665206837</v>
      </c>
      <c r="AC529" s="22">
        <f t="shared" si="119"/>
        <v>0.44284225594622417</v>
      </c>
      <c r="AD529" s="22">
        <f t="shared" si="119"/>
        <v>0.44703777917847665</v>
      </c>
      <c r="AE529" s="22">
        <f t="shared" si="119"/>
        <v>0.4505554182669968</v>
      </c>
      <c r="AF529" s="22">
        <f t="shared" si="119"/>
        <v>0.45337855769901697</v>
      </c>
      <c r="AG529" s="22">
        <f t="shared" si="119"/>
        <v>0.45549241971080034</v>
      </c>
      <c r="AH529" s="22">
        <f t="shared" si="119"/>
        <v>0.45688810753700776</v>
      </c>
      <c r="AI529" s="22">
        <f t="shared" si="119"/>
        <v>0.45756101673458949</v>
      </c>
      <c r="AJ529" s="22">
        <f t="shared" si="119"/>
        <v>5.9649191888050651E-2</v>
      </c>
      <c r="AK529" s="22">
        <f t="shared" si="119"/>
        <v>6.0086977867764617E-2</v>
      </c>
      <c r="AL529" s="22">
        <f t="shared" si="119"/>
        <v>6.051391169747472E-2</v>
      </c>
      <c r="AM529" s="22">
        <f t="shared" si="119"/>
        <v>6.0930636526454876E-2</v>
      </c>
      <c r="AN529" s="22">
        <f t="shared" si="119"/>
        <v>6.1337893751701338E-2</v>
      </c>
      <c r="AO529" s="22">
        <f t="shared" si="119"/>
        <v>6.173401354876637E-2</v>
      </c>
      <c r="AP529" s="22">
        <f t="shared" si="119"/>
        <v>6.2117896275395594E-2</v>
      </c>
      <c r="AQ529" s="22">
        <f t="shared" si="119"/>
        <v>6.2489460947128449E-2</v>
      </c>
      <c r="AR529" s="22">
        <f t="shared" si="119"/>
        <v>6.2847397693153853E-2</v>
      </c>
      <c r="AS529" s="22">
        <f t="shared" si="119"/>
        <v>6.3190248292167767E-2</v>
      </c>
      <c r="AT529" s="22">
        <f t="shared" si="119"/>
        <v>6.3517885217877365E-2</v>
      </c>
      <c r="AU529" s="22">
        <f t="shared" si="119"/>
        <v>6.3830584812563373E-2</v>
      </c>
      <c r="AV529" s="22">
        <f t="shared" si="119"/>
        <v>6.4128553387287249E-2</v>
      </c>
      <c r="AW529" s="22">
        <f t="shared" si="119"/>
        <v>6.4410368967620674E-2</v>
      </c>
      <c r="AY529" s="79"/>
    </row>
    <row r="530" spans="1:51" x14ac:dyDescent="0.25">
      <c r="A530" s="95" t="str">
        <f t="shared" si="108"/>
        <v>PQ Organic</v>
      </c>
      <c r="B530" s="95" t="s">
        <v>968</v>
      </c>
      <c r="C530" s="95" t="s">
        <v>1127</v>
      </c>
      <c r="D530" t="s">
        <v>369</v>
      </c>
      <c r="E530" t="s">
        <v>55</v>
      </c>
      <c r="F530" t="s">
        <v>421</v>
      </c>
      <c r="G530" t="s">
        <v>1182</v>
      </c>
      <c r="H530" t="s">
        <v>1183</v>
      </c>
      <c r="I530" t="s">
        <v>139</v>
      </c>
      <c r="J530" t="s">
        <v>287</v>
      </c>
      <c r="K530" s="22">
        <f t="shared" si="117"/>
        <v>0.78620275218739066</v>
      </c>
      <c r="L530" s="22">
        <f t="shared" si="119"/>
        <v>0.79655563720176403</v>
      </c>
      <c r="M530" s="22">
        <f t="shared" si="119"/>
        <v>0.81318534024672162</v>
      </c>
      <c r="N530" s="22">
        <f t="shared" si="119"/>
        <v>0.81796021384654061</v>
      </c>
      <c r="O530" s="22">
        <f t="shared" si="119"/>
        <v>0.81503229757580642</v>
      </c>
      <c r="P530" s="22">
        <f t="shared" si="119"/>
        <v>0.80443274266431919</v>
      </c>
      <c r="Q530" s="22">
        <f t="shared" si="119"/>
        <v>0.7999705721751077</v>
      </c>
      <c r="R530" s="22">
        <f t="shared" si="119"/>
        <v>0.79652072541357855</v>
      </c>
      <c r="S530" s="22">
        <f t="shared" si="119"/>
        <v>0.69465569137892269</v>
      </c>
      <c r="T530" s="22">
        <f t="shared" si="119"/>
        <v>0.74722740283446698</v>
      </c>
      <c r="U530" s="22">
        <f t="shared" si="119"/>
        <v>3.2491319225574986</v>
      </c>
      <c r="V530" s="22">
        <f t="shared" si="119"/>
        <v>3.3073834646513305</v>
      </c>
      <c r="W530" s="22">
        <f t="shared" si="119"/>
        <v>3.3591336989468359</v>
      </c>
      <c r="X530" s="22">
        <f t="shared" si="119"/>
        <v>3.4046035940471189</v>
      </c>
      <c r="Y530" s="22">
        <f t="shared" si="119"/>
        <v>3.4444110933040832</v>
      </c>
      <c r="Z530" s="22">
        <f t="shared" si="119"/>
        <v>3.4782576037016457</v>
      </c>
      <c r="AA530" s="22">
        <f t="shared" si="119"/>
        <v>3.505913886515494</v>
      </c>
      <c r="AB530" s="22">
        <f t="shared" si="119"/>
        <v>3.5271546213039011</v>
      </c>
      <c r="AC530" s="22">
        <f t="shared" si="119"/>
        <v>3.5417788512464328</v>
      </c>
      <c r="AD530" s="22">
        <f t="shared" si="119"/>
        <v>3.549649544772171</v>
      </c>
      <c r="AE530" s="22">
        <f t="shared" si="119"/>
        <v>3.5506396563756342</v>
      </c>
      <c r="AF530" s="22">
        <f t="shared" si="119"/>
        <v>3.5446807301434013</v>
      </c>
      <c r="AG530" s="22">
        <f t="shared" si="119"/>
        <v>3.5317644478597843</v>
      </c>
      <c r="AH530" s="22">
        <f t="shared" si="119"/>
        <v>3.5118898029906984</v>
      </c>
      <c r="AI530" s="22">
        <f t="shared" si="119"/>
        <v>3.4850865665660411</v>
      </c>
      <c r="AJ530" s="22">
        <f t="shared" si="119"/>
        <v>-0.74420912451247578</v>
      </c>
      <c r="AK530" s="22">
        <f t="shared" si="119"/>
        <v>-0.74526229962435608</v>
      </c>
      <c r="AL530" s="22">
        <f t="shared" si="119"/>
        <v>-0.74621593178570578</v>
      </c>
      <c r="AM530" s="22">
        <f t="shared" si="119"/>
        <v>-0.74707813045846294</v>
      </c>
      <c r="AN530" s="22">
        <f t="shared" si="119"/>
        <v>-0.74785816697127483</v>
      </c>
      <c r="AO530" s="22">
        <f t="shared" si="119"/>
        <v>-0.74853427138595596</v>
      </c>
      <c r="AP530" s="22">
        <f t="shared" si="119"/>
        <v>-0.74909252303654383</v>
      </c>
      <c r="AQ530" s="22">
        <f t="shared" si="119"/>
        <v>-0.74953228992663867</v>
      </c>
      <c r="AR530" s="22">
        <f t="shared" si="119"/>
        <v>-0.74983752364841638</v>
      </c>
      <c r="AS530" s="22">
        <f t="shared" si="119"/>
        <v>-0.74999071959333552</v>
      </c>
      <c r="AT530" s="22">
        <f t="shared" si="119"/>
        <v>-0.74999137614758737</v>
      </c>
      <c r="AU530" s="22">
        <f t="shared" si="119"/>
        <v>-0.74984403824480428</v>
      </c>
      <c r="AV530" s="22">
        <f t="shared" si="119"/>
        <v>-0.749552317817198</v>
      </c>
      <c r="AW530" s="22">
        <f t="shared" si="119"/>
        <v>-0.74909980498727913</v>
      </c>
      <c r="AY530" s="79"/>
    </row>
    <row r="531" spans="1:51" x14ac:dyDescent="0.25">
      <c r="A531" s="95" t="str">
        <f t="shared" si="108"/>
        <v>PQ U&amp;D</v>
      </c>
      <c r="B531" s="95" t="s">
        <v>968</v>
      </c>
      <c r="C531" s="95" t="s">
        <v>1336</v>
      </c>
      <c r="D531" t="s">
        <v>369</v>
      </c>
      <c r="E531" t="s">
        <v>55</v>
      </c>
      <c r="F531" t="s">
        <v>422</v>
      </c>
      <c r="G531" t="s">
        <v>1152</v>
      </c>
      <c r="H531" t="s">
        <v>1240</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25">
      <c r="A532" s="95" t="str">
        <f t="shared" si="108"/>
        <v>PQ U&amp;D</v>
      </c>
      <c r="B532" s="95" t="s">
        <v>968</v>
      </c>
      <c r="C532" s="95" t="s">
        <v>1336</v>
      </c>
      <c r="D532" t="s">
        <v>369</v>
      </c>
      <c r="E532" t="s">
        <v>55</v>
      </c>
      <c r="F532" t="s">
        <v>422</v>
      </c>
      <c r="G532" t="s">
        <v>1154</v>
      </c>
      <c r="H532" t="s">
        <v>1241</v>
      </c>
      <c r="I532" t="s">
        <v>139</v>
      </c>
      <c r="J532" t="s">
        <v>287</v>
      </c>
      <c r="K532" s="22">
        <f t="shared" si="117"/>
        <v>1.0775797812462991</v>
      </c>
      <c r="L532" s="22">
        <f t="shared" si="119"/>
        <v>1.0836040032789309</v>
      </c>
      <c r="M532" s="22">
        <f t="shared" si="119"/>
        <v>1.0921513426512339</v>
      </c>
      <c r="N532" s="22">
        <f t="shared" si="119"/>
        <v>1.0976439186771809</v>
      </c>
      <c r="O532" s="22">
        <f t="shared" si="119"/>
        <v>1.1012937605673541</v>
      </c>
      <c r="P532" s="22">
        <f t="shared" si="119"/>
        <v>1.1030649457277466</v>
      </c>
      <c r="Q532" s="22">
        <f t="shared" si="119"/>
        <v>1.1069781529146336</v>
      </c>
      <c r="R532" s="22">
        <f t="shared" si="119"/>
        <v>1.1114672588381174</v>
      </c>
      <c r="S532" s="22">
        <f t="shared" si="119"/>
        <v>1.0798853549763567</v>
      </c>
      <c r="T532" s="22">
        <f t="shared" si="119"/>
        <v>1.098466311859537</v>
      </c>
      <c r="U532" s="22">
        <f t="shared" si="119"/>
        <v>1.889999136322517</v>
      </c>
      <c r="V532" s="22">
        <f t="shared" si="119"/>
        <v>1.9127821937491298</v>
      </c>
      <c r="W532" s="22">
        <f t="shared" si="119"/>
        <v>1.9345659305338647</v>
      </c>
      <c r="X532" s="22">
        <f t="shared" si="119"/>
        <v>1.9549798101221001</v>
      </c>
      <c r="Y532" s="22">
        <f t="shared" si="119"/>
        <v>1.9734786750778357</v>
      </c>
      <c r="Z532" s="22">
        <f t="shared" si="119"/>
        <v>1.9899761352853818</v>
      </c>
      <c r="AA532" s="22">
        <f t="shared" si="119"/>
        <v>2.0043760843310485</v>
      </c>
      <c r="AB532" s="22">
        <f t="shared" si="119"/>
        <v>2.0166057838413951</v>
      </c>
      <c r="AC532" s="22">
        <f t="shared" si="119"/>
        <v>2.0266075471247365</v>
      </c>
      <c r="AD532" s="22">
        <f t="shared" si="119"/>
        <v>2.0343207325041344</v>
      </c>
      <c r="AE532" s="22">
        <f t="shared" si="119"/>
        <v>2.0397090361762231</v>
      </c>
      <c r="AF532" s="22">
        <f t="shared" ref="L532:AW539" si="120">AF1483</f>
        <v>2.0427376347432897</v>
      </c>
      <c r="AG532" s="22">
        <f t="shared" si="120"/>
        <v>2.0433728844876047</v>
      </c>
      <c r="AH532" s="22">
        <f t="shared" si="120"/>
        <v>2.0416086414199954</v>
      </c>
      <c r="AI532" s="22">
        <f t="shared" si="120"/>
        <v>2.0374549495329468</v>
      </c>
      <c r="AJ532" s="22">
        <f t="shared" si="120"/>
        <v>0.64461551353755753</v>
      </c>
      <c r="AK532" s="22">
        <f t="shared" si="120"/>
        <v>0.64508607204460633</v>
      </c>
      <c r="AL532" s="22">
        <f t="shared" si="120"/>
        <v>0.64552275664376835</v>
      </c>
      <c r="AM532" s="22">
        <f t="shared" si="120"/>
        <v>0.64592852135594947</v>
      </c>
      <c r="AN532" s="22">
        <f t="shared" si="120"/>
        <v>0.64630700491581017</v>
      </c>
      <c r="AO532" s="22">
        <f t="shared" si="120"/>
        <v>0.64664632856302828</v>
      </c>
      <c r="AP532" s="22">
        <f t="shared" si="120"/>
        <v>0.64693851525277601</v>
      </c>
      <c r="AQ532" s="22">
        <f t="shared" si="120"/>
        <v>0.64718228577189862</v>
      </c>
      <c r="AR532" s="22">
        <f t="shared" si="120"/>
        <v>0.64736858903651606</v>
      </c>
      <c r="AS532" s="22">
        <f t="shared" si="120"/>
        <v>0.64748759839973102</v>
      </c>
      <c r="AT532" s="22">
        <f t="shared" si="120"/>
        <v>0.64753810013359636</v>
      </c>
      <c r="AU532" s="22">
        <f t="shared" si="120"/>
        <v>0.6475214899931051</v>
      </c>
      <c r="AV532" s="22">
        <f t="shared" si="120"/>
        <v>0.6474387413563446</v>
      </c>
      <c r="AW532" s="22">
        <f t="shared" si="120"/>
        <v>0.64728061173527773</v>
      </c>
      <c r="AY532" s="79"/>
    </row>
    <row r="533" spans="1:51" x14ac:dyDescent="0.25">
      <c r="A533" s="95" t="str">
        <f t="shared" si="108"/>
        <v>PQ U&amp;D</v>
      </c>
      <c r="B533" s="95" t="s">
        <v>968</v>
      </c>
      <c r="C533" s="95" t="s">
        <v>1336</v>
      </c>
      <c r="D533" t="s">
        <v>369</v>
      </c>
      <c r="E533" t="s">
        <v>55</v>
      </c>
      <c r="F533" t="s">
        <v>422</v>
      </c>
      <c r="G533" t="s">
        <v>1156</v>
      </c>
      <c r="H533" t="s">
        <v>1242</v>
      </c>
      <c r="I533" t="s">
        <v>139</v>
      </c>
      <c r="J533" t="s">
        <v>287</v>
      </c>
      <c r="K533" s="22">
        <f t="shared" si="117"/>
        <v>0.73383920392416069</v>
      </c>
      <c r="L533" s="22">
        <f t="shared" si="120"/>
        <v>0.73794174034663862</v>
      </c>
      <c r="M533" s="22">
        <f t="shared" si="120"/>
        <v>0.74376253694082328</v>
      </c>
      <c r="N533" s="22">
        <f t="shared" si="120"/>
        <v>0.74750301879518044</v>
      </c>
      <c r="O533" s="22">
        <f t="shared" si="120"/>
        <v>0.74998858609492669</v>
      </c>
      <c r="P533" s="22">
        <f t="shared" si="120"/>
        <v>0.75119477530775858</v>
      </c>
      <c r="Q533" s="22">
        <f t="shared" si="120"/>
        <v>0.7538596961765357</v>
      </c>
      <c r="R533" s="22">
        <f t="shared" si="120"/>
        <v>0.75691680802528449</v>
      </c>
      <c r="S533" s="22">
        <f t="shared" si="120"/>
        <v>0.73540931540926791</v>
      </c>
      <c r="T533" s="22">
        <f t="shared" si="120"/>
        <v>0.74806307417925111</v>
      </c>
      <c r="U533" s="22">
        <f t="shared" si="120"/>
        <v>1.2871023433755899</v>
      </c>
      <c r="V533" s="22">
        <f t="shared" si="120"/>
        <v>1.3026177613667917</v>
      </c>
      <c r="W533" s="22">
        <f t="shared" si="120"/>
        <v>1.3174526351634348</v>
      </c>
      <c r="X533" s="22">
        <f t="shared" si="120"/>
        <v>1.3313546268365786</v>
      </c>
      <c r="Y533" s="22">
        <f t="shared" si="120"/>
        <v>1.3439524804422922</v>
      </c>
      <c r="Z533" s="22">
        <f t="shared" si="120"/>
        <v>1.3551873637207013</v>
      </c>
      <c r="AA533" s="22">
        <f t="shared" si="120"/>
        <v>1.3649938275465159</v>
      </c>
      <c r="AB533" s="22">
        <f t="shared" si="120"/>
        <v>1.3733223365897391</v>
      </c>
      <c r="AC533" s="22">
        <f t="shared" si="120"/>
        <v>1.3801336058186369</v>
      </c>
      <c r="AD533" s="22">
        <f t="shared" si="120"/>
        <v>1.3853863378362978</v>
      </c>
      <c r="AE533" s="22">
        <f t="shared" si="120"/>
        <v>1.3890558095042369</v>
      </c>
      <c r="AF533" s="22">
        <f t="shared" si="120"/>
        <v>1.3911183058503465</v>
      </c>
      <c r="AG533" s="22">
        <f t="shared" si="120"/>
        <v>1.3915509152726599</v>
      </c>
      <c r="AH533" s="22">
        <f t="shared" si="120"/>
        <v>1.3903494536725116</v>
      </c>
      <c r="AI533" s="22">
        <f t="shared" si="120"/>
        <v>1.3875207610775073</v>
      </c>
      <c r="AJ533" s="22">
        <f t="shared" si="120"/>
        <v>0.43898757523499138</v>
      </c>
      <c r="AK533" s="22">
        <f t="shared" si="120"/>
        <v>0.43930802879789405</v>
      </c>
      <c r="AL533" s="22">
        <f t="shared" si="120"/>
        <v>0.43960541399775782</v>
      </c>
      <c r="AM533" s="22">
        <f t="shared" si="120"/>
        <v>0.43988174254303092</v>
      </c>
      <c r="AN533" s="22">
        <f t="shared" si="120"/>
        <v>0.44013949243691386</v>
      </c>
      <c r="AO533" s="22">
        <f t="shared" si="120"/>
        <v>0.44037057416235159</v>
      </c>
      <c r="AP533" s="22">
        <f t="shared" si="120"/>
        <v>0.44056955529723674</v>
      </c>
      <c r="AQ533" s="22">
        <f t="shared" si="120"/>
        <v>0.4407355646886586</v>
      </c>
      <c r="AR533" s="22">
        <f t="shared" si="120"/>
        <v>0.44086243848656637</v>
      </c>
      <c r="AS533" s="22">
        <f t="shared" si="120"/>
        <v>0.44094348467718814</v>
      </c>
      <c r="AT533" s="22">
        <f t="shared" si="120"/>
        <v>0.44097787670348765</v>
      </c>
      <c r="AU533" s="22">
        <f t="shared" si="120"/>
        <v>0.44096656508416521</v>
      </c>
      <c r="AV533" s="22">
        <f t="shared" si="120"/>
        <v>0.44091021269635783</v>
      </c>
      <c r="AW533" s="22">
        <f t="shared" si="120"/>
        <v>0.44080252534247472</v>
      </c>
      <c r="AY533" s="79"/>
    </row>
    <row r="534" spans="1:51" x14ac:dyDescent="0.25">
      <c r="A534" s="95" t="str">
        <f t="shared" si="108"/>
        <v>PQ U&amp;D</v>
      </c>
      <c r="B534" s="95" t="s">
        <v>968</v>
      </c>
      <c r="C534" s="95" t="s">
        <v>1336</v>
      </c>
      <c r="D534" t="s">
        <v>369</v>
      </c>
      <c r="E534" t="s">
        <v>55</v>
      </c>
      <c r="F534" t="s">
        <v>422</v>
      </c>
      <c r="G534" t="s">
        <v>1158</v>
      </c>
      <c r="H534" t="s">
        <v>1243</v>
      </c>
      <c r="I534" t="s">
        <v>139</v>
      </c>
      <c r="J534" t="s">
        <v>287</v>
      </c>
      <c r="K534" s="22">
        <f t="shared" si="117"/>
        <v>15.353527292296841</v>
      </c>
      <c r="L534" s="22">
        <f t="shared" si="120"/>
        <v>15.220371053361493</v>
      </c>
      <c r="M534" s="22">
        <f t="shared" si="120"/>
        <v>15.169682504177887</v>
      </c>
      <c r="N534" s="22">
        <f t="shared" si="120"/>
        <v>14.967111251021194</v>
      </c>
      <c r="O534" s="22">
        <f t="shared" si="120"/>
        <v>14.673074129931953</v>
      </c>
      <c r="P534" s="22">
        <f t="shared" si="120"/>
        <v>14.293651368256896</v>
      </c>
      <c r="Q534" s="22">
        <f t="shared" si="120"/>
        <v>13.994389539168758</v>
      </c>
      <c r="R534" s="22">
        <f t="shared" si="120"/>
        <v>13.711253827544137</v>
      </c>
      <c r="S534" s="22">
        <f t="shared" si="120"/>
        <v>12.262231428549004</v>
      </c>
      <c r="T534" s="22">
        <f t="shared" si="120"/>
        <v>12.73465794206464</v>
      </c>
      <c r="U534" s="22">
        <f t="shared" si="120"/>
        <v>40.135765944691244</v>
      </c>
      <c r="V534" s="22">
        <f t="shared" si="120"/>
        <v>40.329355964050443</v>
      </c>
      <c r="W534" s="22">
        <f t="shared" si="120"/>
        <v>40.453253097840147</v>
      </c>
      <c r="X534" s="22">
        <f t="shared" si="120"/>
        <v>40.507432110592688</v>
      </c>
      <c r="Y534" s="22">
        <f t="shared" si="120"/>
        <v>40.493040718668887</v>
      </c>
      <c r="Z534" s="22">
        <f t="shared" si="120"/>
        <v>40.409389107608789</v>
      </c>
      <c r="AA534" s="22">
        <f t="shared" si="120"/>
        <v>40.256272365845206</v>
      </c>
      <c r="AB534" s="22">
        <f t="shared" si="120"/>
        <v>40.033817183265413</v>
      </c>
      <c r="AC534" s="22">
        <f t="shared" si="120"/>
        <v>39.742523773077906</v>
      </c>
      <c r="AD534" s="22">
        <f t="shared" si="120"/>
        <v>39.052391122761925</v>
      </c>
      <c r="AE534" s="22">
        <f t="shared" si="120"/>
        <v>38.297252341964814</v>
      </c>
      <c r="AF534" s="22">
        <f t="shared" si="120"/>
        <v>37.480500419129982</v>
      </c>
      <c r="AG534" s="22">
        <f t="shared" si="120"/>
        <v>36.605913882693514</v>
      </c>
      <c r="AH534" s="22">
        <f t="shared" si="120"/>
        <v>35.67751529859683</v>
      </c>
      <c r="AI534" s="22">
        <f t="shared" si="120"/>
        <v>34.699588123562123</v>
      </c>
      <c r="AJ534" s="22">
        <f t="shared" si="120"/>
        <v>-2.6792659907667447</v>
      </c>
      <c r="AK534" s="22">
        <f t="shared" si="120"/>
        <v>-2.6147570082117628</v>
      </c>
      <c r="AL534" s="22">
        <f t="shared" si="120"/>
        <v>-2.5509192087001833</v>
      </c>
      <c r="AM534" s="22">
        <f t="shared" si="120"/>
        <v>-2.4877459989648312</v>
      </c>
      <c r="AN534" s="22">
        <f t="shared" si="120"/>
        <v>-2.4376070910582812</v>
      </c>
      <c r="AO534" s="22">
        <f t="shared" si="120"/>
        <v>-2.3879438055302513</v>
      </c>
      <c r="AP534" s="22">
        <f t="shared" si="120"/>
        <v>-2.3387192042216429</v>
      </c>
      <c r="AQ534" s="22">
        <f t="shared" si="120"/>
        <v>-2.2899210938883474</v>
      </c>
      <c r="AR534" s="22">
        <f t="shared" si="120"/>
        <v>-2.2415137982186422</v>
      </c>
      <c r="AS534" s="22">
        <f t="shared" si="120"/>
        <v>-2.1934623794160584</v>
      </c>
      <c r="AT534" s="22">
        <f t="shared" si="120"/>
        <v>-2.145761226265924</v>
      </c>
      <c r="AU534" s="22">
        <f t="shared" si="120"/>
        <v>-2.0984132858067897</v>
      </c>
      <c r="AV534" s="22">
        <f t="shared" si="120"/>
        <v>-2.0514203658912691</v>
      </c>
      <c r="AW534" s="22">
        <f t="shared" si="120"/>
        <v>-2.0047554755928445</v>
      </c>
      <c r="AY534" s="79"/>
    </row>
    <row r="535" spans="1:51" x14ac:dyDescent="0.25">
      <c r="A535" s="95" t="str">
        <f t="shared" si="108"/>
        <v>PQ U&amp;D</v>
      </c>
      <c r="B535" s="95" t="s">
        <v>968</v>
      </c>
      <c r="C535" s="95" t="s">
        <v>1336</v>
      </c>
      <c r="D535" t="s">
        <v>369</v>
      </c>
      <c r="E535" t="s">
        <v>55</v>
      </c>
      <c r="F535" t="s">
        <v>422</v>
      </c>
      <c r="G535" t="s">
        <v>1160</v>
      </c>
      <c r="H535" t="s">
        <v>1244</v>
      </c>
      <c r="I535" t="s">
        <v>139</v>
      </c>
      <c r="J535" t="s">
        <v>287</v>
      </c>
      <c r="K535" s="22">
        <f t="shared" si="117"/>
        <v>9.6543103644621429</v>
      </c>
      <c r="L535" s="22">
        <f t="shared" si="120"/>
        <v>9.5705816138517683</v>
      </c>
      <c r="M535" s="22">
        <f t="shared" si="120"/>
        <v>9.5387086131772989</v>
      </c>
      <c r="N535" s="22">
        <f t="shared" si="120"/>
        <v>9.4113316455488931</v>
      </c>
      <c r="O535" s="22">
        <f t="shared" si="120"/>
        <v>9.2264408662754782</v>
      </c>
      <c r="P535" s="22">
        <f t="shared" si="120"/>
        <v>8.987859527224467</v>
      </c>
      <c r="Q535" s="22">
        <f t="shared" si="120"/>
        <v>8.7996834473406569</v>
      </c>
      <c r="R535" s="22">
        <f t="shared" si="120"/>
        <v>8.6216474831450949</v>
      </c>
      <c r="S535" s="22">
        <f t="shared" si="120"/>
        <v>7.7105010280907447</v>
      </c>
      <c r="T535" s="22">
        <f t="shared" si="120"/>
        <v>8.0075632014304841</v>
      </c>
      <c r="U535" s="22">
        <f t="shared" si="120"/>
        <v>25.237402048965457</v>
      </c>
      <c r="V535" s="22">
        <f t="shared" si="120"/>
        <v>25.359131609526678</v>
      </c>
      <c r="W535" s="22">
        <f t="shared" si="120"/>
        <v>25.43703822734167</v>
      </c>
      <c r="X535" s="22">
        <f t="shared" si="120"/>
        <v>25.471106034328002</v>
      </c>
      <c r="Y535" s="22">
        <f t="shared" si="120"/>
        <v>25.462056715460484</v>
      </c>
      <c r="Z535" s="22">
        <f t="shared" si="120"/>
        <v>25.40945651484947</v>
      </c>
      <c r="AA535" s="22">
        <f t="shared" si="120"/>
        <v>25.313176583935984</v>
      </c>
      <c r="AB535" s="22">
        <f t="shared" si="120"/>
        <v>25.173296585423468</v>
      </c>
      <c r="AC535" s="22">
        <f t="shared" si="120"/>
        <v>24.9901310537815</v>
      </c>
      <c r="AD535" s="22">
        <f t="shared" si="120"/>
        <v>24.5561750857518</v>
      </c>
      <c r="AE535" s="22">
        <f t="shared" si="120"/>
        <v>24.081343210361542</v>
      </c>
      <c r="AF535" s="22">
        <f t="shared" si="120"/>
        <v>23.567768941484907</v>
      </c>
      <c r="AG535" s="22">
        <f t="shared" si="120"/>
        <v>23.017828220854938</v>
      </c>
      <c r="AH535" s="22">
        <f t="shared" si="120"/>
        <v>22.434050441185143</v>
      </c>
      <c r="AI535" s="22">
        <f t="shared" si="120"/>
        <v>21.819129043522761</v>
      </c>
      <c r="AJ535" s="22">
        <f t="shared" si="120"/>
        <v>-1.6847246193901004</v>
      </c>
      <c r="AK535" s="22">
        <f t="shared" si="120"/>
        <v>-1.644161319047128</v>
      </c>
      <c r="AL535" s="22">
        <f t="shared" si="120"/>
        <v>-1.6040200591440494</v>
      </c>
      <c r="AM535" s="22">
        <f t="shared" si="120"/>
        <v>-1.5642966938291387</v>
      </c>
      <c r="AN535" s="22">
        <f t="shared" si="120"/>
        <v>-1.5327693080337013</v>
      </c>
      <c r="AO535" s="22">
        <f t="shared" si="120"/>
        <v>-1.5015409939741007</v>
      </c>
      <c r="AP535" s="22">
        <f t="shared" si="120"/>
        <v>-1.4705885249060549</v>
      </c>
      <c r="AQ535" s="22">
        <f t="shared" si="120"/>
        <v>-1.4399042337078187</v>
      </c>
      <c r="AR535" s="22">
        <f t="shared" si="120"/>
        <v>-1.4094656870857605</v>
      </c>
      <c r="AS535" s="22">
        <f t="shared" si="120"/>
        <v>-1.3792509161252371</v>
      </c>
      <c r="AT535" s="22">
        <f t="shared" si="120"/>
        <v>-1.3492563924899292</v>
      </c>
      <c r="AU535" s="22">
        <f t="shared" si="120"/>
        <v>-1.3194839692800588</v>
      </c>
      <c r="AV535" s="22">
        <f t="shared" si="120"/>
        <v>-1.2899347832748098</v>
      </c>
      <c r="AW535" s="22">
        <f t="shared" si="120"/>
        <v>-1.2605918625577832</v>
      </c>
      <c r="AY535" s="79"/>
    </row>
    <row r="536" spans="1:51" x14ac:dyDescent="0.25">
      <c r="A536" s="95" t="str">
        <f t="shared" si="108"/>
        <v>PQ U&amp;D</v>
      </c>
      <c r="B536" s="95" t="s">
        <v>968</v>
      </c>
      <c r="C536" s="95" t="s">
        <v>1336</v>
      </c>
      <c r="D536" t="s">
        <v>369</v>
      </c>
      <c r="E536" t="s">
        <v>55</v>
      </c>
      <c r="F536" t="s">
        <v>422</v>
      </c>
      <c r="G536" t="s">
        <v>1162</v>
      </c>
      <c r="H536" t="s">
        <v>1245</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25">
      <c r="A537" s="95" t="str">
        <f t="shared" si="108"/>
        <v>PQ U&amp;D</v>
      </c>
      <c r="B537" s="95" t="s">
        <v>968</v>
      </c>
      <c r="C537" s="95" t="s">
        <v>1336</v>
      </c>
      <c r="D537" t="s">
        <v>369</v>
      </c>
      <c r="E537" t="s">
        <v>55</v>
      </c>
      <c r="F537" t="s">
        <v>422</v>
      </c>
      <c r="G537" t="s">
        <v>1164</v>
      </c>
      <c r="H537" t="s">
        <v>1246</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5.8850501739310754</v>
      </c>
      <c r="T537" s="22">
        <f t="shared" si="120"/>
        <v>5.8889669247946657</v>
      </c>
      <c r="U537" s="22">
        <f t="shared" si="120"/>
        <v>5.9656712357324011</v>
      </c>
      <c r="V537" s="22">
        <f t="shared" si="120"/>
        <v>5.9675423775316272</v>
      </c>
      <c r="W537" s="22">
        <f t="shared" si="120"/>
        <v>5.9755461389464104</v>
      </c>
      <c r="X537" s="22">
        <f t="shared" si="120"/>
        <v>5.9871157703379936</v>
      </c>
      <c r="Y537" s="22">
        <f t="shared" si="120"/>
        <v>5.9978635614207825</v>
      </c>
      <c r="Z537" s="22">
        <f t="shared" si="120"/>
        <v>6.0079225842908377</v>
      </c>
      <c r="AA537" s="22">
        <f t="shared" si="120"/>
        <v>6.0172391996362506</v>
      </c>
      <c r="AB537" s="22">
        <f t="shared" si="120"/>
        <v>6.0258973509268747</v>
      </c>
      <c r="AC537" s="22">
        <f t="shared" si="120"/>
        <v>6.0340283734996341</v>
      </c>
      <c r="AD537" s="22">
        <f t="shared" si="120"/>
        <v>6.0416246060545662</v>
      </c>
      <c r="AE537" s="22">
        <f t="shared" si="120"/>
        <v>6.0488075465649391</v>
      </c>
      <c r="AF537" s="22">
        <f t="shared" si="120"/>
        <v>6.0555945824734003</v>
      </c>
      <c r="AG537" s="22">
        <f t="shared" si="120"/>
        <v>6.0618926896286194</v>
      </c>
      <c r="AH537" s="22">
        <f t="shared" si="120"/>
        <v>6.0677594816606231</v>
      </c>
      <c r="AI537" s="22">
        <f t="shared" si="120"/>
        <v>6.0732885536184407</v>
      </c>
      <c r="AJ537" s="22">
        <f t="shared" si="120"/>
        <v>5.9400031784362666</v>
      </c>
      <c r="AK537" s="22">
        <f t="shared" si="120"/>
        <v>5.9454655494945321</v>
      </c>
      <c r="AL537" s="22">
        <f t="shared" si="120"/>
        <v>5.9505605357080302</v>
      </c>
      <c r="AM537" s="22">
        <f t="shared" si="120"/>
        <v>5.9553192750142969</v>
      </c>
      <c r="AN537" s="22">
        <f t="shared" si="120"/>
        <v>5.9597796192711163</v>
      </c>
      <c r="AO537" s="22">
        <f t="shared" si="120"/>
        <v>5.9638242432933737</v>
      </c>
      <c r="AP537" s="22">
        <f t="shared" si="120"/>
        <v>5.9673747960452372</v>
      </c>
      <c r="AQ537" s="22">
        <f t="shared" si="120"/>
        <v>5.9704198015060506</v>
      </c>
      <c r="AR537" s="22">
        <f t="shared" si="120"/>
        <v>5.9728700974873359</v>
      </c>
      <c r="AS537" s="22">
        <f t="shared" si="120"/>
        <v>5.9746287671291771</v>
      </c>
      <c r="AT537" s="22">
        <f t="shared" si="120"/>
        <v>5.9756848810921417</v>
      </c>
      <c r="AU537" s="22">
        <f t="shared" si="120"/>
        <v>5.9760535038151961</v>
      </c>
      <c r="AV537" s="22">
        <f t="shared" si="120"/>
        <v>5.9757454176187608</v>
      </c>
      <c r="AW537" s="22">
        <f t="shared" si="120"/>
        <v>5.9746694018004627</v>
      </c>
      <c r="AY537" s="79"/>
    </row>
    <row r="538" spans="1:51" x14ac:dyDescent="0.25">
      <c r="A538" s="95" t="str">
        <f t="shared" si="108"/>
        <v>PQ U&amp;D</v>
      </c>
      <c r="B538" s="95" t="s">
        <v>968</v>
      </c>
      <c r="C538" s="95" t="s">
        <v>1336</v>
      </c>
      <c r="D538" t="s">
        <v>369</v>
      </c>
      <c r="E538" t="s">
        <v>55</v>
      </c>
      <c r="F538" t="s">
        <v>422</v>
      </c>
      <c r="G538" t="s">
        <v>1166</v>
      </c>
      <c r="H538" t="s">
        <v>1247</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0.65694536678362214</v>
      </c>
      <c r="T538" s="22">
        <f t="shared" si="120"/>
        <v>0.65738259182956638</v>
      </c>
      <c r="U538" s="22">
        <f t="shared" si="120"/>
        <v>0.66594505777184321</v>
      </c>
      <c r="V538" s="22">
        <f t="shared" si="120"/>
        <v>0.66615393244568089</v>
      </c>
      <c r="W538" s="22">
        <f t="shared" si="120"/>
        <v>0.66704738854594903</v>
      </c>
      <c r="X538" s="22">
        <f t="shared" si="120"/>
        <v>0.66833890102476579</v>
      </c>
      <c r="Y538" s="22">
        <f t="shared" si="120"/>
        <v>0.66953867185871263</v>
      </c>
      <c r="Z538" s="22">
        <f t="shared" si="120"/>
        <v>0.67066155582291842</v>
      </c>
      <c r="AA538" s="22">
        <f t="shared" si="120"/>
        <v>0.67170156518637059</v>
      </c>
      <c r="AB538" s="22">
        <f t="shared" si="120"/>
        <v>0.67266807051889643</v>
      </c>
      <c r="AC538" s="22">
        <f t="shared" si="120"/>
        <v>0.67357573272202431</v>
      </c>
      <c r="AD538" s="22">
        <f t="shared" si="120"/>
        <v>0.67442369656846346</v>
      </c>
      <c r="AE538" s="22">
        <f t="shared" si="120"/>
        <v>0.67522552481949083</v>
      </c>
      <c r="AF538" s="22">
        <f t="shared" si="120"/>
        <v>0.67598315842710355</v>
      </c>
      <c r="AG538" s="22">
        <f t="shared" si="120"/>
        <v>0.676686213149297</v>
      </c>
      <c r="AH538" s="22">
        <f t="shared" si="120"/>
        <v>0.67734112036833483</v>
      </c>
      <c r="AI538" s="22">
        <f t="shared" si="120"/>
        <v>0.67795832805526179</v>
      </c>
      <c r="AJ538" s="22">
        <f t="shared" si="120"/>
        <v>0.66307974467906339</v>
      </c>
      <c r="AK538" s="22">
        <f t="shared" si="120"/>
        <v>0.66368950657612846</v>
      </c>
      <c r="AL538" s="22">
        <f t="shared" si="120"/>
        <v>0.6642582574767768</v>
      </c>
      <c r="AM538" s="22">
        <f t="shared" si="120"/>
        <v>0.66478947329424454</v>
      </c>
      <c r="AN538" s="22">
        <f t="shared" si="120"/>
        <v>0.66528737941350879</v>
      </c>
      <c r="AO538" s="22">
        <f t="shared" si="120"/>
        <v>0.66573887887965999</v>
      </c>
      <c r="AP538" s="22">
        <f t="shared" si="120"/>
        <v>0.66613522540363546</v>
      </c>
      <c r="AQ538" s="22">
        <f t="shared" si="120"/>
        <v>0.66647513792267787</v>
      </c>
      <c r="AR538" s="22">
        <f t="shared" si="120"/>
        <v>0.66674866330386928</v>
      </c>
      <c r="AS538" s="22">
        <f t="shared" si="120"/>
        <v>0.6669449827639865</v>
      </c>
      <c r="AT538" s="22">
        <f t="shared" si="120"/>
        <v>0.66706287626604011</v>
      </c>
      <c r="AU538" s="22">
        <f t="shared" si="120"/>
        <v>0.6671040254462246</v>
      </c>
      <c r="AV538" s="22">
        <f t="shared" si="120"/>
        <v>0.66706963392986762</v>
      </c>
      <c r="AW538" s="22">
        <f t="shared" si="120"/>
        <v>0.66694951879311848</v>
      </c>
      <c r="AY538" s="79"/>
    </row>
    <row r="539" spans="1:51" x14ac:dyDescent="0.25">
      <c r="A539" s="95" t="str">
        <f t="shared" si="108"/>
        <v>PQ U&amp;D</v>
      </c>
      <c r="B539" s="95" t="s">
        <v>968</v>
      </c>
      <c r="C539" s="95" t="s">
        <v>1336</v>
      </c>
      <c r="D539" t="s">
        <v>369</v>
      </c>
      <c r="E539" t="s">
        <v>55</v>
      </c>
      <c r="F539" t="s">
        <v>422</v>
      </c>
      <c r="G539" t="s">
        <v>1168</v>
      </c>
      <c r="H539" t="s">
        <v>1248</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0.73708994755228441</v>
      </c>
      <c r="R539" s="22">
        <f t="shared" si="120"/>
        <v>0.74193942345928476</v>
      </c>
      <c r="S539" s="22">
        <f t="shared" si="120"/>
        <v>0.74013020273035457</v>
      </c>
      <c r="T539" s="22">
        <f t="shared" si="120"/>
        <v>0.74134144539721225</v>
      </c>
      <c r="U539" s="22">
        <f t="shared" ref="L539:AW545" si="121">U1490</f>
        <v>0.75637233627465528</v>
      </c>
      <c r="V539" s="22">
        <f t="shared" si="121"/>
        <v>0.75705141377161567</v>
      </c>
      <c r="W539" s="22">
        <f t="shared" si="121"/>
        <v>0.7588492807776368</v>
      </c>
      <c r="X539" s="22">
        <f t="shared" si="121"/>
        <v>0.76127573486462674</v>
      </c>
      <c r="Y539" s="22">
        <f t="shared" si="121"/>
        <v>0.76350113172742184</v>
      </c>
      <c r="Z539" s="22">
        <f t="shared" si="121"/>
        <v>0.76555488722735199</v>
      </c>
      <c r="AA539" s="22">
        <f t="shared" si="121"/>
        <v>0.76743070192723151</v>
      </c>
      <c r="AB539" s="22">
        <f t="shared" si="121"/>
        <v>0.76914783818331145</v>
      </c>
      <c r="AC539" s="22">
        <f t="shared" si="121"/>
        <v>0.77073400076292786</v>
      </c>
      <c r="AD539" s="22">
        <f t="shared" si="121"/>
        <v>0.77219046763440091</v>
      </c>
      <c r="AE539" s="22">
        <f t="shared" si="121"/>
        <v>0.77354238750921345</v>
      </c>
      <c r="AF539" s="22">
        <f t="shared" si="121"/>
        <v>0.77479516156173556</v>
      </c>
      <c r="AG539" s="22">
        <f t="shared" si="121"/>
        <v>0.77593349397844169</v>
      </c>
      <c r="AH539" s="22">
        <f t="shared" si="121"/>
        <v>0.77696999137205336</v>
      </c>
      <c r="AI539" s="22">
        <f t="shared" si="121"/>
        <v>0.77792369769702041</v>
      </c>
      <c r="AJ539" s="22">
        <f t="shared" si="121"/>
        <v>0.75322819608955549</v>
      </c>
      <c r="AK539" s="22">
        <f t="shared" si="121"/>
        <v>0.7541800771600401</v>
      </c>
      <c r="AL539" s="22">
        <f t="shared" si="121"/>
        <v>0.75504675193645199</v>
      </c>
      <c r="AM539" s="22">
        <f t="shared" si="121"/>
        <v>0.75583523459809387</v>
      </c>
      <c r="AN539" s="22">
        <f t="shared" si="121"/>
        <v>0.75655364806293945</v>
      </c>
      <c r="AO539" s="22">
        <f t="shared" si="121"/>
        <v>0.75718159798131446</v>
      </c>
      <c r="AP539" s="22">
        <f t="shared" si="121"/>
        <v>0.75770589154537149</v>
      </c>
      <c r="AQ539" s="22">
        <f t="shared" si="121"/>
        <v>0.75812556559779631</v>
      </c>
      <c r="AR539" s="22">
        <f t="shared" si="121"/>
        <v>0.75842546765792429</v>
      </c>
      <c r="AS539" s="22">
        <f t="shared" si="121"/>
        <v>0.75858908792613033</v>
      </c>
      <c r="AT539" s="22">
        <f t="shared" si="121"/>
        <v>0.7586155821106717</v>
      </c>
      <c r="AU539" s="22">
        <f t="shared" si="121"/>
        <v>0.75850877673067174</v>
      </c>
      <c r="AV539" s="22">
        <f t="shared" si="121"/>
        <v>0.75827165867074431</v>
      </c>
      <c r="AW539" s="22">
        <f t="shared" si="121"/>
        <v>0.75788873758895325</v>
      </c>
      <c r="AY539" s="79"/>
    </row>
    <row r="540" spans="1:51" x14ac:dyDescent="0.25">
      <c r="A540" s="95" t="str">
        <f t="shared" si="108"/>
        <v>PQ U&amp;D</v>
      </c>
      <c r="B540" s="95" t="s">
        <v>968</v>
      </c>
      <c r="C540" s="95" t="s">
        <v>1336</v>
      </c>
      <c r="D540" t="s">
        <v>369</v>
      </c>
      <c r="E540" t="s">
        <v>55</v>
      </c>
      <c r="F540" t="s">
        <v>422</v>
      </c>
      <c r="G540" t="s">
        <v>1170</v>
      </c>
      <c r="H540" t="s">
        <v>1249</v>
      </c>
      <c r="I540" t="s">
        <v>139</v>
      </c>
      <c r="J540" t="s">
        <v>287</v>
      </c>
      <c r="K540" s="22">
        <f t="shared" si="117"/>
        <v>1.1867254191644503</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1.2198688909683484</v>
      </c>
      <c r="R540" s="22">
        <f t="shared" si="121"/>
        <v>1.2278946750888551</v>
      </c>
      <c r="S540" s="22">
        <f t="shared" si="121"/>
        <v>1.2249004515324955</v>
      </c>
      <c r="T540" s="22">
        <f t="shared" si="121"/>
        <v>1.2269050335426288</v>
      </c>
      <c r="U540" s="22">
        <f t="shared" si="121"/>
        <v>1.2517808526279679</v>
      </c>
      <c r="V540" s="22">
        <f t="shared" si="121"/>
        <v>1.2529047120915915</v>
      </c>
      <c r="W540" s="22">
        <f t="shared" si="121"/>
        <v>1.2558801454671604</v>
      </c>
      <c r="X540" s="22">
        <f t="shared" si="121"/>
        <v>1.2598958776934803</v>
      </c>
      <c r="Y540" s="22">
        <f t="shared" si="121"/>
        <v>1.2635788642977572</v>
      </c>
      <c r="Z540" s="22">
        <f t="shared" si="121"/>
        <v>1.2669777879329793</v>
      </c>
      <c r="AA540" s="22">
        <f t="shared" si="121"/>
        <v>1.270082223158562</v>
      </c>
      <c r="AB540" s="22">
        <f t="shared" si="121"/>
        <v>1.2729240487828319</v>
      </c>
      <c r="AC540" s="22">
        <f t="shared" si="121"/>
        <v>1.2755491156329737</v>
      </c>
      <c r="AD540" s="22">
        <f t="shared" si="121"/>
        <v>1.2779595387205978</v>
      </c>
      <c r="AE540" s="22">
        <f t="shared" si="121"/>
        <v>1.2801969386523735</v>
      </c>
      <c r="AF540" s="22">
        <f t="shared" si="121"/>
        <v>1.2822702542621691</v>
      </c>
      <c r="AG540" s="22">
        <f t="shared" si="121"/>
        <v>1.2841541712892999</v>
      </c>
      <c r="AH540" s="22">
        <f t="shared" si="121"/>
        <v>1.2858695534217459</v>
      </c>
      <c r="AI540" s="22">
        <f t="shared" si="121"/>
        <v>1.2874479180172889</v>
      </c>
      <c r="AJ540" s="22">
        <f t="shared" si="121"/>
        <v>1.2465773644873634</v>
      </c>
      <c r="AK540" s="22">
        <f t="shared" si="121"/>
        <v>1.2481527083238142</v>
      </c>
      <c r="AL540" s="22">
        <f t="shared" si="121"/>
        <v>1.249587037474337</v>
      </c>
      <c r="AM540" s="22">
        <f t="shared" si="121"/>
        <v>1.2508919602632027</v>
      </c>
      <c r="AN540" s="22">
        <f t="shared" si="121"/>
        <v>1.2520809199546599</v>
      </c>
      <c r="AO540" s="22">
        <f t="shared" si="121"/>
        <v>1.25312016431426</v>
      </c>
      <c r="AP540" s="22">
        <f t="shared" si="121"/>
        <v>1.2539878595129963</v>
      </c>
      <c r="AQ540" s="22">
        <f t="shared" si="121"/>
        <v>1.2546824115450788</v>
      </c>
      <c r="AR540" s="22">
        <f t="shared" si="121"/>
        <v>1.255178743362793</v>
      </c>
      <c r="AS540" s="22">
        <f t="shared" si="121"/>
        <v>1.2554495315831169</v>
      </c>
      <c r="AT540" s="22">
        <f t="shared" si="121"/>
        <v>1.2554933789203664</v>
      </c>
      <c r="AU540" s="22">
        <f t="shared" si="121"/>
        <v>1.2553166181859641</v>
      </c>
      <c r="AV540" s="22">
        <f t="shared" si="121"/>
        <v>1.2549241926132744</v>
      </c>
      <c r="AW540" s="22">
        <f t="shared" si="121"/>
        <v>1.2542904660010414</v>
      </c>
      <c r="AY540" s="79"/>
    </row>
    <row r="541" spans="1:51" x14ac:dyDescent="0.25">
      <c r="A541" s="95" t="str">
        <f t="shared" si="108"/>
        <v>PQ U&amp;D</v>
      </c>
      <c r="B541" s="95" t="s">
        <v>968</v>
      </c>
      <c r="C541" s="95" t="s">
        <v>1336</v>
      </c>
      <c r="D541" t="s">
        <v>369</v>
      </c>
      <c r="E541" t="s">
        <v>55</v>
      </c>
      <c r="F541" t="s">
        <v>422</v>
      </c>
      <c r="G541" t="s">
        <v>1172</v>
      </c>
      <c r="H541" t="s">
        <v>1250</v>
      </c>
      <c r="I541" t="s">
        <v>139</v>
      </c>
      <c r="J541" t="s">
        <v>287</v>
      </c>
      <c r="K541" s="22">
        <f t="shared" si="117"/>
        <v>0.19147730421375916</v>
      </c>
      <c r="L541" s="22">
        <f t="shared" si="121"/>
        <v>0.19240499933397137</v>
      </c>
      <c r="M541" s="22">
        <f t="shared" si="121"/>
        <v>0.19381280191845887</v>
      </c>
      <c r="N541" s="22">
        <f t="shared" si="121"/>
        <v>0.19411375969056666</v>
      </c>
      <c r="O541" s="22">
        <f t="shared" si="121"/>
        <v>0.19368291106027899</v>
      </c>
      <c r="P541" s="22">
        <f t="shared" si="121"/>
        <v>0.19253602379697465</v>
      </c>
      <c r="Q541" s="22">
        <f t="shared" si="121"/>
        <v>0.19190012409058904</v>
      </c>
      <c r="R541" s="22">
        <f t="shared" si="121"/>
        <v>0.19132863754616411</v>
      </c>
      <c r="S541" s="22">
        <f t="shared" si="121"/>
        <v>0.18281131471006393</v>
      </c>
      <c r="T541" s="22">
        <f t="shared" si="121"/>
        <v>0.18736784640695911</v>
      </c>
      <c r="U541" s="22">
        <f t="shared" si="121"/>
        <v>0.40219801863685228</v>
      </c>
      <c r="V541" s="22">
        <f t="shared" si="121"/>
        <v>0.40734903420411533</v>
      </c>
      <c r="W541" s="22">
        <f t="shared" si="121"/>
        <v>0.41149752828946928</v>
      </c>
      <c r="X541" s="22">
        <f t="shared" si="121"/>
        <v>0.41483621581205343</v>
      </c>
      <c r="Y541" s="22">
        <f t="shared" si="121"/>
        <v>0.41773635782756013</v>
      </c>
      <c r="Z541" s="22">
        <f t="shared" si="121"/>
        <v>0.42016501076041057</v>
      </c>
      <c r="AA541" s="22">
        <f t="shared" si="121"/>
        <v>0.42210855342477654</v>
      </c>
      <c r="AB541" s="22">
        <f t="shared" si="121"/>
        <v>0.42354330417098807</v>
      </c>
      <c r="AC541" s="22">
        <f t="shared" si="121"/>
        <v>0.42444389710723196</v>
      </c>
      <c r="AD541" s="22">
        <f t="shared" si="121"/>
        <v>0.42480049297226147</v>
      </c>
      <c r="AE541" s="22">
        <f t="shared" si="121"/>
        <v>0.42459446865621531</v>
      </c>
      <c r="AF541" s="22">
        <f t="shared" si="121"/>
        <v>0.42381980556219867</v>
      </c>
      <c r="AG541" s="22">
        <f t="shared" si="121"/>
        <v>0.42248350599041806</v>
      </c>
      <c r="AH541" s="22">
        <f t="shared" si="121"/>
        <v>0.42058207160696442</v>
      </c>
      <c r="AI541" s="22">
        <f t="shared" si="121"/>
        <v>0.41811210592034348</v>
      </c>
      <c r="AJ541" s="22">
        <f t="shared" si="121"/>
        <v>6.1557811520144383E-2</v>
      </c>
      <c r="AK541" s="22">
        <f t="shared" si="121"/>
        <v>6.1557811520144383E-2</v>
      </c>
      <c r="AL541" s="22">
        <f t="shared" si="121"/>
        <v>6.1557811520144383E-2</v>
      </c>
      <c r="AM541" s="22">
        <f t="shared" si="121"/>
        <v>6.1557811520144383E-2</v>
      </c>
      <c r="AN541" s="22">
        <f t="shared" si="121"/>
        <v>6.1557811520144383E-2</v>
      </c>
      <c r="AO541" s="22">
        <f t="shared" si="121"/>
        <v>6.1557811520144383E-2</v>
      </c>
      <c r="AP541" s="22">
        <f t="shared" si="121"/>
        <v>6.1557811520144383E-2</v>
      </c>
      <c r="AQ541" s="22">
        <f t="shared" si="121"/>
        <v>6.1557811520144383E-2</v>
      </c>
      <c r="AR541" s="22">
        <f t="shared" si="121"/>
        <v>6.1557811520144383E-2</v>
      </c>
      <c r="AS541" s="22">
        <f t="shared" si="121"/>
        <v>6.1557811520144383E-2</v>
      </c>
      <c r="AT541" s="22">
        <f t="shared" si="121"/>
        <v>6.1557811520144383E-2</v>
      </c>
      <c r="AU541" s="22">
        <f t="shared" si="121"/>
        <v>6.1557811520144383E-2</v>
      </c>
      <c r="AV541" s="22">
        <f t="shared" si="121"/>
        <v>6.1557811520144383E-2</v>
      </c>
      <c r="AW541" s="22">
        <f t="shared" si="121"/>
        <v>6.1557811520144383E-2</v>
      </c>
      <c r="AY541" s="79"/>
    </row>
    <row r="542" spans="1:51" x14ac:dyDescent="0.25">
      <c r="A542" s="95" t="str">
        <f t="shared" si="108"/>
        <v>PQ U&amp;D</v>
      </c>
      <c r="B542" s="95" t="s">
        <v>968</v>
      </c>
      <c r="C542" s="95" t="s">
        <v>1336</v>
      </c>
      <c r="D542" t="s">
        <v>369</v>
      </c>
      <c r="E542" t="s">
        <v>55</v>
      </c>
      <c r="F542" t="s">
        <v>422</v>
      </c>
      <c r="G542" t="s">
        <v>1174</v>
      </c>
      <c r="H542" t="s">
        <v>1251</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25">
      <c r="A543" s="95" t="str">
        <f t="shared" si="108"/>
        <v>PQ U&amp;D</v>
      </c>
      <c r="B543" s="95" t="s">
        <v>968</v>
      </c>
      <c r="C543" s="95" t="s">
        <v>1336</v>
      </c>
      <c r="D543" t="s">
        <v>369</v>
      </c>
      <c r="E543" t="s">
        <v>55</v>
      </c>
      <c r="F543" t="s">
        <v>422</v>
      </c>
      <c r="G543" t="s">
        <v>1176</v>
      </c>
      <c r="H543" t="s">
        <v>1252</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25">
      <c r="A544" s="95" t="str">
        <f t="shared" si="108"/>
        <v>PQ U&amp;D</v>
      </c>
      <c r="B544" s="95" t="s">
        <v>968</v>
      </c>
      <c r="C544" s="95" t="s">
        <v>1336</v>
      </c>
      <c r="D544" t="s">
        <v>369</v>
      </c>
      <c r="E544" t="s">
        <v>55</v>
      </c>
      <c r="F544" t="s">
        <v>422</v>
      </c>
      <c r="G544" t="s">
        <v>1178</v>
      </c>
      <c r="H544" t="s">
        <v>1253</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25">
      <c r="A545" s="95" t="str">
        <f t="shared" si="108"/>
        <v>PQ U&amp;D</v>
      </c>
      <c r="B545" s="95" t="s">
        <v>968</v>
      </c>
      <c r="C545" s="95" t="s">
        <v>1336</v>
      </c>
      <c r="D545" t="s">
        <v>369</v>
      </c>
      <c r="E545" t="s">
        <v>55</v>
      </c>
      <c r="F545" t="s">
        <v>422</v>
      </c>
      <c r="G545" t="s">
        <v>1180</v>
      </c>
      <c r="H545" t="s">
        <v>1254</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25">
      <c r="A546" s="95" t="str">
        <f t="shared" si="108"/>
        <v>PQ U&amp;D</v>
      </c>
      <c r="B546" s="95" t="s">
        <v>968</v>
      </c>
      <c r="C546" s="95" t="s">
        <v>1336</v>
      </c>
      <c r="D546" t="s">
        <v>369</v>
      </c>
      <c r="E546" t="s">
        <v>55</v>
      </c>
      <c r="F546" t="s">
        <v>422</v>
      </c>
      <c r="G546" t="s">
        <v>1182</v>
      </c>
      <c r="H546" t="s">
        <v>1255</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25">
      <c r="A547" s="95" t="str">
        <f t="shared" si="108"/>
        <v>PQ FSOM</v>
      </c>
      <c r="B547" s="95" t="s">
        <v>968</v>
      </c>
      <c r="C547" s="95" t="s">
        <v>60</v>
      </c>
      <c r="D547" t="s">
        <v>369</v>
      </c>
      <c r="E547" t="s">
        <v>55</v>
      </c>
      <c r="F547" t="s">
        <v>60</v>
      </c>
      <c r="G547" t="s">
        <v>1266</v>
      </c>
      <c r="H547" t="s">
        <v>1267</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25">
      <c r="A548" s="95" t="str">
        <f t="shared" si="108"/>
        <v>PQ FSOM</v>
      </c>
      <c r="B548" s="95" t="s">
        <v>968</v>
      </c>
      <c r="C548" s="95" t="s">
        <v>60</v>
      </c>
      <c r="D548" t="s">
        <v>369</v>
      </c>
      <c r="E548" t="s">
        <v>55</v>
      </c>
      <c r="F548" t="s">
        <v>60</v>
      </c>
      <c r="G548" t="s">
        <v>1268</v>
      </c>
      <c r="H548" t="s">
        <v>1269</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25">
      <c r="A549" s="95" t="str">
        <f t="shared" si="108"/>
        <v>PQ FSOM</v>
      </c>
      <c r="B549" s="95" t="s">
        <v>968</v>
      </c>
      <c r="C549" s="95" t="s">
        <v>60</v>
      </c>
      <c r="D549" t="s">
        <v>369</v>
      </c>
      <c r="E549" t="s">
        <v>55</v>
      </c>
      <c r="F549" t="s">
        <v>60</v>
      </c>
      <c r="G549" t="s">
        <v>1270</v>
      </c>
      <c r="H549" t="s">
        <v>1271</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25">
      <c r="A550" s="95" t="str">
        <f t="shared" si="108"/>
        <v>PQ FSOM</v>
      </c>
      <c r="B550" s="95" t="s">
        <v>968</v>
      </c>
      <c r="C550" s="95" t="s">
        <v>60</v>
      </c>
      <c r="D550" t="s">
        <v>369</v>
      </c>
      <c r="E550" t="s">
        <v>55</v>
      </c>
      <c r="F550" t="s">
        <v>60</v>
      </c>
      <c r="G550" t="s">
        <v>1272</v>
      </c>
      <c r="H550" t="s">
        <v>1273</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25">
      <c r="A551" s="95" t="str">
        <f t="shared" si="108"/>
        <v>PQ FSOM</v>
      </c>
      <c r="B551" s="95" t="s">
        <v>968</v>
      </c>
      <c r="C551" s="95" t="s">
        <v>60</v>
      </c>
      <c r="D551" t="s">
        <v>369</v>
      </c>
      <c r="E551" t="s">
        <v>55</v>
      </c>
      <c r="F551" t="s">
        <v>60</v>
      </c>
      <c r="G551" t="s">
        <v>1274</v>
      </c>
      <c r="H551" t="s">
        <v>1275</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25">
      <c r="A552" s="95" t="str">
        <f t="shared" si="108"/>
        <v>PQ FSOM</v>
      </c>
      <c r="B552" s="95" t="s">
        <v>968</v>
      </c>
      <c r="C552" s="95" t="s">
        <v>60</v>
      </c>
      <c r="D552" t="s">
        <v>369</v>
      </c>
      <c r="E552" t="s">
        <v>55</v>
      </c>
      <c r="F552" t="s">
        <v>60</v>
      </c>
      <c r="G552" t="s">
        <v>1276</v>
      </c>
      <c r="H552" t="s">
        <v>1277</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25">
      <c r="A553" s="95" t="str">
        <f t="shared" si="108"/>
        <v>PQ FSOM</v>
      </c>
      <c r="B553" s="95" t="s">
        <v>968</v>
      </c>
      <c r="C553" s="95" t="s">
        <v>60</v>
      </c>
      <c r="D553" t="s">
        <v>369</v>
      </c>
      <c r="E553" t="s">
        <v>55</v>
      </c>
      <c r="F553" t="s">
        <v>60</v>
      </c>
      <c r="G553" t="s">
        <v>1278</v>
      </c>
      <c r="H553" t="s">
        <v>1279</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25">
      <c r="A554" s="95" t="str">
        <f t="shared" si="108"/>
        <v>PQ FSOM</v>
      </c>
      <c r="B554" s="95" t="s">
        <v>968</v>
      </c>
      <c r="C554" s="95" t="s">
        <v>60</v>
      </c>
      <c r="D554" t="s">
        <v>369</v>
      </c>
      <c r="E554" t="s">
        <v>55</v>
      </c>
      <c r="F554" t="s">
        <v>60</v>
      </c>
      <c r="G554" t="s">
        <v>1280</v>
      </c>
      <c r="H554" t="s">
        <v>1281</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25">
      <c r="A555" s="95" t="str">
        <f t="shared" si="108"/>
        <v>PQ FSOM</v>
      </c>
      <c r="B555" s="95" t="s">
        <v>968</v>
      </c>
      <c r="C555" s="95" t="s">
        <v>60</v>
      </c>
      <c r="D555" t="s">
        <v>369</v>
      </c>
      <c r="E555" t="s">
        <v>55</v>
      </c>
      <c r="F555" t="s">
        <v>60</v>
      </c>
      <c r="G555" t="s">
        <v>1282</v>
      </c>
      <c r="H555" t="s">
        <v>1283</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25">
      <c r="A556" s="95" t="str">
        <f t="shared" si="108"/>
        <v>PQ FSOM</v>
      </c>
      <c r="B556" s="95" t="s">
        <v>968</v>
      </c>
      <c r="C556" s="95" t="s">
        <v>60</v>
      </c>
      <c r="D556" t="s">
        <v>369</v>
      </c>
      <c r="E556" t="s">
        <v>55</v>
      </c>
      <c r="F556" t="s">
        <v>60</v>
      </c>
      <c r="G556" t="s">
        <v>1284</v>
      </c>
      <c r="H556" t="s">
        <v>1285</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25">
      <c r="A557" s="95" t="str">
        <f t="shared" si="108"/>
        <v>PQ FSOM</v>
      </c>
      <c r="B557" s="95" t="s">
        <v>968</v>
      </c>
      <c r="C557" s="95" t="s">
        <v>60</v>
      </c>
      <c r="D557" t="s">
        <v>369</v>
      </c>
      <c r="E557" t="s">
        <v>55</v>
      </c>
      <c r="F557" t="s">
        <v>60</v>
      </c>
      <c r="G557" t="s">
        <v>1286</v>
      </c>
      <c r="H557" t="s">
        <v>1287</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25">
      <c r="A558" s="95" t="str">
        <f t="shared" si="108"/>
        <v>PQ FSOM</v>
      </c>
      <c r="B558" s="95" t="s">
        <v>968</v>
      </c>
      <c r="C558" s="95" t="s">
        <v>60</v>
      </c>
      <c r="D558" t="s">
        <v>369</v>
      </c>
      <c r="E558" t="s">
        <v>55</v>
      </c>
      <c r="F558" t="s">
        <v>60</v>
      </c>
      <c r="G558" t="s">
        <v>1288</v>
      </c>
      <c r="H558" t="s">
        <v>1289</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25">
      <c r="A559" s="95" t="str">
        <f t="shared" si="108"/>
        <v>PQ Volatilisation</v>
      </c>
      <c r="B559" s="95" t="s">
        <v>968</v>
      </c>
      <c r="C559" s="95" t="s">
        <v>62</v>
      </c>
      <c r="D559" t="s">
        <v>369</v>
      </c>
      <c r="E559" t="s">
        <v>61</v>
      </c>
      <c r="F559" t="s">
        <v>62</v>
      </c>
      <c r="G559" t="s">
        <v>435</v>
      </c>
      <c r="H559" t="s">
        <v>1184</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0.66035651430821074</v>
      </c>
      <c r="U559" s="22">
        <f t="shared" si="123"/>
        <v>0.66008394987584207</v>
      </c>
      <c r="V559" s="22">
        <f t="shared" si="123"/>
        <v>0.65354261970149441</v>
      </c>
      <c r="W559" s="22">
        <f t="shared" si="123"/>
        <v>0.65337920332710719</v>
      </c>
      <c r="X559" s="22">
        <f t="shared" si="123"/>
        <v>0.65322793572104454</v>
      </c>
      <c r="Y559" s="22">
        <f t="shared" si="123"/>
        <v>0.65308880056970553</v>
      </c>
      <c r="Z559" s="22">
        <f t="shared" ref="L559:AW566" si="124">Z1510</f>
        <v>0.65296169227266498</v>
      </c>
      <c r="AA559" s="22">
        <f t="shared" si="124"/>
        <v>0.65284672118777098</v>
      </c>
      <c r="AB559" s="22">
        <f t="shared" si="124"/>
        <v>0.65274397960506148</v>
      </c>
      <c r="AC559" s="22">
        <f t="shared" si="124"/>
        <v>0.65265355793719104</v>
      </c>
      <c r="AD559" s="22">
        <f t="shared" si="124"/>
        <v>0.65257554079256641</v>
      </c>
      <c r="AE559" s="22">
        <f t="shared" si="124"/>
        <v>0.65250999875184101</v>
      </c>
      <c r="AF559" s="22">
        <f t="shared" si="124"/>
        <v>0.65245700134470697</v>
      </c>
      <c r="AG559" s="22">
        <f t="shared" si="124"/>
        <v>0.65241660651071587</v>
      </c>
      <c r="AH559" s="22">
        <f t="shared" si="124"/>
        <v>0.65238886062718315</v>
      </c>
      <c r="AI559" s="22">
        <f t="shared" si="124"/>
        <v>0.6523738107982866</v>
      </c>
      <c r="AJ559" s="22">
        <f t="shared" si="124"/>
        <v>0.65237149971504915</v>
      </c>
      <c r="AK559" s="22">
        <f t="shared" si="124"/>
        <v>0.6717077011874647</v>
      </c>
      <c r="AL559" s="22">
        <f t="shared" si="124"/>
        <v>0.67172409254060461</v>
      </c>
      <c r="AM559" s="22">
        <f t="shared" si="124"/>
        <v>0.67174011054610017</v>
      </c>
      <c r="AN559" s="22">
        <f t="shared" si="124"/>
        <v>0.67175577706338141</v>
      </c>
      <c r="AO559" s="22">
        <f t="shared" si="124"/>
        <v>0.67177111790148203</v>
      </c>
      <c r="AP559" s="22">
        <f t="shared" si="124"/>
        <v>0.67178606782023664</v>
      </c>
      <c r="AQ559" s="22">
        <f t="shared" si="124"/>
        <v>0.67180058277133392</v>
      </c>
      <c r="AR559" s="22">
        <f t="shared" si="124"/>
        <v>0.67181465717092259</v>
      </c>
      <c r="AS559" s="22">
        <f t="shared" si="124"/>
        <v>0.67182823869267982</v>
      </c>
      <c r="AT559" s="22">
        <f t="shared" si="124"/>
        <v>0.67184126908492714</v>
      </c>
      <c r="AU559" s="22">
        <f t="shared" si="124"/>
        <v>0.67185374065365466</v>
      </c>
      <c r="AV559" s="22">
        <f t="shared" si="124"/>
        <v>0.67186566123512315</v>
      </c>
      <c r="AW559" s="22">
        <f t="shared" si="124"/>
        <v>0.67187703615819216</v>
      </c>
      <c r="AY559" s="79"/>
    </row>
    <row r="560" spans="1:51" x14ac:dyDescent="0.25">
      <c r="A560" s="95" t="str">
        <f t="shared" si="108"/>
        <v>PQ Volatilisation</v>
      </c>
      <c r="B560" s="95" t="s">
        <v>968</v>
      </c>
      <c r="C560" s="95" t="s">
        <v>62</v>
      </c>
      <c r="D560" t="s">
        <v>369</v>
      </c>
      <c r="E560" t="s">
        <v>61</v>
      </c>
      <c r="F560" t="s">
        <v>62</v>
      </c>
      <c r="G560" t="s">
        <v>436</v>
      </c>
      <c r="H560" t="s">
        <v>1185</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8.716705988868383E-3</v>
      </c>
      <c r="U560" s="22">
        <f t="shared" si="124"/>
        <v>8.7131081383611166E-3</v>
      </c>
      <c r="V560" s="22">
        <f t="shared" si="124"/>
        <v>8.6267625800597308E-3</v>
      </c>
      <c r="W560" s="22">
        <f t="shared" si="124"/>
        <v>8.624605483917816E-3</v>
      </c>
      <c r="X560" s="22">
        <f t="shared" si="124"/>
        <v>8.6226087515177911E-3</v>
      </c>
      <c r="Y560" s="22">
        <f t="shared" si="124"/>
        <v>8.6207721675201129E-3</v>
      </c>
      <c r="Z560" s="22">
        <f t="shared" si="124"/>
        <v>8.6190943379991763E-3</v>
      </c>
      <c r="AA560" s="22">
        <f t="shared" si="124"/>
        <v>8.6175767196785755E-3</v>
      </c>
      <c r="AB560" s="22">
        <f t="shared" si="124"/>
        <v>8.6162205307868112E-3</v>
      </c>
      <c r="AC560" s="22">
        <f t="shared" si="124"/>
        <v>8.6150269647709242E-3</v>
      </c>
      <c r="AD560" s="22">
        <f t="shared" si="124"/>
        <v>8.6139971384618756E-3</v>
      </c>
      <c r="AE560" s="22">
        <f t="shared" si="124"/>
        <v>8.6131319835243015E-3</v>
      </c>
      <c r="AF560" s="22">
        <f t="shared" si="124"/>
        <v>8.6124324177501328E-3</v>
      </c>
      <c r="AG560" s="22">
        <f t="shared" si="124"/>
        <v>8.6118992059414506E-3</v>
      </c>
      <c r="AH560" s="22">
        <f t="shared" si="124"/>
        <v>8.6115329602788199E-3</v>
      </c>
      <c r="AI560" s="22">
        <f t="shared" si="124"/>
        <v>8.611334302537384E-3</v>
      </c>
      <c r="AJ560" s="22">
        <f t="shared" si="124"/>
        <v>8.6113037962386486E-3</v>
      </c>
      <c r="AK560" s="22">
        <f t="shared" si="124"/>
        <v>8.8665416556745359E-3</v>
      </c>
      <c r="AL560" s="22">
        <f t="shared" si="124"/>
        <v>8.8667580215359802E-3</v>
      </c>
      <c r="AM560" s="22">
        <f t="shared" si="124"/>
        <v>8.8669694592085242E-3</v>
      </c>
      <c r="AN560" s="22">
        <f t="shared" si="124"/>
        <v>8.8671762572366322E-3</v>
      </c>
      <c r="AO560" s="22">
        <f t="shared" si="124"/>
        <v>8.8673787562995633E-3</v>
      </c>
      <c r="AP560" s="22">
        <f t="shared" si="124"/>
        <v>8.8675760952271251E-3</v>
      </c>
      <c r="AQ560" s="22">
        <f t="shared" si="124"/>
        <v>8.8677676925816105E-3</v>
      </c>
      <c r="AR560" s="22">
        <f t="shared" si="124"/>
        <v>8.867953474656182E-3</v>
      </c>
      <c r="AS560" s="22">
        <f t="shared" si="124"/>
        <v>8.8681327507433762E-3</v>
      </c>
      <c r="AT560" s="22">
        <f t="shared" si="124"/>
        <v>8.8683047519210381E-3</v>
      </c>
      <c r="AU560" s="22">
        <f t="shared" si="124"/>
        <v>8.8684693766282394E-3</v>
      </c>
      <c r="AV560" s="22">
        <f t="shared" si="124"/>
        <v>8.8686267283036267E-3</v>
      </c>
      <c r="AW560" s="22">
        <f t="shared" si="124"/>
        <v>8.8687768772881346E-3</v>
      </c>
      <c r="AY560" s="79"/>
    </row>
    <row r="561" spans="1:51" x14ac:dyDescent="0.25">
      <c r="A561" s="95" t="str">
        <f t="shared" si="108"/>
        <v>PQ Volatilisation</v>
      </c>
      <c r="B561" s="95" t="s">
        <v>968</v>
      </c>
      <c r="C561" s="95" t="s">
        <v>62</v>
      </c>
      <c r="D561" t="s">
        <v>369</v>
      </c>
      <c r="E561" t="s">
        <v>61</v>
      </c>
      <c r="F561" t="s">
        <v>62</v>
      </c>
      <c r="G561" t="s">
        <v>437</v>
      </c>
      <c r="H561" t="s">
        <v>1186</v>
      </c>
      <c r="I561" t="s">
        <v>139</v>
      </c>
      <c r="J561" t="s">
        <v>287</v>
      </c>
      <c r="K561" s="22">
        <f t="shared" si="117"/>
        <v>1.2008407282256135</v>
      </c>
      <c r="L561" s="22">
        <f t="shared" si="124"/>
        <v>1.2019035107607596</v>
      </c>
      <c r="M561" s="22">
        <f t="shared" si="124"/>
        <v>1.2088775122881088</v>
      </c>
      <c r="N561" s="22">
        <f t="shared" si="124"/>
        <v>1.2055442230548157</v>
      </c>
      <c r="O561" s="22">
        <f t="shared" si="124"/>
        <v>1.195843583832628</v>
      </c>
      <c r="P561" s="22">
        <f t="shared" si="124"/>
        <v>1.1799964998501227</v>
      </c>
      <c r="Q561" s="22">
        <f t="shared" si="124"/>
        <v>1.169776622170569</v>
      </c>
      <c r="R561" s="22">
        <f t="shared" si="124"/>
        <v>1.1606871439933113</v>
      </c>
      <c r="S561" s="22">
        <f t="shared" si="124"/>
        <v>1.0648906691667142</v>
      </c>
      <c r="T561" s="22">
        <f t="shared" si="124"/>
        <v>1.1057533797860197</v>
      </c>
      <c r="U561" s="22">
        <f t="shared" si="124"/>
        <v>3.1715891643578864</v>
      </c>
      <c r="V561" s="22">
        <f t="shared" si="124"/>
        <v>3.205817503106533</v>
      </c>
      <c r="W561" s="22">
        <f t="shared" si="124"/>
        <v>3.2352153287252081</v>
      </c>
      <c r="X561" s="22">
        <f t="shared" si="124"/>
        <v>3.2596764998420773</v>
      </c>
      <c r="Y561" s="22">
        <f t="shared" si="124"/>
        <v>3.2791703785538746</v>
      </c>
      <c r="Z561" s="22">
        <f t="shared" si="124"/>
        <v>3.2935488814957896</v>
      </c>
      <c r="AA561" s="22">
        <f t="shared" si="124"/>
        <v>3.3026965587676997</v>
      </c>
      <c r="AB561" s="22">
        <f t="shared" si="124"/>
        <v>3.3065215616671835</v>
      </c>
      <c r="AC561" s="22">
        <f t="shared" si="124"/>
        <v>3.3049591714491218</v>
      </c>
      <c r="AD561" s="22">
        <f t="shared" si="124"/>
        <v>3.2856040880514414</v>
      </c>
      <c r="AE561" s="22">
        <f t="shared" si="124"/>
        <v>3.2609006919876253</v>
      </c>
      <c r="AF561" s="22">
        <f t="shared" si="124"/>
        <v>3.2309381698250323</v>
      </c>
      <c r="AG561" s="22">
        <f t="shared" si="124"/>
        <v>3.1958369771906554</v>
      </c>
      <c r="AH561" s="22">
        <f t="shared" si="124"/>
        <v>3.1557406943377502</v>
      </c>
      <c r="AI561" s="22">
        <f t="shared" si="124"/>
        <v>3.1108181429551416</v>
      </c>
      <c r="AJ561" s="22">
        <f t="shared" si="124"/>
        <v>-7.9927190130914927E-2</v>
      </c>
      <c r="AK561" s="22">
        <f t="shared" si="124"/>
        <v>-7.7482459717295754E-2</v>
      </c>
      <c r="AL561" s="22">
        <f t="shared" si="124"/>
        <v>-7.5056648302161827E-2</v>
      </c>
      <c r="AM561" s="22">
        <f t="shared" si="124"/>
        <v>-7.2650174059267963E-2</v>
      </c>
      <c r="AN561" s="22">
        <f t="shared" si="124"/>
        <v>-7.0723117301040472E-2</v>
      </c>
      <c r="AO561" s="22">
        <f t="shared" si="124"/>
        <v>-6.8807486280089009E-2</v>
      </c>
      <c r="AP561" s="22">
        <f t="shared" si="124"/>
        <v>-6.6901375831276963E-2</v>
      </c>
      <c r="AQ561" s="22">
        <f t="shared" si="124"/>
        <v>-6.5004519075055389E-2</v>
      </c>
      <c r="AR561" s="22">
        <f t="shared" si="124"/>
        <v>-6.3114960679436297E-2</v>
      </c>
      <c r="AS561" s="22">
        <f t="shared" si="124"/>
        <v>-6.1230717258980515E-2</v>
      </c>
      <c r="AT561" s="22">
        <f t="shared" si="124"/>
        <v>-5.9351794077464999E-2</v>
      </c>
      <c r="AU561" s="22">
        <f t="shared" si="124"/>
        <v>-5.7478765169344234E-2</v>
      </c>
      <c r="AV561" s="22">
        <f t="shared" si="124"/>
        <v>-5.5612099659167281E-2</v>
      </c>
      <c r="AW561" s="22">
        <f t="shared" si="124"/>
        <v>-5.3750177084754498E-2</v>
      </c>
      <c r="AY561" s="79"/>
    </row>
    <row r="562" spans="1:51" x14ac:dyDescent="0.25">
      <c r="A562" s="95" t="str">
        <f t="shared" si="108"/>
        <v>PQ Volatilisation</v>
      </c>
      <c r="B562" s="95" t="s">
        <v>968</v>
      </c>
      <c r="C562" s="95" t="s">
        <v>62</v>
      </c>
      <c r="D562" t="s">
        <v>369</v>
      </c>
      <c r="E562" t="s">
        <v>61</v>
      </c>
      <c r="F562" t="s">
        <v>62</v>
      </c>
      <c r="G562" t="s">
        <v>438</v>
      </c>
      <c r="H562" t="s">
        <v>1265</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3.9236983289257736</v>
      </c>
      <c r="T562" s="22">
        <f t="shared" si="124"/>
        <v>4.0061959356333121</v>
      </c>
      <c r="U562" s="22">
        <f t="shared" si="124"/>
        <v>8.6703485618299432</v>
      </c>
      <c r="V562" s="22">
        <f t="shared" si="124"/>
        <v>8.7075171611639437</v>
      </c>
      <c r="W562" s="22">
        <f t="shared" si="124"/>
        <v>8.7349231997789492</v>
      </c>
      <c r="X562" s="22">
        <f t="shared" si="124"/>
        <v>8.7517078724202371</v>
      </c>
      <c r="Y562" s="22">
        <f t="shared" si="124"/>
        <v>8.7566246906771106</v>
      </c>
      <c r="Z562" s="22">
        <f t="shared" si="124"/>
        <v>8.749585391639048</v>
      </c>
      <c r="AA562" s="22">
        <f t="shared" si="124"/>
        <v>8.7305224491182276</v>
      </c>
      <c r="AB562" s="22">
        <f t="shared" si="124"/>
        <v>8.6994684257142971</v>
      </c>
      <c r="AC562" s="22">
        <f t="shared" si="124"/>
        <v>8.6565339362109501</v>
      </c>
      <c r="AD562" s="22">
        <f t="shared" si="124"/>
        <v>8.5479552025611873</v>
      </c>
      <c r="AE562" s="22">
        <f t="shared" si="124"/>
        <v>8.4281375273268431</v>
      </c>
      <c r="AF562" s="22">
        <f t="shared" si="124"/>
        <v>8.2976332368638914</v>
      </c>
      <c r="AG562" s="22">
        <f t="shared" si="124"/>
        <v>8.1570247194237986</v>
      </c>
      <c r="AH562" s="22">
        <f t="shared" si="124"/>
        <v>8.0069849414591072</v>
      </c>
      <c r="AI562" s="22">
        <f t="shared" si="124"/>
        <v>7.8482435227169196</v>
      </c>
      <c r="AJ562" s="22">
        <f t="shared" si="124"/>
        <v>1.4117786211897634</v>
      </c>
      <c r="AK562" s="22">
        <f t="shared" si="124"/>
        <v>1.4240848222590068</v>
      </c>
      <c r="AL562" s="22">
        <f t="shared" si="124"/>
        <v>1.4361490833885919</v>
      </c>
      <c r="AM562" s="22">
        <f t="shared" si="124"/>
        <v>1.4479836223342117</v>
      </c>
      <c r="AN562" s="22">
        <f t="shared" si="124"/>
        <v>1.4575869997562623</v>
      </c>
      <c r="AO562" s="22">
        <f t="shared" si="124"/>
        <v>1.4669658638055674</v>
      </c>
      <c r="AP562" s="22">
        <f t="shared" si="124"/>
        <v>1.4761004652334226</v>
      </c>
      <c r="AQ562" s="22">
        <f t="shared" si="124"/>
        <v>1.4849895121905028</v>
      </c>
      <c r="AR562" s="22">
        <f t="shared" si="124"/>
        <v>1.4936094251739955</v>
      </c>
      <c r="AS562" s="22">
        <f t="shared" si="124"/>
        <v>1.5019339292237881</v>
      </c>
      <c r="AT562" s="22">
        <f t="shared" si="124"/>
        <v>1.5099608560757101</v>
      </c>
      <c r="AU562" s="22">
        <f t="shared" si="124"/>
        <v>1.5176953414243965</v>
      </c>
      <c r="AV562" s="22">
        <f t="shared" si="124"/>
        <v>1.5251412376449351</v>
      </c>
      <c r="AW562" s="22">
        <f t="shared" si="124"/>
        <v>1.5322728813191711</v>
      </c>
      <c r="AY562" s="79"/>
    </row>
    <row r="563" spans="1:51" x14ac:dyDescent="0.25">
      <c r="A563" s="95" t="str">
        <f t="shared" si="108"/>
        <v>PQ Leaching</v>
      </c>
      <c r="B563" s="95" t="s">
        <v>968</v>
      </c>
      <c r="C563" s="95" t="s">
        <v>1190</v>
      </c>
      <c r="D563" t="s">
        <v>369</v>
      </c>
      <c r="E563" t="s">
        <v>61</v>
      </c>
      <c r="F563" t="s">
        <v>63</v>
      </c>
      <c r="G563" t="s">
        <v>435</v>
      </c>
      <c r="H563" t="s">
        <v>1187</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2.2782299743633269E-4</v>
      </c>
      <c r="U563" s="22">
        <f t="shared" si="124"/>
        <v>2.2772896270716546E-4</v>
      </c>
      <c r="V563" s="22">
        <f t="shared" si="124"/>
        <v>2.2547220379701556E-4</v>
      </c>
      <c r="W563" s="22">
        <f t="shared" si="124"/>
        <v>2.2541582514785201E-4</v>
      </c>
      <c r="X563" s="22">
        <f t="shared" si="124"/>
        <v>2.2536363782376035E-4</v>
      </c>
      <c r="Y563" s="22">
        <f t="shared" si="124"/>
        <v>2.2531563619654834E-4</v>
      </c>
      <c r="Z563" s="22">
        <f t="shared" si="124"/>
        <v>2.252717838340693E-4</v>
      </c>
      <c r="AA563" s="22">
        <f t="shared" si="124"/>
        <v>2.2523211880978096E-4</v>
      </c>
      <c r="AB563" s="22">
        <f t="shared" si="124"/>
        <v>2.2519667296374613E-4</v>
      </c>
      <c r="AC563" s="22">
        <f t="shared" si="124"/>
        <v>2.2516547748833096E-4</v>
      </c>
      <c r="AD563" s="22">
        <f t="shared" si="124"/>
        <v>2.2513856157343538E-4</v>
      </c>
      <c r="AE563" s="22">
        <f t="shared" si="124"/>
        <v>2.2511594956938508E-4</v>
      </c>
      <c r="AF563" s="22">
        <f t="shared" si="124"/>
        <v>2.2509766546392388E-4</v>
      </c>
      <c r="AG563" s="22">
        <f t="shared" si="124"/>
        <v>2.2508372924619698E-4</v>
      </c>
      <c r="AH563" s="22">
        <f t="shared" si="124"/>
        <v>2.2507415691637819E-4</v>
      </c>
      <c r="AI563" s="22">
        <f t="shared" si="124"/>
        <v>2.2506896472540883E-4</v>
      </c>
      <c r="AJ563" s="22">
        <f t="shared" si="124"/>
        <v>2.2506816740169194E-4</v>
      </c>
      <c r="AK563" s="22">
        <f t="shared" si="124"/>
        <v>2.3173915690967529E-4</v>
      </c>
      <c r="AL563" s="22">
        <f t="shared" si="124"/>
        <v>2.3174481192650851E-4</v>
      </c>
      <c r="AM563" s="22">
        <f t="shared" si="124"/>
        <v>2.3175033813840453E-4</v>
      </c>
      <c r="AN563" s="22">
        <f t="shared" si="124"/>
        <v>2.317557430868665E-4</v>
      </c>
      <c r="AO563" s="22">
        <f t="shared" si="124"/>
        <v>2.3176103567601125E-4</v>
      </c>
      <c r="AP563" s="22">
        <f t="shared" si="124"/>
        <v>2.3176619339798155E-4</v>
      </c>
      <c r="AQ563" s="22">
        <f t="shared" si="124"/>
        <v>2.3177120105611021E-4</v>
      </c>
      <c r="AR563" s="22">
        <f t="shared" si="124"/>
        <v>2.3177605672396827E-4</v>
      </c>
      <c r="AS563" s="22">
        <f t="shared" si="124"/>
        <v>2.3178074234897451E-4</v>
      </c>
      <c r="AT563" s="22">
        <f t="shared" si="124"/>
        <v>2.3178523783429981E-4</v>
      </c>
      <c r="AU563" s="22">
        <f t="shared" si="124"/>
        <v>2.3178954052551076E-4</v>
      </c>
      <c r="AV563" s="22">
        <f t="shared" si="124"/>
        <v>2.3179365312611745E-4</v>
      </c>
      <c r="AW563" s="22">
        <f t="shared" si="124"/>
        <v>2.3179757747457624E-4</v>
      </c>
      <c r="AY563" s="79"/>
    </row>
    <row r="564" spans="1:51" x14ac:dyDescent="0.25">
      <c r="A564" s="95" t="str">
        <f t="shared" si="108"/>
        <v>PQ Leaching</v>
      </c>
      <c r="B564" s="95" t="s">
        <v>968</v>
      </c>
      <c r="C564" s="95" t="s">
        <v>1190</v>
      </c>
      <c r="D564" t="s">
        <v>369</v>
      </c>
      <c r="E564" t="s">
        <v>61</v>
      </c>
      <c r="F564" t="s">
        <v>63</v>
      </c>
      <c r="G564" t="s">
        <v>436</v>
      </c>
      <c r="H564" t="s">
        <v>1188</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1.5036317830797959E-6</v>
      </c>
      <c r="U564" s="22">
        <f t="shared" si="124"/>
        <v>1.5030111538672925E-6</v>
      </c>
      <c r="V564" s="22">
        <f t="shared" si="124"/>
        <v>1.488116545060303E-6</v>
      </c>
      <c r="W564" s="22">
        <f t="shared" si="124"/>
        <v>1.487744445975823E-6</v>
      </c>
      <c r="X564" s="22">
        <f t="shared" si="124"/>
        <v>1.4874000096368187E-6</v>
      </c>
      <c r="Y564" s="22">
        <f t="shared" si="124"/>
        <v>1.4870831988972194E-6</v>
      </c>
      <c r="Z564" s="22">
        <f t="shared" si="124"/>
        <v>1.4867937733048578E-6</v>
      </c>
      <c r="AA564" s="22">
        <f t="shared" si="124"/>
        <v>1.4865319841445543E-6</v>
      </c>
      <c r="AB564" s="22">
        <f t="shared" si="124"/>
        <v>1.4862980415607246E-6</v>
      </c>
      <c r="AC564" s="22">
        <f t="shared" si="124"/>
        <v>1.4860921514229842E-6</v>
      </c>
      <c r="AD564" s="22">
        <f t="shared" si="124"/>
        <v>1.4859145063846736E-6</v>
      </c>
      <c r="AE564" s="22">
        <f t="shared" si="124"/>
        <v>1.4857652671579419E-6</v>
      </c>
      <c r="AF564" s="22">
        <f t="shared" si="124"/>
        <v>1.4856445920618978E-6</v>
      </c>
      <c r="AG564" s="22">
        <f t="shared" si="124"/>
        <v>1.4855526130249004E-6</v>
      </c>
      <c r="AH564" s="22">
        <f t="shared" si="124"/>
        <v>1.4854894356480966E-6</v>
      </c>
      <c r="AI564" s="22">
        <f t="shared" si="124"/>
        <v>1.4854551671876988E-6</v>
      </c>
      <c r="AJ564" s="22">
        <f t="shared" si="124"/>
        <v>1.4854499048511669E-6</v>
      </c>
      <c r="AK564" s="22">
        <f t="shared" si="124"/>
        <v>1.5294784356038574E-6</v>
      </c>
      <c r="AL564" s="22">
        <f t="shared" si="124"/>
        <v>1.5295157587149565E-6</v>
      </c>
      <c r="AM564" s="22">
        <f t="shared" si="124"/>
        <v>1.5295522317134702E-6</v>
      </c>
      <c r="AN564" s="22">
        <f t="shared" si="124"/>
        <v>1.5295879043733193E-6</v>
      </c>
      <c r="AO564" s="22">
        <f t="shared" si="124"/>
        <v>1.5296228354616745E-6</v>
      </c>
      <c r="AP564" s="22">
        <f t="shared" si="124"/>
        <v>1.5296568764266789E-6</v>
      </c>
      <c r="AQ564" s="22">
        <f t="shared" si="124"/>
        <v>1.5296899269703273E-6</v>
      </c>
      <c r="AR564" s="22">
        <f t="shared" si="124"/>
        <v>1.5297219743781909E-6</v>
      </c>
      <c r="AS564" s="22">
        <f t="shared" si="124"/>
        <v>1.5297528995032323E-6</v>
      </c>
      <c r="AT564" s="22">
        <f t="shared" si="124"/>
        <v>1.529782569706379E-6</v>
      </c>
      <c r="AU564" s="22">
        <f t="shared" si="124"/>
        <v>1.5298109674683716E-6</v>
      </c>
      <c r="AV564" s="22">
        <f t="shared" si="124"/>
        <v>1.5298381106323754E-6</v>
      </c>
      <c r="AW564" s="22">
        <f t="shared" si="124"/>
        <v>1.5298640113322035E-6</v>
      </c>
      <c r="AY564" s="79"/>
    </row>
    <row r="565" spans="1:51" x14ac:dyDescent="0.25">
      <c r="A565" s="95" t="str">
        <f t="shared" si="108"/>
        <v>PQ Leaching</v>
      </c>
      <c r="B565" s="95" t="s">
        <v>968</v>
      </c>
      <c r="C565" s="95" t="s">
        <v>1190</v>
      </c>
      <c r="D565" t="s">
        <v>369</v>
      </c>
      <c r="E565" t="s">
        <v>61</v>
      </c>
      <c r="F565" t="s">
        <v>63</v>
      </c>
      <c r="G565" t="s">
        <v>437</v>
      </c>
      <c r="H565" t="s">
        <v>1189</v>
      </c>
      <c r="I565" t="s">
        <v>139</v>
      </c>
      <c r="J565" t="s">
        <v>287</v>
      </c>
      <c r="K565" s="22">
        <f t="shared" si="117"/>
        <v>0.20714502561891829</v>
      </c>
      <c r="L565" s="22">
        <f t="shared" si="124"/>
        <v>0.20732835560623103</v>
      </c>
      <c r="M565" s="22">
        <f t="shared" si="124"/>
        <v>0.20853137086969875</v>
      </c>
      <c r="N565" s="22">
        <f t="shared" si="124"/>
        <v>0.20795637847695569</v>
      </c>
      <c r="O565" s="22">
        <f t="shared" si="124"/>
        <v>0.20628301821112832</v>
      </c>
      <c r="P565" s="22">
        <f t="shared" si="124"/>
        <v>0.20354939622414611</v>
      </c>
      <c r="Q565" s="22">
        <f t="shared" si="124"/>
        <v>0.20178646732442315</v>
      </c>
      <c r="R565" s="22">
        <f t="shared" si="124"/>
        <v>0.20021853233884618</v>
      </c>
      <c r="S565" s="22">
        <f t="shared" si="124"/>
        <v>0.18369364043125816</v>
      </c>
      <c r="T565" s="22">
        <f t="shared" si="124"/>
        <v>0.19074245801308834</v>
      </c>
      <c r="U565" s="22">
        <f t="shared" si="124"/>
        <v>0.54709913085173534</v>
      </c>
      <c r="V565" s="22">
        <f t="shared" si="124"/>
        <v>0.55300351928587688</v>
      </c>
      <c r="W565" s="22">
        <f t="shared" si="124"/>
        <v>0.55807464420509822</v>
      </c>
      <c r="X565" s="22">
        <f t="shared" si="124"/>
        <v>0.56229419622275822</v>
      </c>
      <c r="Y565" s="22">
        <f t="shared" si="124"/>
        <v>0.56565689030054322</v>
      </c>
      <c r="Z565" s="22">
        <f t="shared" si="124"/>
        <v>0.56813718205802377</v>
      </c>
      <c r="AA565" s="22">
        <f t="shared" si="124"/>
        <v>0.56971515638742798</v>
      </c>
      <c r="AB565" s="22">
        <f t="shared" si="124"/>
        <v>0.57037496938758903</v>
      </c>
      <c r="AC565" s="22">
        <f t="shared" si="124"/>
        <v>0.57010545707497351</v>
      </c>
      <c r="AD565" s="22">
        <f t="shared" si="124"/>
        <v>0.56676670518887351</v>
      </c>
      <c r="AE565" s="22">
        <f t="shared" si="124"/>
        <v>0.56250536936786533</v>
      </c>
      <c r="AF565" s="22">
        <f t="shared" si="124"/>
        <v>0.55733683429481795</v>
      </c>
      <c r="AG565" s="22">
        <f t="shared" si="124"/>
        <v>0.55128187856538813</v>
      </c>
      <c r="AH565" s="22">
        <f t="shared" si="124"/>
        <v>0.54436526977326183</v>
      </c>
      <c r="AI565" s="22">
        <f t="shared" si="124"/>
        <v>0.53661612965976202</v>
      </c>
      <c r="AJ565" s="22">
        <f t="shared" si="124"/>
        <v>-1.3787440297582821E-2</v>
      </c>
      <c r="AK565" s="22">
        <f t="shared" si="124"/>
        <v>-1.3365724301233515E-2</v>
      </c>
      <c r="AL565" s="22">
        <f t="shared" si="124"/>
        <v>-1.2947271832122912E-2</v>
      </c>
      <c r="AM565" s="22">
        <f t="shared" si="124"/>
        <v>-1.2532155025223722E-2</v>
      </c>
      <c r="AN565" s="22">
        <f t="shared" si="124"/>
        <v>-1.2199737734429479E-2</v>
      </c>
      <c r="AO565" s="22">
        <f t="shared" si="124"/>
        <v>-1.1869291383315354E-2</v>
      </c>
      <c r="AP565" s="22">
        <f t="shared" si="124"/>
        <v>-1.1540487330895275E-2</v>
      </c>
      <c r="AQ565" s="22">
        <f t="shared" si="124"/>
        <v>-1.1213279540447051E-2</v>
      </c>
      <c r="AR565" s="22">
        <f t="shared" si="124"/>
        <v>-1.0887330717202761E-2</v>
      </c>
      <c r="AS565" s="22">
        <f t="shared" si="124"/>
        <v>-1.0562298727174138E-2</v>
      </c>
      <c r="AT565" s="22">
        <f t="shared" si="124"/>
        <v>-1.0238184478362713E-2</v>
      </c>
      <c r="AU565" s="22">
        <f t="shared" si="124"/>
        <v>-9.9150869917118811E-3</v>
      </c>
      <c r="AV565" s="22">
        <f t="shared" si="124"/>
        <v>-9.5930871912063547E-3</v>
      </c>
      <c r="AW565" s="22">
        <f t="shared" si="124"/>
        <v>-9.27190554712015E-3</v>
      </c>
      <c r="AY565" s="79"/>
    </row>
    <row r="566" spans="1:51" x14ac:dyDescent="0.25">
      <c r="A566" s="95" t="str">
        <f t="shared" si="108"/>
        <v>PQ Leaching</v>
      </c>
      <c r="B566" s="95" t="s">
        <v>968</v>
      </c>
      <c r="C566" s="95" t="s">
        <v>1190</v>
      </c>
      <c r="D566" t="s">
        <v>369</v>
      </c>
      <c r="E566" t="s">
        <v>61</v>
      </c>
      <c r="F566" t="s">
        <v>63</v>
      </c>
      <c r="G566" t="s">
        <v>438</v>
      </c>
      <c r="H566" t="s">
        <v>1191</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25">
      <c r="A567" s="95" t="str">
        <f t="shared" si="108"/>
        <v>PQ Leaching</v>
      </c>
      <c r="B567" s="95" t="s">
        <v>968</v>
      </c>
      <c r="C567" s="95" t="s">
        <v>1190</v>
      </c>
      <c r="D567" t="s">
        <v>369</v>
      </c>
      <c r="E567" t="s">
        <v>61</v>
      </c>
      <c r="F567" t="s">
        <v>63</v>
      </c>
      <c r="G567" t="s">
        <v>439</v>
      </c>
      <c r="H567" t="s">
        <v>1192</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0.10250223308080923</v>
      </c>
      <c r="U567" s="22">
        <f t="shared" si="125"/>
        <v>0.10320425755524179</v>
      </c>
      <c r="V567" s="22">
        <f t="shared" si="125"/>
        <v>0.12005228808448951</v>
      </c>
      <c r="W567" s="22">
        <f t="shared" si="125"/>
        <v>0.12047318780844027</v>
      </c>
      <c r="X567" s="22">
        <f t="shared" si="125"/>
        <v>0.12086279682940448</v>
      </c>
      <c r="Y567" s="22">
        <f t="shared" si="125"/>
        <v>0.12122115716514245</v>
      </c>
      <c r="Z567" s="22">
        <f t="shared" si="125"/>
        <v>0.12154854080302378</v>
      </c>
      <c r="AA567" s="22">
        <f t="shared" si="125"/>
        <v>0.12184466350232884</v>
      </c>
      <c r="AB567" s="22">
        <f t="shared" si="125"/>
        <v>0.1221092875582894</v>
      </c>
      <c r="AC567" s="22">
        <f t="shared" si="125"/>
        <v>0.12234218010157646</v>
      </c>
      <c r="AD567" s="22">
        <f t="shared" si="125"/>
        <v>0.12254312321244377</v>
      </c>
      <c r="AE567" s="22">
        <f t="shared" si="125"/>
        <v>0.12271193510141119</v>
      </c>
      <c r="AF567" s="22">
        <f t="shared" si="125"/>
        <v>0.12284843668588494</v>
      </c>
      <c r="AG567" s="22">
        <f t="shared" si="125"/>
        <v>0.12295247873515695</v>
      </c>
      <c r="AH567" s="22">
        <f t="shared" si="125"/>
        <v>0.12302394179853401</v>
      </c>
      <c r="AI567" s="22">
        <f t="shared" si="125"/>
        <v>0.12306270455319578</v>
      </c>
      <c r="AJ567" s="22">
        <f t="shared" si="125"/>
        <v>0.12306865704296534</v>
      </c>
      <c r="AK567" s="22">
        <f t="shared" si="125"/>
        <v>7.3265802876620559E-2</v>
      </c>
      <c r="AL567" s="22">
        <f t="shared" si="125"/>
        <v>7.322358485509374E-2</v>
      </c>
      <c r="AM567" s="22">
        <f t="shared" si="125"/>
        <v>7.3182328438063146E-2</v>
      </c>
      <c r="AN567" s="22">
        <f t="shared" si="125"/>
        <v>7.3141977323778182E-2</v>
      </c>
      <c r="AO567" s="22">
        <f t="shared" si="125"/>
        <v>7.3102465037779299E-2</v>
      </c>
      <c r="AP567" s="22">
        <f t="shared" si="125"/>
        <v>7.3063959614436361E-2</v>
      </c>
      <c r="AQ567" s="22">
        <f t="shared" si="125"/>
        <v>7.3026574505796304E-2</v>
      </c>
      <c r="AR567" s="22">
        <f t="shared" si="125"/>
        <v>7.299032409378052E-2</v>
      </c>
      <c r="AS567" s="22">
        <f t="shared" si="125"/>
        <v>7.2955343151510282E-2</v>
      </c>
      <c r="AT567" s="22">
        <f t="shared" si="125"/>
        <v>7.2921781713616574E-2</v>
      </c>
      <c r="AU567" s="22">
        <f t="shared" si="125"/>
        <v>7.2889659597002901E-2</v>
      </c>
      <c r="AV567" s="22">
        <f t="shared" si="125"/>
        <v>7.2858956618379891E-2</v>
      </c>
      <c r="AW567" s="22">
        <f t="shared" si="125"/>
        <v>7.282965905259077E-2</v>
      </c>
      <c r="AY567" s="79"/>
    </row>
    <row r="568" spans="1:51" x14ac:dyDescent="0.25">
      <c r="A568" s="95" t="str">
        <f t="shared" si="108"/>
        <v>PQ Leaching</v>
      </c>
      <c r="B568" s="95" t="s">
        <v>968</v>
      </c>
      <c r="C568" s="95" t="s">
        <v>1190</v>
      </c>
      <c r="D568" t="s">
        <v>369</v>
      </c>
      <c r="E568" t="s">
        <v>61</v>
      </c>
      <c r="F568" t="s">
        <v>63</v>
      </c>
      <c r="G568" t="s">
        <v>1193</v>
      </c>
      <c r="H568" t="s">
        <v>1194</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25">
      <c r="A569" s="95" t="str">
        <f t="shared" si="108"/>
        <v>PQ Leaching</v>
      </c>
      <c r="B569" s="95" t="s">
        <v>968</v>
      </c>
      <c r="C569" s="95" t="s">
        <v>1190</v>
      </c>
      <c r="D569" t="s">
        <v>369</v>
      </c>
      <c r="E569" t="s">
        <v>61</v>
      </c>
      <c r="F569" t="s">
        <v>63</v>
      </c>
      <c r="G569" t="s">
        <v>1195</v>
      </c>
      <c r="H569" t="s">
        <v>1196</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25">
      <c r="A570" s="95" t="str">
        <f t="shared" si="108"/>
        <v>PQ Leaching</v>
      </c>
      <c r="B570" s="95" t="s">
        <v>968</v>
      </c>
      <c r="C570" s="95" t="s">
        <v>1190</v>
      </c>
      <c r="D570" t="s">
        <v>369</v>
      </c>
      <c r="E570" t="s">
        <v>61</v>
      </c>
      <c r="F570" t="s">
        <v>63</v>
      </c>
      <c r="G570" t="s">
        <v>1197</v>
      </c>
      <c r="H570" t="s">
        <v>1198</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25">
      <c r="A571" s="95" t="str">
        <f t="shared" si="108"/>
        <v>PQ Leaching</v>
      </c>
      <c r="B571" s="95" t="s">
        <v>968</v>
      </c>
      <c r="C571" s="95" t="s">
        <v>1190</v>
      </c>
      <c r="D571" t="s">
        <v>369</v>
      </c>
      <c r="E571" t="s">
        <v>61</v>
      </c>
      <c r="F571" t="s">
        <v>63</v>
      </c>
      <c r="G571" t="s">
        <v>1199</v>
      </c>
      <c r="H571" t="s">
        <v>1200</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25">
      <c r="A572" s="95" t="str">
        <f t="shared" si="108"/>
        <v>PQ Leaching</v>
      </c>
      <c r="B572" s="95" t="s">
        <v>968</v>
      </c>
      <c r="C572" s="95" t="s">
        <v>1190</v>
      </c>
      <c r="D572" t="s">
        <v>369</v>
      </c>
      <c r="E572" t="s">
        <v>61</v>
      </c>
      <c r="F572" t="s">
        <v>63</v>
      </c>
      <c r="G572" t="s">
        <v>1201</v>
      </c>
      <c r="H572" t="s">
        <v>1202</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25">
      <c r="A573" s="95" t="str">
        <f t="shared" si="108"/>
        <v>PQ Leaching</v>
      </c>
      <c r="B573" s="95" t="s">
        <v>968</v>
      </c>
      <c r="C573" s="95" t="s">
        <v>1190</v>
      </c>
      <c r="D573" t="s">
        <v>369</v>
      </c>
      <c r="E573" t="s">
        <v>61</v>
      </c>
      <c r="F573" t="s">
        <v>63</v>
      </c>
      <c r="G573" t="s">
        <v>1203</v>
      </c>
      <c r="H573" t="s">
        <v>1204</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25">
      <c r="A574" s="95" t="str">
        <f t="shared" si="108"/>
        <v>PQ Leaching</v>
      </c>
      <c r="B574" s="95" t="s">
        <v>968</v>
      </c>
      <c r="C574" s="95" t="s">
        <v>1190</v>
      </c>
      <c r="D574" t="s">
        <v>369</v>
      </c>
      <c r="E574" t="s">
        <v>61</v>
      </c>
      <c r="F574" t="s">
        <v>63</v>
      </c>
      <c r="G574" t="s">
        <v>1205</v>
      </c>
      <c r="H574" t="s">
        <v>1206</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25">
      <c r="A575" s="95" t="str">
        <f t="shared" si="108"/>
        <v>PQ Leaching</v>
      </c>
      <c r="B575" s="95" t="s">
        <v>968</v>
      </c>
      <c r="C575" s="95" t="s">
        <v>1190</v>
      </c>
      <c r="D575" t="s">
        <v>369</v>
      </c>
      <c r="E575" t="s">
        <v>61</v>
      </c>
      <c r="F575" t="s">
        <v>63</v>
      </c>
      <c r="G575" t="s">
        <v>1207</v>
      </c>
      <c r="H575" t="s">
        <v>1208</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25">
      <c r="A576" s="95" t="str">
        <f t="shared" si="108"/>
        <v>PQ Leaching</v>
      </c>
      <c r="B576" s="95" t="s">
        <v>968</v>
      </c>
      <c r="C576" s="95" t="s">
        <v>1190</v>
      </c>
      <c r="D576" t="s">
        <v>369</v>
      </c>
      <c r="E576" t="s">
        <v>61</v>
      </c>
      <c r="F576" t="s">
        <v>63</v>
      </c>
      <c r="G576" t="s">
        <v>1209</v>
      </c>
      <c r="H576" t="s">
        <v>1210</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25">
      <c r="A577" s="95" t="str">
        <f t="shared" si="108"/>
        <v>PQ Leaching</v>
      </c>
      <c r="B577" s="95" t="s">
        <v>968</v>
      </c>
      <c r="C577" s="95" t="s">
        <v>1190</v>
      </c>
      <c r="D577" t="s">
        <v>369</v>
      </c>
      <c r="E577" t="s">
        <v>61</v>
      </c>
      <c r="F577" t="s">
        <v>63</v>
      </c>
      <c r="G577" t="s">
        <v>1211</v>
      </c>
      <c r="H577" t="s">
        <v>1212</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25">
      <c r="A578" s="95" t="str">
        <f t="shared" si="108"/>
        <v>PQ Leaching</v>
      </c>
      <c r="B578" s="95" t="s">
        <v>968</v>
      </c>
      <c r="C578" s="95" t="s">
        <v>1190</v>
      </c>
      <c r="D578" t="s">
        <v>369</v>
      </c>
      <c r="E578" t="s">
        <v>61</v>
      </c>
      <c r="F578" t="s">
        <v>63</v>
      </c>
      <c r="G578" t="s">
        <v>1213</v>
      </c>
      <c r="H578" t="s">
        <v>1214</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25">
      <c r="A579" s="95" t="str">
        <f t="shared" si="108"/>
        <v xml:space="preserve">PQ </v>
      </c>
      <c r="B579" s="95" t="s">
        <v>968</v>
      </c>
      <c r="C579" s="95"/>
      <c r="D579" t="s">
        <v>369</v>
      </c>
      <c r="E579" t="s">
        <v>61</v>
      </c>
      <c r="F579" t="s">
        <v>63</v>
      </c>
      <c r="G579" t="s">
        <v>1215</v>
      </c>
      <c r="H579" t="s">
        <v>1216</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25">
      <c r="A580" s="95" t="str">
        <f t="shared" si="108"/>
        <v>PQ MM Volatilisation</v>
      </c>
      <c r="B580" s="95" t="s">
        <v>968</v>
      </c>
      <c r="C580" s="95" t="s">
        <v>1332</v>
      </c>
      <c r="D580" t="s">
        <v>369</v>
      </c>
      <c r="E580" t="s">
        <v>64</v>
      </c>
      <c r="F580" t="s">
        <v>62</v>
      </c>
      <c r="G580" t="s">
        <v>1152</v>
      </c>
      <c r="H580" t="s">
        <v>1290</v>
      </c>
      <c r="I580" t="s">
        <v>139</v>
      </c>
      <c r="J580" t="s">
        <v>287</v>
      </c>
      <c r="K580" s="22">
        <f t="shared" si="127"/>
        <v>0.39609736661915962</v>
      </c>
      <c r="L580" s="22">
        <f t="shared" si="128"/>
        <v>0.39831175345583053</v>
      </c>
      <c r="M580" s="22">
        <f t="shared" si="128"/>
        <v>0.40145358914715529</v>
      </c>
      <c r="N580" s="22">
        <f t="shared" si="128"/>
        <v>0.40347255325329029</v>
      </c>
      <c r="O580" s="22">
        <f t="shared" si="128"/>
        <v>0.40481416413578281</v>
      </c>
      <c r="P580" s="22">
        <f t="shared" si="128"/>
        <v>0.40546521734783819</v>
      </c>
      <c r="Q580" s="22">
        <f t="shared" si="128"/>
        <v>0.40690363619044922</v>
      </c>
      <c r="R580" s="22">
        <f t="shared" si="128"/>
        <v>0.40855374420631202</v>
      </c>
      <c r="S580" s="22">
        <f t="shared" si="128"/>
        <v>0.39694485067455443</v>
      </c>
      <c r="T580" s="22">
        <f t="shared" si="128"/>
        <v>0.40377484899001992</v>
      </c>
      <c r="U580" s="22">
        <f t="shared" si="128"/>
        <v>0.69472691845052781</v>
      </c>
      <c r="V580" s="22">
        <f t="shared" si="128"/>
        <v>0.70310152718694741</v>
      </c>
      <c r="W580" s="22">
        <f t="shared" si="128"/>
        <v>0.71110880509409102</v>
      </c>
      <c r="X580" s="22">
        <f t="shared" si="128"/>
        <v>0.718612550142118</v>
      </c>
      <c r="Y580" s="22">
        <f t="shared" si="128"/>
        <v>0.7254123730618981</v>
      </c>
      <c r="Z580" s="22">
        <f t="shared" si="128"/>
        <v>0.73147651852735551</v>
      </c>
      <c r="AA580" s="22">
        <f t="shared" si="128"/>
        <v>0.73676965969026942</v>
      </c>
      <c r="AB580" s="22">
        <f t="shared" si="128"/>
        <v>0.74126505933946241</v>
      </c>
      <c r="AC580" s="22">
        <f t="shared" si="128"/>
        <v>0.74494151296918631</v>
      </c>
      <c r="AD580" s="22">
        <f t="shared" si="128"/>
        <v>0.74777672987859323</v>
      </c>
      <c r="AE580" s="22">
        <f t="shared" si="128"/>
        <v>0.7497573654957449</v>
      </c>
      <c r="AF580" s="22">
        <f t="shared" si="128"/>
        <v>0.75087061941702216</v>
      </c>
      <c r="AG580" s="22">
        <f t="shared" si="128"/>
        <v>0.75110412486622213</v>
      </c>
      <c r="AH580" s="22">
        <f t="shared" si="128"/>
        <v>0.75045562343243666</v>
      </c>
      <c r="AI580" s="22">
        <f t="shared" si="128"/>
        <v>0.74892880709192955</v>
      </c>
      <c r="AJ580" s="22">
        <f t="shared" si="128"/>
        <v>0.2369481237841857</v>
      </c>
      <c r="AK580" s="22">
        <f t="shared" si="128"/>
        <v>0.23712109193812289</v>
      </c>
      <c r="AL580" s="22">
        <f t="shared" si="128"/>
        <v>0.23728160870243259</v>
      </c>
      <c r="AM580" s="22">
        <f t="shared" si="128"/>
        <v>0.2374307599177384</v>
      </c>
      <c r="AN580" s="22">
        <f t="shared" si="128"/>
        <v>0.2375698831121214</v>
      </c>
      <c r="AO580" s="22">
        <f t="shared" si="128"/>
        <v>0.23769461188435137</v>
      </c>
      <c r="AP580" s="22">
        <f t="shared" si="128"/>
        <v>0.2378020140279184</v>
      </c>
      <c r="AQ580" s="22">
        <f t="shared" si="128"/>
        <v>0.23789161932894973</v>
      </c>
      <c r="AR580" s="22">
        <f t="shared" si="128"/>
        <v>0.23796010078507188</v>
      </c>
      <c r="AS580" s="22">
        <f t="shared" si="128"/>
        <v>0.2380038463120322</v>
      </c>
      <c r="AT580" s="22">
        <f t="shared" si="128"/>
        <v>0.23802240976704672</v>
      </c>
      <c r="AU580" s="22">
        <f t="shared" si="128"/>
        <v>0.23801630420250081</v>
      </c>
      <c r="AV580" s="22">
        <f t="shared" si="128"/>
        <v>0.23798588741324539</v>
      </c>
      <c r="AW580" s="22">
        <f t="shared" si="128"/>
        <v>0.23792776204046176</v>
      </c>
      <c r="AY580" s="79"/>
    </row>
    <row r="581" spans="1:51" x14ac:dyDescent="0.25">
      <c r="A581" s="95" t="str">
        <f t="shared" si="108"/>
        <v>PQ MM Volatilisation</v>
      </c>
      <c r="B581" s="95" t="s">
        <v>968</v>
      </c>
      <c r="C581" s="95" t="s">
        <v>1332</v>
      </c>
      <c r="D581" t="s">
        <v>369</v>
      </c>
      <c r="E581" t="s">
        <v>64</v>
      </c>
      <c r="F581" t="s">
        <v>62</v>
      </c>
      <c r="G581" t="s">
        <v>1154</v>
      </c>
      <c r="H581" t="s">
        <v>1291</v>
      </c>
      <c r="I581" t="s">
        <v>139</v>
      </c>
      <c r="J581" t="s">
        <v>287</v>
      </c>
      <c r="K581" s="22">
        <f t="shared" si="127"/>
        <v>3.1249813656142676E-2</v>
      </c>
      <c r="L581" s="22">
        <f t="shared" si="128"/>
        <v>3.1424516095088999E-2</v>
      </c>
      <c r="M581" s="22">
        <f t="shared" si="128"/>
        <v>3.1672388936885787E-2</v>
      </c>
      <c r="N581" s="22">
        <f t="shared" si="128"/>
        <v>3.1831673641638247E-2</v>
      </c>
      <c r="O581" s="22">
        <f t="shared" si="128"/>
        <v>3.1937519056453263E-2</v>
      </c>
      <c r="P581" s="22">
        <f t="shared" si="128"/>
        <v>3.1988883426104654E-2</v>
      </c>
      <c r="Q581" s="22">
        <f t="shared" si="128"/>
        <v>3.2102366434524382E-2</v>
      </c>
      <c r="R581" s="22">
        <f t="shared" si="128"/>
        <v>3.2232550506305399E-2</v>
      </c>
      <c r="S581" s="22">
        <f t="shared" si="128"/>
        <v>3.1316675294314346E-2</v>
      </c>
      <c r="T581" s="22">
        <f t="shared" si="128"/>
        <v>3.1855523043926581E-2</v>
      </c>
      <c r="U581" s="22">
        <f t="shared" si="128"/>
        <v>5.4809974953353012E-2</v>
      </c>
      <c r="V581" s="22">
        <f t="shared" si="128"/>
        <v>5.547068361872478E-2</v>
      </c>
      <c r="W581" s="22">
        <f t="shared" si="128"/>
        <v>5.6102411985482069E-2</v>
      </c>
      <c r="X581" s="22">
        <f t="shared" si="128"/>
        <v>5.6694414493540908E-2</v>
      </c>
      <c r="Y581" s="22">
        <f t="shared" si="128"/>
        <v>5.7230881577257239E-2</v>
      </c>
      <c r="Z581" s="22">
        <f t="shared" si="128"/>
        <v>5.7709307923276061E-2</v>
      </c>
      <c r="AA581" s="22">
        <f t="shared" si="128"/>
        <v>5.812690644560041E-2</v>
      </c>
      <c r="AB581" s="22">
        <f t="shared" si="128"/>
        <v>5.8481567731400452E-2</v>
      </c>
      <c r="AC581" s="22">
        <f t="shared" si="128"/>
        <v>5.8771618866617373E-2</v>
      </c>
      <c r="AD581" s="22">
        <f t="shared" si="128"/>
        <v>5.8995301242619896E-2</v>
      </c>
      <c r="AE581" s="22">
        <f t="shared" si="128"/>
        <v>5.9151562049110484E-2</v>
      </c>
      <c r="AF581" s="22">
        <f t="shared" si="128"/>
        <v>5.9239391407555408E-2</v>
      </c>
      <c r="AG581" s="22">
        <f t="shared" si="128"/>
        <v>5.9257813650140552E-2</v>
      </c>
      <c r="AH581" s="22">
        <f t="shared" si="128"/>
        <v>5.9206650601179869E-2</v>
      </c>
      <c r="AI581" s="22">
        <f t="shared" si="128"/>
        <v>5.9086193536455466E-2</v>
      </c>
      <c r="AJ581" s="22">
        <f t="shared" si="128"/>
        <v>1.8693849892589171E-2</v>
      </c>
      <c r="AK581" s="22">
        <f t="shared" si="128"/>
        <v>1.870749608929358E-2</v>
      </c>
      <c r="AL581" s="22">
        <f t="shared" si="128"/>
        <v>1.8720159942669283E-2</v>
      </c>
      <c r="AM581" s="22">
        <f t="shared" si="128"/>
        <v>1.873192711932253E-2</v>
      </c>
      <c r="AN581" s="22">
        <f t="shared" si="128"/>
        <v>1.8742903142558495E-2</v>
      </c>
      <c r="AO581" s="22">
        <f t="shared" si="128"/>
        <v>1.8752743528327825E-2</v>
      </c>
      <c r="AP581" s="22">
        <f t="shared" si="128"/>
        <v>1.8761216942330506E-2</v>
      </c>
      <c r="AQ581" s="22">
        <f t="shared" si="128"/>
        <v>1.8768286287385059E-2</v>
      </c>
      <c r="AR581" s="22">
        <f t="shared" si="128"/>
        <v>1.8773689082058967E-2</v>
      </c>
      <c r="AS581" s="22">
        <f t="shared" si="128"/>
        <v>1.8777140353592202E-2</v>
      </c>
      <c r="AT581" s="22">
        <f t="shared" si="128"/>
        <v>1.8778604903874292E-2</v>
      </c>
      <c r="AU581" s="22">
        <f t="shared" si="128"/>
        <v>1.877812320980005E-2</v>
      </c>
      <c r="AV581" s="22">
        <f t="shared" si="128"/>
        <v>1.8775723499333995E-2</v>
      </c>
      <c r="AW581" s="22">
        <f t="shared" si="128"/>
        <v>1.8771137740323057E-2</v>
      </c>
      <c r="AY581" s="79"/>
    </row>
    <row r="582" spans="1:51" x14ac:dyDescent="0.25">
      <c r="A582" s="95" t="str">
        <f t="shared" si="108"/>
        <v>PQ MM Volatilisation</v>
      </c>
      <c r="B582" s="95" t="s">
        <v>968</v>
      </c>
      <c r="C582" s="95" t="s">
        <v>1332</v>
      </c>
      <c r="D582" t="s">
        <v>369</v>
      </c>
      <c r="E582" t="s">
        <v>64</v>
      </c>
      <c r="F582" t="s">
        <v>62</v>
      </c>
      <c r="G582" t="s">
        <v>1156</v>
      </c>
      <c r="H582" t="s">
        <v>1292</v>
      </c>
      <c r="I582" t="s">
        <v>139</v>
      </c>
      <c r="J582" t="s">
        <v>287</v>
      </c>
      <c r="K582" s="22">
        <f t="shared" si="127"/>
        <v>2.8967336997006343E-4</v>
      </c>
      <c r="L582" s="22">
        <f t="shared" si="128"/>
        <v>2.9129279224209421E-4</v>
      </c>
      <c r="M582" s="22">
        <f t="shared" si="128"/>
        <v>2.9359047510821973E-4</v>
      </c>
      <c r="N582" s="22">
        <f t="shared" si="128"/>
        <v>2.9506698110336069E-4</v>
      </c>
      <c r="O582" s="22">
        <f t="shared" si="128"/>
        <v>2.960481260901027E-4</v>
      </c>
      <c r="P582" s="22">
        <f t="shared" si="128"/>
        <v>2.9652425341095731E-4</v>
      </c>
      <c r="Q582" s="22">
        <f t="shared" si="128"/>
        <v>2.9757619585915883E-4</v>
      </c>
      <c r="R582" s="22">
        <f t="shared" si="128"/>
        <v>2.9878295053629658E-4</v>
      </c>
      <c r="S582" s="22">
        <f t="shared" si="128"/>
        <v>2.9029315081944787E-4</v>
      </c>
      <c r="T582" s="22">
        <f t="shared" si="128"/>
        <v>2.9528805559707279E-4</v>
      </c>
      <c r="U582" s="22">
        <f t="shared" si="128"/>
        <v>5.0806671449036449E-4</v>
      </c>
      <c r="V582" s="22">
        <f t="shared" si="128"/>
        <v>5.1419122159215467E-4</v>
      </c>
      <c r="W582" s="22">
        <f t="shared" si="128"/>
        <v>5.200470928276717E-4</v>
      </c>
      <c r="X582" s="22">
        <f t="shared" si="128"/>
        <v>5.2553472111970217E-4</v>
      </c>
      <c r="Y582" s="22">
        <f t="shared" si="128"/>
        <v>5.3050755806932593E-4</v>
      </c>
      <c r="Z582" s="22">
        <f t="shared" si="128"/>
        <v>5.3494238041606622E-4</v>
      </c>
      <c r="AA582" s="22">
        <f t="shared" si="128"/>
        <v>5.3881335297888784E-4</v>
      </c>
      <c r="AB582" s="22">
        <f t="shared" si="128"/>
        <v>5.42100922338055E-4</v>
      </c>
      <c r="AC582" s="22">
        <f t="shared" si="128"/>
        <v>5.4478958124419888E-4</v>
      </c>
      <c r="AD582" s="22">
        <f t="shared" si="128"/>
        <v>5.4686302809327551E-4</v>
      </c>
      <c r="AE582" s="22">
        <f t="shared" si="128"/>
        <v>5.4831150375167243E-4</v>
      </c>
      <c r="AF582" s="22">
        <f t="shared" si="128"/>
        <v>5.4912564704618944E-4</v>
      </c>
      <c r="AG582" s="22">
        <f t="shared" si="128"/>
        <v>5.4929641392341823E-4</v>
      </c>
      <c r="AH582" s="22">
        <f t="shared" si="128"/>
        <v>5.4882215276546513E-4</v>
      </c>
      <c r="AI582" s="22">
        <f t="shared" si="128"/>
        <v>5.4770556358322664E-4</v>
      </c>
      <c r="AJ582" s="22">
        <f t="shared" si="128"/>
        <v>1.7328456917170714E-4</v>
      </c>
      <c r="AK582" s="22">
        <f t="shared" si="128"/>
        <v>1.7341106399916873E-4</v>
      </c>
      <c r="AL582" s="22">
        <f t="shared" si="128"/>
        <v>1.7352845289385181E-4</v>
      </c>
      <c r="AM582" s="22">
        <f t="shared" si="128"/>
        <v>1.7363752995119643E-4</v>
      </c>
      <c r="AN582" s="22">
        <f t="shared" si="128"/>
        <v>1.7373927333036077E-4</v>
      </c>
      <c r="AO582" s="22">
        <f t="shared" si="128"/>
        <v>1.7383048980092826E-4</v>
      </c>
      <c r="AP582" s="22">
        <f t="shared" si="128"/>
        <v>1.7390903498575136E-4</v>
      </c>
      <c r="AQ582" s="22">
        <f t="shared" si="128"/>
        <v>1.7397456500868103E-4</v>
      </c>
      <c r="AR582" s="22">
        <f t="shared" si="128"/>
        <v>1.7402464677101302E-4</v>
      </c>
      <c r="AS582" s="22">
        <f t="shared" si="128"/>
        <v>1.7405663868836374E-4</v>
      </c>
      <c r="AT582" s="22">
        <f t="shared" si="128"/>
        <v>1.7407021448821884E-4</v>
      </c>
      <c r="AU582" s="22">
        <f t="shared" si="128"/>
        <v>1.7406574937532841E-4</v>
      </c>
      <c r="AV582" s="22">
        <f t="shared" si="128"/>
        <v>1.7404350501172027E-4</v>
      </c>
      <c r="AW582" s="22">
        <f t="shared" si="128"/>
        <v>1.740009968457137E-4</v>
      </c>
      <c r="AY582" s="79"/>
    </row>
    <row r="583" spans="1:51" x14ac:dyDescent="0.25">
      <c r="A583" s="95" t="str">
        <f t="shared" si="108"/>
        <v>PQ MM Volatilisation</v>
      </c>
      <c r="B583" s="95" t="s">
        <v>968</v>
      </c>
      <c r="C583" s="95" t="s">
        <v>1332</v>
      </c>
      <c r="D583" t="s">
        <v>369</v>
      </c>
      <c r="E583" t="s">
        <v>64</v>
      </c>
      <c r="F583" t="s">
        <v>62</v>
      </c>
      <c r="G583" t="s">
        <v>1158</v>
      </c>
      <c r="H583" t="s">
        <v>1293</v>
      </c>
      <c r="I583" t="s">
        <v>139</v>
      </c>
      <c r="J583" t="s">
        <v>287</v>
      </c>
      <c r="K583" s="22">
        <f t="shared" si="127"/>
        <v>3.2323215352203878E-3</v>
      </c>
      <c r="L583" s="22">
        <f t="shared" si="128"/>
        <v>3.2042886428129457E-3</v>
      </c>
      <c r="M583" s="22">
        <f t="shared" si="128"/>
        <v>3.193617369300608E-3</v>
      </c>
      <c r="N583" s="22">
        <f t="shared" si="128"/>
        <v>3.1509707896886733E-3</v>
      </c>
      <c r="O583" s="22">
        <f t="shared" si="128"/>
        <v>3.0890682378804119E-3</v>
      </c>
      <c r="P583" s="22">
        <f t="shared" si="128"/>
        <v>3.0091897617382946E-3</v>
      </c>
      <c r="Q583" s="22">
        <f t="shared" si="128"/>
        <v>2.9461872714039491E-3</v>
      </c>
      <c r="R583" s="22">
        <f t="shared" si="128"/>
        <v>2.8865797531671873E-3</v>
      </c>
      <c r="S583" s="22">
        <f t="shared" si="128"/>
        <v>2.5815224060103171E-3</v>
      </c>
      <c r="T583" s="22">
        <f t="shared" si="128"/>
        <v>2.6809806193820299E-3</v>
      </c>
      <c r="U583" s="22">
        <f t="shared" si="128"/>
        <v>8.4496349357244746E-3</v>
      </c>
      <c r="V583" s="22">
        <f t="shared" si="128"/>
        <v>8.490390729273779E-3</v>
      </c>
      <c r="W583" s="22">
        <f t="shared" si="128"/>
        <v>8.5164743363873984E-3</v>
      </c>
      <c r="X583" s="22">
        <f t="shared" si="128"/>
        <v>8.5278804443353062E-3</v>
      </c>
      <c r="Y583" s="22">
        <f t="shared" si="128"/>
        <v>8.5248506776145015E-3</v>
      </c>
      <c r="Z583" s="22">
        <f t="shared" si="128"/>
        <v>8.5072398121281648E-3</v>
      </c>
      <c r="AA583" s="22">
        <f t="shared" si="128"/>
        <v>8.4750047085989932E-3</v>
      </c>
      <c r="AB583" s="22">
        <f t="shared" si="128"/>
        <v>8.4281720385821924E-3</v>
      </c>
      <c r="AC583" s="22">
        <f t="shared" si="128"/>
        <v>8.3668471101216637E-3</v>
      </c>
      <c r="AD583" s="22">
        <f t="shared" si="128"/>
        <v>8.2215560258446178E-3</v>
      </c>
      <c r="AE583" s="22">
        <f t="shared" si="128"/>
        <v>8.0625794404136485E-3</v>
      </c>
      <c r="AF583" s="22">
        <f t="shared" si="128"/>
        <v>7.8906316671852623E-3</v>
      </c>
      <c r="AG583" s="22">
        <f t="shared" si="128"/>
        <v>7.7065081858302149E-3</v>
      </c>
      <c r="AH583" s="22">
        <f t="shared" si="128"/>
        <v>7.5110558523361756E-3</v>
      </c>
      <c r="AI583" s="22">
        <f t="shared" si="128"/>
        <v>7.3051764470657117E-3</v>
      </c>
      <c r="AJ583" s="22">
        <f t="shared" si="128"/>
        <v>-5.6405599805615676E-4</v>
      </c>
      <c r="AK583" s="22">
        <f t="shared" si="128"/>
        <v>-5.5047515962352916E-4</v>
      </c>
      <c r="AL583" s="22">
        <f t="shared" si="128"/>
        <v>-5.3703562288424922E-4</v>
      </c>
      <c r="AM583" s="22">
        <f t="shared" si="128"/>
        <v>-5.2373599978206974E-4</v>
      </c>
      <c r="AN583" s="22">
        <f t="shared" si="128"/>
        <v>-5.1318044022279606E-4</v>
      </c>
      <c r="AO583" s="22">
        <f t="shared" si="128"/>
        <v>-5.0272501169057937E-4</v>
      </c>
      <c r="AP583" s="22">
        <f t="shared" si="128"/>
        <v>-4.9236193773087231E-4</v>
      </c>
      <c r="AQ583" s="22">
        <f t="shared" si="128"/>
        <v>-4.8208865134491532E-4</v>
      </c>
      <c r="AR583" s="22">
        <f t="shared" si="128"/>
        <v>-4.7189764173024049E-4</v>
      </c>
      <c r="AS583" s="22">
        <f t="shared" si="128"/>
        <v>-4.6178155356127546E-4</v>
      </c>
      <c r="AT583" s="22">
        <f t="shared" si="128"/>
        <v>-4.5173920552966836E-4</v>
      </c>
      <c r="AU583" s="22">
        <f t="shared" si="128"/>
        <v>-4.4177121806458731E-4</v>
      </c>
      <c r="AV583" s="22">
        <f t="shared" si="128"/>
        <v>-4.31877971766583E-4</v>
      </c>
      <c r="AW583" s="22">
        <f t="shared" si="128"/>
        <v>-4.220537843353357E-4</v>
      </c>
      <c r="AY583" s="79"/>
    </row>
    <row r="584" spans="1:51" x14ac:dyDescent="0.25">
      <c r="A584" s="95" t="str">
        <f t="shared" si="108"/>
        <v>PQ MM Volatilisation</v>
      </c>
      <c r="B584" s="95" t="s">
        <v>968</v>
      </c>
      <c r="C584" s="95" t="s">
        <v>1332</v>
      </c>
      <c r="D584" t="s">
        <v>369</v>
      </c>
      <c r="E584" t="s">
        <v>64</v>
      </c>
      <c r="F584" t="s">
        <v>62</v>
      </c>
      <c r="G584" t="s">
        <v>1160</v>
      </c>
      <c r="H584" t="s">
        <v>1294</v>
      </c>
      <c r="I584" t="s">
        <v>139</v>
      </c>
      <c r="J584" t="s">
        <v>287</v>
      </c>
      <c r="K584" s="22">
        <f t="shared" si="127"/>
        <v>1.6090517274103568E-2</v>
      </c>
      <c r="L584" s="22">
        <f t="shared" si="128"/>
        <v>1.5950969356419611E-2</v>
      </c>
      <c r="M584" s="22">
        <f t="shared" si="128"/>
        <v>1.5897847688628834E-2</v>
      </c>
      <c r="N584" s="22">
        <f t="shared" si="128"/>
        <v>1.5685552742581491E-2</v>
      </c>
      <c r="O584" s="22">
        <f t="shared" si="128"/>
        <v>1.5377401443792458E-2</v>
      </c>
      <c r="P584" s="22">
        <f t="shared" si="128"/>
        <v>1.4979765878707448E-2</v>
      </c>
      <c r="Q584" s="22">
        <f t="shared" si="128"/>
        <v>1.4666139078901096E-2</v>
      </c>
      <c r="R584" s="22">
        <f t="shared" si="128"/>
        <v>1.4369412471908493E-2</v>
      </c>
      <c r="S584" s="22">
        <f t="shared" si="128"/>
        <v>1.2850835046817909E-2</v>
      </c>
      <c r="T584" s="22">
        <f t="shared" si="128"/>
        <v>1.3345938669050808E-2</v>
      </c>
      <c r="U584" s="22">
        <f t="shared" si="128"/>
        <v>4.2062336748275767E-2</v>
      </c>
      <c r="V584" s="22">
        <f t="shared" si="128"/>
        <v>4.2265219349211125E-2</v>
      </c>
      <c r="W584" s="22">
        <f t="shared" si="128"/>
        <v>4.2395063712236107E-2</v>
      </c>
      <c r="X584" s="22">
        <f t="shared" si="128"/>
        <v>4.2451843390546674E-2</v>
      </c>
      <c r="Y584" s="22">
        <f t="shared" si="128"/>
        <v>4.2436761192434141E-2</v>
      </c>
      <c r="Z584" s="22">
        <f t="shared" si="128"/>
        <v>4.234909419141579E-2</v>
      </c>
      <c r="AA584" s="22">
        <f t="shared" si="128"/>
        <v>4.2188627639893318E-2</v>
      </c>
      <c r="AB584" s="22">
        <f t="shared" si="128"/>
        <v>4.195549430903911E-2</v>
      </c>
      <c r="AC584" s="22">
        <f t="shared" si="128"/>
        <v>4.1650218422969176E-2</v>
      </c>
      <c r="AD584" s="22">
        <f t="shared" si="128"/>
        <v>4.0926958476252988E-2</v>
      </c>
      <c r="AE584" s="22">
        <f t="shared" si="128"/>
        <v>4.0135572017269229E-2</v>
      </c>
      <c r="AF584" s="22">
        <f t="shared" si="128"/>
        <v>3.9279614902474849E-2</v>
      </c>
      <c r="AG584" s="22">
        <f t="shared" si="128"/>
        <v>3.8363047034758228E-2</v>
      </c>
      <c r="AH584" s="22">
        <f t="shared" si="128"/>
        <v>3.7390084068641902E-2</v>
      </c>
      <c r="AI584" s="22">
        <f t="shared" si="128"/>
        <v>3.6365215072537933E-2</v>
      </c>
      <c r="AJ584" s="22">
        <f t="shared" si="128"/>
        <v>-2.8078743656501674E-3</v>
      </c>
      <c r="AK584" s="22">
        <f t="shared" si="128"/>
        <v>-2.7402688650785463E-3</v>
      </c>
      <c r="AL584" s="22">
        <f t="shared" si="128"/>
        <v>-2.6733667652400826E-3</v>
      </c>
      <c r="AM584" s="22">
        <f t="shared" si="128"/>
        <v>-2.6071611563818981E-3</v>
      </c>
      <c r="AN584" s="22">
        <f t="shared" si="128"/>
        <v>-2.554615513389502E-3</v>
      </c>
      <c r="AO584" s="22">
        <f t="shared" si="128"/>
        <v>-2.5025683232901678E-3</v>
      </c>
      <c r="AP584" s="22">
        <f t="shared" si="128"/>
        <v>-2.4509808748434249E-3</v>
      </c>
      <c r="AQ584" s="22">
        <f t="shared" si="128"/>
        <v>-2.3998403895130306E-3</v>
      </c>
      <c r="AR584" s="22">
        <f t="shared" si="128"/>
        <v>-2.3491094784762676E-3</v>
      </c>
      <c r="AS584" s="22">
        <f t="shared" si="128"/>
        <v>-2.2987515268753948E-3</v>
      </c>
      <c r="AT584" s="22">
        <f t="shared" si="128"/>
        <v>-2.2487606541498821E-3</v>
      </c>
      <c r="AU584" s="22">
        <f t="shared" si="128"/>
        <v>-2.1991399488000989E-3</v>
      </c>
      <c r="AV584" s="22">
        <f t="shared" si="128"/>
        <v>-2.1498913054580166E-3</v>
      </c>
      <c r="AW584" s="22">
        <f t="shared" si="128"/>
        <v>-2.1009864375963051E-3</v>
      </c>
      <c r="AY584" s="79"/>
    </row>
    <row r="585" spans="1:51" x14ac:dyDescent="0.25">
      <c r="A585" s="95" t="str">
        <f t="shared" si="108"/>
        <v>PQ MM Volatilisation</v>
      </c>
      <c r="B585" s="95" t="s">
        <v>968</v>
      </c>
      <c r="C585" s="95" t="s">
        <v>1332</v>
      </c>
      <c r="D585" t="s">
        <v>369</v>
      </c>
      <c r="E585" t="s">
        <v>64</v>
      </c>
      <c r="F585" t="s">
        <v>62</v>
      </c>
      <c r="G585" t="s">
        <v>1162</v>
      </c>
      <c r="H585" t="s">
        <v>1295</v>
      </c>
      <c r="I585" t="s">
        <v>139</v>
      </c>
      <c r="J585" t="s">
        <v>287</v>
      </c>
      <c r="K585" s="22">
        <f t="shared" si="127"/>
        <v>0.15836052531214873</v>
      </c>
      <c r="L585" s="22">
        <f t="shared" si="128"/>
        <v>0.16370016056893644</v>
      </c>
      <c r="M585" s="22">
        <f t="shared" si="128"/>
        <v>0.17003774892948584</v>
      </c>
      <c r="N585" s="22">
        <f t="shared" si="128"/>
        <v>0.17476418316081979</v>
      </c>
      <c r="O585" s="22">
        <f t="shared" si="128"/>
        <v>0.1784091501709566</v>
      </c>
      <c r="P585" s="22">
        <f t="shared" si="128"/>
        <v>0.18092055691117109</v>
      </c>
      <c r="Q585" s="22">
        <f t="shared" si="128"/>
        <v>0.18434967364231722</v>
      </c>
      <c r="R585" s="22">
        <f t="shared" si="128"/>
        <v>0.18794438918293385</v>
      </c>
      <c r="S585" s="22">
        <f t="shared" si="128"/>
        <v>0.17487533171838066</v>
      </c>
      <c r="T585" s="22">
        <f t="shared" si="128"/>
        <v>0.18598828710895501</v>
      </c>
      <c r="U585" s="22">
        <f t="shared" si="128"/>
        <v>0.60010716171461598</v>
      </c>
      <c r="V585" s="22">
        <f t="shared" si="128"/>
        <v>0.61714803501653059</v>
      </c>
      <c r="W585" s="22">
        <f t="shared" si="128"/>
        <v>0.63339573291461304</v>
      </c>
      <c r="X585" s="22">
        <f t="shared" si="128"/>
        <v>0.64878782379484634</v>
      </c>
      <c r="Y585" s="22">
        <f t="shared" si="128"/>
        <v>0.6632790614565599</v>
      </c>
      <c r="Z585" s="22">
        <f t="shared" si="128"/>
        <v>0.67679301375274348</v>
      </c>
      <c r="AA585" s="22">
        <f t="shared" si="128"/>
        <v>0.68925834109941053</v>
      </c>
      <c r="AB585" s="22">
        <f t="shared" si="128"/>
        <v>0.70060688133816351</v>
      </c>
      <c r="AC585" s="22">
        <f t="shared" si="128"/>
        <v>0.71077490529773002</v>
      </c>
      <c r="AD585" s="22">
        <f t="shared" si="128"/>
        <v>0.72159413752844115</v>
      </c>
      <c r="AE585" s="22">
        <f t="shared" si="128"/>
        <v>0.73115327204335434</v>
      </c>
      <c r="AF585" s="22">
        <f t="shared" si="128"/>
        <v>0.7393963545283444</v>
      </c>
      <c r="AG585" s="22">
        <f t="shared" si="128"/>
        <v>0.74627481362949688</v>
      </c>
      <c r="AH585" s="22">
        <f t="shared" si="128"/>
        <v>0.75174577116771069</v>
      </c>
      <c r="AI585" s="22">
        <f t="shared" si="128"/>
        <v>0.75577335036803739</v>
      </c>
      <c r="AJ585" s="22">
        <f t="shared" si="128"/>
        <v>-6.0331583230930269E-2</v>
      </c>
      <c r="AK585" s="22">
        <f t="shared" si="128"/>
        <v>-6.0883763489548361E-2</v>
      </c>
      <c r="AL585" s="22">
        <f t="shared" si="128"/>
        <v>-6.1432292472249253E-2</v>
      </c>
      <c r="AM585" s="22">
        <f t="shared" si="128"/>
        <v>-6.1977443387012172E-2</v>
      </c>
      <c r="AN585" s="22">
        <f t="shared" si="128"/>
        <v>-6.2441792261108069E-2</v>
      </c>
      <c r="AO585" s="22">
        <f t="shared" si="128"/>
        <v>-6.2901498019431304E-2</v>
      </c>
      <c r="AP585" s="22">
        <f t="shared" si="128"/>
        <v>-6.3355857064212845E-2</v>
      </c>
      <c r="AQ585" s="22">
        <f t="shared" si="128"/>
        <v>-6.3804744436236446E-2</v>
      </c>
      <c r="AR585" s="22">
        <f t="shared" si="128"/>
        <v>-6.4247322567233908E-2</v>
      </c>
      <c r="AS585" s="22">
        <f t="shared" si="128"/>
        <v>-6.4682656506044156E-2</v>
      </c>
      <c r="AT585" s="22">
        <f t="shared" si="128"/>
        <v>-6.5110575477313207E-2</v>
      </c>
      <c r="AU585" s="22">
        <f t="shared" si="128"/>
        <v>-6.5531144171927541E-2</v>
      </c>
      <c r="AV585" s="22">
        <f t="shared" si="128"/>
        <v>-6.5944388466371143E-2</v>
      </c>
      <c r="AW585" s="22">
        <f t="shared" si="128"/>
        <v>-6.6349375385408998E-2</v>
      </c>
      <c r="AY585" s="79"/>
    </row>
    <row r="586" spans="1:51" x14ac:dyDescent="0.25">
      <c r="A586" s="95" t="str">
        <f t="shared" si="108"/>
        <v>PQ MM Volatilisation</v>
      </c>
      <c r="B586" s="95" t="s">
        <v>968</v>
      </c>
      <c r="C586" s="95" t="s">
        <v>1332</v>
      </c>
      <c r="D586" t="s">
        <v>369</v>
      </c>
      <c r="E586" t="s">
        <v>64</v>
      </c>
      <c r="F586" t="s">
        <v>62</v>
      </c>
      <c r="G586" t="s">
        <v>1164</v>
      </c>
      <c r="H586" t="s">
        <v>1296</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1.188899025036581E-4</v>
      </c>
      <c r="T586" s="22">
        <f t="shared" si="128"/>
        <v>1.189690287837306E-4</v>
      </c>
      <c r="U586" s="22">
        <f t="shared" si="128"/>
        <v>1.205186108228768E-4</v>
      </c>
      <c r="V586" s="22">
        <f t="shared" si="128"/>
        <v>1.2055641166730559E-4</v>
      </c>
      <c r="W586" s="22">
        <f t="shared" si="128"/>
        <v>1.2071810381709918E-4</v>
      </c>
      <c r="X586" s="22">
        <f t="shared" si="128"/>
        <v>1.2095183374420191E-4</v>
      </c>
      <c r="Y586" s="22">
        <f t="shared" si="128"/>
        <v>1.2116896083678348E-4</v>
      </c>
      <c r="Z586" s="22">
        <f t="shared" si="128"/>
        <v>1.2137217342001694E-4</v>
      </c>
      <c r="AA586" s="22">
        <f t="shared" si="128"/>
        <v>1.2156038787143942E-4</v>
      </c>
      <c r="AB586" s="22">
        <f t="shared" si="128"/>
        <v>1.2173530001872475E-4</v>
      </c>
      <c r="AC586" s="22">
        <f t="shared" si="128"/>
        <v>1.2189956310100272E-4</v>
      </c>
      <c r="AD586" s="22">
        <f t="shared" si="128"/>
        <v>1.2205302234453671E-4</v>
      </c>
      <c r="AE586" s="22">
        <f t="shared" si="128"/>
        <v>1.2219813225383718E-4</v>
      </c>
      <c r="AF586" s="22">
        <f t="shared" si="128"/>
        <v>1.2233524409037175E-4</v>
      </c>
      <c r="AG586" s="22">
        <f t="shared" si="128"/>
        <v>1.2246247857835598E-4</v>
      </c>
      <c r="AH586" s="22">
        <f t="shared" si="128"/>
        <v>1.2258099962950754E-4</v>
      </c>
      <c r="AI586" s="22">
        <f t="shared" ref="L586:AW593" si="129">AI1537</f>
        <v>1.226926980528978E-4</v>
      </c>
      <c r="AJ586" s="22">
        <f t="shared" si="129"/>
        <v>1.2000006421083369E-4</v>
      </c>
      <c r="AK586" s="22">
        <f t="shared" si="129"/>
        <v>1.2011041514130369E-4</v>
      </c>
      <c r="AL586" s="22">
        <f t="shared" si="129"/>
        <v>1.2021334415571778E-4</v>
      </c>
      <c r="AM586" s="22">
        <f t="shared" si="129"/>
        <v>1.2030948030331916E-4</v>
      </c>
      <c r="AN586" s="22">
        <f t="shared" si="129"/>
        <v>1.2039958826810335E-4</v>
      </c>
      <c r="AO586" s="22">
        <f t="shared" si="129"/>
        <v>1.2048129784431056E-4</v>
      </c>
      <c r="AP586" s="22">
        <f t="shared" si="129"/>
        <v>1.2055302618273209E-4</v>
      </c>
      <c r="AQ586" s="22">
        <f t="shared" si="129"/>
        <v>1.2061454144456668E-4</v>
      </c>
      <c r="AR586" s="22">
        <f t="shared" si="129"/>
        <v>1.2066404237348151E-4</v>
      </c>
      <c r="AS586" s="22">
        <f t="shared" si="129"/>
        <v>1.206995710531147E-4</v>
      </c>
      <c r="AT586" s="22">
        <f t="shared" si="129"/>
        <v>1.2072090668873017E-4</v>
      </c>
      <c r="AU586" s="22">
        <f t="shared" si="129"/>
        <v>1.2072835361242823E-4</v>
      </c>
      <c r="AV586" s="22">
        <f t="shared" si="129"/>
        <v>1.2072212964886386E-4</v>
      </c>
      <c r="AW586" s="22">
        <f t="shared" si="129"/>
        <v>1.2070039195556491E-4</v>
      </c>
      <c r="AY586" s="79"/>
    </row>
    <row r="587" spans="1:51" x14ac:dyDescent="0.25">
      <c r="A587" s="95" t="str">
        <f t="shared" si="108"/>
        <v>PQ MM Volatilisation</v>
      </c>
      <c r="B587" s="95" t="s">
        <v>968</v>
      </c>
      <c r="C587" s="95" t="s">
        <v>1332</v>
      </c>
      <c r="D587" t="s">
        <v>369</v>
      </c>
      <c r="E587" t="s">
        <v>64</v>
      </c>
      <c r="F587" t="s">
        <v>62</v>
      </c>
      <c r="G587" t="s">
        <v>1166</v>
      </c>
      <c r="H587" t="s">
        <v>1297</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8.1588376197320827E-4</v>
      </c>
      <c r="T587" s="22">
        <f t="shared" si="129"/>
        <v>8.1642676727220354E-4</v>
      </c>
      <c r="U587" s="22">
        <f t="shared" si="129"/>
        <v>8.2706079755535391E-4</v>
      </c>
      <c r="V587" s="22">
        <f t="shared" si="129"/>
        <v>8.2732020642447472E-4</v>
      </c>
      <c r="W587" s="22">
        <f t="shared" si="129"/>
        <v>8.2842982125867857E-4</v>
      </c>
      <c r="X587" s="22">
        <f t="shared" si="129"/>
        <v>8.3003379643398353E-4</v>
      </c>
      <c r="Y587" s="22">
        <f t="shared" si="129"/>
        <v>8.3152383440517541E-4</v>
      </c>
      <c r="Z587" s="22">
        <f t="shared" si="129"/>
        <v>8.3291838384459249E-4</v>
      </c>
      <c r="AA587" s="22">
        <f t="shared" si="129"/>
        <v>8.342100083766216E-4</v>
      </c>
      <c r="AB587" s="22">
        <f t="shared" si="129"/>
        <v>8.3541034564443633E-4</v>
      </c>
      <c r="AC587" s="22">
        <f t="shared" si="129"/>
        <v>8.3653760354186898E-4</v>
      </c>
      <c r="AD587" s="22">
        <f t="shared" si="129"/>
        <v>8.3759071993180138E-4</v>
      </c>
      <c r="AE587" s="22">
        <f t="shared" si="129"/>
        <v>8.385865388887226E-4</v>
      </c>
      <c r="AF587" s="22">
        <f t="shared" si="129"/>
        <v>8.3952747094978998E-4</v>
      </c>
      <c r="AG587" s="22">
        <f t="shared" si="129"/>
        <v>8.404006195563853E-4</v>
      </c>
      <c r="AH587" s="22">
        <f t="shared" si="129"/>
        <v>8.4121397207035167E-4</v>
      </c>
      <c r="AI587" s="22">
        <f t="shared" si="129"/>
        <v>8.4198050419766407E-4</v>
      </c>
      <c r="AJ587" s="22">
        <f t="shared" si="129"/>
        <v>8.2350226355303057E-4</v>
      </c>
      <c r="AK587" s="22">
        <f t="shared" si="129"/>
        <v>8.2425954848970833E-4</v>
      </c>
      <c r="AL587" s="22">
        <f t="shared" si="129"/>
        <v>8.2496590041470697E-4</v>
      </c>
      <c r="AM587" s="22">
        <f t="shared" si="129"/>
        <v>8.256256361880137E-4</v>
      </c>
      <c r="AN587" s="22">
        <f t="shared" si="129"/>
        <v>8.2624400346516431E-4</v>
      </c>
      <c r="AO587" s="22">
        <f t="shared" si="129"/>
        <v>8.2680473667312636E-4</v>
      </c>
      <c r="AP587" s="22">
        <f t="shared" si="129"/>
        <v>8.2729697348516047E-4</v>
      </c>
      <c r="AQ587" s="22">
        <f t="shared" si="129"/>
        <v>8.2771912290397116E-4</v>
      </c>
      <c r="AR587" s="22">
        <f t="shared" si="129"/>
        <v>8.2805882378061209E-4</v>
      </c>
      <c r="AS587" s="22">
        <f t="shared" si="129"/>
        <v>8.2830263988430608E-4</v>
      </c>
      <c r="AT587" s="22">
        <f t="shared" si="129"/>
        <v>8.2844905600782401E-4</v>
      </c>
      <c r="AU587" s="22">
        <f t="shared" si="129"/>
        <v>8.2850016063482762E-4</v>
      </c>
      <c r="AV587" s="22">
        <f t="shared" si="129"/>
        <v>8.2845744859031962E-4</v>
      </c>
      <c r="AW587" s="22">
        <f t="shared" si="129"/>
        <v>8.2830827333984093E-4</v>
      </c>
      <c r="AY587" s="79"/>
    </row>
    <row r="588" spans="1:51" x14ac:dyDescent="0.25">
      <c r="A588" s="95" t="str">
        <f t="shared" si="108"/>
        <v>PQ MM Volatilisation</v>
      </c>
      <c r="B588" s="95" t="s">
        <v>968</v>
      </c>
      <c r="C588" s="95" t="s">
        <v>1332</v>
      </c>
      <c r="D588" t="s">
        <v>369</v>
      </c>
      <c r="E588" t="s">
        <v>64</v>
      </c>
      <c r="F588" t="s">
        <v>62</v>
      </c>
      <c r="G588" t="s">
        <v>1168</v>
      </c>
      <c r="H588" t="s">
        <v>1298</v>
      </c>
      <c r="I588" t="s">
        <v>139</v>
      </c>
      <c r="J588" t="s">
        <v>287</v>
      </c>
      <c r="K588" s="22">
        <f t="shared" si="127"/>
        <v>1.4486129996083085E-5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1.489070601115726E-5</v>
      </c>
      <c r="R588" s="22">
        <f t="shared" si="129"/>
        <v>1.4988675221399694E-5</v>
      </c>
      <c r="S588" s="22">
        <f t="shared" si="129"/>
        <v>1.4952125307683929E-5</v>
      </c>
      <c r="T588" s="22">
        <f t="shared" si="129"/>
        <v>1.497659485650934E-5</v>
      </c>
      <c r="U588" s="22">
        <f t="shared" si="129"/>
        <v>1.5280249217669806E-5</v>
      </c>
      <c r="V588" s="22">
        <f t="shared" si="129"/>
        <v>1.5293967954982136E-5</v>
      </c>
      <c r="W588" s="22">
        <f t="shared" si="129"/>
        <v>1.5330288500558316E-5</v>
      </c>
      <c r="X588" s="22">
        <f t="shared" si="129"/>
        <v>1.5379307775042966E-5</v>
      </c>
      <c r="Y588" s="22">
        <f t="shared" si="129"/>
        <v>1.5424265287422665E-5</v>
      </c>
      <c r="Z588" s="22">
        <f t="shared" si="129"/>
        <v>1.5465755297522265E-5</v>
      </c>
      <c r="AA588" s="22">
        <f t="shared" si="129"/>
        <v>1.5503650543984476E-5</v>
      </c>
      <c r="AB588" s="22">
        <f t="shared" si="129"/>
        <v>1.5538340165319424E-5</v>
      </c>
      <c r="AC588" s="22">
        <f t="shared" si="129"/>
        <v>1.5570383853796525E-5</v>
      </c>
      <c r="AD588" s="22">
        <f t="shared" si="129"/>
        <v>1.5599807426957594E-5</v>
      </c>
      <c r="AE588" s="22">
        <f t="shared" si="129"/>
        <v>1.5627118939580073E-5</v>
      </c>
      <c r="AF588" s="22">
        <f t="shared" si="129"/>
        <v>1.5652427506297688E-5</v>
      </c>
      <c r="AG588" s="22">
        <f t="shared" si="129"/>
        <v>1.56754241207766E-5</v>
      </c>
      <c r="AH588" s="22">
        <f t="shared" si="129"/>
        <v>1.5696363462061687E-5</v>
      </c>
      <c r="AI588" s="22">
        <f t="shared" si="129"/>
        <v>1.5715630256505464E-5</v>
      </c>
      <c r="AJ588" s="22">
        <f t="shared" si="129"/>
        <v>1.5216731234132435E-5</v>
      </c>
      <c r="AK588" s="22">
        <f t="shared" si="129"/>
        <v>1.5235961154748287E-5</v>
      </c>
      <c r="AL588" s="22">
        <f t="shared" si="129"/>
        <v>1.525346973608994E-5</v>
      </c>
      <c r="AM588" s="22">
        <f t="shared" si="129"/>
        <v>1.5269398678749372E-5</v>
      </c>
      <c r="AN588" s="22">
        <f t="shared" si="129"/>
        <v>1.528391208207959E-5</v>
      </c>
      <c r="AO588" s="22">
        <f t="shared" si="129"/>
        <v>1.5296597939016457E-5</v>
      </c>
      <c r="AP588" s="22">
        <f t="shared" si="129"/>
        <v>1.5307189728189323E-5</v>
      </c>
      <c r="AQ588" s="22">
        <f t="shared" si="129"/>
        <v>1.5315667991874673E-5</v>
      </c>
      <c r="AR588" s="22">
        <f t="shared" si="129"/>
        <v>1.5321726619352006E-5</v>
      </c>
      <c r="AS588" s="22">
        <f t="shared" si="129"/>
        <v>1.5325032079315766E-5</v>
      </c>
      <c r="AT588" s="22">
        <f t="shared" si="129"/>
        <v>1.5325567315367108E-5</v>
      </c>
      <c r="AU588" s="22">
        <f t="shared" si="129"/>
        <v>1.532340963092266E-5</v>
      </c>
      <c r="AV588" s="22">
        <f t="shared" si="129"/>
        <v>1.5318619367085747E-5</v>
      </c>
      <c r="AW588" s="22">
        <f t="shared" si="129"/>
        <v>1.5310883587655619E-5</v>
      </c>
      <c r="AY588" s="79"/>
    </row>
    <row r="589" spans="1:51" x14ac:dyDescent="0.25">
      <c r="A589" s="95" t="str">
        <f t="shared" si="108"/>
        <v>PQ MM Volatilisation</v>
      </c>
      <c r="B589" s="95" t="s">
        <v>968</v>
      </c>
      <c r="C589" s="95" t="s">
        <v>1332</v>
      </c>
      <c r="D589" t="s">
        <v>369</v>
      </c>
      <c r="E589" t="s">
        <v>64</v>
      </c>
      <c r="F589" t="s">
        <v>62</v>
      </c>
      <c r="G589" t="s">
        <v>1170</v>
      </c>
      <c r="H589" t="s">
        <v>1299</v>
      </c>
      <c r="I589" t="s">
        <v>139</v>
      </c>
      <c r="J589" t="s">
        <v>287</v>
      </c>
      <c r="K589" s="22">
        <f t="shared" si="127"/>
        <v>1.4738364076719787E-3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1.5149984613639169E-3</v>
      </c>
      <c r="R589" s="22">
        <f t="shared" si="129"/>
        <v>1.5249659674490626E-3</v>
      </c>
      <c r="S589" s="22">
        <f t="shared" si="129"/>
        <v>1.5212473349677769E-3</v>
      </c>
      <c r="T589" s="22">
        <f t="shared" si="129"/>
        <v>1.5237368964964909E-3</v>
      </c>
      <c r="U589" s="22">
        <f t="shared" si="129"/>
        <v>1.5546310589089282E-3</v>
      </c>
      <c r="V589" s="22">
        <f t="shared" si="129"/>
        <v>1.5560268198556864E-3</v>
      </c>
      <c r="W589" s="22">
        <f t="shared" si="129"/>
        <v>1.5597221161446995E-3</v>
      </c>
      <c r="X589" s="22">
        <f t="shared" si="129"/>
        <v>1.5647093964902903E-3</v>
      </c>
      <c r="Y589" s="22">
        <f t="shared" si="129"/>
        <v>1.5692834282407637E-3</v>
      </c>
      <c r="Z589" s="22">
        <f t="shared" si="129"/>
        <v>1.5735046721103132E-3</v>
      </c>
      <c r="AA589" s="22">
        <f t="shared" si="129"/>
        <v>1.5773601803743434E-3</v>
      </c>
      <c r="AB589" s="22">
        <f t="shared" si="129"/>
        <v>1.5808895444560981E-3</v>
      </c>
      <c r="AC589" s="22">
        <f t="shared" si="129"/>
        <v>1.5841497081248222E-3</v>
      </c>
      <c r="AD589" s="22">
        <f t="shared" si="129"/>
        <v>1.5871432980884847E-3</v>
      </c>
      <c r="AE589" s="22">
        <f t="shared" si="129"/>
        <v>1.5899220044553674E-3</v>
      </c>
      <c r="AF589" s="22">
        <f t="shared" si="129"/>
        <v>1.5924969286804358E-3</v>
      </c>
      <c r="AG589" s="22">
        <f t="shared" si="129"/>
        <v>1.5948366320850983E-3</v>
      </c>
      <c r="AH589" s="22">
        <f t="shared" si="129"/>
        <v>1.5969670260237814E-3</v>
      </c>
      <c r="AI589" s="22">
        <f t="shared" si="129"/>
        <v>1.5989272530214718E-3</v>
      </c>
      <c r="AJ589" s="22">
        <f t="shared" si="129"/>
        <v>1.54816866234721E-3</v>
      </c>
      <c r="AK589" s="22">
        <f t="shared" si="129"/>
        <v>1.5501251377569953E-3</v>
      </c>
      <c r="AL589" s="22">
        <f t="shared" si="129"/>
        <v>1.5519064820245804E-3</v>
      </c>
      <c r="AM589" s="22">
        <f t="shared" si="129"/>
        <v>1.5535271119397841E-3</v>
      </c>
      <c r="AN589" s="22">
        <f t="shared" si="129"/>
        <v>1.5550037231694973E-3</v>
      </c>
      <c r="AO589" s="22">
        <f t="shared" si="129"/>
        <v>1.5562943976160978E-3</v>
      </c>
      <c r="AP589" s="22">
        <f t="shared" si="129"/>
        <v>1.5573720190725925E-3</v>
      </c>
      <c r="AQ589" s="22">
        <f t="shared" si="129"/>
        <v>1.5582346078866301E-3</v>
      </c>
      <c r="AR589" s="22">
        <f t="shared" si="129"/>
        <v>1.5588510199828238E-3</v>
      </c>
      <c r="AS589" s="22">
        <f t="shared" si="129"/>
        <v>1.5591873214822584E-3</v>
      </c>
      <c r="AT589" s="22">
        <f t="shared" si="129"/>
        <v>1.5592417770462618E-3</v>
      </c>
      <c r="AU589" s="22">
        <f t="shared" si="129"/>
        <v>1.5590222516180525E-3</v>
      </c>
      <c r="AV589" s="22">
        <f t="shared" si="129"/>
        <v>1.5585348843745505E-3</v>
      </c>
      <c r="AW589" s="22">
        <f t="shared" si="129"/>
        <v>1.5577478368077457E-3</v>
      </c>
      <c r="AY589" s="79"/>
    </row>
    <row r="590" spans="1:51" x14ac:dyDescent="0.25">
      <c r="A590" s="95" t="str">
        <f t="shared" si="108"/>
        <v>PQ MM Volatilisation</v>
      </c>
      <c r="B590" s="95" t="s">
        <v>968</v>
      </c>
      <c r="C590" s="95" t="s">
        <v>1332</v>
      </c>
      <c r="D590" t="s">
        <v>369</v>
      </c>
      <c r="E590" t="s">
        <v>64</v>
      </c>
      <c r="F590" t="s">
        <v>62</v>
      </c>
      <c r="G590" t="s">
        <v>1172</v>
      </c>
      <c r="H590" t="s">
        <v>1300</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25">
      <c r="A591" s="95" t="str">
        <f t="shared" si="108"/>
        <v>PQ MM Volatilisation</v>
      </c>
      <c r="B591" s="95" t="s">
        <v>968</v>
      </c>
      <c r="C591" s="95" t="s">
        <v>1332</v>
      </c>
      <c r="D591" t="s">
        <v>369</v>
      </c>
      <c r="E591" t="s">
        <v>64</v>
      </c>
      <c r="F591" t="s">
        <v>62</v>
      </c>
      <c r="G591" t="s">
        <v>1174</v>
      </c>
      <c r="H591" t="s">
        <v>1301</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25">
      <c r="A592" s="95" t="str">
        <f t="shared" si="108"/>
        <v>PQ MM Volatilisation</v>
      </c>
      <c r="B592" s="95" t="s">
        <v>968</v>
      </c>
      <c r="C592" s="95" t="s">
        <v>1332</v>
      </c>
      <c r="D592" t="s">
        <v>369</v>
      </c>
      <c r="E592" t="s">
        <v>64</v>
      </c>
      <c r="F592" t="s">
        <v>62</v>
      </c>
      <c r="G592" t="s">
        <v>1176</v>
      </c>
      <c r="H592" t="s">
        <v>1302</v>
      </c>
      <c r="I592" t="s">
        <v>139</v>
      </c>
      <c r="J592" t="s">
        <v>287</v>
      </c>
      <c r="K592" s="22">
        <f t="shared" si="127"/>
        <v>0.13075625264316332</v>
      </c>
      <c r="L592" s="22">
        <f t="shared" si="129"/>
        <v>0.13004550543955865</v>
      </c>
      <c r="M592" s="22">
        <f t="shared" si="129"/>
        <v>0.13010384136507711</v>
      </c>
      <c r="N592" s="22">
        <f t="shared" si="129"/>
        <v>0.1289093884029483</v>
      </c>
      <c r="O592" s="22">
        <f t="shared" si="129"/>
        <v>0.12695857121838472</v>
      </c>
      <c r="P592" s="22">
        <f t="shared" si="129"/>
        <v>0.12428257569245393</v>
      </c>
      <c r="Q592" s="22">
        <f t="shared" si="129"/>
        <v>0.12233950618032063</v>
      </c>
      <c r="R592" s="22">
        <f t="shared" si="129"/>
        <v>0.1205683722616282</v>
      </c>
      <c r="S592" s="22">
        <f t="shared" si="129"/>
        <v>0.10847829407061217</v>
      </c>
      <c r="T592" s="22">
        <f t="shared" si="129"/>
        <v>0.1123518575177655</v>
      </c>
      <c r="U592" s="22">
        <f t="shared" si="129"/>
        <v>0.35913477358816853</v>
      </c>
      <c r="V592" s="22">
        <f t="shared" si="129"/>
        <v>0.36011925097262676</v>
      </c>
      <c r="W592" s="22">
        <f t="shared" si="129"/>
        <v>0.36048284734734032</v>
      </c>
      <c r="X592" s="22">
        <f t="shared" si="129"/>
        <v>0.36024196834078215</v>
      </c>
      <c r="Y592" s="22">
        <f t="shared" si="129"/>
        <v>0.35943295375101947</v>
      </c>
      <c r="Z592" s="22">
        <f t="shared" si="129"/>
        <v>0.35804837226792258</v>
      </c>
      <c r="AA592" s="22">
        <f t="shared" si="129"/>
        <v>0.35608623415272644</v>
      </c>
      <c r="AB592" s="22">
        <f t="shared" si="129"/>
        <v>0.35354672339575033</v>
      </c>
      <c r="AC592" s="22">
        <f t="shared" si="129"/>
        <v>0.350433097152205</v>
      </c>
      <c r="AD592" s="22">
        <f t="shared" si="129"/>
        <v>0.34675336928081568</v>
      </c>
      <c r="AE592" s="22">
        <f t="shared" si="129"/>
        <v>0.34251767477610762</v>
      </c>
      <c r="AF592" s="22">
        <f t="shared" si="129"/>
        <v>0.33774033524299119</v>
      </c>
      <c r="AG592" s="22">
        <f t="shared" si="129"/>
        <v>0.33243970303339465</v>
      </c>
      <c r="AH592" s="22">
        <f t="shared" si="129"/>
        <v>0.32663565742792322</v>
      </c>
      <c r="AI592" s="22">
        <f t="shared" si="129"/>
        <v>0.32035050647820129</v>
      </c>
      <c r="AJ592" s="22">
        <f t="shared" si="129"/>
        <v>-2.9850992029554574E-2</v>
      </c>
      <c r="AK592" s="22">
        <f t="shared" si="129"/>
        <v>-2.9527827789556205E-2</v>
      </c>
      <c r="AL592" s="22">
        <f t="shared" si="129"/>
        <v>-2.9203518600220937E-2</v>
      </c>
      <c r="AM592" s="22">
        <f t="shared" si="129"/>
        <v>-2.8878400916482732E-2</v>
      </c>
      <c r="AN592" s="22">
        <f t="shared" si="129"/>
        <v>-2.8552846585961845E-2</v>
      </c>
      <c r="AO592" s="22">
        <f t="shared" si="129"/>
        <v>-2.8225992627032188E-2</v>
      </c>
      <c r="AP592" s="22">
        <f t="shared" si="129"/>
        <v>-2.7897329553488923E-2</v>
      </c>
      <c r="AQ592" s="22">
        <f t="shared" si="129"/>
        <v>-2.756688911429131E-2</v>
      </c>
      <c r="AR592" s="22">
        <f t="shared" si="129"/>
        <v>-2.7234123713642547E-2</v>
      </c>
      <c r="AS592" s="22">
        <f t="shared" si="129"/>
        <v>-2.6898465289903917E-2</v>
      </c>
      <c r="AT592" s="22">
        <f t="shared" si="129"/>
        <v>-2.6560009108900318E-2</v>
      </c>
      <c r="AU592" s="22">
        <f t="shared" si="129"/>
        <v>-2.6219036811035483E-2</v>
      </c>
      <c r="AV592" s="22">
        <f t="shared" si="129"/>
        <v>-2.5875789307707536E-2</v>
      </c>
      <c r="AW592" s="22">
        <f t="shared" si="129"/>
        <v>-2.5529791390037318E-2</v>
      </c>
      <c r="AY592" s="79"/>
    </row>
    <row r="593" spans="1:51" x14ac:dyDescent="0.25">
      <c r="A593" s="95" t="str">
        <f t="shared" si="108"/>
        <v>PQ MM Volatilisation</v>
      </c>
      <c r="B593" s="95" t="s">
        <v>968</v>
      </c>
      <c r="C593" s="95" t="s">
        <v>1332</v>
      </c>
      <c r="D593" t="s">
        <v>369</v>
      </c>
      <c r="E593" t="s">
        <v>64</v>
      </c>
      <c r="F593" t="s">
        <v>62</v>
      </c>
      <c r="G593" t="s">
        <v>1178</v>
      </c>
      <c r="H593" t="s">
        <v>1303</v>
      </c>
      <c r="I593" t="s">
        <v>139</v>
      </c>
      <c r="J593" t="s">
        <v>287</v>
      </c>
      <c r="K593" s="22">
        <f t="shared" si="127"/>
        <v>1.2724633182830876E-2</v>
      </c>
      <c r="L593" s="22">
        <f t="shared" si="129"/>
        <v>1.2655466337890211E-2</v>
      </c>
      <c r="M593" s="22">
        <f t="shared" si="129"/>
        <v>1.2661143337946407E-2</v>
      </c>
      <c r="N593" s="22">
        <f t="shared" si="129"/>
        <v>1.2544904339887072E-2</v>
      </c>
      <c r="O593" s="22">
        <f t="shared" si="129"/>
        <v>1.2355059245839611E-2</v>
      </c>
      <c r="P593" s="22">
        <f t="shared" si="129"/>
        <v>1.2094642930917438E-2</v>
      </c>
      <c r="Q593" s="22">
        <f t="shared" si="129"/>
        <v>1.1905551806853844E-2</v>
      </c>
      <c r="R593" s="22">
        <f t="shared" si="129"/>
        <v>1.1733192711380723E-2</v>
      </c>
      <c r="S593" s="22">
        <f t="shared" si="129"/>
        <v>1.0556638573260382E-2</v>
      </c>
      <c r="T593" s="22">
        <f t="shared" si="129"/>
        <v>1.0933597020593381E-2</v>
      </c>
      <c r="U593" s="22">
        <f t="shared" si="129"/>
        <v>3.4949443447111525E-2</v>
      </c>
      <c r="V593" s="22">
        <f t="shared" si="129"/>
        <v>3.504524852978097E-2</v>
      </c>
      <c r="W593" s="22">
        <f t="shared" si="129"/>
        <v>3.5080632156959869E-2</v>
      </c>
      <c r="X593" s="22">
        <f t="shared" ref="L593:AW600" si="130">X1544</f>
        <v>3.5057190853481544E-2</v>
      </c>
      <c r="Y593" s="22">
        <f t="shared" si="130"/>
        <v>3.4978461051378834E-2</v>
      </c>
      <c r="Z593" s="22">
        <f t="shared" si="130"/>
        <v>3.484371956767917E-2</v>
      </c>
      <c r="AA593" s="22">
        <f t="shared" si="130"/>
        <v>3.465277276960857E-2</v>
      </c>
      <c r="AB593" s="22">
        <f t="shared" si="130"/>
        <v>3.4405638562309424E-2</v>
      </c>
      <c r="AC593" s="22">
        <f t="shared" si="130"/>
        <v>3.4102633918044564E-2</v>
      </c>
      <c r="AD593" s="22">
        <f t="shared" si="130"/>
        <v>3.3744538710897186E-2</v>
      </c>
      <c r="AE593" s="22">
        <f t="shared" si="130"/>
        <v>3.3332339234715881E-2</v>
      </c>
      <c r="AF593" s="22">
        <f t="shared" si="130"/>
        <v>3.2867429206171077E-2</v>
      </c>
      <c r="AG593" s="22">
        <f t="shared" si="130"/>
        <v>3.2351594596806102E-2</v>
      </c>
      <c r="AH593" s="22">
        <f t="shared" si="130"/>
        <v>3.1786769972261424E-2</v>
      </c>
      <c r="AI593" s="22">
        <f t="shared" si="130"/>
        <v>3.117512625567229E-2</v>
      </c>
      <c r="AJ593" s="22">
        <f t="shared" si="130"/>
        <v>-2.9049694836107746E-3</v>
      </c>
      <c r="AK593" s="22">
        <f t="shared" si="130"/>
        <v>-2.8735205369740911E-3</v>
      </c>
      <c r="AL593" s="22">
        <f t="shared" si="130"/>
        <v>-2.8419601688181263E-3</v>
      </c>
      <c r="AM593" s="22">
        <f t="shared" si="130"/>
        <v>-2.8103211214823929E-3</v>
      </c>
      <c r="AN593" s="22">
        <f t="shared" si="130"/>
        <v>-2.7786395815696092E-3</v>
      </c>
      <c r="AO593" s="22">
        <f t="shared" si="130"/>
        <v>-2.7468315674390254E-3</v>
      </c>
      <c r="AP593" s="22">
        <f t="shared" si="130"/>
        <v>-2.714847498095948E-3</v>
      </c>
      <c r="AQ593" s="22">
        <f t="shared" si="130"/>
        <v>-2.6826904632118271E-3</v>
      </c>
      <c r="AR593" s="22">
        <f t="shared" si="130"/>
        <v>-2.6503071731312461E-3</v>
      </c>
      <c r="AS593" s="22">
        <f t="shared" si="130"/>
        <v>-2.61764234655154E-3</v>
      </c>
      <c r="AT593" s="22">
        <f t="shared" si="130"/>
        <v>-2.5847052543309036E-3</v>
      </c>
      <c r="AU593" s="22">
        <f t="shared" si="130"/>
        <v>-2.5515233044957585E-3</v>
      </c>
      <c r="AV593" s="22">
        <f t="shared" si="130"/>
        <v>-2.5181199415017898E-3</v>
      </c>
      <c r="AW593" s="22">
        <f t="shared" si="130"/>
        <v>-2.4844489200754436E-3</v>
      </c>
      <c r="AY593" s="79"/>
    </row>
    <row r="594" spans="1:51" x14ac:dyDescent="0.25">
      <c r="A594" s="95" t="str">
        <f t="shared" si="108"/>
        <v>PQ MM Volatilisation</v>
      </c>
      <c r="B594" s="95" t="s">
        <v>968</v>
      </c>
      <c r="C594" s="95" t="s">
        <v>1332</v>
      </c>
      <c r="D594" t="s">
        <v>369</v>
      </c>
      <c r="E594" t="s">
        <v>64</v>
      </c>
      <c r="F594" t="s">
        <v>62</v>
      </c>
      <c r="G594" t="s">
        <v>1180</v>
      </c>
      <c r="H594" t="s">
        <v>1304</v>
      </c>
      <c r="I594" t="s">
        <v>139</v>
      </c>
      <c r="J594" t="s">
        <v>287</v>
      </c>
      <c r="K594" s="22">
        <f t="shared" si="127"/>
        <v>6.4453339767617121E-2</v>
      </c>
      <c r="L594" s="22">
        <f t="shared" si="130"/>
        <v>6.5763803942104557E-2</v>
      </c>
      <c r="M594" s="22">
        <f t="shared" si="130"/>
        <v>6.7295612361813625E-2</v>
      </c>
      <c r="N594" s="22">
        <f t="shared" si="130"/>
        <v>6.8471619369899747E-2</v>
      </c>
      <c r="O594" s="22">
        <f t="shared" si="130"/>
        <v>6.94156577655035E-2</v>
      </c>
      <c r="P594" s="22">
        <f t="shared" si="130"/>
        <v>7.0122113289878357E-2</v>
      </c>
      <c r="Q594" s="22">
        <f t="shared" si="130"/>
        <v>7.1027984276732931E-2</v>
      </c>
      <c r="R594" s="22">
        <f t="shared" si="130"/>
        <v>7.1969839340941866E-2</v>
      </c>
      <c r="S594" s="22">
        <f t="shared" si="130"/>
        <v>6.9132641817907584E-2</v>
      </c>
      <c r="T594" s="22">
        <f t="shared" si="130"/>
        <v>7.1668538235416565E-2</v>
      </c>
      <c r="U594" s="22">
        <f t="shared" si="130"/>
        <v>0.15927878056001546</v>
      </c>
      <c r="V594" s="22">
        <f t="shared" si="130"/>
        <v>0.16278043280676852</v>
      </c>
      <c r="W594" s="22">
        <f t="shared" si="130"/>
        <v>0.1661384841502746</v>
      </c>
      <c r="X594" s="22">
        <f t="shared" si="130"/>
        <v>0.16932327786154089</v>
      </c>
      <c r="Y594" s="22">
        <f t="shared" si="130"/>
        <v>0.17229459764803176</v>
      </c>
      <c r="Z594" s="22">
        <f t="shared" si="130"/>
        <v>0.17503945749810612</v>
      </c>
      <c r="AA594" s="22">
        <f t="shared" si="130"/>
        <v>0.17754464171079537</v>
      </c>
      <c r="AB594" s="22">
        <f t="shared" si="130"/>
        <v>0.17979875003476928</v>
      </c>
      <c r="AC594" s="22">
        <f t="shared" si="130"/>
        <v>0.18179177836428806</v>
      </c>
      <c r="AD594" s="22">
        <f t="shared" si="130"/>
        <v>0.18351408832752805</v>
      </c>
      <c r="AE594" s="22">
        <f t="shared" si="130"/>
        <v>0.18495811914653704</v>
      </c>
      <c r="AF594" s="22">
        <f t="shared" si="130"/>
        <v>0.18611704996451123</v>
      </c>
      <c r="AG594" s="22">
        <f t="shared" si="130"/>
        <v>0.18698481434150752</v>
      </c>
      <c r="AH594" s="22">
        <f t="shared" si="130"/>
        <v>0.18755776005425462</v>
      </c>
      <c r="AI594" s="22">
        <f t="shared" si="130"/>
        <v>0.18783399692655736</v>
      </c>
      <c r="AJ594" s="22">
        <f t="shared" si="130"/>
        <v>2.4486671101770791E-2</v>
      </c>
      <c r="AK594" s="22">
        <f t="shared" si="130"/>
        <v>2.4666387221284058E-2</v>
      </c>
      <c r="AL594" s="22">
        <f t="shared" si="130"/>
        <v>2.4841648409900843E-2</v>
      </c>
      <c r="AM594" s="22">
        <f t="shared" si="130"/>
        <v>2.5012718687706617E-2</v>
      </c>
      <c r="AN594" s="22">
        <f t="shared" si="130"/>
        <v>2.5179902406593305E-2</v>
      </c>
      <c r="AO594" s="22">
        <f t="shared" si="130"/>
        <v>2.5342514084649829E-2</v>
      </c>
      <c r="AP594" s="22">
        <f t="shared" si="130"/>
        <v>2.5500102306234843E-2</v>
      </c>
      <c r="AQ594" s="22">
        <f t="shared" si="130"/>
        <v>2.5652633826306989E-2</v>
      </c>
      <c r="AR594" s="22">
        <f t="shared" si="130"/>
        <v>2.5799570928013445E-2</v>
      </c>
      <c r="AS594" s="22">
        <f t="shared" si="130"/>
        <v>2.5940314994938186E-2</v>
      </c>
      <c r="AT594" s="22">
        <f t="shared" si="130"/>
        <v>2.6074813676088864E-2</v>
      </c>
      <c r="AU594" s="22">
        <f t="shared" si="130"/>
        <v>2.6203180413111957E-2</v>
      </c>
      <c r="AV594" s="22">
        <f t="shared" si="130"/>
        <v>2.6325499899042631E-2</v>
      </c>
      <c r="AW594" s="22">
        <f t="shared" si="130"/>
        <v>2.6441188397219272E-2</v>
      </c>
      <c r="AY594" s="79"/>
    </row>
    <row r="595" spans="1:51" x14ac:dyDescent="0.25">
      <c r="A595" s="95" t="str">
        <f t="shared" si="108"/>
        <v>PQ MM Volatilisation</v>
      </c>
      <c r="B595" s="95" t="s">
        <v>968</v>
      </c>
      <c r="C595" s="95" t="s">
        <v>1332</v>
      </c>
      <c r="D595" t="s">
        <v>369</v>
      </c>
      <c r="E595" t="s">
        <v>64</v>
      </c>
      <c r="F595" t="s">
        <v>62</v>
      </c>
      <c r="G595" t="s">
        <v>1182</v>
      </c>
      <c r="H595" t="s">
        <v>1305</v>
      </c>
      <c r="I595" t="s">
        <v>139</v>
      </c>
      <c r="J595" t="s">
        <v>287</v>
      </c>
      <c r="K595" s="22">
        <f t="shared" si="127"/>
        <v>0.31034319165291735</v>
      </c>
      <c r="L595" s="22">
        <f t="shared" si="130"/>
        <v>0.31442985679016994</v>
      </c>
      <c r="M595" s="22">
        <f t="shared" si="130"/>
        <v>0.32099421325528482</v>
      </c>
      <c r="N595" s="22">
        <f t="shared" si="130"/>
        <v>0.32287903178152921</v>
      </c>
      <c r="O595" s="22">
        <f t="shared" si="130"/>
        <v>0.32172327535887091</v>
      </c>
      <c r="P595" s="22">
        <f t="shared" si="130"/>
        <v>0.31753924052538912</v>
      </c>
      <c r="Q595" s="22">
        <f t="shared" si="130"/>
        <v>0.31577785743754255</v>
      </c>
      <c r="R595" s="22">
        <f t="shared" si="130"/>
        <v>0.31441607582114939</v>
      </c>
      <c r="S595" s="22">
        <f t="shared" si="130"/>
        <v>0.27420619396536416</v>
      </c>
      <c r="T595" s="22">
        <f t="shared" si="130"/>
        <v>0.29495818532939488</v>
      </c>
      <c r="U595" s="22">
        <f t="shared" si="130"/>
        <v>1.2825520746937493</v>
      </c>
      <c r="V595" s="22">
        <f t="shared" si="130"/>
        <v>1.3055461044676304</v>
      </c>
      <c r="W595" s="22">
        <f t="shared" si="130"/>
        <v>1.3259738285316456</v>
      </c>
      <c r="X595" s="22">
        <f t="shared" si="130"/>
        <v>1.3439224713343889</v>
      </c>
      <c r="Y595" s="22">
        <f t="shared" si="130"/>
        <v>1.3596359578831905</v>
      </c>
      <c r="Z595" s="22">
        <f t="shared" si="130"/>
        <v>1.3729964225138076</v>
      </c>
      <c r="AA595" s="22">
        <f t="shared" si="130"/>
        <v>1.3839133762561158</v>
      </c>
      <c r="AB595" s="22">
        <f t="shared" si="130"/>
        <v>1.392297876830487</v>
      </c>
      <c r="AC595" s="22">
        <f t="shared" si="130"/>
        <v>1.3980705991762232</v>
      </c>
      <c r="AD595" s="22">
        <f t="shared" si="130"/>
        <v>1.4011774518837516</v>
      </c>
      <c r="AE595" s="22">
        <f t="shared" si="130"/>
        <v>1.4015682854114344</v>
      </c>
      <c r="AF595" s="22">
        <f t="shared" si="130"/>
        <v>1.3992160776881843</v>
      </c>
      <c r="AG595" s="22">
        <f t="shared" si="130"/>
        <v>1.3941175452078094</v>
      </c>
      <c r="AH595" s="22">
        <f t="shared" si="130"/>
        <v>1.3862722906542229</v>
      </c>
      <c r="AI595" s="22">
        <f t="shared" si="130"/>
        <v>1.3756920657497529</v>
      </c>
      <c r="AJ595" s="22">
        <f t="shared" si="130"/>
        <v>-0.29376675967597721</v>
      </c>
      <c r="AK595" s="22">
        <f t="shared" si="130"/>
        <v>-0.29418248669382474</v>
      </c>
      <c r="AL595" s="22">
        <f t="shared" si="130"/>
        <v>-0.29455892044172599</v>
      </c>
      <c r="AM595" s="22">
        <f t="shared" si="130"/>
        <v>-0.29489926202307742</v>
      </c>
      <c r="AN595" s="22">
        <f t="shared" si="130"/>
        <v>-0.2952071711728716</v>
      </c>
      <c r="AO595" s="22">
        <f t="shared" si="130"/>
        <v>-0.29547405449445624</v>
      </c>
      <c r="AP595" s="22">
        <f t="shared" si="130"/>
        <v>-0.29569441698810944</v>
      </c>
      <c r="AQ595" s="22">
        <f t="shared" si="130"/>
        <v>-0.29586800918156786</v>
      </c>
      <c r="AR595" s="22">
        <f t="shared" si="130"/>
        <v>-0.29598849617700645</v>
      </c>
      <c r="AS595" s="22">
        <f t="shared" si="130"/>
        <v>-0.29604896826052718</v>
      </c>
      <c r="AT595" s="22">
        <f t="shared" si="130"/>
        <v>-0.29604922742667927</v>
      </c>
      <c r="AU595" s="22">
        <f t="shared" si="130"/>
        <v>-0.29599106772821226</v>
      </c>
      <c r="AV595" s="22">
        <f t="shared" si="130"/>
        <v>-0.29587591492784127</v>
      </c>
      <c r="AW595" s="22">
        <f t="shared" si="130"/>
        <v>-0.29569729144234697</v>
      </c>
      <c r="AY595" s="79"/>
    </row>
    <row r="596" spans="1:51" x14ac:dyDescent="0.25">
      <c r="A596" s="95" t="str">
        <f t="shared" si="108"/>
        <v>PQ MM Leaching</v>
      </c>
      <c r="B596" s="95" t="s">
        <v>968</v>
      </c>
      <c r="C596" s="95" t="s">
        <v>1333</v>
      </c>
      <c r="D596" t="s">
        <v>369</v>
      </c>
      <c r="E596" t="s">
        <v>64</v>
      </c>
      <c r="F596" t="s">
        <v>63</v>
      </c>
      <c r="G596" t="s">
        <v>1152</v>
      </c>
      <c r="H596" t="s">
        <v>1306</v>
      </c>
      <c r="I596" t="s">
        <v>139</v>
      </c>
      <c r="J596" t="s">
        <v>287</v>
      </c>
      <c r="K596" s="22">
        <f t="shared" si="127"/>
        <v>8.9211118607918846E-2</v>
      </c>
      <c r="L596" s="22">
        <f t="shared" si="130"/>
        <v>8.9709854381943815E-2</v>
      </c>
      <c r="M596" s="22">
        <f t="shared" si="130"/>
        <v>9.0417475033143083E-2</v>
      </c>
      <c r="N596" s="22">
        <f t="shared" si="130"/>
        <v>9.0872196678668984E-2</v>
      </c>
      <c r="O596" s="22">
        <f t="shared" si="130"/>
        <v>9.1174361291842948E-2</v>
      </c>
      <c r="P596" s="22">
        <f t="shared" si="130"/>
        <v>9.1320994898161756E-2</v>
      </c>
      <c r="Q596" s="22">
        <f t="shared" si="130"/>
        <v>9.1644963105957017E-2</v>
      </c>
      <c r="R596" s="22">
        <f t="shared" si="130"/>
        <v>9.2016609055475665E-2</v>
      </c>
      <c r="S596" s="22">
        <f t="shared" si="130"/>
        <v>8.940199339516991E-2</v>
      </c>
      <c r="T596" s="22">
        <f t="shared" si="130"/>
        <v>9.0940281304058526E-2</v>
      </c>
      <c r="U596" s="22">
        <f t="shared" si="130"/>
        <v>0.1564700266780468</v>
      </c>
      <c r="V596" s="22">
        <f t="shared" si="130"/>
        <v>0.15835619981688001</v>
      </c>
      <c r="W596" s="22">
        <f t="shared" si="130"/>
        <v>0.16015964078695746</v>
      </c>
      <c r="X596" s="22">
        <f t="shared" si="130"/>
        <v>0.161849673455432</v>
      </c>
      <c r="Y596" s="22">
        <f t="shared" si="130"/>
        <v>0.16338116510403111</v>
      </c>
      <c r="Z596" s="22">
        <f t="shared" si="130"/>
        <v>0.16474696363228722</v>
      </c>
      <c r="AA596" s="22">
        <f t="shared" si="130"/>
        <v>0.16593911254285348</v>
      </c>
      <c r="AB596" s="22">
        <f t="shared" si="130"/>
        <v>0.16695158994132034</v>
      </c>
      <c r="AC596" s="22">
        <f t="shared" si="130"/>
        <v>0.16777962003810495</v>
      </c>
      <c r="AD596" s="22">
        <f t="shared" si="130"/>
        <v>0.16841818240508855</v>
      </c>
      <c r="AE596" s="22">
        <f t="shared" si="130"/>
        <v>0.16886427150805067</v>
      </c>
      <c r="AF596" s="22">
        <f t="shared" si="130"/>
        <v>0.1691150043732032</v>
      </c>
      <c r="AG596" s="22">
        <f t="shared" si="130"/>
        <v>0.16916759569059056</v>
      </c>
      <c r="AH596" s="22">
        <f t="shared" si="130"/>
        <v>0.16902153680910736</v>
      </c>
      <c r="AI596" s="22">
        <f t="shared" si="130"/>
        <v>0.16867765925493905</v>
      </c>
      <c r="AJ596" s="22">
        <f t="shared" si="130"/>
        <v>5.3366694545987768E-2</v>
      </c>
      <c r="AK596" s="22">
        <f t="shared" si="130"/>
        <v>5.3405651337415067E-2</v>
      </c>
      <c r="AL596" s="22">
        <f t="shared" si="130"/>
        <v>5.344180376180914E-2</v>
      </c>
      <c r="AM596" s="22">
        <f t="shared" si="130"/>
        <v>5.3475396377869022E-2</v>
      </c>
      <c r="AN596" s="22">
        <f t="shared" si="130"/>
        <v>5.3506730430657977E-2</v>
      </c>
      <c r="AO596" s="22">
        <f t="shared" si="130"/>
        <v>5.353482249647553E-2</v>
      </c>
      <c r="AP596" s="22">
        <f t="shared" si="130"/>
        <v>5.3559012168450083E-2</v>
      </c>
      <c r="AQ596" s="22">
        <f t="shared" si="130"/>
        <v>5.3579193542556233E-2</v>
      </c>
      <c r="AR596" s="22">
        <f t="shared" si="130"/>
        <v>5.3594617293935103E-2</v>
      </c>
      <c r="AS596" s="22">
        <f t="shared" si="130"/>
        <v>5.3604469890097345E-2</v>
      </c>
      <c r="AT596" s="22">
        <f t="shared" si="130"/>
        <v>5.3608650848433942E-2</v>
      </c>
      <c r="AU596" s="22">
        <f t="shared" si="130"/>
        <v>5.3607275721283966E-2</v>
      </c>
      <c r="AV596" s="22">
        <f t="shared" si="130"/>
        <v>5.3600425093073278E-2</v>
      </c>
      <c r="AW596" s="22">
        <f t="shared" si="130"/>
        <v>5.3587333792896791E-2</v>
      </c>
      <c r="AY596" s="79"/>
    </row>
    <row r="597" spans="1:51" x14ac:dyDescent="0.25">
      <c r="A597" s="95" t="str">
        <f t="shared" si="108"/>
        <v>PQ MM Leaching</v>
      </c>
      <c r="B597" s="95" t="s">
        <v>968</v>
      </c>
      <c r="C597" s="95" t="s">
        <v>1333</v>
      </c>
      <c r="D597" t="s">
        <v>369</v>
      </c>
      <c r="E597" t="s">
        <v>64</v>
      </c>
      <c r="F597" t="s">
        <v>63</v>
      </c>
      <c r="G597" t="s">
        <v>1154</v>
      </c>
      <c r="H597" t="s">
        <v>1307</v>
      </c>
      <c r="I597" t="s">
        <v>139</v>
      </c>
      <c r="J597" t="s">
        <v>287</v>
      </c>
      <c r="K597" s="22">
        <f t="shared" si="127"/>
        <v>2.6939494531157477E-2</v>
      </c>
      <c r="L597" s="22">
        <f t="shared" si="130"/>
        <v>2.7090100081973278E-2</v>
      </c>
      <c r="M597" s="22">
        <f t="shared" si="130"/>
        <v>2.730378356628085E-2</v>
      </c>
      <c r="N597" s="22">
        <f t="shared" si="130"/>
        <v>2.7441097966929517E-2</v>
      </c>
      <c r="O597" s="22">
        <f t="shared" si="130"/>
        <v>2.7532344014183842E-2</v>
      </c>
      <c r="P597" s="22">
        <f t="shared" si="130"/>
        <v>2.757662364319367E-2</v>
      </c>
      <c r="Q597" s="22">
        <f t="shared" si="130"/>
        <v>2.7674453822865853E-2</v>
      </c>
      <c r="R597" s="22">
        <f t="shared" si="130"/>
        <v>2.7786681470952937E-2</v>
      </c>
      <c r="S597" s="22">
        <f t="shared" si="130"/>
        <v>2.699713387440892E-2</v>
      </c>
      <c r="T597" s="22">
        <f t="shared" si="130"/>
        <v>2.7461657796488435E-2</v>
      </c>
      <c r="U597" s="22">
        <f t="shared" si="130"/>
        <v>4.7249978408062936E-2</v>
      </c>
      <c r="V597" s="22">
        <f t="shared" si="130"/>
        <v>4.7819554843728261E-2</v>
      </c>
      <c r="W597" s="22">
        <f t="shared" si="130"/>
        <v>4.8364148263346618E-2</v>
      </c>
      <c r="X597" s="22">
        <f t="shared" si="130"/>
        <v>4.8874495253052513E-2</v>
      </c>
      <c r="Y597" s="22">
        <f t="shared" si="130"/>
        <v>4.9336966876945901E-2</v>
      </c>
      <c r="Z597" s="22">
        <f t="shared" si="130"/>
        <v>4.9749403382134544E-2</v>
      </c>
      <c r="AA597" s="22">
        <f t="shared" si="130"/>
        <v>5.0109402108276212E-2</v>
      </c>
      <c r="AB597" s="22">
        <f t="shared" si="130"/>
        <v>5.0415144596034883E-2</v>
      </c>
      <c r="AC597" s="22">
        <f t="shared" si="130"/>
        <v>5.0665188678118429E-2</v>
      </c>
      <c r="AD597" s="22">
        <f t="shared" si="130"/>
        <v>5.0858018312603365E-2</v>
      </c>
      <c r="AE597" s="22">
        <f t="shared" si="130"/>
        <v>5.0992725904405595E-2</v>
      </c>
      <c r="AF597" s="22">
        <f t="shared" si="130"/>
        <v>5.1068440868582254E-2</v>
      </c>
      <c r="AG597" s="22">
        <f t="shared" si="130"/>
        <v>5.1084322112190127E-2</v>
      </c>
      <c r="AH597" s="22">
        <f t="shared" si="130"/>
        <v>5.104021603549988E-2</v>
      </c>
      <c r="AI597" s="22">
        <f t="shared" si="130"/>
        <v>5.0936373738323673E-2</v>
      </c>
      <c r="AJ597" s="22">
        <f t="shared" si="130"/>
        <v>1.6115387838438942E-2</v>
      </c>
      <c r="AK597" s="22">
        <f t="shared" si="130"/>
        <v>1.6127151801115156E-2</v>
      </c>
      <c r="AL597" s="22">
        <f t="shared" si="130"/>
        <v>1.6138068916094209E-2</v>
      </c>
      <c r="AM597" s="22">
        <f t="shared" si="130"/>
        <v>1.6148213033898736E-2</v>
      </c>
      <c r="AN597" s="22">
        <f t="shared" si="130"/>
        <v>1.6157675122895256E-2</v>
      </c>
      <c r="AO597" s="22">
        <f t="shared" si="130"/>
        <v>1.6166158214075712E-2</v>
      </c>
      <c r="AP597" s="22">
        <f t="shared" si="130"/>
        <v>1.6173462881319406E-2</v>
      </c>
      <c r="AQ597" s="22">
        <f t="shared" si="130"/>
        <v>1.617955714429747E-2</v>
      </c>
      <c r="AR597" s="22">
        <f t="shared" si="130"/>
        <v>1.6184214725912905E-2</v>
      </c>
      <c r="AS597" s="22">
        <f t="shared" si="130"/>
        <v>1.618718995999328E-2</v>
      </c>
      <c r="AT597" s="22">
        <f t="shared" si="130"/>
        <v>1.618845250333991E-2</v>
      </c>
      <c r="AU597" s="22">
        <f t="shared" si="130"/>
        <v>1.6188037249827626E-2</v>
      </c>
      <c r="AV597" s="22">
        <f t="shared" si="130"/>
        <v>1.6185968533908621E-2</v>
      </c>
      <c r="AW597" s="22">
        <f t="shared" si="130"/>
        <v>1.6182015293381945E-2</v>
      </c>
      <c r="AY597" s="79"/>
    </row>
    <row r="598" spans="1:51" x14ac:dyDescent="0.25">
      <c r="A598" s="95" t="str">
        <f t="shared" si="108"/>
        <v>PQ MM Leaching</v>
      </c>
      <c r="B598" s="95" t="s">
        <v>968</v>
      </c>
      <c r="C598" s="95" t="s">
        <v>1333</v>
      </c>
      <c r="D598" t="s">
        <v>369</v>
      </c>
      <c r="E598" t="s">
        <v>64</v>
      </c>
      <c r="F598" t="s">
        <v>63</v>
      </c>
      <c r="G598" t="s">
        <v>1156</v>
      </c>
      <c r="H598" t="s">
        <v>1308</v>
      </c>
      <c r="I598" t="s">
        <v>139</v>
      </c>
      <c r="J598" t="s">
        <v>287</v>
      </c>
      <c r="K598" s="22">
        <f t="shared" si="127"/>
        <v>1.4483668498503175E-3</v>
      </c>
      <c r="L598" s="22">
        <f t="shared" si="130"/>
        <v>1.4564639612104711E-3</v>
      </c>
      <c r="M598" s="22">
        <f t="shared" si="130"/>
        <v>1.4679523755410987E-3</v>
      </c>
      <c r="N598" s="22">
        <f t="shared" si="130"/>
        <v>1.4753349055168039E-3</v>
      </c>
      <c r="O598" s="22">
        <f t="shared" si="130"/>
        <v>1.4802406304505133E-3</v>
      </c>
      <c r="P598" s="22">
        <f t="shared" si="130"/>
        <v>1.4826212670547866E-3</v>
      </c>
      <c r="Q598" s="22">
        <f t="shared" si="130"/>
        <v>1.4878809792957942E-3</v>
      </c>
      <c r="R598" s="22">
        <f t="shared" si="130"/>
        <v>1.4939147526814829E-3</v>
      </c>
      <c r="S598" s="22">
        <f t="shared" si="130"/>
        <v>1.4514657540972396E-3</v>
      </c>
      <c r="T598" s="22">
        <f t="shared" si="130"/>
        <v>1.476440277985364E-3</v>
      </c>
      <c r="U598" s="22">
        <f t="shared" si="130"/>
        <v>2.5403335724518226E-3</v>
      </c>
      <c r="V598" s="22">
        <f t="shared" si="130"/>
        <v>2.5709561079607732E-3</v>
      </c>
      <c r="W598" s="22">
        <f t="shared" si="130"/>
        <v>2.6002354641383586E-3</v>
      </c>
      <c r="X598" s="22">
        <f t="shared" si="130"/>
        <v>2.6276736055985106E-3</v>
      </c>
      <c r="Y598" s="22">
        <f t="shared" si="130"/>
        <v>2.6525377903466292E-3</v>
      </c>
      <c r="Z598" s="22">
        <f t="shared" si="130"/>
        <v>2.6747119020803316E-3</v>
      </c>
      <c r="AA598" s="22">
        <f t="shared" si="130"/>
        <v>2.6940667648944388E-3</v>
      </c>
      <c r="AB598" s="22">
        <f t="shared" si="130"/>
        <v>2.7105046116902751E-3</v>
      </c>
      <c r="AC598" s="22">
        <f t="shared" si="130"/>
        <v>2.7239479062209941E-3</v>
      </c>
      <c r="AD598" s="22">
        <f t="shared" si="130"/>
        <v>2.7343151404663774E-3</v>
      </c>
      <c r="AE598" s="22">
        <f t="shared" si="130"/>
        <v>2.741557518758363E-3</v>
      </c>
      <c r="AF598" s="22">
        <f t="shared" si="130"/>
        <v>2.7456282352309475E-3</v>
      </c>
      <c r="AG598" s="22">
        <f t="shared" si="130"/>
        <v>2.7464820696170918E-3</v>
      </c>
      <c r="AH598" s="22">
        <f t="shared" si="130"/>
        <v>2.7441107638273262E-3</v>
      </c>
      <c r="AI598" s="22">
        <f t="shared" si="130"/>
        <v>2.738527817916133E-3</v>
      </c>
      <c r="AJ598" s="22">
        <f t="shared" si="130"/>
        <v>8.664228458585355E-4</v>
      </c>
      <c r="AK598" s="22">
        <f t="shared" si="130"/>
        <v>8.6705531999584366E-4</v>
      </c>
      <c r="AL598" s="22">
        <f t="shared" si="130"/>
        <v>8.6764226446925895E-4</v>
      </c>
      <c r="AM598" s="22">
        <f t="shared" si="130"/>
        <v>8.6818764975598228E-4</v>
      </c>
      <c r="AN598" s="22">
        <f t="shared" si="130"/>
        <v>8.6869636665180383E-4</v>
      </c>
      <c r="AO598" s="22">
        <f t="shared" si="130"/>
        <v>8.691524490046414E-4</v>
      </c>
      <c r="AP598" s="22">
        <f t="shared" si="130"/>
        <v>8.6954517492875681E-4</v>
      </c>
      <c r="AQ598" s="22">
        <f t="shared" si="130"/>
        <v>8.6987282504340517E-4</v>
      </c>
      <c r="AR598" s="22">
        <f t="shared" si="130"/>
        <v>8.7012323385506529E-4</v>
      </c>
      <c r="AS598" s="22">
        <f t="shared" si="130"/>
        <v>8.7028319344181889E-4</v>
      </c>
      <c r="AT598" s="22">
        <f t="shared" si="130"/>
        <v>8.7035107244109425E-4</v>
      </c>
      <c r="AU598" s="22">
        <f t="shared" si="130"/>
        <v>8.7032874687664199E-4</v>
      </c>
      <c r="AV598" s="22">
        <f t="shared" si="130"/>
        <v>8.7021752505860126E-4</v>
      </c>
      <c r="AW598" s="22">
        <f t="shared" si="130"/>
        <v>8.7000498422856851E-4</v>
      </c>
      <c r="AY598" s="79"/>
    </row>
    <row r="599" spans="1:51" x14ac:dyDescent="0.25">
      <c r="A599" s="95" t="str">
        <f t="shared" si="108"/>
        <v>PQ MM Leaching</v>
      </c>
      <c r="B599" s="95" t="s">
        <v>968</v>
      </c>
      <c r="C599" s="95" t="s">
        <v>1333</v>
      </c>
      <c r="D599" t="s">
        <v>369</v>
      </c>
      <c r="E599" t="s">
        <v>64</v>
      </c>
      <c r="F599" t="s">
        <v>63</v>
      </c>
      <c r="G599" t="s">
        <v>1158</v>
      </c>
      <c r="H599" t="s">
        <v>1309</v>
      </c>
      <c r="I599" t="s">
        <v>139</v>
      </c>
      <c r="J599" t="s">
        <v>287</v>
      </c>
      <c r="K599" s="22">
        <f t="shared" si="127"/>
        <v>3.0303014392691133E-2</v>
      </c>
      <c r="L599" s="22">
        <f t="shared" si="130"/>
        <v>3.0040206026371367E-2</v>
      </c>
      <c r="M599" s="22">
        <f t="shared" si="130"/>
        <v>2.9940162837193193E-2</v>
      </c>
      <c r="N599" s="22">
        <f t="shared" si="130"/>
        <v>2.9540351153331305E-2</v>
      </c>
      <c r="O599" s="22">
        <f t="shared" si="130"/>
        <v>2.8960014730128859E-2</v>
      </c>
      <c r="P599" s="22">
        <f t="shared" si="130"/>
        <v>2.8211154016296508E-2</v>
      </c>
      <c r="Q599" s="22">
        <f t="shared" si="130"/>
        <v>2.7620505669412019E-2</v>
      </c>
      <c r="R599" s="22">
        <f t="shared" si="130"/>
        <v>2.7061685185942382E-2</v>
      </c>
      <c r="S599" s="22">
        <f t="shared" si="130"/>
        <v>2.4201772556346722E-2</v>
      </c>
      <c r="T599" s="22">
        <f t="shared" si="130"/>
        <v>2.5134193306706524E-2</v>
      </c>
      <c r="U599" s="22">
        <f t="shared" si="130"/>
        <v>7.9215327522416931E-2</v>
      </c>
      <c r="V599" s="22">
        <f t="shared" si="130"/>
        <v>7.9597413086941654E-2</v>
      </c>
      <c r="W599" s="22">
        <f t="shared" si="130"/>
        <v>7.9841946903631861E-2</v>
      </c>
      <c r="X599" s="22">
        <f t="shared" si="130"/>
        <v>7.9948879165643486E-2</v>
      </c>
      <c r="Y599" s="22">
        <f t="shared" si="130"/>
        <v>7.992047510263596E-2</v>
      </c>
      <c r="Z599" s="22">
        <f t="shared" si="130"/>
        <v>7.9755373238701549E-2</v>
      </c>
      <c r="AA599" s="22">
        <f t="shared" si="130"/>
        <v>7.9453169143115579E-2</v>
      </c>
      <c r="AB599" s="22">
        <f t="shared" si="130"/>
        <v>7.9014112861708063E-2</v>
      </c>
      <c r="AC599" s="22">
        <f t="shared" si="130"/>
        <v>7.8439191657390592E-2</v>
      </c>
      <c r="AD599" s="22">
        <f t="shared" si="130"/>
        <v>7.7077087742293285E-2</v>
      </c>
      <c r="AE599" s="22">
        <f t="shared" si="130"/>
        <v>7.5586682253877949E-2</v>
      </c>
      <c r="AF599" s="22">
        <f t="shared" si="130"/>
        <v>7.3974671879861814E-2</v>
      </c>
      <c r="AG599" s="22">
        <f t="shared" si="130"/>
        <v>7.2248514242158265E-2</v>
      </c>
      <c r="AH599" s="22">
        <f t="shared" si="130"/>
        <v>7.0416148615651625E-2</v>
      </c>
      <c r="AI599" s="22">
        <f t="shared" si="130"/>
        <v>6.8486029191241041E-2</v>
      </c>
      <c r="AJ599" s="22">
        <f t="shared" si="130"/>
        <v>-5.2880249817764688E-3</v>
      </c>
      <c r="AK599" s="22">
        <f t="shared" si="130"/>
        <v>-5.1607046214705845E-3</v>
      </c>
      <c r="AL599" s="22">
        <f t="shared" si="130"/>
        <v>-5.0347089645398375E-3</v>
      </c>
      <c r="AM599" s="22">
        <f t="shared" si="130"/>
        <v>-4.9100249979569036E-3</v>
      </c>
      <c r="AN599" s="22">
        <f t="shared" si="130"/>
        <v>-4.8110666270887118E-3</v>
      </c>
      <c r="AO599" s="22">
        <f t="shared" si="130"/>
        <v>-4.7130469845991819E-3</v>
      </c>
      <c r="AP599" s="22">
        <f t="shared" si="130"/>
        <v>-4.6158931662269266E-3</v>
      </c>
      <c r="AQ599" s="22">
        <f t="shared" si="130"/>
        <v>-4.5195811063585816E-3</v>
      </c>
      <c r="AR599" s="22">
        <f t="shared" si="130"/>
        <v>-4.424040391221005E-3</v>
      </c>
      <c r="AS599" s="22">
        <f t="shared" si="130"/>
        <v>-4.3292020646369571E-3</v>
      </c>
      <c r="AT599" s="22">
        <f t="shared" si="130"/>
        <v>-4.2350550518406409E-3</v>
      </c>
      <c r="AU599" s="22">
        <f t="shared" si="130"/>
        <v>-4.1416051693555066E-3</v>
      </c>
      <c r="AV599" s="22">
        <f t="shared" si="130"/>
        <v>-4.0488559853117164E-3</v>
      </c>
      <c r="AW599" s="22">
        <f t="shared" si="130"/>
        <v>-3.9567542281437719E-3</v>
      </c>
      <c r="AY599" s="79"/>
    </row>
    <row r="600" spans="1:51" x14ac:dyDescent="0.25">
      <c r="A600" s="95" t="str">
        <f t="shared" si="108"/>
        <v>PQ MM Leaching</v>
      </c>
      <c r="B600" s="95" t="s">
        <v>968</v>
      </c>
      <c r="C600" s="95" t="s">
        <v>1333</v>
      </c>
      <c r="D600" t="s">
        <v>369</v>
      </c>
      <c r="E600" t="s">
        <v>64</v>
      </c>
      <c r="F600" t="s">
        <v>63</v>
      </c>
      <c r="G600" t="s">
        <v>1160</v>
      </c>
      <c r="H600" t="s">
        <v>1310</v>
      </c>
      <c r="I600" t="s">
        <v>139</v>
      </c>
      <c r="J600" t="s">
        <v>287</v>
      </c>
      <c r="K600" s="22">
        <f t="shared" si="127"/>
        <v>4.0226293185258929E-2</v>
      </c>
      <c r="L600" s="22">
        <f t="shared" si="130"/>
        <v>3.9877423391049029E-2</v>
      </c>
      <c r="M600" s="22">
        <f t="shared" ref="L600:AW606" si="131">M1551</f>
        <v>3.9744619221572089E-2</v>
      </c>
      <c r="N600" s="22">
        <f t="shared" si="131"/>
        <v>3.9213881856453726E-2</v>
      </c>
      <c r="O600" s="22">
        <f t="shared" si="131"/>
        <v>3.8443503609481157E-2</v>
      </c>
      <c r="P600" s="22">
        <f t="shared" si="131"/>
        <v>3.7449414696768615E-2</v>
      </c>
      <c r="Q600" s="22">
        <f t="shared" si="131"/>
        <v>3.6665347697252743E-2</v>
      </c>
      <c r="R600" s="22">
        <f t="shared" si="131"/>
        <v>3.5923531179771234E-2</v>
      </c>
      <c r="S600" s="22">
        <f t="shared" si="131"/>
        <v>3.2127087617044768E-2</v>
      </c>
      <c r="T600" s="22">
        <f t="shared" si="131"/>
        <v>3.336484667262702E-2</v>
      </c>
      <c r="U600" s="22">
        <f t="shared" si="131"/>
        <v>0.10515584187068941</v>
      </c>
      <c r="V600" s="22">
        <f t="shared" si="131"/>
        <v>0.1056630483730278</v>
      </c>
      <c r="W600" s="22">
        <f t="shared" si="131"/>
        <v>0.10598765928059027</v>
      </c>
      <c r="X600" s="22">
        <f t="shared" si="131"/>
        <v>0.10612960847636668</v>
      </c>
      <c r="Y600" s="22">
        <f t="shared" si="131"/>
        <v>0.10609190298108537</v>
      </c>
      <c r="Z600" s="22">
        <f t="shared" si="131"/>
        <v>0.10587273547853948</v>
      </c>
      <c r="AA600" s="22">
        <f t="shared" si="131"/>
        <v>0.10547156909973328</v>
      </c>
      <c r="AB600" s="22">
        <f t="shared" si="131"/>
        <v>0.10488873577259779</v>
      </c>
      <c r="AC600" s="22">
        <f t="shared" si="131"/>
        <v>0.10412554605742294</v>
      </c>
      <c r="AD600" s="22">
        <f t="shared" si="131"/>
        <v>0.10231739619063251</v>
      </c>
      <c r="AE600" s="22">
        <f t="shared" si="131"/>
        <v>0.10033893004317308</v>
      </c>
      <c r="AF600" s="22">
        <f t="shared" si="131"/>
        <v>9.8199037256187116E-2</v>
      </c>
      <c r="AG600" s="22">
        <f t="shared" si="131"/>
        <v>9.5907617586895574E-2</v>
      </c>
      <c r="AH600" s="22">
        <f t="shared" si="131"/>
        <v>9.3475210171604761E-2</v>
      </c>
      <c r="AI600" s="22">
        <f t="shared" si="131"/>
        <v>9.091303768134483E-2</v>
      </c>
      <c r="AJ600" s="22">
        <f t="shared" si="131"/>
        <v>-7.0196859141254189E-3</v>
      </c>
      <c r="AK600" s="22">
        <f t="shared" si="131"/>
        <v>-6.8506721626963654E-3</v>
      </c>
      <c r="AL600" s="22">
        <f t="shared" si="131"/>
        <v>-6.6834169131002059E-3</v>
      </c>
      <c r="AM600" s="22">
        <f t="shared" si="131"/>
        <v>-6.5179028909547456E-3</v>
      </c>
      <c r="AN600" s="22">
        <f t="shared" si="131"/>
        <v>-6.3865387834737544E-3</v>
      </c>
      <c r="AO600" s="22">
        <f t="shared" si="131"/>
        <v>-6.2564208082254193E-3</v>
      </c>
      <c r="AP600" s="22">
        <f t="shared" si="131"/>
        <v>-6.1274521871085615E-3</v>
      </c>
      <c r="AQ600" s="22">
        <f t="shared" si="131"/>
        <v>-5.9996009737825779E-3</v>
      </c>
      <c r="AR600" s="22">
        <f t="shared" si="131"/>
        <v>-5.872773696190668E-3</v>
      </c>
      <c r="AS600" s="22">
        <f t="shared" si="131"/>
        <v>-5.7468788171884874E-3</v>
      </c>
      <c r="AT600" s="22">
        <f t="shared" si="131"/>
        <v>-5.6219016353747063E-3</v>
      </c>
      <c r="AU600" s="22">
        <f t="shared" si="131"/>
        <v>-5.4978498720002471E-3</v>
      </c>
      <c r="AV600" s="22">
        <f t="shared" si="131"/>
        <v>-5.3747282636450412E-3</v>
      </c>
      <c r="AW600" s="22">
        <f t="shared" si="131"/>
        <v>-5.2524660939907621E-3</v>
      </c>
      <c r="AY600" s="79"/>
    </row>
    <row r="601" spans="1:51" x14ac:dyDescent="0.25">
      <c r="A601" s="95" t="str">
        <f t="shared" si="108"/>
        <v>PQ MM Leaching</v>
      </c>
      <c r="B601" s="95" t="s">
        <v>968</v>
      </c>
      <c r="C601" s="95" t="s">
        <v>1333</v>
      </c>
      <c r="D601" t="s">
        <v>369</v>
      </c>
      <c r="E601" t="s">
        <v>64</v>
      </c>
      <c r="F601" t="s">
        <v>63</v>
      </c>
      <c r="G601" t="s">
        <v>1162</v>
      </c>
      <c r="H601" t="s">
        <v>1311</v>
      </c>
      <c r="I601" t="s">
        <v>139</v>
      </c>
      <c r="J601" t="s">
        <v>287</v>
      </c>
      <c r="K601" s="22">
        <f t="shared" si="127"/>
        <v>4.1968337096859203E-2</v>
      </c>
      <c r="L601" s="22">
        <f t="shared" si="131"/>
        <v>4.3383434779753476E-2</v>
      </c>
      <c r="M601" s="22">
        <f t="shared" si="131"/>
        <v>4.5063007666824861E-2</v>
      </c>
      <c r="N601" s="22">
        <f t="shared" si="131"/>
        <v>4.6315596244033509E-2</v>
      </c>
      <c r="O601" s="22">
        <f t="shared" si="131"/>
        <v>4.7281576900430194E-2</v>
      </c>
      <c r="P601" s="22">
        <f t="shared" si="131"/>
        <v>4.7947144057730852E-2</v>
      </c>
      <c r="Q601" s="22">
        <f t="shared" si="131"/>
        <v>4.8855920576585839E-2</v>
      </c>
      <c r="R601" s="22">
        <f t="shared" si="131"/>
        <v>4.9808583705724517E-2</v>
      </c>
      <c r="S601" s="22">
        <f t="shared" si="131"/>
        <v>4.6345052575542584E-2</v>
      </c>
      <c r="T601" s="22">
        <f t="shared" si="131"/>
        <v>4.9290182096012818E-2</v>
      </c>
      <c r="U601" s="22">
        <f t="shared" si="131"/>
        <v>0.1590390004544035</v>
      </c>
      <c r="V601" s="22">
        <f t="shared" si="131"/>
        <v>0.16355513295491098</v>
      </c>
      <c r="W601" s="22">
        <f t="shared" si="131"/>
        <v>0.16786105995970313</v>
      </c>
      <c r="X601" s="22">
        <f t="shared" si="131"/>
        <v>0.17194023598803351</v>
      </c>
      <c r="Y601" s="22">
        <f t="shared" si="131"/>
        <v>0.17578066999732156</v>
      </c>
      <c r="Z601" s="22">
        <f t="shared" si="131"/>
        <v>0.17936210611821823</v>
      </c>
      <c r="AA601" s="22">
        <f t="shared" si="131"/>
        <v>0.1826656381005505</v>
      </c>
      <c r="AB601" s="22">
        <f t="shared" si="131"/>
        <v>0.18567320176806454</v>
      </c>
      <c r="AC601" s="22">
        <f t="shared" si="131"/>
        <v>0.18836790776441609</v>
      </c>
      <c r="AD601" s="22">
        <f t="shared" si="131"/>
        <v>0.19123519545806747</v>
      </c>
      <c r="AE601" s="22">
        <f t="shared" si="131"/>
        <v>0.19376853499382182</v>
      </c>
      <c r="AF601" s="22">
        <f t="shared" si="131"/>
        <v>0.19595309748984396</v>
      </c>
      <c r="AG601" s="22">
        <f t="shared" si="131"/>
        <v>0.19777601067919534</v>
      </c>
      <c r="AH601" s="22">
        <f t="shared" si="131"/>
        <v>0.19922591108684914</v>
      </c>
      <c r="AI601" s="22">
        <f t="shared" si="131"/>
        <v>0.20029329073357882</v>
      </c>
      <c r="AJ601" s="22">
        <f t="shared" si="131"/>
        <v>-1.5988935485228874E-2</v>
      </c>
      <c r="AK601" s="22">
        <f t="shared" si="131"/>
        <v>-1.6135273009597623E-2</v>
      </c>
      <c r="AL601" s="22">
        <f t="shared" si="131"/>
        <v>-1.6280642881338143E-2</v>
      </c>
      <c r="AM601" s="22">
        <f t="shared" si="131"/>
        <v>-1.6425117505391919E-2</v>
      </c>
      <c r="AN601" s="22">
        <f t="shared" si="131"/>
        <v>-1.6548178161071046E-2</v>
      </c>
      <c r="AO601" s="22">
        <f t="shared" si="131"/>
        <v>-1.6670008309036564E-2</v>
      </c>
      <c r="AP601" s="22">
        <f t="shared" si="131"/>
        <v>-1.6790421483448635E-2</v>
      </c>
      <c r="AQ601" s="22">
        <f t="shared" si="131"/>
        <v>-1.6909384567907186E-2</v>
      </c>
      <c r="AR601" s="22">
        <f t="shared" si="131"/>
        <v>-1.7026675592023126E-2</v>
      </c>
      <c r="AS601" s="22">
        <f t="shared" si="131"/>
        <v>-1.7142046777220185E-2</v>
      </c>
      <c r="AT601" s="22">
        <f t="shared" si="131"/>
        <v>-1.725545286501233E-2</v>
      </c>
      <c r="AU601" s="22">
        <f t="shared" si="131"/>
        <v>-1.7366910999627443E-2</v>
      </c>
      <c r="AV601" s="22">
        <f t="shared" si="131"/>
        <v>-1.7476428038790941E-2</v>
      </c>
      <c r="AW601" s="22">
        <f t="shared" si="131"/>
        <v>-1.7583756727581886E-2</v>
      </c>
      <c r="AY601" s="79"/>
    </row>
    <row r="602" spans="1:51" x14ac:dyDescent="0.25">
      <c r="A602" s="95" t="str">
        <f t="shared" si="108"/>
        <v>PQ MM Leaching</v>
      </c>
      <c r="B602" s="95" t="s">
        <v>968</v>
      </c>
      <c r="C602" s="95" t="s">
        <v>1333</v>
      </c>
      <c r="D602" t="s">
        <v>369</v>
      </c>
      <c r="E602" t="s">
        <v>64</v>
      </c>
      <c r="F602" t="s">
        <v>63</v>
      </c>
      <c r="G602" t="s">
        <v>1164</v>
      </c>
      <c r="H602" t="s">
        <v>1312</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4.4583713438871775E-3</v>
      </c>
      <c r="T602" s="22">
        <f t="shared" si="131"/>
        <v>4.4613385793898985E-3</v>
      </c>
      <c r="U602" s="22">
        <f t="shared" si="131"/>
        <v>4.5194479058578802E-3</v>
      </c>
      <c r="V602" s="22">
        <f t="shared" si="131"/>
        <v>4.5208654375239604E-3</v>
      </c>
      <c r="W602" s="22">
        <f t="shared" si="131"/>
        <v>4.5269288931412202E-3</v>
      </c>
      <c r="X602" s="22">
        <f t="shared" si="131"/>
        <v>4.5356937654075719E-3</v>
      </c>
      <c r="Y602" s="22">
        <f t="shared" si="131"/>
        <v>4.5438360313793799E-3</v>
      </c>
      <c r="Z602" s="22">
        <f t="shared" si="131"/>
        <v>4.5514565032506353E-3</v>
      </c>
      <c r="AA602" s="22">
        <f t="shared" si="131"/>
        <v>4.5585145451789771E-3</v>
      </c>
      <c r="AB602" s="22">
        <f t="shared" si="131"/>
        <v>4.5650737507021777E-3</v>
      </c>
      <c r="AC602" s="22">
        <f t="shared" si="131"/>
        <v>4.5712336162876026E-3</v>
      </c>
      <c r="AD602" s="22">
        <f t="shared" si="131"/>
        <v>4.5769883379201265E-3</v>
      </c>
      <c r="AE602" s="22">
        <f t="shared" si="131"/>
        <v>4.5824299595188939E-3</v>
      </c>
      <c r="AF602" s="22">
        <f t="shared" si="131"/>
        <v>4.5875716533889405E-3</v>
      </c>
      <c r="AG602" s="22">
        <f t="shared" si="131"/>
        <v>4.5923429466883485E-3</v>
      </c>
      <c r="AH602" s="22">
        <f t="shared" si="131"/>
        <v>4.5967874861065324E-3</v>
      </c>
      <c r="AI602" s="22">
        <f t="shared" si="131"/>
        <v>4.6009761769836678E-3</v>
      </c>
      <c r="AJ602" s="22">
        <f t="shared" si="131"/>
        <v>4.5000024079062629E-3</v>
      </c>
      <c r="AK602" s="22">
        <f t="shared" si="131"/>
        <v>4.504140567798888E-3</v>
      </c>
      <c r="AL602" s="22">
        <f t="shared" si="131"/>
        <v>4.5080004058394166E-3</v>
      </c>
      <c r="AM602" s="22">
        <f t="shared" si="131"/>
        <v>4.5116055113744672E-3</v>
      </c>
      <c r="AN602" s="22">
        <f t="shared" si="131"/>
        <v>4.5149845600538762E-3</v>
      </c>
      <c r="AO602" s="22">
        <f t="shared" si="131"/>
        <v>4.5180486691616456E-3</v>
      </c>
      <c r="AP602" s="22">
        <f t="shared" si="131"/>
        <v>4.5207384818524527E-3</v>
      </c>
      <c r="AQ602" s="22">
        <f t="shared" si="131"/>
        <v>4.5230453041712505E-3</v>
      </c>
      <c r="AR602" s="22">
        <f t="shared" si="131"/>
        <v>4.5249015890055574E-3</v>
      </c>
      <c r="AS602" s="22">
        <f t="shared" si="131"/>
        <v>4.526233914491801E-3</v>
      </c>
      <c r="AT602" s="22">
        <f t="shared" si="131"/>
        <v>4.5270340008273808E-3</v>
      </c>
      <c r="AU602" s="22">
        <f t="shared" si="131"/>
        <v>4.5273132604660591E-3</v>
      </c>
      <c r="AV602" s="22">
        <f t="shared" si="131"/>
        <v>4.5270798618323943E-3</v>
      </c>
      <c r="AW602" s="22">
        <f t="shared" si="131"/>
        <v>4.5262646983336846E-3</v>
      </c>
      <c r="AY602" s="79"/>
    </row>
    <row r="603" spans="1:51" x14ac:dyDescent="0.25">
      <c r="A603" s="95" t="str">
        <f t="shared" si="108"/>
        <v>PQ MM Leaching</v>
      </c>
      <c r="B603" s="95" t="s">
        <v>968</v>
      </c>
      <c r="C603" s="95" t="s">
        <v>1333</v>
      </c>
      <c r="D603" t="s">
        <v>369</v>
      </c>
      <c r="E603" t="s">
        <v>64</v>
      </c>
      <c r="F603" t="s">
        <v>63</v>
      </c>
      <c r="G603" t="s">
        <v>1166</v>
      </c>
      <c r="H603" t="s">
        <v>1313</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3.7085625544236744E-3</v>
      </c>
      <c r="T603" s="22">
        <f t="shared" si="131"/>
        <v>3.7110307603281981E-3</v>
      </c>
      <c r="U603" s="22">
        <f t="shared" si="131"/>
        <v>3.7593672616152451E-3</v>
      </c>
      <c r="V603" s="22">
        <f t="shared" si="131"/>
        <v>3.7605463928385213E-3</v>
      </c>
      <c r="W603" s="22">
        <f t="shared" si="131"/>
        <v>3.7655900966303579E-3</v>
      </c>
      <c r="X603" s="22">
        <f t="shared" si="131"/>
        <v>3.7728808928817431E-3</v>
      </c>
      <c r="Y603" s="22">
        <f t="shared" si="131"/>
        <v>3.7796537927507973E-3</v>
      </c>
      <c r="Z603" s="22">
        <f t="shared" si="131"/>
        <v>3.7859926538390569E-3</v>
      </c>
      <c r="AA603" s="22">
        <f t="shared" si="131"/>
        <v>3.7918636744391884E-3</v>
      </c>
      <c r="AB603" s="22">
        <f t="shared" si="131"/>
        <v>3.7973197529292549E-3</v>
      </c>
      <c r="AC603" s="22">
        <f t="shared" si="131"/>
        <v>3.8024436524630406E-3</v>
      </c>
      <c r="AD603" s="22">
        <f t="shared" si="131"/>
        <v>3.8072305451445519E-3</v>
      </c>
      <c r="AE603" s="22">
        <f t="shared" si="131"/>
        <v>3.8117569949487401E-3</v>
      </c>
      <c r="AF603" s="22">
        <f t="shared" si="131"/>
        <v>3.8160339588626819E-3</v>
      </c>
      <c r="AG603" s="22">
        <f t="shared" si="131"/>
        <v>3.8200028161653869E-3</v>
      </c>
      <c r="AH603" s="22">
        <f t="shared" si="131"/>
        <v>3.8236998730470525E-3</v>
      </c>
      <c r="AI603" s="22">
        <f t="shared" si="131"/>
        <v>3.8271841099893822E-3</v>
      </c>
      <c r="AJ603" s="22">
        <f t="shared" si="131"/>
        <v>3.7431921070592298E-3</v>
      </c>
      <c r="AK603" s="22">
        <f t="shared" si="131"/>
        <v>3.7466343113168547E-3</v>
      </c>
      <c r="AL603" s="22">
        <f t="shared" si="131"/>
        <v>3.7498450018850307E-3</v>
      </c>
      <c r="AM603" s="22">
        <f t="shared" si="131"/>
        <v>3.7528438008546071E-3</v>
      </c>
      <c r="AN603" s="22">
        <f t="shared" si="131"/>
        <v>3.7556545612052921E-3</v>
      </c>
      <c r="AO603" s="22">
        <f t="shared" si="131"/>
        <v>3.7582033485142104E-3</v>
      </c>
      <c r="AP603" s="22">
        <f t="shared" si="131"/>
        <v>3.760440788568911E-3</v>
      </c>
      <c r="AQ603" s="22">
        <f t="shared" si="131"/>
        <v>3.7623596495635048E-3</v>
      </c>
      <c r="AR603" s="22">
        <f t="shared" si="131"/>
        <v>3.7639037444573268E-3</v>
      </c>
      <c r="AS603" s="22">
        <f t="shared" si="131"/>
        <v>3.7650119994741185E-3</v>
      </c>
      <c r="AT603" s="22">
        <f t="shared" si="131"/>
        <v>3.7656775273082915E-3</v>
      </c>
      <c r="AU603" s="22">
        <f t="shared" si="131"/>
        <v>3.7659098210673977E-3</v>
      </c>
      <c r="AV603" s="22">
        <f t="shared" si="131"/>
        <v>3.7657156754105432E-3</v>
      </c>
      <c r="AW603" s="22">
        <f t="shared" si="131"/>
        <v>3.7650376060901856E-3</v>
      </c>
      <c r="AY603" s="79"/>
    </row>
    <row r="604" spans="1:51" x14ac:dyDescent="0.25">
      <c r="A604" s="95" t="str">
        <f t="shared" si="108"/>
        <v>PQ MM Leaching</v>
      </c>
      <c r="B604" s="95" t="s">
        <v>968</v>
      </c>
      <c r="C604" s="95" t="s">
        <v>1333</v>
      </c>
      <c r="D604" t="s">
        <v>369</v>
      </c>
      <c r="E604" t="s">
        <v>64</v>
      </c>
      <c r="F604" t="s">
        <v>63</v>
      </c>
      <c r="G604" t="s">
        <v>1168</v>
      </c>
      <c r="H604" t="s">
        <v>1314</v>
      </c>
      <c r="I604" t="s">
        <v>139</v>
      </c>
      <c r="J604" t="s">
        <v>287</v>
      </c>
      <c r="K604" s="22">
        <f t="shared" si="127"/>
        <v>5.4322987485311562E-4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5.5840147541839718E-4</v>
      </c>
      <c r="R604" s="22">
        <f t="shared" si="131"/>
        <v>5.620753208024884E-4</v>
      </c>
      <c r="S604" s="22">
        <f t="shared" si="131"/>
        <v>5.6070469903814733E-4</v>
      </c>
      <c r="T604" s="22">
        <f t="shared" si="131"/>
        <v>5.6162230711910024E-4</v>
      </c>
      <c r="U604" s="22">
        <f t="shared" si="131"/>
        <v>5.7300934566261764E-4</v>
      </c>
      <c r="V604" s="22">
        <f t="shared" si="131"/>
        <v>5.735237983118301E-4</v>
      </c>
      <c r="W604" s="22">
        <f t="shared" si="131"/>
        <v>5.7488581877093682E-4</v>
      </c>
      <c r="X604" s="22">
        <f t="shared" si="131"/>
        <v>5.7672404156411123E-4</v>
      </c>
      <c r="Y604" s="22">
        <f t="shared" si="131"/>
        <v>5.7840994827834994E-4</v>
      </c>
      <c r="Z604" s="22">
        <f t="shared" si="131"/>
        <v>5.7996582365708491E-4</v>
      </c>
      <c r="AA604" s="22">
        <f t="shared" si="131"/>
        <v>5.8138689539941784E-4</v>
      </c>
      <c r="AB604" s="22">
        <f t="shared" si="131"/>
        <v>5.8268775619947839E-4</v>
      </c>
      <c r="AC604" s="22">
        <f t="shared" si="131"/>
        <v>5.838893945173696E-4</v>
      </c>
      <c r="AD604" s="22">
        <f t="shared" si="131"/>
        <v>5.8499277851090971E-4</v>
      </c>
      <c r="AE604" s="22">
        <f t="shared" si="131"/>
        <v>5.8601696023425276E-4</v>
      </c>
      <c r="AF604" s="22">
        <f t="shared" si="131"/>
        <v>5.8696603148616325E-4</v>
      </c>
      <c r="AG604" s="22">
        <f t="shared" si="131"/>
        <v>5.8782840452912231E-4</v>
      </c>
      <c r="AH604" s="22">
        <f t="shared" si="131"/>
        <v>5.8861362982731312E-4</v>
      </c>
      <c r="AI604" s="22">
        <f t="shared" si="131"/>
        <v>5.8933613461895486E-4</v>
      </c>
      <c r="AJ604" s="22">
        <f t="shared" si="131"/>
        <v>5.706274212799663E-4</v>
      </c>
      <c r="AK604" s="22">
        <f t="shared" si="131"/>
        <v>5.7134854330306069E-4</v>
      </c>
      <c r="AL604" s="22">
        <f t="shared" si="131"/>
        <v>5.7200511510337268E-4</v>
      </c>
      <c r="AM604" s="22">
        <f t="shared" si="131"/>
        <v>5.7260245045310132E-4</v>
      </c>
      <c r="AN604" s="22">
        <f t="shared" si="131"/>
        <v>5.7314670307798447E-4</v>
      </c>
      <c r="AO604" s="22">
        <f t="shared" si="131"/>
        <v>5.7362242271311709E-4</v>
      </c>
      <c r="AP604" s="22">
        <f t="shared" si="131"/>
        <v>5.7401961480709959E-4</v>
      </c>
      <c r="AQ604" s="22">
        <f t="shared" si="131"/>
        <v>5.743375496953002E-4</v>
      </c>
      <c r="AR604" s="22">
        <f t="shared" si="131"/>
        <v>5.7456474822570021E-4</v>
      </c>
      <c r="AS604" s="22">
        <f t="shared" si="131"/>
        <v>5.7468870297434124E-4</v>
      </c>
      <c r="AT604" s="22">
        <f t="shared" si="131"/>
        <v>5.7470877432626657E-4</v>
      </c>
      <c r="AU604" s="22">
        <f t="shared" si="131"/>
        <v>5.7462786115959977E-4</v>
      </c>
      <c r="AV604" s="22">
        <f t="shared" si="131"/>
        <v>5.7444822626571555E-4</v>
      </c>
      <c r="AW604" s="22">
        <f t="shared" si="131"/>
        <v>5.7415813453708586E-4</v>
      </c>
      <c r="AY604" s="79"/>
    </row>
    <row r="605" spans="1:51" x14ac:dyDescent="0.25">
      <c r="A605" s="95" t="str">
        <f t="shared" si="108"/>
        <v>PQ MM Leaching</v>
      </c>
      <c r="B605" s="95" t="s">
        <v>968</v>
      </c>
      <c r="C605" s="95" t="s">
        <v>1333</v>
      </c>
      <c r="D605" t="s">
        <v>369</v>
      </c>
      <c r="E605" t="s">
        <v>64</v>
      </c>
      <c r="F605" t="s">
        <v>63</v>
      </c>
      <c r="G605" t="s">
        <v>1170</v>
      </c>
      <c r="H605" t="s">
        <v>1315</v>
      </c>
      <c r="I605" t="s">
        <v>139</v>
      </c>
      <c r="J605" t="s">
        <v>287</v>
      </c>
      <c r="K605" s="22">
        <f t="shared" si="127"/>
        <v>6.6992563985089947E-3</v>
      </c>
      <c r="L605" s="22">
        <f t="shared" si="131"/>
        <v>6.716671231449923E-3</v>
      </c>
      <c r="M605" s="22">
        <f t="shared" si="131"/>
        <v>6.7406943780734313E-3</v>
      </c>
      <c r="N605" s="22">
        <f t="shared" si="131"/>
        <v>6.769960915195136E-3</v>
      </c>
      <c r="O605" s="22">
        <f t="shared" si="131"/>
        <v>6.8044291009834836E-3</v>
      </c>
      <c r="P605" s="22">
        <f t="shared" si="131"/>
        <v>6.8438891439814974E-3</v>
      </c>
      <c r="Q605" s="22">
        <f t="shared" si="131"/>
        <v>6.8863566425632575E-3</v>
      </c>
      <c r="R605" s="22">
        <f t="shared" si="131"/>
        <v>6.9316634884048298E-3</v>
      </c>
      <c r="S605" s="22">
        <f t="shared" si="131"/>
        <v>6.914760613489895E-3</v>
      </c>
      <c r="T605" s="22">
        <f t="shared" si="131"/>
        <v>6.9260768022567764E-3</v>
      </c>
      <c r="U605" s="22">
        <f t="shared" si="131"/>
        <v>7.0665048132223995E-3</v>
      </c>
      <c r="V605" s="22">
        <f t="shared" si="131"/>
        <v>7.0728491811622093E-3</v>
      </c>
      <c r="W605" s="22">
        <f t="shared" si="131"/>
        <v>7.0896459824759074E-3</v>
      </c>
      <c r="X605" s="22">
        <f t="shared" si="131"/>
        <v>7.1123154385922269E-3</v>
      </c>
      <c r="Y605" s="22">
        <f t="shared" si="131"/>
        <v>7.1331064920034711E-3</v>
      </c>
      <c r="Z605" s="22">
        <f t="shared" si="131"/>
        <v>7.1522939641377866E-3</v>
      </c>
      <c r="AA605" s="22">
        <f t="shared" si="131"/>
        <v>7.1698190017015617E-3</v>
      </c>
      <c r="AB605" s="22">
        <f t="shared" si="131"/>
        <v>7.1858615657095356E-3</v>
      </c>
      <c r="AC605" s="22">
        <f t="shared" si="131"/>
        <v>7.2006804914764638E-3</v>
      </c>
      <c r="AD605" s="22">
        <f t="shared" si="131"/>
        <v>7.2142877185840219E-3</v>
      </c>
      <c r="AE605" s="22">
        <f t="shared" si="131"/>
        <v>7.226918202069851E-3</v>
      </c>
      <c r="AF605" s="22">
        <f t="shared" si="131"/>
        <v>7.238622403092889E-3</v>
      </c>
      <c r="AG605" s="22">
        <f t="shared" si="131"/>
        <v>7.2492574185686288E-3</v>
      </c>
      <c r="AH605" s="22">
        <f t="shared" si="131"/>
        <v>7.2589410273808247E-3</v>
      </c>
      <c r="AI605" s="22">
        <f t="shared" si="131"/>
        <v>7.2678511500975998E-3</v>
      </c>
      <c r="AJ605" s="22">
        <f t="shared" si="131"/>
        <v>7.0371302833964079E-3</v>
      </c>
      <c r="AK605" s="22">
        <f t="shared" si="131"/>
        <v>7.046023353440887E-3</v>
      </c>
      <c r="AL605" s="22">
        <f t="shared" si="131"/>
        <v>7.0541203728390007E-3</v>
      </c>
      <c r="AM605" s="22">
        <f t="shared" si="131"/>
        <v>7.0614868724535639E-3</v>
      </c>
      <c r="AN605" s="22">
        <f t="shared" si="131"/>
        <v>7.0681987416795341E-3</v>
      </c>
      <c r="AO605" s="22">
        <f t="shared" si="131"/>
        <v>7.0740654437095336E-3</v>
      </c>
      <c r="AP605" s="22">
        <f t="shared" si="131"/>
        <v>7.0789637230572406E-3</v>
      </c>
      <c r="AQ605" s="22">
        <f t="shared" si="131"/>
        <v>7.0828845813028637E-3</v>
      </c>
      <c r="AR605" s="22">
        <f t="shared" si="131"/>
        <v>7.0856864544673794E-3</v>
      </c>
      <c r="AS605" s="22">
        <f t="shared" si="131"/>
        <v>7.0872150976466278E-3</v>
      </c>
      <c r="AT605" s="22">
        <f t="shared" si="131"/>
        <v>7.0874626229375523E-3</v>
      </c>
      <c r="AU605" s="22">
        <f t="shared" si="131"/>
        <v>7.0864647800820552E-3</v>
      </c>
      <c r="AV605" s="22">
        <f t="shared" si="131"/>
        <v>7.084249474429774E-3</v>
      </c>
      <c r="AW605" s="22">
        <f t="shared" si="131"/>
        <v>7.0806719854897525E-3</v>
      </c>
      <c r="AY605" s="79"/>
    </row>
    <row r="606" spans="1:51" x14ac:dyDescent="0.25">
      <c r="A606" s="95" t="str">
        <f t="shared" si="108"/>
        <v>PQ MM Leaching</v>
      </c>
      <c r="B606" s="95" t="s">
        <v>968</v>
      </c>
      <c r="C606" s="95" t="s">
        <v>1333</v>
      </c>
      <c r="D606" t="s">
        <v>369</v>
      </c>
      <c r="E606" t="s">
        <v>64</v>
      </c>
      <c r="F606" t="s">
        <v>63</v>
      </c>
      <c r="G606" t="s">
        <v>1172</v>
      </c>
      <c r="H606" t="s">
        <v>1316</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25">
      <c r="A607" s="95" t="str">
        <f t="shared" si="108"/>
        <v>PQ MM Leaching</v>
      </c>
      <c r="B607" s="95" t="s">
        <v>968</v>
      </c>
      <c r="C607" s="95" t="s">
        <v>1333</v>
      </c>
      <c r="D607" t="s">
        <v>369</v>
      </c>
      <c r="E607" t="s">
        <v>64</v>
      </c>
      <c r="F607" t="s">
        <v>63</v>
      </c>
      <c r="G607" t="s">
        <v>1174</v>
      </c>
      <c r="H607" t="s">
        <v>1317</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25">
      <c r="A608" s="95" t="str">
        <f t="shared" si="108"/>
        <v>PQ MM Leaching</v>
      </c>
      <c r="B608" s="95" t="s">
        <v>968</v>
      </c>
      <c r="C608" s="95" t="s">
        <v>1333</v>
      </c>
      <c r="D608" t="s">
        <v>369</v>
      </c>
      <c r="E608" t="s">
        <v>64</v>
      </c>
      <c r="F608" t="s">
        <v>63</v>
      </c>
      <c r="G608" t="s">
        <v>1176</v>
      </c>
      <c r="H608" t="s">
        <v>1318</v>
      </c>
      <c r="I608" t="s">
        <v>139</v>
      </c>
      <c r="J608" t="s">
        <v>287</v>
      </c>
      <c r="K608" s="22">
        <f t="shared" si="127"/>
        <v>2.6875086183165937E-2</v>
      </c>
      <c r="L608" s="22">
        <f t="shared" si="132"/>
        <v>2.6729002214214575E-2</v>
      </c>
      <c r="M608" s="22">
        <f t="shared" si="132"/>
        <v>2.6740992333189318E-2</v>
      </c>
      <c r="N608" s="22">
        <f t="shared" si="132"/>
        <v>2.6495489531984443E-2</v>
      </c>
      <c r="O608" s="22">
        <f t="shared" si="132"/>
        <v>2.609452683304701E-2</v>
      </c>
      <c r="P608" s="22">
        <f t="shared" si="132"/>
        <v>2.5544514050244028E-2</v>
      </c>
      <c r="Q608" s="22">
        <f t="shared" si="132"/>
        <v>2.5145143775072754E-2</v>
      </c>
      <c r="R608" s="22">
        <f t="shared" si="132"/>
        <v>2.4781112413324514E-2</v>
      </c>
      <c r="S608" s="22">
        <f t="shared" si="132"/>
        <v>2.2296168964910698E-2</v>
      </c>
      <c r="T608" s="22">
        <f t="shared" si="132"/>
        <v>2.3092324784413296E-2</v>
      </c>
      <c r="U608" s="22">
        <f t="shared" si="132"/>
        <v>7.381503978929195E-2</v>
      </c>
      <c r="V608" s="22">
        <f t="shared" si="132"/>
        <v>7.4017385099882177E-2</v>
      </c>
      <c r="W608" s="22">
        <f t="shared" si="132"/>
        <v>7.4092117158263957E-2</v>
      </c>
      <c r="X608" s="22">
        <f t="shared" si="132"/>
        <v>7.4042607907806673E-2</v>
      </c>
      <c r="Y608" s="22">
        <f t="shared" si="132"/>
        <v>7.3876326476641427E-2</v>
      </c>
      <c r="Z608" s="22">
        <f t="shared" si="132"/>
        <v>7.3591745464768973E-2</v>
      </c>
      <c r="AA608" s="22">
        <f t="shared" si="132"/>
        <v>7.3188455909713582E-2</v>
      </c>
      <c r="AB608" s="22">
        <f t="shared" si="132"/>
        <v>7.2666495628065958E-2</v>
      </c>
      <c r="AC608" s="22">
        <f t="shared" si="132"/>
        <v>7.2026534081708352E-2</v>
      </c>
      <c r="AD608" s="22">
        <f t="shared" si="132"/>
        <v>7.127021840521014E-2</v>
      </c>
      <c r="AE608" s="22">
        <f t="shared" si="132"/>
        <v>7.0399631702406332E-2</v>
      </c>
      <c r="AF608" s="22">
        <f t="shared" si="132"/>
        <v>6.9417717575292789E-2</v>
      </c>
      <c r="AG608" s="22">
        <f t="shared" si="132"/>
        <v>6.8328248088529983E-2</v>
      </c>
      <c r="AH608" s="22">
        <f t="shared" si="132"/>
        <v>6.7135309145229499E-2</v>
      </c>
      <c r="AI608" s="22">
        <f t="shared" si="132"/>
        <v>6.58434858478079E-2</v>
      </c>
      <c r="AJ608" s="22">
        <f t="shared" si="132"/>
        <v>-6.1354464297522409E-3</v>
      </c>
      <c r="AK608" s="22">
        <f t="shared" si="132"/>
        <v>-6.0690246210378601E-3</v>
      </c>
      <c r="AL608" s="22">
        <f t="shared" si="132"/>
        <v>-6.0023674842876688E-3</v>
      </c>
      <c r="AM608" s="22">
        <f t="shared" si="132"/>
        <v>-5.9355441730233076E-3</v>
      </c>
      <c r="AN608" s="22">
        <f t="shared" si="132"/>
        <v>-5.868631115229209E-3</v>
      </c>
      <c r="AO608" s="22">
        <f t="shared" si="132"/>
        <v>-5.801450937318208E-3</v>
      </c>
      <c r="AP608" s="22">
        <f t="shared" si="132"/>
        <v>-5.7338989216543417E-3</v>
      </c>
      <c r="AQ608" s="22">
        <f t="shared" si="132"/>
        <v>-5.665981593784182E-3</v>
      </c>
      <c r="AR608" s="22">
        <f t="shared" si="132"/>
        <v>-5.5975864031876984E-3</v>
      </c>
      <c r="AS608" s="22">
        <f t="shared" si="132"/>
        <v>-5.528596592882417E-3</v>
      </c>
      <c r="AT608" s="22">
        <f t="shared" si="132"/>
        <v>-5.459031743402367E-3</v>
      </c>
      <c r="AU608" s="22">
        <f t="shared" si="132"/>
        <v>-5.3889497419228856E-3</v>
      </c>
      <c r="AV608" s="22">
        <f t="shared" si="132"/>
        <v>-5.3184001043520557E-3</v>
      </c>
      <c r="AW608" s="22">
        <f t="shared" si="132"/>
        <v>-5.2472851582702085E-3</v>
      </c>
      <c r="AY608" s="79"/>
    </row>
    <row r="609" spans="1:52" x14ac:dyDescent="0.25">
      <c r="A609" s="95" t="str">
        <f t="shared" si="108"/>
        <v>PQ MM Leaching</v>
      </c>
      <c r="B609" s="95" t="s">
        <v>968</v>
      </c>
      <c r="C609" s="95" t="s">
        <v>1333</v>
      </c>
      <c r="D609" t="s">
        <v>369</v>
      </c>
      <c r="E609" t="s">
        <v>64</v>
      </c>
      <c r="F609" t="s">
        <v>63</v>
      </c>
      <c r="G609" t="s">
        <v>1178</v>
      </c>
      <c r="H609" t="s">
        <v>1319</v>
      </c>
      <c r="I609" t="s">
        <v>139</v>
      </c>
      <c r="J609" t="s">
        <v>287</v>
      </c>
      <c r="K609" s="22">
        <f t="shared" si="127"/>
        <v>4.0166140097319695E-3</v>
      </c>
      <c r="L609" s="22">
        <f t="shared" si="132"/>
        <v>3.9947810410006978E-3</v>
      </c>
      <c r="M609" s="22">
        <f t="shared" si="132"/>
        <v>3.9965730233416695E-3</v>
      </c>
      <c r="N609" s="22">
        <f t="shared" si="132"/>
        <v>3.9598814204188995E-3</v>
      </c>
      <c r="O609" s="22">
        <f t="shared" si="132"/>
        <v>3.8999555700251301E-3</v>
      </c>
      <c r="P609" s="22">
        <f t="shared" si="132"/>
        <v>3.8177534504158584E-3</v>
      </c>
      <c r="Q609" s="22">
        <f t="shared" si="132"/>
        <v>3.7580655955978047E-3</v>
      </c>
      <c r="R609" s="22">
        <f t="shared" si="132"/>
        <v>3.7036593154610871E-3</v>
      </c>
      <c r="S609" s="22">
        <f t="shared" si="132"/>
        <v>3.3322722769129989E-3</v>
      </c>
      <c r="T609" s="22">
        <f t="shared" si="132"/>
        <v>3.4512616857933645E-3</v>
      </c>
      <c r="U609" s="22">
        <f t="shared" si="132"/>
        <v>1.1032021290123588E-2</v>
      </c>
      <c r="V609" s="22">
        <f t="shared" si="132"/>
        <v>1.1062262793491467E-2</v>
      </c>
      <c r="W609" s="22">
        <f t="shared" si="132"/>
        <v>1.1073431867727232E-2</v>
      </c>
      <c r="X609" s="22">
        <f t="shared" si="132"/>
        <v>1.106603246637675E-2</v>
      </c>
      <c r="Y609" s="22">
        <f t="shared" si="132"/>
        <v>1.1041180887430186E-2</v>
      </c>
      <c r="Z609" s="22">
        <f t="shared" si="132"/>
        <v>1.0998648853434082E-2</v>
      </c>
      <c r="AA609" s="22">
        <f t="shared" si="132"/>
        <v>1.0938375242931999E-2</v>
      </c>
      <c r="AB609" s="22">
        <f t="shared" si="132"/>
        <v>1.0860365707799692E-2</v>
      </c>
      <c r="AC609" s="22">
        <f t="shared" si="132"/>
        <v>1.0764720302413055E-2</v>
      </c>
      <c r="AD609" s="22">
        <f t="shared" si="132"/>
        <v>1.0651685199146835E-2</v>
      </c>
      <c r="AE609" s="22">
        <f t="shared" si="132"/>
        <v>1.0521571728130012E-2</v>
      </c>
      <c r="AF609" s="22">
        <f t="shared" si="132"/>
        <v>1.0374819825180263E-2</v>
      </c>
      <c r="AG609" s="22">
        <f t="shared" si="132"/>
        <v>1.0211993243941318E-2</v>
      </c>
      <c r="AH609" s="22">
        <f t="shared" si="132"/>
        <v>1.0033702642759285E-2</v>
      </c>
      <c r="AI609" s="22">
        <f t="shared" si="132"/>
        <v>9.8406332877753449E-3</v>
      </c>
      <c r="AJ609" s="22">
        <f t="shared" si="132"/>
        <v>-9.1697269053370395E-4</v>
      </c>
      <c r="AK609" s="22">
        <f t="shared" si="132"/>
        <v>-9.0704562404485191E-4</v>
      </c>
      <c r="AL609" s="22">
        <f t="shared" si="132"/>
        <v>-8.970833866218835E-4</v>
      </c>
      <c r="AM609" s="22">
        <f t="shared" si="132"/>
        <v>-8.870963135992402E-4</v>
      </c>
      <c r="AN609" s="22">
        <f t="shared" si="132"/>
        <v>-8.7709582751565934E-4</v>
      </c>
      <c r="AO609" s="22">
        <f t="shared" si="132"/>
        <v>-8.6705541901484369E-4</v>
      </c>
      <c r="AP609" s="22">
        <f t="shared" si="132"/>
        <v>-8.5695943753028676E-4</v>
      </c>
      <c r="AQ609" s="22">
        <f t="shared" si="132"/>
        <v>-8.4680885833706668E-4</v>
      </c>
      <c r="AR609" s="22">
        <f t="shared" si="132"/>
        <v>-8.3658686020557013E-4</v>
      </c>
      <c r="AS609" s="22">
        <f t="shared" si="132"/>
        <v>-8.2627599322965283E-4</v>
      </c>
      <c r="AT609" s="22">
        <f t="shared" si="132"/>
        <v>-8.1587918381657311E-4</v>
      </c>
      <c r="AU609" s="22">
        <f t="shared" si="132"/>
        <v>-8.0540508348982262E-4</v>
      </c>
      <c r="AV609" s="22">
        <f t="shared" si="132"/>
        <v>-7.9486109264576715E-4</v>
      </c>
      <c r="AW609" s="22">
        <f t="shared" si="132"/>
        <v>-7.8423261366017795E-4</v>
      </c>
      <c r="AY609" s="79"/>
    </row>
    <row r="610" spans="1:52" x14ac:dyDescent="0.25">
      <c r="A610" s="95" t="str">
        <f t="shared" si="108"/>
        <v>PQ MM Leaching</v>
      </c>
      <c r="B610" s="95" t="s">
        <v>968</v>
      </c>
      <c r="C610" s="95" t="s">
        <v>1333</v>
      </c>
      <c r="D610" t="s">
        <v>369</v>
      </c>
      <c r="E610" t="s">
        <v>64</v>
      </c>
      <c r="F610" t="s">
        <v>63</v>
      </c>
      <c r="G610" t="s">
        <v>1180</v>
      </c>
      <c r="H610" t="s">
        <v>1320</v>
      </c>
      <c r="I610" t="s">
        <v>139</v>
      </c>
      <c r="J610" t="s">
        <v>287</v>
      </c>
      <c r="K610" s="22">
        <f t="shared" si="127"/>
        <v>1.6726645268412749E-2</v>
      </c>
      <c r="L610" s="22">
        <f t="shared" si="132"/>
        <v>1.7066731126843742E-2</v>
      </c>
      <c r="M610" s="22">
        <f t="shared" si="132"/>
        <v>1.7464259263446445E-2</v>
      </c>
      <c r="N610" s="22">
        <f t="shared" si="132"/>
        <v>1.77694513935726E-2</v>
      </c>
      <c r="O610" s="22">
        <f t="shared" si="132"/>
        <v>1.8014444056791569E-2</v>
      </c>
      <c r="P610" s="22">
        <f t="shared" si="132"/>
        <v>1.8197780265539368E-2</v>
      </c>
      <c r="Q610" s="22">
        <f t="shared" si="132"/>
        <v>1.8432867891885713E-2</v>
      </c>
      <c r="R610" s="22">
        <f t="shared" si="132"/>
        <v>1.8677293946611211E-2</v>
      </c>
      <c r="S610" s="22">
        <f t="shared" si="132"/>
        <v>1.7940997011567712E-2</v>
      </c>
      <c r="T610" s="22">
        <f t="shared" si="132"/>
        <v>1.8599101618187692E-2</v>
      </c>
      <c r="U610" s="22">
        <f t="shared" si="132"/>
        <v>4.1335323674744497E-2</v>
      </c>
      <c r="V610" s="22">
        <f t="shared" si="132"/>
        <v>4.2244056956773843E-2</v>
      </c>
      <c r="W610" s="22">
        <f t="shared" si="132"/>
        <v>4.3115523568410363E-2</v>
      </c>
      <c r="X610" s="22">
        <f t="shared" si="132"/>
        <v>4.3942027126697474E-2</v>
      </c>
      <c r="Y610" s="22">
        <f t="shared" si="132"/>
        <v>4.4713130877516903E-2</v>
      </c>
      <c r="Z610" s="22">
        <f t="shared" si="132"/>
        <v>4.5425464748643458E-2</v>
      </c>
      <c r="AA610" s="22">
        <f t="shared" si="132"/>
        <v>4.6075599059895E-2</v>
      </c>
      <c r="AB610" s="22">
        <f t="shared" si="132"/>
        <v>4.666057526853875E-2</v>
      </c>
      <c r="AC610" s="22">
        <f t="shared" si="132"/>
        <v>4.7177797153361963E-2</v>
      </c>
      <c r="AD610" s="22">
        <f t="shared" si="132"/>
        <v>4.762476340679795E-2</v>
      </c>
      <c r="AE610" s="22">
        <f t="shared" si="132"/>
        <v>4.7999511889239711E-2</v>
      </c>
      <c r="AF610" s="22">
        <f t="shared" si="132"/>
        <v>4.8300272482139597E-2</v>
      </c>
      <c r="AG610" s="22">
        <f t="shared" si="132"/>
        <v>4.8525470849872195E-2</v>
      </c>
      <c r="AH610" s="22">
        <f t="shared" si="132"/>
        <v>4.8674159183630092E-2</v>
      </c>
      <c r="AI610" s="22">
        <f t="shared" si="132"/>
        <v>4.8745846953258828E-2</v>
      </c>
      <c r="AJ610" s="22">
        <f t="shared" si="132"/>
        <v>6.3546724312553964E-3</v>
      </c>
      <c r="AK610" s="22">
        <f t="shared" si="132"/>
        <v>6.4013115626169702E-3</v>
      </c>
      <c r="AL610" s="22">
        <f t="shared" si="132"/>
        <v>6.446794570043473E-3</v>
      </c>
      <c r="AM610" s="22">
        <f t="shared" si="132"/>
        <v>6.4911899708581184E-3</v>
      </c>
      <c r="AN610" s="22">
        <f t="shared" si="132"/>
        <v>6.5345767491159093E-3</v>
      </c>
      <c r="AO610" s="22">
        <f t="shared" si="132"/>
        <v>6.5767770115873272E-3</v>
      </c>
      <c r="AP610" s="22">
        <f t="shared" si="132"/>
        <v>6.6176736088844742E-3</v>
      </c>
      <c r="AQ610" s="22">
        <f t="shared" si="132"/>
        <v>6.6572579134014679E-3</v>
      </c>
      <c r="AR610" s="22">
        <f t="shared" si="132"/>
        <v>6.6953903792422425E-3</v>
      </c>
      <c r="AS610" s="22">
        <f t="shared" si="132"/>
        <v>6.7319156561258262E-3</v>
      </c>
      <c r="AT610" s="22">
        <f t="shared" si="132"/>
        <v>6.7668201581545509E-3</v>
      </c>
      <c r="AU610" s="22">
        <f t="shared" si="132"/>
        <v>6.8001333252020657E-3</v>
      </c>
      <c r="AV610" s="22">
        <f t="shared" si="132"/>
        <v>6.8318771364297487E-3</v>
      </c>
      <c r="AW610" s="22">
        <f t="shared" si="132"/>
        <v>6.8619001030845884E-3</v>
      </c>
      <c r="AY610" s="79"/>
    </row>
    <row r="611" spans="1:52" x14ac:dyDescent="0.25">
      <c r="A611" s="95" t="str">
        <f t="shared" si="108"/>
        <v>PQ MM Leaching</v>
      </c>
      <c r="B611" s="95" t="s">
        <v>968</v>
      </c>
      <c r="C611" s="95" t="s">
        <v>1333</v>
      </c>
      <c r="D611" t="s">
        <v>369</v>
      </c>
      <c r="E611" t="s">
        <v>64</v>
      </c>
      <c r="F611" t="s">
        <v>63</v>
      </c>
      <c r="G611" t="s">
        <v>1182</v>
      </c>
      <c r="H611" t="s">
        <v>1321</v>
      </c>
      <c r="I611" t="s">
        <v>139</v>
      </c>
      <c r="J611" t="s">
        <v>287</v>
      </c>
      <c r="K611" s="22">
        <f t="shared" si="127"/>
        <v>7.7585797913229351E-2</v>
      </c>
      <c r="L611" s="22">
        <f t="shared" si="132"/>
        <v>7.8607464197542484E-2</v>
      </c>
      <c r="M611" s="22">
        <f t="shared" si="132"/>
        <v>8.0248553313821205E-2</v>
      </c>
      <c r="N611" s="22">
        <f t="shared" si="132"/>
        <v>8.0719757945382303E-2</v>
      </c>
      <c r="O611" s="22">
        <f t="shared" si="132"/>
        <v>8.0430818839717741E-2</v>
      </c>
      <c r="P611" s="22">
        <f t="shared" si="132"/>
        <v>7.938481013134728E-2</v>
      </c>
      <c r="Q611" s="22">
        <f t="shared" si="132"/>
        <v>7.8944464359385638E-2</v>
      </c>
      <c r="R611" s="22">
        <f t="shared" si="132"/>
        <v>7.8604018955287347E-2</v>
      </c>
      <c r="S611" s="22">
        <f t="shared" si="132"/>
        <v>6.8551548491341041E-2</v>
      </c>
      <c r="T611" s="22">
        <f t="shared" si="132"/>
        <v>7.3739546332348721E-2</v>
      </c>
      <c r="U611" s="22">
        <f t="shared" si="132"/>
        <v>0.32063801867343739</v>
      </c>
      <c r="V611" s="22">
        <f t="shared" si="132"/>
        <v>0.3263865261169076</v>
      </c>
      <c r="W611" s="22">
        <f t="shared" si="132"/>
        <v>0.3314934571329114</v>
      </c>
      <c r="X611" s="22">
        <f t="shared" si="132"/>
        <v>0.33598061783359728</v>
      </c>
      <c r="Y611" s="22">
        <f t="shared" si="132"/>
        <v>0.33990898947079762</v>
      </c>
      <c r="Z611" s="22">
        <f t="shared" si="132"/>
        <v>0.3432491056284519</v>
      </c>
      <c r="AA611" s="22">
        <f t="shared" si="132"/>
        <v>0.345978344064029</v>
      </c>
      <c r="AB611" s="22">
        <f t="shared" si="132"/>
        <v>0.34807446920762175</v>
      </c>
      <c r="AC611" s="22">
        <f t="shared" si="132"/>
        <v>0.34951764979405581</v>
      </c>
      <c r="AD611" s="22">
        <f t="shared" si="132"/>
        <v>0.35029436297093797</v>
      </c>
      <c r="AE611" s="22">
        <f t="shared" si="132"/>
        <v>0.3503920713528586</v>
      </c>
      <c r="AF611" s="22">
        <f t="shared" si="132"/>
        <v>0.34980401942204614</v>
      </c>
      <c r="AG611" s="22">
        <f t="shared" si="132"/>
        <v>0.34852938630195235</v>
      </c>
      <c r="AH611" s="22">
        <f t="shared" si="132"/>
        <v>0.34656807266355577</v>
      </c>
      <c r="AI611" s="22">
        <f t="shared" si="132"/>
        <v>0.34392301643743828</v>
      </c>
      <c r="AJ611" s="22">
        <f t="shared" si="132"/>
        <v>-7.3441689918994316E-2</v>
      </c>
      <c r="AK611" s="22">
        <f t="shared" si="132"/>
        <v>-7.3545621673456185E-2</v>
      </c>
      <c r="AL611" s="22">
        <f t="shared" si="132"/>
        <v>-7.3639730110431498E-2</v>
      </c>
      <c r="AM611" s="22">
        <f t="shared" si="132"/>
        <v>-7.3724815505769356E-2</v>
      </c>
      <c r="AN611" s="22">
        <f t="shared" si="132"/>
        <v>-7.3801792793217899E-2</v>
      </c>
      <c r="AO611" s="22">
        <f t="shared" si="132"/>
        <v>-7.386851362361406E-2</v>
      </c>
      <c r="AP611" s="22">
        <f t="shared" si="132"/>
        <v>-7.3923604247027361E-2</v>
      </c>
      <c r="AQ611" s="22">
        <f t="shared" si="132"/>
        <v>-7.3967002295391979E-2</v>
      </c>
      <c r="AR611" s="22">
        <f t="shared" si="132"/>
        <v>-7.3997124044251614E-2</v>
      </c>
      <c r="AS611" s="22">
        <f t="shared" si="132"/>
        <v>-7.4012242065131795E-2</v>
      </c>
      <c r="AT611" s="22">
        <f t="shared" si="132"/>
        <v>-7.4012306856669818E-2</v>
      </c>
      <c r="AU611" s="22">
        <f t="shared" si="132"/>
        <v>-7.3997766932053066E-2</v>
      </c>
      <c r="AV611" s="22">
        <f t="shared" si="132"/>
        <v>-7.3968978731960316E-2</v>
      </c>
      <c r="AW611" s="22">
        <f t="shared" si="132"/>
        <v>-7.3924322860586755E-2</v>
      </c>
      <c r="AY611" s="79"/>
    </row>
    <row r="614" spans="1:52" x14ac:dyDescent="0.25">
      <c r="A614" s="95" t="str">
        <f t="shared" ref="A614:A677" si="133">B614&amp;" "&amp;C614</f>
        <v>NI Cattle</v>
      </c>
      <c r="B614" s="95" t="s">
        <v>969</v>
      </c>
      <c r="C614" s="95" t="s">
        <v>1108</v>
      </c>
      <c r="D614" t="s">
        <v>15</v>
      </c>
      <c r="E614" t="s">
        <v>16</v>
      </c>
      <c r="F614" t="s">
        <v>6</v>
      </c>
      <c r="G614" t="s">
        <v>136</v>
      </c>
      <c r="H614" t="s">
        <v>1020</v>
      </c>
      <c r="I614" t="s">
        <v>121</v>
      </c>
      <c r="J614" t="s">
        <v>286</v>
      </c>
      <c r="K614" s="27">
        <f>K1379</f>
        <v>72.246065125367707</v>
      </c>
      <c r="L614" s="27">
        <f t="shared" ref="L614:AW621" si="134">L1379</f>
        <v>72.649957574793405</v>
      </c>
      <c r="M614" s="27">
        <f t="shared" si="134"/>
        <v>73.223011790998029</v>
      </c>
      <c r="N614" s="27">
        <f t="shared" si="134"/>
        <v>73.591260167761035</v>
      </c>
      <c r="O614" s="27">
        <f t="shared" si="134"/>
        <v>73.83596289834658</v>
      </c>
      <c r="P614" s="27">
        <f t="shared" si="134"/>
        <v>73.954711561483919</v>
      </c>
      <c r="Q614" s="27">
        <f t="shared" si="134"/>
        <v>74.217071552078707</v>
      </c>
      <c r="R614" s="27">
        <f t="shared" si="134"/>
        <v>74.518042528471327</v>
      </c>
      <c r="S614" s="27">
        <f t="shared" si="134"/>
        <v>72.400641735612226</v>
      </c>
      <c r="T614" s="27">
        <f t="shared" si="134"/>
        <v>73.646397311613569</v>
      </c>
      <c r="U614" s="27">
        <f t="shared" si="134"/>
        <v>126.71451623908638</v>
      </c>
      <c r="V614" s="27">
        <f t="shared" si="134"/>
        <v>128.24200058803578</v>
      </c>
      <c r="W614" s="27">
        <f t="shared" si="134"/>
        <v>129.70248573615504</v>
      </c>
      <c r="X614" s="27">
        <f t="shared" si="134"/>
        <v>131.07112915343163</v>
      </c>
      <c r="Y614" s="27">
        <f t="shared" si="134"/>
        <v>132.31138089682617</v>
      </c>
      <c r="Z614" s="27">
        <f t="shared" si="134"/>
        <v>133.41744896278323</v>
      </c>
      <c r="AA614" s="27">
        <f t="shared" si="134"/>
        <v>134.38288992099422</v>
      </c>
      <c r="AB614" s="27">
        <f t="shared" si="134"/>
        <v>135.20282704552554</v>
      </c>
      <c r="AC614" s="27">
        <f t="shared" si="134"/>
        <v>135.87339274665732</v>
      </c>
      <c r="AD614" s="27">
        <f t="shared" si="134"/>
        <v>136.39052131842715</v>
      </c>
      <c r="AE614" s="27">
        <f t="shared" si="134"/>
        <v>136.75177878147903</v>
      </c>
      <c r="AF614" s="27">
        <f t="shared" si="134"/>
        <v>136.95483040988077</v>
      </c>
      <c r="AG614" s="27">
        <f t="shared" si="134"/>
        <v>136.99742056904799</v>
      </c>
      <c r="AH614" s="27">
        <f t="shared" si="134"/>
        <v>136.87913733677345</v>
      </c>
      <c r="AI614" s="27">
        <f t="shared" si="134"/>
        <v>136.60065411000454</v>
      </c>
      <c r="AJ614" s="27">
        <f t="shared" si="134"/>
        <v>43.218084806671186</v>
      </c>
      <c r="AK614" s="27">
        <f t="shared" si="134"/>
        <v>43.249633283301115</v>
      </c>
      <c r="AL614" s="27">
        <f t="shared" si="134"/>
        <v>43.278910692305409</v>
      </c>
      <c r="AM614" s="27">
        <f t="shared" si="134"/>
        <v>43.306115085271941</v>
      </c>
      <c r="AN614" s="27">
        <f t="shared" si="134"/>
        <v>43.331490420249878</v>
      </c>
      <c r="AO614" s="27">
        <f t="shared" si="134"/>
        <v>43.354240288744201</v>
      </c>
      <c r="AP614" s="27">
        <f t="shared" si="134"/>
        <v>43.373829871792871</v>
      </c>
      <c r="AQ614" s="27">
        <f t="shared" si="134"/>
        <v>43.390173404871973</v>
      </c>
      <c r="AR614" s="27">
        <f t="shared" si="134"/>
        <v>43.402664060341642</v>
      </c>
      <c r="AS614" s="27">
        <f t="shared" si="134"/>
        <v>43.410643013134724</v>
      </c>
      <c r="AT614" s="27">
        <f t="shared" si="134"/>
        <v>43.414028889166616</v>
      </c>
      <c r="AU614" s="27">
        <f t="shared" si="134"/>
        <v>43.412915266479416</v>
      </c>
      <c r="AV614" s="27">
        <f t="shared" si="134"/>
        <v>43.407367404961896</v>
      </c>
      <c r="AW614" s="27">
        <f t="shared" si="134"/>
        <v>43.396765644330657</v>
      </c>
      <c r="AY614" s="79"/>
      <c r="AZ614" s="79"/>
    </row>
    <row r="615" spans="1:52" x14ac:dyDescent="0.25">
      <c r="A615" s="95" t="str">
        <f t="shared" si="133"/>
        <v>NI Cattle</v>
      </c>
      <c r="B615" s="95" t="s">
        <v>969</v>
      </c>
      <c r="C615" s="95" t="s">
        <v>1108</v>
      </c>
      <c r="D615" t="s">
        <v>15</v>
      </c>
      <c r="E615" t="s">
        <v>16</v>
      </c>
      <c r="F615" t="s">
        <v>6</v>
      </c>
      <c r="G615" t="s">
        <v>137</v>
      </c>
      <c r="H615" t="s">
        <v>1020</v>
      </c>
      <c r="I615" t="s">
        <v>121</v>
      </c>
      <c r="J615" t="s">
        <v>286</v>
      </c>
      <c r="K615" s="27">
        <f t="shared" ref="K615:Z663" si="135">K1380</f>
        <v>57.783598896292567</v>
      </c>
      <c r="L615" s="27">
        <f t="shared" si="135"/>
        <v>58.1066387636453</v>
      </c>
      <c r="M615" s="27">
        <f t="shared" si="135"/>
        <v>58.564977012483297</v>
      </c>
      <c r="N615" s="27">
        <f t="shared" si="135"/>
        <v>58.859508160444918</v>
      </c>
      <c r="O615" s="27">
        <f t="shared" si="135"/>
        <v>59.055225455337663</v>
      </c>
      <c r="P615" s="27">
        <f t="shared" si="135"/>
        <v>59.150202601958618</v>
      </c>
      <c r="Q615" s="27">
        <f t="shared" si="135"/>
        <v>59.360042465716688</v>
      </c>
      <c r="R615" s="27">
        <f t="shared" si="135"/>
        <v>59.600764035107616</v>
      </c>
      <c r="S615" s="27">
        <f t="shared" si="135"/>
        <v>57.907231828129312</v>
      </c>
      <c r="T615" s="27">
        <f t="shared" si="135"/>
        <v>58.903607760874827</v>
      </c>
      <c r="U615" s="27">
        <f t="shared" si="135"/>
        <v>101.34836780371782</v>
      </c>
      <c r="V615" s="27">
        <f t="shared" si="135"/>
        <v>102.57007507299116</v>
      </c>
      <c r="W615" s="27">
        <f t="shared" si="135"/>
        <v>103.73819527229158</v>
      </c>
      <c r="X615" s="27">
        <f t="shared" si="135"/>
        <v>104.83285893485541</v>
      </c>
      <c r="Y615" s="27">
        <f t="shared" si="135"/>
        <v>105.82483281116795</v>
      </c>
      <c r="Z615" s="27">
        <f t="shared" si="135"/>
        <v>106.70948436090084</v>
      </c>
      <c r="AA615" s="27">
        <f t="shared" si="134"/>
        <v>107.48166002182452</v>
      </c>
      <c r="AB615" s="27">
        <f t="shared" si="134"/>
        <v>108.13745930780478</v>
      </c>
      <c r="AC615" s="27">
        <f t="shared" si="134"/>
        <v>108.67378885655694</v>
      </c>
      <c r="AD615" s="27">
        <f t="shared" si="134"/>
        <v>109.087396849146</v>
      </c>
      <c r="AE615" s="27">
        <f t="shared" si="134"/>
        <v>109.37633654858924</v>
      </c>
      <c r="AF615" s="27">
        <f t="shared" si="134"/>
        <v>109.5387406024356</v>
      </c>
      <c r="AG615" s="27">
        <f t="shared" si="134"/>
        <v>109.57280491680314</v>
      </c>
      <c r="AH615" s="27">
        <f t="shared" si="134"/>
        <v>109.47820002949129</v>
      </c>
      <c r="AI615" s="27">
        <f t="shared" si="134"/>
        <v>109.25546453452645</v>
      </c>
      <c r="AJ615" s="27">
        <f t="shared" si="134"/>
        <v>34.566539689062871</v>
      </c>
      <c r="AK615" s="27">
        <f t="shared" si="134"/>
        <v>34.591772682945773</v>
      </c>
      <c r="AL615" s="27">
        <f t="shared" si="134"/>
        <v>34.61518923934495</v>
      </c>
      <c r="AM615" s="27">
        <f t="shared" si="134"/>
        <v>34.636947763199053</v>
      </c>
      <c r="AN615" s="27">
        <f t="shared" si="134"/>
        <v>34.657243376194444</v>
      </c>
      <c r="AO615" s="27">
        <f t="shared" si="134"/>
        <v>34.675439097632541</v>
      </c>
      <c r="AP615" s="27">
        <f t="shared" si="134"/>
        <v>34.691107170453741</v>
      </c>
      <c r="AQ615" s="27">
        <f t="shared" si="134"/>
        <v>34.704178998772043</v>
      </c>
      <c r="AR615" s="27">
        <f t="shared" si="134"/>
        <v>34.714169231795225</v>
      </c>
      <c r="AS615" s="27">
        <f t="shared" si="134"/>
        <v>34.720550930327988</v>
      </c>
      <c r="AT615" s="27">
        <f t="shared" si="134"/>
        <v>34.723259010030318</v>
      </c>
      <c r="AU615" s="27">
        <f t="shared" si="134"/>
        <v>34.722368316169444</v>
      </c>
      <c r="AV615" s="27">
        <f t="shared" si="134"/>
        <v>34.717931044684789</v>
      </c>
      <c r="AW615" s="27">
        <f t="shared" si="134"/>
        <v>34.709451581023373</v>
      </c>
      <c r="AY615" s="79"/>
      <c r="AZ615" s="79"/>
    </row>
    <row r="616" spans="1:52" x14ac:dyDescent="0.25">
      <c r="A616" s="95" t="str">
        <f t="shared" si="133"/>
        <v>NI Cattle</v>
      </c>
      <c r="B616" s="95" t="s">
        <v>969</v>
      </c>
      <c r="C616" s="95" t="s">
        <v>1108</v>
      </c>
      <c r="D616" t="s">
        <v>15</v>
      </c>
      <c r="E616" t="s">
        <v>16</v>
      </c>
      <c r="F616" t="s">
        <v>67</v>
      </c>
      <c r="G616" t="s">
        <v>307</v>
      </c>
      <c r="H616" t="s">
        <v>1020</v>
      </c>
      <c r="I616" t="s">
        <v>121</v>
      </c>
      <c r="J616" t="s">
        <v>286</v>
      </c>
      <c r="K616" s="27">
        <f t="shared" si="135"/>
        <v>26.126191807126649</v>
      </c>
      <c r="L616" s="27">
        <f t="shared" si="134"/>
        <v>26.272250579806308</v>
      </c>
      <c r="M616" s="27">
        <f t="shared" si="134"/>
        <v>26.479482964607669</v>
      </c>
      <c r="N616" s="27">
        <f t="shared" si="134"/>
        <v>26.61265184663991</v>
      </c>
      <c r="O616" s="27">
        <f t="shared" si="134"/>
        <v>26.701143177813606</v>
      </c>
      <c r="P616" s="27">
        <f t="shared" si="134"/>
        <v>26.744086005835896</v>
      </c>
      <c r="Q616" s="27">
        <f t="shared" si="134"/>
        <v>26.838962694620271</v>
      </c>
      <c r="R616" s="27">
        <f t="shared" si="134"/>
        <v>26.947802192577253</v>
      </c>
      <c r="S616" s="27">
        <f t="shared" si="134"/>
        <v>26.182091019923025</v>
      </c>
      <c r="T616" s="27">
        <f t="shared" si="134"/>
        <v>26.632590975414445</v>
      </c>
      <c r="U616" s="27">
        <f t="shared" si="134"/>
        <v>45.823502640107073</v>
      </c>
      <c r="V616" s="27">
        <f t="shared" si="134"/>
        <v>46.375883576200764</v>
      </c>
      <c r="W616" s="27">
        <f t="shared" si="134"/>
        <v>46.904035732930822</v>
      </c>
      <c r="X616" s="27">
        <f t="shared" si="134"/>
        <v>47.398975358684552</v>
      </c>
      <c r="Y616" s="27">
        <f t="shared" si="134"/>
        <v>47.847484974825178</v>
      </c>
      <c r="Z616" s="27">
        <f t="shared" si="134"/>
        <v>48.2474700313509</v>
      </c>
      <c r="AA616" s="27">
        <f t="shared" si="134"/>
        <v>48.5966004041803</v>
      </c>
      <c r="AB616" s="27">
        <f t="shared" si="134"/>
        <v>48.893112533223132</v>
      </c>
      <c r="AC616" s="27">
        <f t="shared" si="134"/>
        <v>49.135607790184835</v>
      </c>
      <c r="AD616" s="27">
        <f t="shared" si="134"/>
        <v>49.322615902412963</v>
      </c>
      <c r="AE616" s="27">
        <f t="shared" si="134"/>
        <v>49.453256675098231</v>
      </c>
      <c r="AF616" s="27">
        <f t="shared" si="134"/>
        <v>49.526685806237325</v>
      </c>
      <c r="AG616" s="27">
        <f t="shared" si="134"/>
        <v>49.542087595463748</v>
      </c>
      <c r="AH616" s="27">
        <f t="shared" si="134"/>
        <v>49.499313080220467</v>
      </c>
      <c r="AI616" s="27">
        <f t="shared" si="134"/>
        <v>49.398605779622059</v>
      </c>
      <c r="AJ616" s="27">
        <f t="shared" si="134"/>
        <v>15.628864648010964</v>
      </c>
      <c r="AK616" s="27">
        <f t="shared" si="134"/>
        <v>15.640273456922923</v>
      </c>
      <c r="AL616" s="27">
        <f t="shared" si="134"/>
        <v>15.650860984450333</v>
      </c>
      <c r="AM616" s="27">
        <f t="shared" si="134"/>
        <v>15.660698851570245</v>
      </c>
      <c r="AN616" s="27">
        <f t="shared" si="134"/>
        <v>15.669875280316276</v>
      </c>
      <c r="AO616" s="27">
        <f t="shared" si="134"/>
        <v>15.678102267167921</v>
      </c>
      <c r="AP616" s="27">
        <f t="shared" si="134"/>
        <v>15.685186406674521</v>
      </c>
      <c r="AQ616" s="27">
        <f t="shared" si="134"/>
        <v>15.691096683992601</v>
      </c>
      <c r="AR616" s="27">
        <f t="shared" si="134"/>
        <v>15.695613653325545</v>
      </c>
      <c r="AS616" s="27">
        <f t="shared" si="134"/>
        <v>15.698499065157048</v>
      </c>
      <c r="AT616" s="27">
        <f t="shared" si="134"/>
        <v>15.699723492348907</v>
      </c>
      <c r="AU616" s="27">
        <f t="shared" si="134"/>
        <v>15.699320775330669</v>
      </c>
      <c r="AV616" s="27">
        <f t="shared" si="134"/>
        <v>15.697314513897963</v>
      </c>
      <c r="AW616" s="27">
        <f t="shared" si="134"/>
        <v>15.693480621612418</v>
      </c>
      <c r="AY616" s="79"/>
      <c r="AZ616" s="79"/>
    </row>
    <row r="617" spans="1:52" x14ac:dyDescent="0.25">
      <c r="A617" s="95" t="str">
        <f t="shared" si="133"/>
        <v>NI Cattle</v>
      </c>
      <c r="B617" s="95" t="s">
        <v>969</v>
      </c>
      <c r="C617" s="95" t="s">
        <v>1108</v>
      </c>
      <c r="D617" t="s">
        <v>15</v>
      </c>
      <c r="E617" t="s">
        <v>16</v>
      </c>
      <c r="F617" t="s">
        <v>67</v>
      </c>
      <c r="G617" t="s">
        <v>122</v>
      </c>
      <c r="H617" t="s">
        <v>1020</v>
      </c>
      <c r="I617" t="s">
        <v>121</v>
      </c>
      <c r="J617" t="s">
        <v>286</v>
      </c>
      <c r="K617" s="27">
        <f t="shared" si="135"/>
        <v>463.23498593143177</v>
      </c>
      <c r="L617" s="27">
        <f t="shared" si="134"/>
        <v>459.21749683621613</v>
      </c>
      <c r="M617" s="27">
        <f t="shared" si="134"/>
        <v>457.68816035731243</v>
      </c>
      <c r="N617" s="27">
        <f t="shared" si="134"/>
        <v>451.57633407663542</v>
      </c>
      <c r="O617" s="27">
        <f t="shared" si="134"/>
        <v>442.70486896910717</v>
      </c>
      <c r="P617" s="27">
        <f t="shared" si="134"/>
        <v>431.25721304480419</v>
      </c>
      <c r="Q617" s="27">
        <f t="shared" si="134"/>
        <v>422.22811200839209</v>
      </c>
      <c r="R617" s="27">
        <f t="shared" si="134"/>
        <v>413.6855559628558</v>
      </c>
      <c r="S617" s="27">
        <f t="shared" si="134"/>
        <v>369.96675064639845</v>
      </c>
      <c r="T617" s="27">
        <f t="shared" si="134"/>
        <v>384.22044526495358</v>
      </c>
      <c r="U617" s="27">
        <f t="shared" si="134"/>
        <v>1210.9459030996998</v>
      </c>
      <c r="V617" s="27">
        <f t="shared" si="134"/>
        <v>1216.7867544029255</v>
      </c>
      <c r="W617" s="27">
        <f t="shared" si="134"/>
        <v>1220.5248847970281</v>
      </c>
      <c r="X617" s="27">
        <f t="shared" si="134"/>
        <v>1222.1595328966084</v>
      </c>
      <c r="Y617" s="27">
        <f t="shared" si="134"/>
        <v>1221.7253267296187</v>
      </c>
      <c r="Z617" s="27">
        <f t="shared" si="134"/>
        <v>1219.2014537371233</v>
      </c>
      <c r="AA617" s="27">
        <f t="shared" si="134"/>
        <v>1214.5817314826613</v>
      </c>
      <c r="AB617" s="27">
        <f t="shared" si="134"/>
        <v>1207.8699823574666</v>
      </c>
      <c r="AC617" s="27">
        <f t="shared" si="134"/>
        <v>1199.081298415254</v>
      </c>
      <c r="AD617" s="27">
        <f t="shared" si="134"/>
        <v>1178.2591392805034</v>
      </c>
      <c r="AE617" s="27">
        <f t="shared" si="134"/>
        <v>1155.4756644581196</v>
      </c>
      <c r="AF617" s="27">
        <f t="shared" si="134"/>
        <v>1130.8332446231877</v>
      </c>
      <c r="AG617" s="27">
        <f t="shared" si="134"/>
        <v>1104.4458826711734</v>
      </c>
      <c r="AH617" s="27">
        <f t="shared" si="134"/>
        <v>1076.4349444121476</v>
      </c>
      <c r="AI617" s="27">
        <f t="shared" si="134"/>
        <v>1046.9296670550386</v>
      </c>
      <c r="AJ617" s="27">
        <f t="shared" si="134"/>
        <v>-80.836782317903939</v>
      </c>
      <c r="AK617" s="27">
        <f t="shared" si="134"/>
        <v>-78.890466200610106</v>
      </c>
      <c r="AL617" s="27">
        <f t="shared" si="134"/>
        <v>-76.96440050927697</v>
      </c>
      <c r="AM617" s="27">
        <f t="shared" si="134"/>
        <v>-75.058386316845628</v>
      </c>
      <c r="AN617" s="27">
        <f t="shared" si="134"/>
        <v>-73.545633197869449</v>
      </c>
      <c r="AO617" s="27">
        <f t="shared" si="134"/>
        <v>-72.047230196727966</v>
      </c>
      <c r="AP617" s="27">
        <f t="shared" si="134"/>
        <v>-70.562062843287677</v>
      </c>
      <c r="AQ617" s="27">
        <f t="shared" si="134"/>
        <v>-69.089763252231094</v>
      </c>
      <c r="AR617" s="27">
        <f t="shared" si="134"/>
        <v>-67.629255024927176</v>
      </c>
      <c r="AS617" s="27">
        <f t="shared" si="134"/>
        <v>-66.179484044667291</v>
      </c>
      <c r="AT617" s="27">
        <f t="shared" si="134"/>
        <v>-64.740281014136201</v>
      </c>
      <c r="AU617" s="27">
        <f t="shared" si="134"/>
        <v>-63.311734849146887</v>
      </c>
      <c r="AV617" s="27">
        <f t="shared" si="134"/>
        <v>-61.893900094857884</v>
      </c>
      <c r="AW617" s="27">
        <f t="shared" si="134"/>
        <v>-60.485962401496174</v>
      </c>
      <c r="AY617" s="79"/>
      <c r="AZ617" s="79"/>
    </row>
    <row r="618" spans="1:52" x14ac:dyDescent="0.25">
      <c r="A618" s="95" t="str">
        <f t="shared" si="133"/>
        <v>NI Cattle</v>
      </c>
      <c r="B618" s="95" t="s">
        <v>969</v>
      </c>
      <c r="C618" s="95" t="s">
        <v>1108</v>
      </c>
      <c r="D618" t="s">
        <v>15</v>
      </c>
      <c r="E618" t="s">
        <v>16</v>
      </c>
      <c r="F618" t="s">
        <v>67</v>
      </c>
      <c r="G618" t="s">
        <v>123</v>
      </c>
      <c r="H618" t="s">
        <v>1020</v>
      </c>
      <c r="I618" t="s">
        <v>121</v>
      </c>
      <c r="J618" t="s">
        <v>286</v>
      </c>
      <c r="K618" s="27">
        <f t="shared" si="135"/>
        <v>326.20040935577731</v>
      </c>
      <c r="L618" s="27">
        <f t="shared" si="134"/>
        <v>323.37137738012325</v>
      </c>
      <c r="M618" s="27">
        <f t="shared" si="134"/>
        <v>322.29445054900742</v>
      </c>
      <c r="N618" s="27">
        <f t="shared" si="134"/>
        <v>317.99063003627231</v>
      </c>
      <c r="O618" s="27">
        <f t="shared" si="134"/>
        <v>311.74352945546792</v>
      </c>
      <c r="P618" s="27">
        <f t="shared" si="134"/>
        <v>303.68232906672068</v>
      </c>
      <c r="Q618" s="27">
        <f t="shared" si="134"/>
        <v>297.32422455466593</v>
      </c>
      <c r="R618" s="27">
        <f t="shared" si="134"/>
        <v>291.30873487096767</v>
      </c>
      <c r="S618" s="27">
        <f t="shared" si="134"/>
        <v>260.52286458075423</v>
      </c>
      <c r="T618" s="27">
        <f t="shared" si="134"/>
        <v>270.56001885582697</v>
      </c>
      <c r="U618" s="27">
        <f t="shared" si="134"/>
        <v>852.72283246173731</v>
      </c>
      <c r="V618" s="27">
        <f t="shared" si="134"/>
        <v>856.83583805061244</v>
      </c>
      <c r="W618" s="27">
        <f t="shared" si="134"/>
        <v>859.46815145917253</v>
      </c>
      <c r="X618" s="27">
        <f t="shared" si="134"/>
        <v>860.61923653571034</v>
      </c>
      <c r="Y618" s="27">
        <f t="shared" si="134"/>
        <v>860.31347761482039</v>
      </c>
      <c r="Z618" s="27">
        <f t="shared" si="134"/>
        <v>858.53621892685965</v>
      </c>
      <c r="AA618" s="27">
        <f t="shared" si="134"/>
        <v>855.28310692910031</v>
      </c>
      <c r="AB618" s="27">
        <f t="shared" si="134"/>
        <v>850.55683326967551</v>
      </c>
      <c r="AC618" s="27">
        <f t="shared" si="134"/>
        <v>844.36802545783894</v>
      </c>
      <c r="AD618" s="27">
        <f t="shared" si="134"/>
        <v>829.70549555464197</v>
      </c>
      <c r="AE618" s="27">
        <f t="shared" si="134"/>
        <v>813.66184807696902</v>
      </c>
      <c r="AF618" s="27">
        <f t="shared" si="134"/>
        <v>796.30917031773436</v>
      </c>
      <c r="AG618" s="27">
        <f t="shared" si="134"/>
        <v>777.72774073667881</v>
      </c>
      <c r="AH618" s="27">
        <f t="shared" si="134"/>
        <v>758.0030226043441</v>
      </c>
      <c r="AI618" s="27">
        <f t="shared" si="134"/>
        <v>737.22602206606996</v>
      </c>
      <c r="AJ618" s="27">
        <f t="shared" si="134"/>
        <v>-56.923575040610757</v>
      </c>
      <c r="AK618" s="27">
        <f t="shared" si="134"/>
        <v>-55.553019850526375</v>
      </c>
      <c r="AL618" s="27">
        <f t="shared" si="134"/>
        <v>-54.19672458777611</v>
      </c>
      <c r="AM618" s="27">
        <f t="shared" si="134"/>
        <v>-52.854549172076716</v>
      </c>
      <c r="AN618" s="27">
        <f t="shared" si="134"/>
        <v>-51.78929999692631</v>
      </c>
      <c r="AO618" s="27">
        <f t="shared" si="134"/>
        <v>-50.734155875267454</v>
      </c>
      <c r="AP618" s="27">
        <f t="shared" si="134"/>
        <v>-49.688332020491153</v>
      </c>
      <c r="AQ618" s="27">
        <f t="shared" si="134"/>
        <v>-48.651569375434605</v>
      </c>
      <c r="AR618" s="27">
        <f t="shared" si="134"/>
        <v>-47.623109962646353</v>
      </c>
      <c r="AS618" s="27">
        <f t="shared" si="134"/>
        <v>-46.60221149513962</v>
      </c>
      <c r="AT618" s="27">
        <f t="shared" si="134"/>
        <v>-45.588754757278259</v>
      </c>
      <c r="AU618" s="27">
        <f t="shared" si="134"/>
        <v>-44.582802361722123</v>
      </c>
      <c r="AV618" s="27">
        <f t="shared" si="134"/>
        <v>-43.584392718033477</v>
      </c>
      <c r="AW618" s="27">
        <f t="shared" si="134"/>
        <v>-42.59295237809765</v>
      </c>
      <c r="AY618" s="79"/>
      <c r="AZ618" s="79"/>
    </row>
    <row r="619" spans="1:52" x14ac:dyDescent="0.25">
      <c r="A619" s="95" t="str">
        <f t="shared" si="133"/>
        <v>NI Cattle</v>
      </c>
      <c r="B619" s="95" t="s">
        <v>969</v>
      </c>
      <c r="C619" s="95" t="s">
        <v>1108</v>
      </c>
      <c r="D619" t="s">
        <v>15</v>
      </c>
      <c r="E619" t="s">
        <v>16</v>
      </c>
      <c r="F619" t="s">
        <v>67</v>
      </c>
      <c r="G619" t="s">
        <v>135</v>
      </c>
      <c r="H619" t="s">
        <v>1020</v>
      </c>
      <c r="I619" t="s">
        <v>121</v>
      </c>
      <c r="J619" t="s">
        <v>286</v>
      </c>
      <c r="K619" s="27">
        <f t="shared" si="135"/>
        <v>31.891995988947272</v>
      </c>
      <c r="L619" s="27">
        <f t="shared" si="134"/>
        <v>32.967337371253549</v>
      </c>
      <c r="M619" s="27">
        <f t="shared" si="134"/>
        <v>34.243655078433662</v>
      </c>
      <c r="N619" s="27">
        <f t="shared" si="134"/>
        <v>35.195504797614667</v>
      </c>
      <c r="O619" s="27">
        <f t="shared" si="134"/>
        <v>35.929559405213332</v>
      </c>
      <c r="P619" s="27">
        <f t="shared" si="134"/>
        <v>36.435327957872921</v>
      </c>
      <c r="Q619" s="27">
        <f t="shared" si="134"/>
        <v>37.125912791560353</v>
      </c>
      <c r="R619" s="27">
        <f t="shared" si="134"/>
        <v>37.849847328761314</v>
      </c>
      <c r="S619" s="27">
        <f t="shared" si="134"/>
        <v>35.21788884404873</v>
      </c>
      <c r="T619" s="27">
        <f t="shared" si="134"/>
        <v>37.455910775606171</v>
      </c>
      <c r="U619" s="27">
        <f t="shared" si="134"/>
        <v>120.85470894098397</v>
      </c>
      <c r="V619" s="27">
        <f t="shared" si="134"/>
        <v>124.28654564348025</v>
      </c>
      <c r="W619" s="27">
        <f t="shared" si="134"/>
        <v>127.55864590441264</v>
      </c>
      <c r="X619" s="27">
        <f t="shared" si="134"/>
        <v>130.65843671178916</v>
      </c>
      <c r="Y619" s="27">
        <f t="shared" si="134"/>
        <v>133.57680599902966</v>
      </c>
      <c r="Z619" s="27">
        <f t="shared" si="134"/>
        <v>136.29836120715478</v>
      </c>
      <c r="AA619" s="27">
        <f t="shared" si="134"/>
        <v>138.8087353610496</v>
      </c>
      <c r="AB619" s="27">
        <f t="shared" si="134"/>
        <v>141.09420138271955</v>
      </c>
      <c r="AC619" s="27">
        <f t="shared" si="134"/>
        <v>143.14192494700313</v>
      </c>
      <c r="AD619" s="27">
        <f t="shared" si="134"/>
        <v>145.32079439837173</v>
      </c>
      <c r="AE619" s="27">
        <f t="shared" si="134"/>
        <v>147.24589460251983</v>
      </c>
      <c r="AF619" s="27">
        <f t="shared" si="134"/>
        <v>148.90595700146477</v>
      </c>
      <c r="AG619" s="27">
        <f t="shared" si="134"/>
        <v>150.29119988084832</v>
      </c>
      <c r="AH619" s="27">
        <f t="shared" si="134"/>
        <v>151.39298806651198</v>
      </c>
      <c r="AI619" s="27">
        <f t="shared" si="134"/>
        <v>152.2040963869018</v>
      </c>
      <c r="AJ619" s="27">
        <f t="shared" si="134"/>
        <v>-12.150089844770541</v>
      </c>
      <c r="AK619" s="27">
        <f t="shared" si="134"/>
        <v>-12.261292624366734</v>
      </c>
      <c r="AL619" s="27">
        <f t="shared" si="134"/>
        <v>-12.371760078813706</v>
      </c>
      <c r="AM619" s="27">
        <f t="shared" si="134"/>
        <v>-12.481547229069234</v>
      </c>
      <c r="AN619" s="27">
        <f t="shared" si="134"/>
        <v>-12.575061773814197</v>
      </c>
      <c r="AO619" s="27">
        <f t="shared" si="134"/>
        <v>-12.667641248223251</v>
      </c>
      <c r="AP619" s="27">
        <f t="shared" si="134"/>
        <v>-12.759143955764493</v>
      </c>
      <c r="AQ619" s="27">
        <f t="shared" si="134"/>
        <v>-12.849544731083009</v>
      </c>
      <c r="AR619" s="27">
        <f t="shared" si="134"/>
        <v>-12.938674897522816</v>
      </c>
      <c r="AS619" s="27">
        <f t="shared" si="134"/>
        <v>-13.02634616662869</v>
      </c>
      <c r="AT619" s="27">
        <f t="shared" si="134"/>
        <v>-13.112524146200343</v>
      </c>
      <c r="AU619" s="27">
        <f t="shared" si="134"/>
        <v>-13.197221864241371</v>
      </c>
      <c r="AV619" s="27">
        <f t="shared" si="134"/>
        <v>-13.28044453197926</v>
      </c>
      <c r="AW619" s="27">
        <f t="shared" si="134"/>
        <v>-13.362004258887673</v>
      </c>
      <c r="AY619" s="79"/>
      <c r="AZ619" s="79"/>
    </row>
    <row r="620" spans="1:52" x14ac:dyDescent="0.25">
      <c r="A620" s="95" t="str">
        <f t="shared" si="133"/>
        <v>NI Sheep</v>
      </c>
      <c r="B620" s="95" t="s">
        <v>969</v>
      </c>
      <c r="C620" s="95" t="s">
        <v>152</v>
      </c>
      <c r="D620" t="s">
        <v>15</v>
      </c>
      <c r="E620" t="s">
        <v>16</v>
      </c>
      <c r="F620" t="s">
        <v>18</v>
      </c>
      <c r="G620" t="s">
        <v>122</v>
      </c>
      <c r="H620" t="s">
        <v>1020</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134.51556530099631</v>
      </c>
      <c r="T620" s="27">
        <f t="shared" si="134"/>
        <v>134.60509112337468</v>
      </c>
      <c r="U620" s="27">
        <f t="shared" si="134"/>
        <v>136.35833424652054</v>
      </c>
      <c r="V620" s="27">
        <f t="shared" si="134"/>
        <v>136.40110324414033</v>
      </c>
      <c r="W620" s="27">
        <f t="shared" si="134"/>
        <v>136.58404654274005</v>
      </c>
      <c r="X620" s="27">
        <f t="shared" si="134"/>
        <v>136.84849552124783</v>
      </c>
      <c r="Y620" s="27">
        <f t="shared" si="134"/>
        <v>137.09415955987274</v>
      </c>
      <c r="Z620" s="27">
        <f t="shared" si="134"/>
        <v>137.32408030952666</v>
      </c>
      <c r="AA620" s="27">
        <f t="shared" si="134"/>
        <v>137.53703172758449</v>
      </c>
      <c r="AB620" s="27">
        <f t="shared" si="134"/>
        <v>137.73493252382224</v>
      </c>
      <c r="AC620" s="27">
        <f t="shared" si="134"/>
        <v>137.92078465176073</v>
      </c>
      <c r="AD620" s="27">
        <f t="shared" si="134"/>
        <v>138.09441299579947</v>
      </c>
      <c r="AE620" s="27">
        <f t="shared" si="134"/>
        <v>138.25859465521103</v>
      </c>
      <c r="AF620" s="27">
        <f t="shared" si="134"/>
        <v>138.41372705764812</v>
      </c>
      <c r="AG620" s="27">
        <f t="shared" si="134"/>
        <v>138.55768393469623</v>
      </c>
      <c r="AH620" s="27">
        <f t="shared" si="134"/>
        <v>138.69178217062699</v>
      </c>
      <c r="AI620" s="27">
        <f t="shared" si="134"/>
        <v>138.81816108295814</v>
      </c>
      <c r="AJ620" s="27">
        <f t="shared" si="134"/>
        <v>135.77163521502163</v>
      </c>
      <c r="AK620" s="27">
        <f t="shared" si="134"/>
        <v>135.89648953385836</v>
      </c>
      <c r="AL620" s="27">
        <f t="shared" si="134"/>
        <v>136.01294647652736</v>
      </c>
      <c r="AM620" s="27">
        <f t="shared" si="134"/>
        <v>136.12171776801748</v>
      </c>
      <c r="AN620" s="27">
        <f t="shared" si="134"/>
        <v>136.22366859450332</v>
      </c>
      <c r="AO620" s="27">
        <f t="shared" si="134"/>
        <v>136.31611723482146</v>
      </c>
      <c r="AP620" s="27">
        <f t="shared" si="134"/>
        <v>136.39727280638544</v>
      </c>
      <c r="AQ620" s="27">
        <f t="shared" si="134"/>
        <v>136.46687299989276</v>
      </c>
      <c r="AR620" s="27">
        <f t="shared" si="134"/>
        <v>136.52287982045266</v>
      </c>
      <c r="AS620" s="27">
        <f t="shared" si="134"/>
        <v>136.56307802336653</v>
      </c>
      <c r="AT620" s="27">
        <f t="shared" si="134"/>
        <v>136.58721779491506</v>
      </c>
      <c r="AU620" s="27">
        <f t="shared" si="134"/>
        <v>136.59564346547165</v>
      </c>
      <c r="AV620" s="27">
        <f t="shared" si="134"/>
        <v>136.58860148831764</v>
      </c>
      <c r="AW620" s="27">
        <f t="shared" si="134"/>
        <v>136.56400681676968</v>
      </c>
      <c r="AY620" s="79"/>
      <c r="AZ620" s="79"/>
    </row>
    <row r="621" spans="1:52" x14ac:dyDescent="0.25">
      <c r="A621" s="95" t="str">
        <f t="shared" si="133"/>
        <v>NI Sheep</v>
      </c>
      <c r="B621" s="95" t="s">
        <v>969</v>
      </c>
      <c r="C621" s="95" t="s">
        <v>152</v>
      </c>
      <c r="D621" t="s">
        <v>15</v>
      </c>
      <c r="E621" t="s">
        <v>16</v>
      </c>
      <c r="F621" t="s">
        <v>18</v>
      </c>
      <c r="G621" t="s">
        <v>123</v>
      </c>
      <c r="H621" t="s">
        <v>1020</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14.577965145623706</v>
      </c>
      <c r="T621" s="27">
        <f t="shared" si="136"/>
        <v>14.587667400640397</v>
      </c>
      <c r="U621" s="27">
        <f t="shared" si="136"/>
        <v>14.777673048565481</v>
      </c>
      <c r="V621" s="27">
        <f t="shared" si="136"/>
        <v>14.782308088051206</v>
      </c>
      <c r="W621" s="27">
        <f t="shared" si="136"/>
        <v>14.802134351462762</v>
      </c>
      <c r="X621" s="27">
        <f t="shared" si="136"/>
        <v>14.830793696445298</v>
      </c>
      <c r="Y621" s="27">
        <f t="shared" si="136"/>
        <v>14.857417245806248</v>
      </c>
      <c r="Z621" s="27">
        <f t="shared" si="136"/>
        <v>14.882334634862383</v>
      </c>
      <c r="AA621" s="27">
        <f t="shared" si="136"/>
        <v>14.905412992695631</v>
      </c>
      <c r="AB621" s="27">
        <f t="shared" si="136"/>
        <v>14.926860257206538</v>
      </c>
      <c r="AC621" s="27">
        <f t="shared" si="136"/>
        <v>14.947001761554121</v>
      </c>
      <c r="AD621" s="27">
        <f t="shared" si="136"/>
        <v>14.965818527792479</v>
      </c>
      <c r="AE621" s="27">
        <f t="shared" si="136"/>
        <v>14.983611520767653</v>
      </c>
      <c r="AF621" s="27">
        <f t="shared" si="136"/>
        <v>15.000423811231022</v>
      </c>
      <c r="AG621" s="27">
        <f t="shared" si="136"/>
        <v>15.016024967360309</v>
      </c>
      <c r="AH621" s="27">
        <f t="shared" si="136"/>
        <v>15.030557704929484</v>
      </c>
      <c r="AI621" s="27">
        <f t="shared" si="136"/>
        <v>15.044253869941933</v>
      </c>
      <c r="AJ621" s="27">
        <f t="shared" si="136"/>
        <v>14.714090235580054</v>
      </c>
      <c r="AK621" s="27">
        <f t="shared" si="136"/>
        <v>14.727621174577411</v>
      </c>
      <c r="AL621" s="27">
        <f t="shared" si="136"/>
        <v>14.740242057873667</v>
      </c>
      <c r="AM621" s="27">
        <f t="shared" si="136"/>
        <v>14.752030017821943</v>
      </c>
      <c r="AN621" s="27">
        <f t="shared" si="136"/>
        <v>14.763078817949665</v>
      </c>
      <c r="AO621" s="27">
        <f t="shared" si="136"/>
        <v>14.773097829900454</v>
      </c>
      <c r="AP621" s="27">
        <f t="shared" si="136"/>
        <v>14.781892968894116</v>
      </c>
      <c r="AQ621" s="27">
        <f t="shared" si="136"/>
        <v>14.789435807470511</v>
      </c>
      <c r="AR621" s="27">
        <f t="shared" si="136"/>
        <v>14.795505480346009</v>
      </c>
      <c r="AS621" s="27">
        <f t="shared" si="136"/>
        <v>14.799861912998866</v>
      </c>
      <c r="AT621" s="27">
        <f t="shared" si="136"/>
        <v>14.802478032162998</v>
      </c>
      <c r="AU621" s="27">
        <f t="shared" si="136"/>
        <v>14.803391154234989</v>
      </c>
      <c r="AV621" s="27">
        <f t="shared" si="136"/>
        <v>14.802627988297443</v>
      </c>
      <c r="AW621" s="27">
        <f t="shared" si="136"/>
        <v>14.799962569884396</v>
      </c>
      <c r="AY621" s="79"/>
      <c r="AZ621" s="79"/>
    </row>
    <row r="622" spans="1:52" x14ac:dyDescent="0.25">
      <c r="A622" s="95" t="str">
        <f t="shared" si="133"/>
        <v>NI Goats</v>
      </c>
      <c r="B622" s="95" t="s">
        <v>969</v>
      </c>
      <c r="C622" s="95" t="s">
        <v>153</v>
      </c>
      <c r="D622" t="s">
        <v>15</v>
      </c>
      <c r="E622" t="s">
        <v>16</v>
      </c>
      <c r="F622" t="s">
        <v>19</v>
      </c>
      <c r="G622" t="s">
        <v>122</v>
      </c>
      <c r="H622" t="s">
        <v>1020</v>
      </c>
      <c r="I622" t="s">
        <v>121</v>
      </c>
      <c r="J622" t="s">
        <v>286</v>
      </c>
      <c r="K622" s="27">
        <f t="shared" si="135"/>
        <v>15.123414197798359</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15.545788610572222</v>
      </c>
      <c r="R622" s="27">
        <f t="shared" si="136"/>
        <v>15.648067752449878</v>
      </c>
      <c r="S622" s="27">
        <f t="shared" si="136"/>
        <v>15.609909908763072</v>
      </c>
      <c r="T622" s="27">
        <f t="shared" si="136"/>
        <v>15.635455939498677</v>
      </c>
      <c r="U622" s="27">
        <f t="shared" si="136"/>
        <v>15.95246888070791</v>
      </c>
      <c r="V622" s="27">
        <f t="shared" si="136"/>
        <v>15.966791142533616</v>
      </c>
      <c r="W622" s="27">
        <f t="shared" si="136"/>
        <v>16.004709527553434</v>
      </c>
      <c r="X622" s="27">
        <f t="shared" si="136"/>
        <v>16.055885293055152</v>
      </c>
      <c r="Y622" s="27">
        <f t="shared" si="136"/>
        <v>16.102820608505493</v>
      </c>
      <c r="Z622" s="27">
        <f t="shared" si="136"/>
        <v>16.146135876832972</v>
      </c>
      <c r="AA622" s="27">
        <f t="shared" si="136"/>
        <v>16.185698238107559</v>
      </c>
      <c r="AB622" s="27">
        <f t="shared" si="136"/>
        <v>16.22191395009931</v>
      </c>
      <c r="AC622" s="27">
        <f t="shared" si="136"/>
        <v>16.25536732746065</v>
      </c>
      <c r="AD622" s="27">
        <f t="shared" si="136"/>
        <v>16.286085323517181</v>
      </c>
      <c r="AE622" s="27">
        <f t="shared" si="136"/>
        <v>16.31459834375584</v>
      </c>
      <c r="AF622" s="27">
        <f t="shared" si="136"/>
        <v>16.341020303059434</v>
      </c>
      <c r="AG622" s="27">
        <f t="shared" si="136"/>
        <v>16.365028601066268</v>
      </c>
      <c r="AH622" s="27">
        <f t="shared" si="136"/>
        <v>16.386889120844085</v>
      </c>
      <c r="AI622" s="27">
        <f t="shared" si="136"/>
        <v>16.407003513902541</v>
      </c>
      <c r="AJ622" s="27">
        <f t="shared" si="136"/>
        <v>15.886156568564889</v>
      </c>
      <c r="AK622" s="27">
        <f t="shared" si="136"/>
        <v>15.906232465615583</v>
      </c>
      <c r="AL622" s="27">
        <f t="shared" si="136"/>
        <v>15.924511297002383</v>
      </c>
      <c r="AM622" s="27">
        <f t="shared" si="136"/>
        <v>15.941140997111155</v>
      </c>
      <c r="AN622" s="27">
        <f t="shared" si="136"/>
        <v>15.956292884471127</v>
      </c>
      <c r="AO622" s="27">
        <f t="shared" si="136"/>
        <v>15.969536826708435</v>
      </c>
      <c r="AP622" s="27">
        <f t="shared" si="136"/>
        <v>15.980594577453482</v>
      </c>
      <c r="AQ622" s="27">
        <f t="shared" si="136"/>
        <v>15.989445822984647</v>
      </c>
      <c r="AR622" s="27">
        <f t="shared" si="136"/>
        <v>15.995770985939464</v>
      </c>
      <c r="AS622" s="27">
        <f t="shared" si="136"/>
        <v>15.999221862064399</v>
      </c>
      <c r="AT622" s="27">
        <f t="shared" si="136"/>
        <v>15.999780644603296</v>
      </c>
      <c r="AU622" s="27">
        <f t="shared" si="136"/>
        <v>15.99752803776004</v>
      </c>
      <c r="AV622" s="27">
        <f t="shared" si="136"/>
        <v>15.992527037206958</v>
      </c>
      <c r="AW622" s="27">
        <f t="shared" si="136"/>
        <v>15.984450939829935</v>
      </c>
      <c r="AY622" s="79"/>
      <c r="AZ622" s="79"/>
    </row>
    <row r="623" spans="1:52" x14ac:dyDescent="0.25">
      <c r="A623" s="95" t="str">
        <f t="shared" si="133"/>
        <v>NI Goats</v>
      </c>
      <c r="B623" s="95" t="s">
        <v>969</v>
      </c>
      <c r="C623" s="95" t="s">
        <v>153</v>
      </c>
      <c r="D623" t="s">
        <v>15</v>
      </c>
      <c r="E623" t="s">
        <v>16</v>
      </c>
      <c r="F623" t="s">
        <v>19</v>
      </c>
      <c r="G623" t="s">
        <v>123</v>
      </c>
      <c r="H623" t="s">
        <v>1020</v>
      </c>
      <c r="I623" t="s">
        <v>121</v>
      </c>
      <c r="J623" t="s">
        <v>286</v>
      </c>
      <c r="K623" s="27">
        <f t="shared" si="135"/>
        <v>22.381101687842744</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23.101065436464115</v>
      </c>
      <c r="T623" s="27">
        <f t="shared" si="136"/>
        <v>23.138870941499981</v>
      </c>
      <c r="U623" s="27">
        <f t="shared" si="136"/>
        <v>23.608017576034321</v>
      </c>
      <c r="V623" s="27">
        <f t="shared" si="136"/>
        <v>23.62921305439183</v>
      </c>
      <c r="W623" s="27">
        <f t="shared" si="136"/>
        <v>23.685328374640804</v>
      </c>
      <c r="X623" s="27">
        <f t="shared" si="136"/>
        <v>23.761063258091507</v>
      </c>
      <c r="Y623" s="27">
        <f t="shared" si="136"/>
        <v>23.830522710441766</v>
      </c>
      <c r="Z623" s="27">
        <f t="shared" si="136"/>
        <v>23.894624864386248</v>
      </c>
      <c r="AA623" s="27">
        <f t="shared" si="136"/>
        <v>23.953173100856997</v>
      </c>
      <c r="AB623" s="27">
        <f t="shared" si="136"/>
        <v>24.006768639680701</v>
      </c>
      <c r="AC623" s="27">
        <f t="shared" si="136"/>
        <v>24.0562762066053</v>
      </c>
      <c r="AD623" s="27">
        <f t="shared" si="136"/>
        <v>24.101735689787876</v>
      </c>
      <c r="AE623" s="27">
        <f t="shared" si="136"/>
        <v>24.143932034941329</v>
      </c>
      <c r="AF623" s="27">
        <f t="shared" si="136"/>
        <v>24.183033824407083</v>
      </c>
      <c r="AG623" s="27">
        <f t="shared" si="136"/>
        <v>24.218563642741437</v>
      </c>
      <c r="AH623" s="27">
        <f t="shared" si="136"/>
        <v>24.250914969610982</v>
      </c>
      <c r="AI623" s="27">
        <f t="shared" si="136"/>
        <v>24.280682208049512</v>
      </c>
      <c r="AJ623" s="27">
        <f t="shared" si="136"/>
        <v>23.509882156226475</v>
      </c>
      <c r="AK623" s="27">
        <f t="shared" si="136"/>
        <v>23.53959242452235</v>
      </c>
      <c r="AL623" s="27">
        <f t="shared" si="136"/>
        <v>23.566643219974505</v>
      </c>
      <c r="AM623" s="27">
        <f t="shared" si="136"/>
        <v>23.591253470299264</v>
      </c>
      <c r="AN623" s="27">
        <f t="shared" si="136"/>
        <v>23.613676709346407</v>
      </c>
      <c r="AO623" s="27">
        <f t="shared" si="136"/>
        <v>23.633276385324617</v>
      </c>
      <c r="AP623" s="27">
        <f t="shared" si="136"/>
        <v>23.649640722148757</v>
      </c>
      <c r="AQ623" s="27">
        <f t="shared" si="136"/>
        <v>23.662739657594557</v>
      </c>
      <c r="AR623" s="27">
        <f t="shared" si="136"/>
        <v>23.672100249947082</v>
      </c>
      <c r="AS623" s="27">
        <f t="shared" si="136"/>
        <v>23.67720719262908</v>
      </c>
      <c r="AT623" s="27">
        <f t="shared" si="136"/>
        <v>23.678034133468028</v>
      </c>
      <c r="AU623" s="27">
        <f t="shared" si="136"/>
        <v>23.674700506407216</v>
      </c>
      <c r="AV623" s="27">
        <f t="shared" si="136"/>
        <v>23.667299538579741</v>
      </c>
      <c r="AW623" s="27">
        <f t="shared" si="136"/>
        <v>23.655347742889163</v>
      </c>
      <c r="AY623" s="79"/>
      <c r="AZ623" s="79"/>
    </row>
    <row r="624" spans="1:52" x14ac:dyDescent="0.25">
      <c r="A624" s="95" t="str">
        <f t="shared" si="133"/>
        <v>NI Horses</v>
      </c>
      <c r="B624" s="95" t="s">
        <v>969</v>
      </c>
      <c r="C624" s="95" t="s">
        <v>3</v>
      </c>
      <c r="D624" t="s">
        <v>15</v>
      </c>
      <c r="E624" t="s">
        <v>16</v>
      </c>
      <c r="F624" t="s">
        <v>20</v>
      </c>
      <c r="G624" t="s">
        <v>3</v>
      </c>
      <c r="H624" t="s">
        <v>1020</v>
      </c>
      <c r="I624" t="s">
        <v>121</v>
      </c>
      <c r="J624" t="s">
        <v>286</v>
      </c>
      <c r="K624" s="27">
        <f t="shared" si="135"/>
        <v>5.5526214800767901</v>
      </c>
      <c r="L624" s="27">
        <f t="shared" si="136"/>
        <v>5.5795235710196529</v>
      </c>
      <c r="M624" s="27">
        <f t="shared" si="136"/>
        <v>5.6203482259438022</v>
      </c>
      <c r="N624" s="27">
        <f t="shared" si="136"/>
        <v>5.6290756550083767</v>
      </c>
      <c r="O624" s="27">
        <f t="shared" si="136"/>
        <v>5.6165815405282284</v>
      </c>
      <c r="P624" s="27">
        <f t="shared" si="136"/>
        <v>5.5833231296706112</v>
      </c>
      <c r="Q624" s="27">
        <f t="shared" si="136"/>
        <v>5.5648827699457364</v>
      </c>
      <c r="R624" s="27">
        <f t="shared" si="136"/>
        <v>5.5483103177944031</v>
      </c>
      <c r="S624" s="27">
        <f t="shared" si="136"/>
        <v>5.301317756839599</v>
      </c>
      <c r="T624" s="27">
        <f t="shared" si="136"/>
        <v>5.4334519326298842</v>
      </c>
      <c r="U624" s="27">
        <f t="shared" si="136"/>
        <v>11.663279711908721</v>
      </c>
      <c r="V624" s="27">
        <f t="shared" si="136"/>
        <v>11.812653235838557</v>
      </c>
      <c r="W624" s="27">
        <f t="shared" si="136"/>
        <v>11.932954790442608</v>
      </c>
      <c r="X624" s="27">
        <f t="shared" si="136"/>
        <v>12.029772886609605</v>
      </c>
      <c r="Y624" s="27">
        <f t="shared" si="136"/>
        <v>12.113873667726716</v>
      </c>
      <c r="Z624" s="27">
        <f t="shared" si="136"/>
        <v>12.184301808011908</v>
      </c>
      <c r="AA624" s="27">
        <f t="shared" si="136"/>
        <v>12.240662308750712</v>
      </c>
      <c r="AB624" s="27">
        <f t="shared" si="136"/>
        <v>12.282268429354316</v>
      </c>
      <c r="AC624" s="27">
        <f t="shared" si="136"/>
        <v>12.308384588149881</v>
      </c>
      <c r="AD624" s="27">
        <f t="shared" si="136"/>
        <v>12.31872545788376</v>
      </c>
      <c r="AE624" s="27">
        <f t="shared" si="136"/>
        <v>12.312750989800492</v>
      </c>
      <c r="AF624" s="27">
        <f t="shared" si="136"/>
        <v>12.290286651516004</v>
      </c>
      <c r="AG624" s="27">
        <f t="shared" si="136"/>
        <v>12.251535501678408</v>
      </c>
      <c r="AH624" s="27">
        <f t="shared" si="136"/>
        <v>12.196396092630039</v>
      </c>
      <c r="AI624" s="27">
        <f t="shared" si="136"/>
        <v>12.124769930026071</v>
      </c>
      <c r="AJ624" s="27">
        <f t="shared" si="136"/>
        <v>1.7851056965565462</v>
      </c>
      <c r="AK624" s="27">
        <f t="shared" si="136"/>
        <v>1.7851056965565462</v>
      </c>
      <c r="AL624" s="27">
        <f t="shared" si="136"/>
        <v>1.7851056965565462</v>
      </c>
      <c r="AM624" s="27">
        <f t="shared" si="136"/>
        <v>1.7851056965565462</v>
      </c>
      <c r="AN624" s="27">
        <f t="shared" si="136"/>
        <v>1.7851056965565462</v>
      </c>
      <c r="AO624" s="27">
        <f t="shared" si="136"/>
        <v>1.7851056965565462</v>
      </c>
      <c r="AP624" s="27">
        <f t="shared" si="136"/>
        <v>1.7851056965565462</v>
      </c>
      <c r="AQ624" s="27">
        <f t="shared" si="136"/>
        <v>1.7851056965565462</v>
      </c>
      <c r="AR624" s="27">
        <f t="shared" si="136"/>
        <v>1.7851056965565462</v>
      </c>
      <c r="AS624" s="27">
        <f t="shared" si="136"/>
        <v>1.7851056965565462</v>
      </c>
      <c r="AT624" s="27">
        <f t="shared" si="136"/>
        <v>1.7851056965565462</v>
      </c>
      <c r="AU624" s="27">
        <f t="shared" si="136"/>
        <v>1.7851056965565462</v>
      </c>
      <c r="AV624" s="27">
        <f t="shared" si="136"/>
        <v>1.7851056965565462</v>
      </c>
      <c r="AW624" s="27">
        <f t="shared" si="136"/>
        <v>1.7851056965565462</v>
      </c>
      <c r="AY624" s="79"/>
      <c r="AZ624" s="79"/>
    </row>
    <row r="625" spans="1:52" x14ac:dyDescent="0.25">
      <c r="A625" s="95" t="str">
        <f t="shared" si="133"/>
        <v>NI Mules&amp;Asses</v>
      </c>
      <c r="B625" s="95" t="s">
        <v>969</v>
      </c>
      <c r="C625" s="95" t="s">
        <v>1323</v>
      </c>
      <c r="D625" t="s">
        <v>15</v>
      </c>
      <c r="E625" t="s">
        <v>16</v>
      </c>
      <c r="F625" t="s">
        <v>140</v>
      </c>
      <c r="G625" t="s">
        <v>124</v>
      </c>
      <c r="H625" t="s">
        <v>1020</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25">
      <c r="A626" s="95" t="str">
        <f t="shared" si="133"/>
        <v>NI Swine</v>
      </c>
      <c r="B626" s="95" t="s">
        <v>969</v>
      </c>
      <c r="C626" s="95" t="s">
        <v>155</v>
      </c>
      <c r="D626" t="s">
        <v>15</v>
      </c>
      <c r="E626" t="s">
        <v>16</v>
      </c>
      <c r="F626" t="s">
        <v>21</v>
      </c>
      <c r="G626" t="s">
        <v>122</v>
      </c>
      <c r="H626" t="s">
        <v>1020</v>
      </c>
      <c r="I626" t="s">
        <v>121</v>
      </c>
      <c r="J626" t="s">
        <v>286</v>
      </c>
      <c r="K626" s="27">
        <f t="shared" si="135"/>
        <v>1.8400999552016302</v>
      </c>
      <c r="L626" s="27">
        <f t="shared" si="136"/>
        <v>1.8300977880312248</v>
      </c>
      <c r="M626" s="27">
        <f t="shared" si="136"/>
        <v>1.8309187348828151</v>
      </c>
      <c r="N626" s="27">
        <f t="shared" si="136"/>
        <v>1.8141094978660448</v>
      </c>
      <c r="O626" s="27">
        <f t="shared" si="136"/>
        <v>1.7866561368117295</v>
      </c>
      <c r="P626" s="27">
        <f t="shared" si="136"/>
        <v>1.7489975228040082</v>
      </c>
      <c r="Q626" s="27">
        <f t="shared" si="136"/>
        <v>1.721653192801009</v>
      </c>
      <c r="R626" s="27">
        <f t="shared" si="136"/>
        <v>1.6967284692901872</v>
      </c>
      <c r="S626" s="27">
        <f t="shared" si="136"/>
        <v>1.5265878305982445</v>
      </c>
      <c r="T626" s="27">
        <f t="shared" si="136"/>
        <v>1.5810995176609606</v>
      </c>
      <c r="U626" s="27">
        <f t="shared" si="136"/>
        <v>5.0540136125986557</v>
      </c>
      <c r="V626" s="27">
        <f t="shared" si="136"/>
        <v>5.0678679159640359</v>
      </c>
      <c r="W626" s="27">
        <f t="shared" si="136"/>
        <v>5.0729847165704873</v>
      </c>
      <c r="X626" s="27">
        <f t="shared" si="136"/>
        <v>5.0695948867136602</v>
      </c>
      <c r="Y626" s="27">
        <f t="shared" si="136"/>
        <v>5.0582098272592386</v>
      </c>
      <c r="Z626" s="27">
        <f t="shared" si="136"/>
        <v>5.0387249592432335</v>
      </c>
      <c r="AA626" s="27">
        <f t="shared" si="136"/>
        <v>5.0111122815709459</v>
      </c>
      <c r="AB626" s="27">
        <f t="shared" si="136"/>
        <v>4.9753743834920021</v>
      </c>
      <c r="AC626" s="27">
        <f t="shared" si="136"/>
        <v>4.9315571021349269</v>
      </c>
      <c r="AD626" s="27">
        <f t="shared" si="136"/>
        <v>4.8797732145240138</v>
      </c>
      <c r="AE626" s="27">
        <f t="shared" si="136"/>
        <v>4.8201653478957827</v>
      </c>
      <c r="AF626" s="27">
        <f t="shared" si="136"/>
        <v>4.7529350466048701</v>
      </c>
      <c r="AG626" s="27">
        <f t="shared" si="136"/>
        <v>4.6783405786979539</v>
      </c>
      <c r="AH626" s="27">
        <f t="shared" si="136"/>
        <v>4.5966617003060959</v>
      </c>
      <c r="AI626" s="27">
        <f t="shared" si="136"/>
        <v>4.5082123470458679</v>
      </c>
      <c r="AJ626" s="27">
        <f t="shared" si="136"/>
        <v>-0.42008552544106242</v>
      </c>
      <c r="AK626" s="27">
        <f t="shared" si="136"/>
        <v>-0.41553771612775497</v>
      </c>
      <c r="AL626" s="27">
        <f t="shared" si="136"/>
        <v>-0.41097379422953517</v>
      </c>
      <c r="AM626" s="27">
        <f t="shared" si="136"/>
        <v>-0.40639849459231969</v>
      </c>
      <c r="AN626" s="27">
        <f t="shared" si="136"/>
        <v>-0.40181705013442426</v>
      </c>
      <c r="AO626" s="27">
        <f t="shared" si="136"/>
        <v>-0.39721731633182522</v>
      </c>
      <c r="AP626" s="27">
        <f t="shared" si="136"/>
        <v>-0.39259212331291987</v>
      </c>
      <c r="AQ626" s="27">
        <f t="shared" si="136"/>
        <v>-0.38794191787285037</v>
      </c>
      <c r="AR626" s="27">
        <f t="shared" si="136"/>
        <v>-0.38325899383328277</v>
      </c>
      <c r="AS626" s="27">
        <f t="shared" si="136"/>
        <v>-0.37853535700522173</v>
      </c>
      <c r="AT626" s="27">
        <f t="shared" si="136"/>
        <v>-0.37377234804073223</v>
      </c>
      <c r="AU626" s="27">
        <f t="shared" si="136"/>
        <v>-0.36897393039459231</v>
      </c>
      <c r="AV626" s="27">
        <f t="shared" si="136"/>
        <v>-0.36414349435249727</v>
      </c>
      <c r="AW626" s="27">
        <f t="shared" si="136"/>
        <v>-0.35927435241905337</v>
      </c>
      <c r="AY626" s="79"/>
      <c r="AZ626" s="79"/>
    </row>
    <row r="627" spans="1:52" x14ac:dyDescent="0.25">
      <c r="A627" s="95" t="str">
        <f t="shared" si="133"/>
        <v>NI Swine</v>
      </c>
      <c r="B627" s="95" t="s">
        <v>969</v>
      </c>
      <c r="C627" s="95" t="s">
        <v>155</v>
      </c>
      <c r="D627" t="s">
        <v>15</v>
      </c>
      <c r="E627" t="s">
        <v>16</v>
      </c>
      <c r="F627" t="s">
        <v>21</v>
      </c>
      <c r="G627" t="s">
        <v>123</v>
      </c>
      <c r="H627" t="s">
        <v>1020</v>
      </c>
      <c r="I627" t="s">
        <v>121</v>
      </c>
      <c r="J627" t="s">
        <v>286</v>
      </c>
      <c r="K627" s="27">
        <f t="shared" si="135"/>
        <v>0.25496723934882604</v>
      </c>
      <c r="L627" s="27">
        <f t="shared" si="136"/>
        <v>0.25358132281546891</v>
      </c>
      <c r="M627" s="27">
        <f t="shared" si="136"/>
        <v>0.25369507454499335</v>
      </c>
      <c r="N627" s="27">
        <f t="shared" si="136"/>
        <v>0.25136595935447842</v>
      </c>
      <c r="O627" s="27">
        <f t="shared" si="136"/>
        <v>0.247561977044127</v>
      </c>
      <c r="P627" s="27">
        <f t="shared" si="136"/>
        <v>0.24234393830437845</v>
      </c>
      <c r="Q627" s="27">
        <f t="shared" si="136"/>
        <v>0.23855506351363695</v>
      </c>
      <c r="R627" s="27">
        <f t="shared" si="136"/>
        <v>0.23510145332951485</v>
      </c>
      <c r="S627" s="27">
        <f t="shared" si="136"/>
        <v>0.21152649000988519</v>
      </c>
      <c r="T627" s="27">
        <f t="shared" si="136"/>
        <v>0.21907971793282416</v>
      </c>
      <c r="U627" s="27">
        <f t="shared" si="136"/>
        <v>0.70029233726842122</v>
      </c>
      <c r="V627" s="27">
        <f t="shared" si="136"/>
        <v>0.70221201205140604</v>
      </c>
      <c r="W627" s="27">
        <f t="shared" si="136"/>
        <v>0.7029210042565508</v>
      </c>
      <c r="X627" s="27">
        <f t="shared" si="136"/>
        <v>0.70245130392423227</v>
      </c>
      <c r="Y627" s="27">
        <f t="shared" si="136"/>
        <v>0.70087377158925745</v>
      </c>
      <c r="Z627" s="27">
        <f t="shared" si="136"/>
        <v>0.6981739166204699</v>
      </c>
      <c r="AA627" s="27">
        <f t="shared" si="136"/>
        <v>0.69434785914069519</v>
      </c>
      <c r="AB627" s="27">
        <f t="shared" si="136"/>
        <v>0.68939595792056851</v>
      </c>
      <c r="AC627" s="27">
        <f t="shared" si="136"/>
        <v>0.68332456422708854</v>
      </c>
      <c r="AD627" s="27">
        <f t="shared" si="136"/>
        <v>0.67614930462796652</v>
      </c>
      <c r="AE627" s="27">
        <f t="shared" si="136"/>
        <v>0.66788994178481698</v>
      </c>
      <c r="AF627" s="27">
        <f t="shared" si="136"/>
        <v>0.65857440201086193</v>
      </c>
      <c r="AG627" s="27">
        <f t="shared" si="136"/>
        <v>0.64823847134624946</v>
      </c>
      <c r="AH627" s="27">
        <f t="shared" si="136"/>
        <v>0.63692091325501032</v>
      </c>
      <c r="AI627" s="27">
        <f t="shared" si="136"/>
        <v>0.62466522716621964</v>
      </c>
      <c r="AJ627" s="27">
        <f t="shared" si="136"/>
        <v>-5.8207732905668316E-2</v>
      </c>
      <c r="AK627" s="27">
        <f t="shared" si="136"/>
        <v>-5.7577581058524868E-2</v>
      </c>
      <c r="AL627" s="27">
        <f t="shared" si="136"/>
        <v>-5.6945196625438323E-2</v>
      </c>
      <c r="AM627" s="27">
        <f t="shared" si="136"/>
        <v>-5.6311235674351458E-2</v>
      </c>
      <c r="AN627" s="27">
        <f t="shared" si="136"/>
        <v>-5.5676423286927873E-2</v>
      </c>
      <c r="AO627" s="27">
        <f t="shared" si="136"/>
        <v>-5.5039076698188007E-2</v>
      </c>
      <c r="AP627" s="27">
        <f t="shared" si="136"/>
        <v>-5.4398202439073888E-2</v>
      </c>
      <c r="AQ627" s="27">
        <f t="shared" ref="L627:AW634" si="137">AQ1392</f>
        <v>-5.3753862418246326E-2</v>
      </c>
      <c r="AR627" s="27">
        <f t="shared" si="137"/>
        <v>-5.3104988855115366E-2</v>
      </c>
      <c r="AS627" s="27">
        <f t="shared" si="137"/>
        <v>-5.2450474061865898E-2</v>
      </c>
      <c r="AT627" s="27">
        <f t="shared" si="137"/>
        <v>-5.1790503801426135E-2</v>
      </c>
      <c r="AU627" s="27">
        <f t="shared" si="137"/>
        <v>-5.1125627256529457E-2</v>
      </c>
      <c r="AV627" s="27">
        <f t="shared" si="137"/>
        <v>-5.0456314190669899E-2</v>
      </c>
      <c r="AW627" s="27">
        <f t="shared" si="137"/>
        <v>-4.9781637973620729E-2</v>
      </c>
      <c r="AY627" s="79"/>
      <c r="AZ627" s="79"/>
    </row>
    <row r="628" spans="1:52" x14ac:dyDescent="0.25">
      <c r="A628" s="95" t="str">
        <f t="shared" si="133"/>
        <v>NI Cattle MMCH4</v>
      </c>
      <c r="B628" s="95" t="s">
        <v>969</v>
      </c>
      <c r="C628" s="95" t="s">
        <v>1229</v>
      </c>
      <c r="D628" t="s">
        <v>15</v>
      </c>
      <c r="E628" t="s">
        <v>22</v>
      </c>
      <c r="F628" t="s">
        <v>6</v>
      </c>
      <c r="G628" t="s">
        <v>136</v>
      </c>
      <c r="H628" t="s">
        <v>1227</v>
      </c>
      <c r="I628" t="s">
        <v>121</v>
      </c>
      <c r="J628" t="s">
        <v>286</v>
      </c>
      <c r="K628" s="27">
        <f t="shared" si="135"/>
        <v>7.351330651107908</v>
      </c>
      <c r="L628" s="27">
        <f t="shared" si="137"/>
        <v>7.3924283487896005</v>
      </c>
      <c r="M628" s="27">
        <f t="shared" si="137"/>
        <v>7.4507389435191715</v>
      </c>
      <c r="N628" s="27">
        <f t="shared" si="137"/>
        <v>7.4882097119910753</v>
      </c>
      <c r="O628" s="27">
        <f t="shared" si="137"/>
        <v>7.5131092090175455</v>
      </c>
      <c r="P628" s="27">
        <f t="shared" si="137"/>
        <v>7.5251923679492423</v>
      </c>
      <c r="Q628" s="27">
        <f t="shared" si="137"/>
        <v>7.5518885629203734</v>
      </c>
      <c r="R628" s="27">
        <f t="shared" si="137"/>
        <v>7.5825135825669054</v>
      </c>
      <c r="S628" s="27">
        <f t="shared" si="137"/>
        <v>7.3670594492211752</v>
      </c>
      <c r="T628" s="27">
        <f t="shared" si="137"/>
        <v>7.4938201403917679</v>
      </c>
      <c r="U628" s="27">
        <f t="shared" si="137"/>
        <v>12.893716848831154</v>
      </c>
      <c r="V628" s="27">
        <f t="shared" si="137"/>
        <v>13.049144587269693</v>
      </c>
      <c r="W628" s="27">
        <f t="shared" si="137"/>
        <v>13.19775488481636</v>
      </c>
      <c r="X628" s="27">
        <f t="shared" si="137"/>
        <v>13.337019913111025</v>
      </c>
      <c r="Y628" s="27">
        <f t="shared" si="137"/>
        <v>13.463220566952655</v>
      </c>
      <c r="Z628" s="27">
        <f t="shared" si="137"/>
        <v>13.575767486447466</v>
      </c>
      <c r="AA628" s="27">
        <f t="shared" si="137"/>
        <v>13.674005026382902</v>
      </c>
      <c r="AB628" s="27">
        <f t="shared" si="137"/>
        <v>13.757436960081838</v>
      </c>
      <c r="AC628" s="27">
        <f t="shared" si="137"/>
        <v>13.825669744576842</v>
      </c>
      <c r="AD628" s="27">
        <f t="shared" si="137"/>
        <v>13.878289677767924</v>
      </c>
      <c r="AE628" s="27">
        <f t="shared" si="137"/>
        <v>13.915049092366717</v>
      </c>
      <c r="AF628" s="27">
        <f t="shared" si="137"/>
        <v>13.935710420523995</v>
      </c>
      <c r="AG628" s="27">
        <f t="shared" si="137"/>
        <v>13.940044142256493</v>
      </c>
      <c r="AH628" s="27">
        <f t="shared" si="137"/>
        <v>13.928008342806061</v>
      </c>
      <c r="AI628" s="27">
        <f t="shared" si="137"/>
        <v>13.899671543047996</v>
      </c>
      <c r="AJ628" s="27">
        <f t="shared" si="137"/>
        <v>4.3976157174808597</v>
      </c>
      <c r="AK628" s="27">
        <f t="shared" si="137"/>
        <v>4.4008259031545416</v>
      </c>
      <c r="AL628" s="27">
        <f t="shared" si="137"/>
        <v>4.403804998470318</v>
      </c>
      <c r="AM628" s="27">
        <f t="shared" si="137"/>
        <v>4.4065731559819081</v>
      </c>
      <c r="AN628" s="27">
        <f t="shared" si="137"/>
        <v>4.4091551994119804</v>
      </c>
      <c r="AO628" s="27">
        <f t="shared" si="137"/>
        <v>4.4114700909604787</v>
      </c>
      <c r="AP628" s="27">
        <f t="shared" si="137"/>
        <v>4.4134634106251305</v>
      </c>
      <c r="AQ628" s="27">
        <f t="shared" si="137"/>
        <v>4.4151264315171801</v>
      </c>
      <c r="AR628" s="27">
        <f t="shared" si="137"/>
        <v>4.4163974064588221</v>
      </c>
      <c r="AS628" s="27">
        <f t="shared" si="137"/>
        <v>4.4172092973227706</v>
      </c>
      <c r="AT628" s="27">
        <f t="shared" si="137"/>
        <v>4.4175538239653074</v>
      </c>
      <c r="AU628" s="27">
        <f t="shared" si="137"/>
        <v>4.4174405083324073</v>
      </c>
      <c r="AV628" s="27">
        <f t="shared" si="137"/>
        <v>4.4168759908828958</v>
      </c>
      <c r="AW628" s="27">
        <f t="shared" si="137"/>
        <v>4.4157972186653511</v>
      </c>
      <c r="AY628" s="79"/>
      <c r="AZ628" s="79"/>
    </row>
    <row r="629" spans="1:52" x14ac:dyDescent="0.25">
      <c r="A629" s="95" t="str">
        <f t="shared" si="133"/>
        <v>NI Cattle MMCH4</v>
      </c>
      <c r="B629" s="95" t="s">
        <v>969</v>
      </c>
      <c r="C629" s="95" t="s">
        <v>1229</v>
      </c>
      <c r="D629" t="s">
        <v>15</v>
      </c>
      <c r="E629" t="s">
        <v>22</v>
      </c>
      <c r="F629" t="s">
        <v>6</v>
      </c>
      <c r="G629" t="s">
        <v>137</v>
      </c>
      <c r="H629" t="s">
        <v>1227</v>
      </c>
      <c r="I629" t="s">
        <v>121</v>
      </c>
      <c r="J629" t="s">
        <v>286</v>
      </c>
      <c r="K629" s="27">
        <f t="shared" si="135"/>
        <v>2.0944490884992821</v>
      </c>
      <c r="L629" s="27">
        <f t="shared" si="137"/>
        <v>2.1061581299686476</v>
      </c>
      <c r="M629" s="27">
        <f t="shared" si="137"/>
        <v>2.1227712545548472</v>
      </c>
      <c r="N629" s="27">
        <f t="shared" si="137"/>
        <v>2.1334469567638776</v>
      </c>
      <c r="O629" s="27">
        <f t="shared" si="137"/>
        <v>2.1405410097083362</v>
      </c>
      <c r="P629" s="27">
        <f t="shared" si="137"/>
        <v>2.1439835920667925</v>
      </c>
      <c r="Q629" s="27">
        <f t="shared" si="137"/>
        <v>2.151589537694508</v>
      </c>
      <c r="R629" s="27">
        <f t="shared" si="137"/>
        <v>2.1603148348588097</v>
      </c>
      <c r="S629" s="27">
        <f t="shared" si="137"/>
        <v>2.0989303407289799</v>
      </c>
      <c r="T629" s="27">
        <f t="shared" si="137"/>
        <v>2.1350454097797478</v>
      </c>
      <c r="U629" s="27">
        <f t="shared" si="137"/>
        <v>3.6735163718057389</v>
      </c>
      <c r="V629" s="27">
        <f t="shared" si="137"/>
        <v>3.7177988970450366</v>
      </c>
      <c r="W629" s="27">
        <f t="shared" si="137"/>
        <v>3.7601390823815941</v>
      </c>
      <c r="X629" s="27">
        <f t="shared" si="137"/>
        <v>3.7998167306081263</v>
      </c>
      <c r="Y629" s="27">
        <f t="shared" si="137"/>
        <v>3.8357722408349422</v>
      </c>
      <c r="Z629" s="27">
        <f t="shared" si="137"/>
        <v>3.8678377000200475</v>
      </c>
      <c r="AA629" s="27">
        <f t="shared" si="137"/>
        <v>3.8958263099383315</v>
      </c>
      <c r="AB629" s="27">
        <f t="shared" si="137"/>
        <v>3.919596691897838</v>
      </c>
      <c r="AC629" s="27">
        <f t="shared" si="137"/>
        <v>3.9390367225635514</v>
      </c>
      <c r="AD629" s="27">
        <f t="shared" si="137"/>
        <v>3.9540285351128004</v>
      </c>
      <c r="AE629" s="27">
        <f t="shared" si="137"/>
        <v>3.9645015672826429</v>
      </c>
      <c r="AF629" s="27">
        <f t="shared" si="137"/>
        <v>3.9703881342158924</v>
      </c>
      <c r="AG629" s="27">
        <f t="shared" si="137"/>
        <v>3.9716228439525687</v>
      </c>
      <c r="AH629" s="27">
        <f t="shared" si="137"/>
        <v>3.9681937546645596</v>
      </c>
      <c r="AI629" s="27">
        <f t="shared" si="137"/>
        <v>3.9601203884617591</v>
      </c>
      <c r="AJ629" s="27">
        <f t="shared" si="137"/>
        <v>1.2529136109065901</v>
      </c>
      <c r="AK629" s="27">
        <f t="shared" si="137"/>
        <v>1.2538282168163573</v>
      </c>
      <c r="AL629" s="27">
        <f t="shared" si="137"/>
        <v>1.2546769833546632</v>
      </c>
      <c r="AM629" s="27">
        <f t="shared" si="137"/>
        <v>1.2554656521347973</v>
      </c>
      <c r="AN629" s="27">
        <f t="shared" si="137"/>
        <v>1.2562012956210231</v>
      </c>
      <c r="AO629" s="27">
        <f t="shared" si="137"/>
        <v>1.2568608255379636</v>
      </c>
      <c r="AP629" s="27">
        <f t="shared" si="137"/>
        <v>1.2574287372199238</v>
      </c>
      <c r="AQ629" s="27">
        <f t="shared" si="137"/>
        <v>1.257902544311023</v>
      </c>
      <c r="AR629" s="27">
        <f t="shared" si="137"/>
        <v>1.2582646545784513</v>
      </c>
      <c r="AS629" s="27">
        <f t="shared" si="137"/>
        <v>1.2584959683583183</v>
      </c>
      <c r="AT629" s="27">
        <f t="shared" si="137"/>
        <v>1.2585941265757443</v>
      </c>
      <c r="AU629" s="27">
        <f t="shared" si="137"/>
        <v>1.2585618421043605</v>
      </c>
      <c r="AV629" s="27">
        <f t="shared" si="137"/>
        <v>1.2584010068605544</v>
      </c>
      <c r="AW629" s="27">
        <f t="shared" si="137"/>
        <v>1.2580936565868464</v>
      </c>
      <c r="AY629" s="79"/>
      <c r="AZ629" s="79"/>
    </row>
    <row r="630" spans="1:52" x14ac:dyDescent="0.25">
      <c r="A630" s="95" t="str">
        <f t="shared" si="133"/>
        <v>NI Cattle MMCH4</v>
      </c>
      <c r="B630" s="95" t="s">
        <v>969</v>
      </c>
      <c r="C630" s="95" t="s">
        <v>1229</v>
      </c>
      <c r="D630" t="s">
        <v>15</v>
      </c>
      <c r="E630" t="s">
        <v>22</v>
      </c>
      <c r="F630" t="s">
        <v>67</v>
      </c>
      <c r="G630" t="s">
        <v>307</v>
      </c>
      <c r="H630" t="s">
        <v>1227</v>
      </c>
      <c r="I630" t="s">
        <v>121</v>
      </c>
      <c r="J630" t="s">
        <v>286</v>
      </c>
      <c r="K630" s="27">
        <f t="shared" si="135"/>
        <v>0.43258377187145641</v>
      </c>
      <c r="L630" s="27">
        <f t="shared" si="137"/>
        <v>0.43500213637199753</v>
      </c>
      <c r="M630" s="27">
        <f t="shared" si="137"/>
        <v>0.43843338143569016</v>
      </c>
      <c r="N630" s="27">
        <f t="shared" si="137"/>
        <v>0.44063832189202168</v>
      </c>
      <c r="O630" s="27">
        <f t="shared" si="137"/>
        <v>0.44210351490980404</v>
      </c>
      <c r="P630" s="27">
        <f t="shared" si="137"/>
        <v>0.44281453971808249</v>
      </c>
      <c r="Q630" s="27">
        <f t="shared" si="137"/>
        <v>0.44438545813589125</v>
      </c>
      <c r="R630" s="27">
        <f t="shared" si="137"/>
        <v>0.44618756541973903</v>
      </c>
      <c r="S630" s="27">
        <f t="shared" si="137"/>
        <v>0.43350932169879508</v>
      </c>
      <c r="T630" s="27">
        <f t="shared" si="137"/>
        <v>0.44096846352141772</v>
      </c>
      <c r="U630" s="27">
        <f t="shared" si="137"/>
        <v>0.75872150670699801</v>
      </c>
      <c r="V630" s="27">
        <f t="shared" si="137"/>
        <v>0.76786754033521754</v>
      </c>
      <c r="W630" s="27">
        <f t="shared" si="137"/>
        <v>0.77661240655096708</v>
      </c>
      <c r="X630" s="27">
        <f t="shared" si="137"/>
        <v>0.78480735711007588</v>
      </c>
      <c r="Y630" s="27">
        <f t="shared" si="137"/>
        <v>0.79223354393833789</v>
      </c>
      <c r="Z630" s="27">
        <f t="shared" si="137"/>
        <v>0.79885628657612706</v>
      </c>
      <c r="AA630" s="27">
        <f t="shared" si="137"/>
        <v>0.80463700405184546</v>
      </c>
      <c r="AB630" s="27">
        <f t="shared" si="137"/>
        <v>0.80954649626310582</v>
      </c>
      <c r="AC630" s="27">
        <f t="shared" si="137"/>
        <v>0.81356160545666301</v>
      </c>
      <c r="AD630" s="27">
        <f t="shared" si="137"/>
        <v>0.81665798762959563</v>
      </c>
      <c r="AE630" s="27">
        <f t="shared" si="137"/>
        <v>0.81882106897821283</v>
      </c>
      <c r="AF630" s="27">
        <f t="shared" si="137"/>
        <v>0.82003686999306757</v>
      </c>
      <c r="AG630" s="27">
        <f t="shared" si="137"/>
        <v>0.82029188473560344</v>
      </c>
      <c r="AH630" s="27">
        <f t="shared" si="137"/>
        <v>0.81958364676198259</v>
      </c>
      <c r="AI630" s="27">
        <f t="shared" si="137"/>
        <v>0.81791618813389544</v>
      </c>
      <c r="AJ630" s="27">
        <f t="shared" si="137"/>
        <v>0.2587745381881813</v>
      </c>
      <c r="AK630" s="27">
        <f t="shared" si="137"/>
        <v>0.25896343925834608</v>
      </c>
      <c r="AL630" s="27">
        <f t="shared" si="137"/>
        <v>0.25913874198238679</v>
      </c>
      <c r="AM630" s="27">
        <f t="shared" si="137"/>
        <v>0.25930163222285196</v>
      </c>
      <c r="AN630" s="27">
        <f t="shared" si="137"/>
        <v>0.25945357071387171</v>
      </c>
      <c r="AO630" s="27">
        <f t="shared" si="137"/>
        <v>0.25958978884430933</v>
      </c>
      <c r="AP630" s="27">
        <f t="shared" si="137"/>
        <v>0.25970708430821976</v>
      </c>
      <c r="AQ630" s="27">
        <f t="shared" si="137"/>
        <v>0.25980494357810247</v>
      </c>
      <c r="AR630" s="27">
        <f t="shared" si="137"/>
        <v>0.25987973318563101</v>
      </c>
      <c r="AS630" s="27">
        <f t="shared" si="137"/>
        <v>0.25992750832035744</v>
      </c>
      <c r="AT630" s="27">
        <f t="shared" si="137"/>
        <v>0.2599477817431719</v>
      </c>
      <c r="AU630" s="27">
        <f t="shared" si="137"/>
        <v>0.25994111376614593</v>
      </c>
      <c r="AV630" s="27">
        <f t="shared" si="137"/>
        <v>0.25990789514230944</v>
      </c>
      <c r="AW630" s="27">
        <f t="shared" si="137"/>
        <v>0.2598444155660255</v>
      </c>
      <c r="AY630" s="79"/>
      <c r="AZ630" s="79"/>
    </row>
    <row r="631" spans="1:52" x14ac:dyDescent="0.25">
      <c r="A631" s="95" t="str">
        <f t="shared" si="133"/>
        <v>NI Cattle MMCH4</v>
      </c>
      <c r="B631" s="95" t="s">
        <v>969</v>
      </c>
      <c r="C631" s="95" t="s">
        <v>1229</v>
      </c>
      <c r="D631" t="s">
        <v>15</v>
      </c>
      <c r="E631" t="s">
        <v>22</v>
      </c>
      <c r="F631" t="s">
        <v>67</v>
      </c>
      <c r="G631" t="s">
        <v>122</v>
      </c>
      <c r="H631" t="s">
        <v>1227</v>
      </c>
      <c r="I631" t="s">
        <v>121</v>
      </c>
      <c r="J631" t="s">
        <v>286</v>
      </c>
      <c r="K631" s="27">
        <f t="shared" si="135"/>
        <v>9.4871637196006525E-2</v>
      </c>
      <c r="L631" s="27">
        <f t="shared" si="137"/>
        <v>9.4048845784615531E-2</v>
      </c>
      <c r="M631" s="27">
        <f t="shared" si="137"/>
        <v>9.3735634002294232E-2</v>
      </c>
      <c r="N631" s="27">
        <f t="shared" si="137"/>
        <v>9.2483917307495112E-2</v>
      </c>
      <c r="O631" s="27">
        <f t="shared" si="137"/>
        <v>9.0667019955957343E-2</v>
      </c>
      <c r="P631" s="27">
        <f t="shared" si="137"/>
        <v>8.8322512540543879E-2</v>
      </c>
      <c r="Q631" s="27">
        <f t="shared" si="137"/>
        <v>8.6473330972337878E-2</v>
      </c>
      <c r="R631" s="27">
        <f t="shared" si="137"/>
        <v>8.4723794986300269E-2</v>
      </c>
      <c r="S631" s="27">
        <f t="shared" si="137"/>
        <v>7.5770078702790261E-2</v>
      </c>
      <c r="T631" s="27">
        <f t="shared" si="137"/>
        <v>7.8689269579177143E-2</v>
      </c>
      <c r="U631" s="27">
        <f t="shared" si="137"/>
        <v>0.24800462804394147</v>
      </c>
      <c r="V631" s="27">
        <f t="shared" si="137"/>
        <v>0.24920084841283532</v>
      </c>
      <c r="W631" s="27">
        <f t="shared" si="137"/>
        <v>0.24996642649158854</v>
      </c>
      <c r="X631" s="27">
        <f t="shared" si="137"/>
        <v>0.2503012063466436</v>
      </c>
      <c r="Y631" s="27">
        <f t="shared" si="137"/>
        <v>0.25021227988125561</v>
      </c>
      <c r="Z631" s="27">
        <f t="shared" si="137"/>
        <v>0.2496953846333905</v>
      </c>
      <c r="AA631" s="27">
        <f t="shared" si="137"/>
        <v>0.24874925442521903</v>
      </c>
      <c r="AB631" s="27">
        <f t="shared" si="137"/>
        <v>0.24737467209164213</v>
      </c>
      <c r="AC631" s="27">
        <f t="shared" si="137"/>
        <v>0.24557472852149176</v>
      </c>
      <c r="AD631" s="27">
        <f t="shared" si="137"/>
        <v>0.24131030034343104</v>
      </c>
      <c r="AE631" s="27">
        <f t="shared" si="137"/>
        <v>0.23664419000405892</v>
      </c>
      <c r="AF631" s="27">
        <f t="shared" si="137"/>
        <v>0.23159736326339173</v>
      </c>
      <c r="AG631" s="27">
        <f t="shared" si="137"/>
        <v>0.22619316818810492</v>
      </c>
      <c r="AH631" s="27">
        <f t="shared" si="137"/>
        <v>0.22045646078746098</v>
      </c>
      <c r="AI631" s="27">
        <f t="shared" si="137"/>
        <v>0.21441370915210514</v>
      </c>
      <c r="AJ631" s="27">
        <f t="shared" si="137"/>
        <v>-1.6555567081653722E-2</v>
      </c>
      <c r="AK631" s="27">
        <f t="shared" si="137"/>
        <v>-1.6156956868356984E-2</v>
      </c>
      <c r="AL631" s="27">
        <f t="shared" si="137"/>
        <v>-1.5762493990911713E-2</v>
      </c>
      <c r="AM631" s="27">
        <f t="shared" si="137"/>
        <v>-1.5372137708578686E-2</v>
      </c>
      <c r="AN631" s="27">
        <f t="shared" si="137"/>
        <v>-1.5062322238181812E-2</v>
      </c>
      <c r="AO631" s="27">
        <f t="shared" si="137"/>
        <v>-1.4755445706367474E-2</v>
      </c>
      <c r="AP631" s="27">
        <f t="shared" si="137"/>
        <v>-1.4451279866976845E-2</v>
      </c>
      <c r="AQ631" s="27">
        <f t="shared" si="137"/>
        <v>-1.4149749376213728E-2</v>
      </c>
      <c r="AR631" s="27">
        <f t="shared" si="137"/>
        <v>-1.3850633785054411E-2</v>
      </c>
      <c r="AS631" s="27">
        <f t="shared" si="137"/>
        <v>-1.3553717207866358E-2</v>
      </c>
      <c r="AT631" s="27">
        <f t="shared" si="137"/>
        <v>-1.3258964972152997E-2</v>
      </c>
      <c r="AU631" s="27">
        <f t="shared" si="137"/>
        <v>-1.296639528808627E-2</v>
      </c>
      <c r="AV631" s="27">
        <f t="shared" si="137"/>
        <v>-1.26760193266456E-2</v>
      </c>
      <c r="AW631" s="27">
        <f t="shared" si="137"/>
        <v>-1.2387670307042478E-2</v>
      </c>
      <c r="AY631" s="79"/>
      <c r="AZ631" s="79"/>
    </row>
    <row r="632" spans="1:52" x14ac:dyDescent="0.25">
      <c r="A632" s="95" t="str">
        <f t="shared" si="133"/>
        <v>NI Cattle MMCH4</v>
      </c>
      <c r="B632" s="95" t="s">
        <v>969</v>
      </c>
      <c r="C632" s="95" t="s">
        <v>1229</v>
      </c>
      <c r="D632" t="s">
        <v>15</v>
      </c>
      <c r="E632" t="s">
        <v>22</v>
      </c>
      <c r="F632" t="s">
        <v>67</v>
      </c>
      <c r="G632" t="s">
        <v>123</v>
      </c>
      <c r="H632" t="s">
        <v>1227</v>
      </c>
      <c r="I632" t="s">
        <v>121</v>
      </c>
      <c r="J632" t="s">
        <v>286</v>
      </c>
      <c r="K632" s="27">
        <f t="shared" si="135"/>
        <v>6.968944973410629E-2</v>
      </c>
      <c r="L632" s="27">
        <f t="shared" si="137"/>
        <v>6.908505539244103E-2</v>
      </c>
      <c r="M632" s="27">
        <f t="shared" si="137"/>
        <v>6.8854980763127779E-2</v>
      </c>
      <c r="N632" s="27">
        <f t="shared" si="137"/>
        <v>6.7935512624264296E-2</v>
      </c>
      <c r="O632" s="27">
        <f t="shared" si="137"/>
        <v>6.660088216573827E-2</v>
      </c>
      <c r="P632" s="27">
        <f t="shared" si="137"/>
        <v>6.487868745605771E-2</v>
      </c>
      <c r="Q632" s="27">
        <f t="shared" si="137"/>
        <v>6.3520342119606055E-2</v>
      </c>
      <c r="R632" s="27">
        <f t="shared" si="137"/>
        <v>6.2235193009075984E-2</v>
      </c>
      <c r="S632" s="27">
        <f t="shared" si="137"/>
        <v>5.5658100220174651E-2</v>
      </c>
      <c r="T632" s="27">
        <f t="shared" si="137"/>
        <v>5.7802437683476982E-2</v>
      </c>
      <c r="U632" s="27">
        <f t="shared" si="137"/>
        <v>0.182175690972702</v>
      </c>
      <c r="V632" s="27">
        <f t="shared" si="137"/>
        <v>0.18305439341457844</v>
      </c>
      <c r="W632" s="27">
        <f t="shared" si="137"/>
        <v>0.18361676080501965</v>
      </c>
      <c r="X632" s="27">
        <f t="shared" si="137"/>
        <v>0.18386267860058431</v>
      </c>
      <c r="Y632" s="27">
        <f t="shared" si="137"/>
        <v>0.18379735627008756</v>
      </c>
      <c r="Z632" s="27">
        <f t="shared" si="137"/>
        <v>0.18341766275515989</v>
      </c>
      <c r="AA632" s="27">
        <f t="shared" si="137"/>
        <v>0.18272266796500922</v>
      </c>
      <c r="AB632" s="27">
        <f t="shared" si="137"/>
        <v>0.18171294694329559</v>
      </c>
      <c r="AC632" s="27">
        <f t="shared" si="137"/>
        <v>0.1803907701509096</v>
      </c>
      <c r="AD632" s="27">
        <f t="shared" si="137"/>
        <v>0.17725826751953122</v>
      </c>
      <c r="AE632" s="27">
        <f t="shared" si="137"/>
        <v>0.17383070295376282</v>
      </c>
      <c r="AF632" s="27">
        <f t="shared" si="137"/>
        <v>0.17012347718159837</v>
      </c>
      <c r="AG632" s="27">
        <f t="shared" si="137"/>
        <v>0.16615374089176904</v>
      </c>
      <c r="AH632" s="27">
        <f t="shared" si="137"/>
        <v>0.16193975245589462</v>
      </c>
      <c r="AI632" s="27">
        <f t="shared" si="137"/>
        <v>0.1575009544252694</v>
      </c>
      <c r="AJ632" s="27">
        <f t="shared" si="137"/>
        <v>-1.2161151573392443E-2</v>
      </c>
      <c r="AK632" s="27">
        <f t="shared" si="137"/>
        <v>-1.1868346186618603E-2</v>
      </c>
      <c r="AL632" s="27">
        <f t="shared" si="137"/>
        <v>-1.1578587290470338E-2</v>
      </c>
      <c r="AM632" s="27">
        <f t="shared" si="137"/>
        <v>-1.1291844958198401E-2</v>
      </c>
      <c r="AN632" s="27">
        <f t="shared" si="137"/>
        <v>-1.1064265143100825E-2</v>
      </c>
      <c r="AO632" s="27">
        <f t="shared" si="137"/>
        <v>-1.0838844171453966E-2</v>
      </c>
      <c r="AP632" s="27">
        <f t="shared" si="137"/>
        <v>-1.0615414381460443E-2</v>
      </c>
      <c r="AQ632" s="27">
        <f t="shared" si="137"/>
        <v>-1.039392042815254E-2</v>
      </c>
      <c r="AR632" s="27">
        <f t="shared" si="137"/>
        <v>-1.017420037724082E-2</v>
      </c>
      <c r="AS632" s="27">
        <f t="shared" si="137"/>
        <v>-9.956095646546443E-3</v>
      </c>
      <c r="AT632" s="27">
        <f t="shared" si="137"/>
        <v>-9.739580766843E-3</v>
      </c>
      <c r="AU632" s="27">
        <f t="shared" si="137"/>
        <v>-9.5246691146980388E-3</v>
      </c>
      <c r="AV632" s="27">
        <f t="shared" si="137"/>
        <v>-9.3113688959297666E-3</v>
      </c>
      <c r="AW632" s="27">
        <f t="shared" si="137"/>
        <v>-9.0995575990930264E-3</v>
      </c>
      <c r="AY632" s="79"/>
      <c r="AZ632" s="79"/>
    </row>
    <row r="633" spans="1:52" x14ac:dyDescent="0.25">
      <c r="A633" s="95" t="str">
        <f t="shared" si="133"/>
        <v>NI Cattle MMCH4</v>
      </c>
      <c r="B633" s="95" t="s">
        <v>969</v>
      </c>
      <c r="C633" s="95" t="s">
        <v>1229</v>
      </c>
      <c r="D633" t="s">
        <v>15</v>
      </c>
      <c r="E633" t="s">
        <v>22</v>
      </c>
      <c r="F633" t="s">
        <v>67</v>
      </c>
      <c r="G633" t="s">
        <v>135</v>
      </c>
      <c r="H633" t="s">
        <v>1227</v>
      </c>
      <c r="I633" t="s">
        <v>121</v>
      </c>
      <c r="J633" t="s">
        <v>286</v>
      </c>
      <c r="K633" s="27">
        <f t="shared" si="135"/>
        <v>0.47107022937833831</v>
      </c>
      <c r="L633" s="27">
        <f t="shared" si="137"/>
        <v>0.48695387967725956</v>
      </c>
      <c r="M633" s="27">
        <f t="shared" si="137"/>
        <v>0.50580611066616787</v>
      </c>
      <c r="N633" s="27">
        <f t="shared" si="137"/>
        <v>0.51986569055899423</v>
      </c>
      <c r="O633" s="27">
        <f t="shared" si="137"/>
        <v>0.5307082628613855</v>
      </c>
      <c r="P633" s="27">
        <f t="shared" si="137"/>
        <v>0.53817886796858139</v>
      </c>
      <c r="Q633" s="27">
        <f t="shared" si="137"/>
        <v>0.54837935702304763</v>
      </c>
      <c r="R633" s="27">
        <f t="shared" si="137"/>
        <v>0.55907244781022658</v>
      </c>
      <c r="S633" s="27">
        <f t="shared" si="137"/>
        <v>0.52019632078645839</v>
      </c>
      <c r="T633" s="27">
        <f t="shared" si="137"/>
        <v>0.55325369057346974</v>
      </c>
      <c r="U633" s="27">
        <f t="shared" si="137"/>
        <v>1.7851204886019707</v>
      </c>
      <c r="V633" s="27">
        <f t="shared" si="137"/>
        <v>1.8358114551753451</v>
      </c>
      <c r="W633" s="27">
        <f t="shared" si="137"/>
        <v>1.8841429870431068</v>
      </c>
      <c r="X633" s="27">
        <f t="shared" si="137"/>
        <v>1.9299293707853407</v>
      </c>
      <c r="Y633" s="27">
        <f t="shared" si="137"/>
        <v>1.9730360139075687</v>
      </c>
      <c r="Z633" s="27">
        <f t="shared" si="137"/>
        <v>2.0132355560309785</v>
      </c>
      <c r="AA633" s="27">
        <f t="shared" si="137"/>
        <v>2.0503157854688139</v>
      </c>
      <c r="AB633" s="27">
        <f t="shared" si="137"/>
        <v>2.0840739423253991</v>
      </c>
      <c r="AC633" s="27">
        <f t="shared" si="137"/>
        <v>2.1143204533767861</v>
      </c>
      <c r="AD633" s="27">
        <f t="shared" si="137"/>
        <v>2.1465040938299391</v>
      </c>
      <c r="AE633" s="27">
        <f t="shared" si="137"/>
        <v>2.1749393600032643</v>
      </c>
      <c r="AF633" s="27">
        <f t="shared" si="137"/>
        <v>2.1994598063034698</v>
      </c>
      <c r="AG633" s="27">
        <f t="shared" si="137"/>
        <v>2.2199209490040412</v>
      </c>
      <c r="AH633" s="27">
        <f t="shared" si="137"/>
        <v>2.2361952396921123</v>
      </c>
      <c r="AI633" s="27">
        <f t="shared" si="137"/>
        <v>2.2481759568184136</v>
      </c>
      <c r="AJ633" s="27">
        <f t="shared" si="137"/>
        <v>-0.17946652232513363</v>
      </c>
      <c r="AK633" s="27">
        <f t="shared" si="137"/>
        <v>-0.18110907611543389</v>
      </c>
      <c r="AL633" s="27">
        <f t="shared" si="137"/>
        <v>-0.18274076856651822</v>
      </c>
      <c r="AM633" s="27">
        <f t="shared" si="137"/>
        <v>-0.18436241238183759</v>
      </c>
      <c r="AN633" s="27">
        <f t="shared" si="137"/>
        <v>-0.18574369682883446</v>
      </c>
      <c r="AO633" s="27">
        <f t="shared" si="137"/>
        <v>-0.18711116954081883</v>
      </c>
      <c r="AP633" s="27">
        <f t="shared" si="137"/>
        <v>-0.18846273754694579</v>
      </c>
      <c r="AQ633" s="27">
        <f t="shared" si="137"/>
        <v>-0.18979802913484242</v>
      </c>
      <c r="AR633" s="27">
        <f t="shared" si="137"/>
        <v>-0.19111455281570203</v>
      </c>
      <c r="AS633" s="27">
        <f t="shared" si="137"/>
        <v>-0.19240952741879389</v>
      </c>
      <c r="AT633" s="27">
        <f t="shared" si="137"/>
        <v>-0.19368244494387601</v>
      </c>
      <c r="AU633" s="27">
        <f t="shared" si="137"/>
        <v>-0.19493349782495742</v>
      </c>
      <c r="AV633" s="27">
        <f t="shared" si="137"/>
        <v>-0.19616276303602645</v>
      </c>
      <c r="AW633" s="27">
        <f t="shared" si="137"/>
        <v>-0.19736746528407936</v>
      </c>
      <c r="AY633" s="79"/>
      <c r="AZ633" s="79"/>
    </row>
    <row r="634" spans="1:52" x14ac:dyDescent="0.25">
      <c r="A634" s="95" t="str">
        <f t="shared" si="133"/>
        <v>NI Sheep MMCH4</v>
      </c>
      <c r="B634" s="95" t="s">
        <v>969</v>
      </c>
      <c r="C634" s="95" t="s">
        <v>1324</v>
      </c>
      <c r="D634" t="s">
        <v>15</v>
      </c>
      <c r="E634" t="s">
        <v>22</v>
      </c>
      <c r="F634" t="s">
        <v>18</v>
      </c>
      <c r="G634" t="s">
        <v>122</v>
      </c>
      <c r="H634" t="s">
        <v>1227</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3.6578192116978575E-2</v>
      </c>
      <c r="T634" s="27">
        <f t="shared" si="137"/>
        <v>3.6602536457524273E-2</v>
      </c>
      <c r="U634" s="27">
        <f t="shared" si="137"/>
        <v>3.7079287706665597E-2</v>
      </c>
      <c r="V634" s="27">
        <f t="shared" si="137"/>
        <v>3.7090917681294085E-2</v>
      </c>
      <c r="W634" s="27">
        <f t="shared" si="137"/>
        <v>3.7140664601717173E-2</v>
      </c>
      <c r="X634" s="27">
        <f t="shared" si="137"/>
        <v>3.7212574982641126E-2</v>
      </c>
      <c r="Y634" s="27">
        <f t="shared" si="137"/>
        <v>3.7279377262220796E-2</v>
      </c>
      <c r="Z634" s="27">
        <f t="shared" si="137"/>
        <v>3.7341898542443672E-2</v>
      </c>
      <c r="AA634" s="27">
        <f t="shared" si="137"/>
        <v>3.7399805431240309E-2</v>
      </c>
      <c r="AB634" s="27">
        <f t="shared" si="137"/>
        <v>3.7453619674437284E-2</v>
      </c>
      <c r="AC634" s="27">
        <f t="shared" si="137"/>
        <v>3.7504157579295157E-2</v>
      </c>
      <c r="AD634" s="27">
        <f t="shared" si="137"/>
        <v>3.755137152744302E-2</v>
      </c>
      <c r="AE634" s="27">
        <f t="shared" si="137"/>
        <v>3.7596016682571363E-2</v>
      </c>
      <c r="AF634" s="27">
        <f t="shared" ref="L634:AW641" si="138">AF1399</f>
        <v>3.7638201115333593E-2</v>
      </c>
      <c r="AG634" s="27">
        <f t="shared" si="138"/>
        <v>3.7677346639447794E-2</v>
      </c>
      <c r="AH634" s="27">
        <f t="shared" si="138"/>
        <v>3.7713811349129885E-2</v>
      </c>
      <c r="AI634" s="27">
        <f t="shared" si="138"/>
        <v>3.7748176979043722E-2</v>
      </c>
      <c r="AJ634" s="27">
        <f t="shared" si="138"/>
        <v>3.6919749367433322E-2</v>
      </c>
      <c r="AK634" s="27">
        <f t="shared" si="138"/>
        <v>3.6953700421728228E-2</v>
      </c>
      <c r="AL634" s="27">
        <f t="shared" si="138"/>
        <v>3.6985368016573254E-2</v>
      </c>
      <c r="AM634" s="27">
        <f t="shared" si="138"/>
        <v>3.7014945688034803E-2</v>
      </c>
      <c r="AN634" s="27">
        <f t="shared" si="138"/>
        <v>3.7042668702165847E-2</v>
      </c>
      <c r="AO634" s="27">
        <f t="shared" si="138"/>
        <v>3.7067807831001554E-2</v>
      </c>
      <c r="AP634" s="27">
        <f t="shared" si="138"/>
        <v>3.7089876088168584E-2</v>
      </c>
      <c r="AQ634" s="27">
        <f t="shared" si="138"/>
        <v>3.710880214511815E-2</v>
      </c>
      <c r="AR634" s="27">
        <f t="shared" si="138"/>
        <v>3.7124031819377158E-2</v>
      </c>
      <c r="AS634" s="27">
        <f t="shared" si="138"/>
        <v>3.7134962729756575E-2</v>
      </c>
      <c r="AT634" s="27">
        <f t="shared" si="138"/>
        <v>3.7141526945573433E-2</v>
      </c>
      <c r="AU634" s="27">
        <f t="shared" si="138"/>
        <v>3.7143818098984892E-2</v>
      </c>
      <c r="AV634" s="27">
        <f t="shared" si="138"/>
        <v>3.7141903206885624E-2</v>
      </c>
      <c r="AW634" s="27">
        <f t="shared" si="138"/>
        <v>3.7135215292227401E-2</v>
      </c>
      <c r="AY634" s="79"/>
      <c r="AZ634" s="79"/>
    </row>
    <row r="635" spans="1:52" x14ac:dyDescent="0.25">
      <c r="A635" s="95" t="str">
        <f t="shared" si="133"/>
        <v>NI Sheep MMCH4</v>
      </c>
      <c r="B635" s="95" t="s">
        <v>969</v>
      </c>
      <c r="C635" s="95" t="s">
        <v>1324</v>
      </c>
      <c r="D635" t="s">
        <v>15</v>
      </c>
      <c r="E635" t="s">
        <v>22</v>
      </c>
      <c r="F635" t="s">
        <v>18</v>
      </c>
      <c r="G635" t="s">
        <v>123</v>
      </c>
      <c r="H635" t="s">
        <v>1227</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4.1774038907199012E-3</v>
      </c>
      <c r="T635" s="27">
        <f t="shared" si="138"/>
        <v>4.1801841304481904E-3</v>
      </c>
      <c r="U635" s="27">
        <f t="shared" si="138"/>
        <v>4.2346313955480986E-3</v>
      </c>
      <c r="V635" s="27">
        <f t="shared" si="138"/>
        <v>4.2359595940852672E-3</v>
      </c>
      <c r="W635" s="27">
        <f t="shared" si="138"/>
        <v>4.24164092951765E-3</v>
      </c>
      <c r="X635" s="27">
        <f t="shared" si="138"/>
        <v>4.2498534377819787E-3</v>
      </c>
      <c r="Y635" s="27">
        <f t="shared" si="138"/>
        <v>4.2574825765248842E-3</v>
      </c>
      <c r="Z635" s="27">
        <f t="shared" si="138"/>
        <v>4.2646228047357425E-3</v>
      </c>
      <c r="AA635" s="27">
        <f t="shared" si="138"/>
        <v>4.2712360474510998E-3</v>
      </c>
      <c r="AB635" s="27">
        <f t="shared" si="138"/>
        <v>4.2773818905312679E-3</v>
      </c>
      <c r="AC635" s="27">
        <f t="shared" si="138"/>
        <v>4.2831535601563532E-3</v>
      </c>
      <c r="AD635" s="27">
        <f t="shared" si="138"/>
        <v>4.2885456180814241E-3</v>
      </c>
      <c r="AE635" s="27">
        <f t="shared" si="138"/>
        <v>4.2936443075994434E-3</v>
      </c>
      <c r="AF635" s="27">
        <f t="shared" si="138"/>
        <v>4.2984619708941515E-3</v>
      </c>
      <c r="AG635" s="27">
        <f t="shared" si="138"/>
        <v>4.3029325763362138E-3</v>
      </c>
      <c r="AH635" s="27">
        <f t="shared" si="138"/>
        <v>4.3070970199919519E-3</v>
      </c>
      <c r="AI635" s="27">
        <f t="shared" si="138"/>
        <v>4.3110217387328335E-3</v>
      </c>
      <c r="AJ635" s="27">
        <f t="shared" si="138"/>
        <v>4.2164113567638812E-3</v>
      </c>
      <c r="AK635" s="27">
        <f t="shared" si="138"/>
        <v>4.2202887289929962E-3</v>
      </c>
      <c r="AL635" s="27">
        <f t="shared" si="138"/>
        <v>4.2239053192687616E-3</v>
      </c>
      <c r="AM635" s="27">
        <f t="shared" si="138"/>
        <v>4.2272832303324572E-3</v>
      </c>
      <c r="AN635" s="27">
        <f t="shared" si="138"/>
        <v>4.2304493306887332E-3</v>
      </c>
      <c r="AO635" s="27">
        <f t="shared" si="138"/>
        <v>4.2333203390281212E-3</v>
      </c>
      <c r="AP635" s="27">
        <f t="shared" si="138"/>
        <v>4.235840639185552E-3</v>
      </c>
      <c r="AQ635" s="27">
        <f t="shared" si="138"/>
        <v>4.2380020851007644E-3</v>
      </c>
      <c r="AR635" s="27">
        <f t="shared" si="138"/>
        <v>4.2397413864938057E-3</v>
      </c>
      <c r="AS635" s="27">
        <f t="shared" si="138"/>
        <v>4.2409897485616204E-3</v>
      </c>
      <c r="AT635" s="27">
        <f t="shared" si="138"/>
        <v>4.241739413296421E-3</v>
      </c>
      <c r="AU635" s="27">
        <f t="shared" si="138"/>
        <v>4.2420010739368554E-3</v>
      </c>
      <c r="AV635" s="27">
        <f t="shared" si="138"/>
        <v>4.2417823841317337E-3</v>
      </c>
      <c r="AW635" s="27">
        <f t="shared" si="138"/>
        <v>4.2410185923996346E-3</v>
      </c>
      <c r="AY635" s="79"/>
      <c r="AZ635" s="79"/>
    </row>
    <row r="636" spans="1:52" x14ac:dyDescent="0.25">
      <c r="A636" s="95" t="str">
        <f t="shared" si="133"/>
        <v>NI Goats MMCH4</v>
      </c>
      <c r="B636" s="95" t="s">
        <v>969</v>
      </c>
      <c r="C636" s="95" t="s">
        <v>1325</v>
      </c>
      <c r="D636" t="s">
        <v>15</v>
      </c>
      <c r="E636" t="s">
        <v>22</v>
      </c>
      <c r="F636" t="s">
        <v>19</v>
      </c>
      <c r="G636" t="s">
        <v>122</v>
      </c>
      <c r="H636" t="s">
        <v>1227</v>
      </c>
      <c r="I636" t="s">
        <v>121</v>
      </c>
      <c r="J636" t="s">
        <v>286</v>
      </c>
      <c r="K636" s="27">
        <f t="shared" si="135"/>
        <v>1.5789672763163301E-2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1.6230654784419023E-2</v>
      </c>
      <c r="R636" s="27">
        <f t="shared" si="138"/>
        <v>1.6337439810579345E-2</v>
      </c>
      <c r="S636" s="27">
        <f t="shared" si="138"/>
        <v>1.6297600931786334E-2</v>
      </c>
      <c r="T636" s="27">
        <f t="shared" si="138"/>
        <v>1.6324272387083224E-2</v>
      </c>
      <c r="U636" s="27">
        <f t="shared" si="138"/>
        <v>1.6655251261159847E-2</v>
      </c>
      <c r="V636" s="27">
        <f t="shared" si="138"/>
        <v>1.6670204486965774E-2</v>
      </c>
      <c r="W636" s="27">
        <f t="shared" si="138"/>
        <v>1.6709793357794805E-2</v>
      </c>
      <c r="X636" s="27">
        <f t="shared" si="138"/>
        <v>1.6763223659981074E-2</v>
      </c>
      <c r="Y636" s="27">
        <f t="shared" si="138"/>
        <v>1.6812226700055496E-2</v>
      </c>
      <c r="Z636" s="27">
        <f t="shared" si="138"/>
        <v>1.6857450212656173E-2</v>
      </c>
      <c r="AA636" s="27">
        <f t="shared" si="138"/>
        <v>1.6898755484739163E-2</v>
      </c>
      <c r="AB636" s="27">
        <f t="shared" si="138"/>
        <v>1.6936566671667971E-2</v>
      </c>
      <c r="AC636" s="27">
        <f t="shared" si="138"/>
        <v>1.697149382994385E-2</v>
      </c>
      <c r="AD636" s="27">
        <f t="shared" si="138"/>
        <v>1.7003565100315018E-2</v>
      </c>
      <c r="AE636" s="27">
        <f t="shared" si="138"/>
        <v>1.7033334255161247E-2</v>
      </c>
      <c r="AF636" s="27">
        <f t="shared" si="138"/>
        <v>1.7060920227859537E-2</v>
      </c>
      <c r="AG636" s="27">
        <f t="shared" si="138"/>
        <v>1.7085986205962782E-2</v>
      </c>
      <c r="AH636" s="27">
        <f t="shared" si="138"/>
        <v>1.7108809785956688E-2</v>
      </c>
      <c r="AI636" s="27">
        <f t="shared" si="138"/>
        <v>1.712981031401661E-2</v>
      </c>
      <c r="AJ636" s="27">
        <f t="shared" si="138"/>
        <v>1.6586017575220102E-2</v>
      </c>
      <c r="AK636" s="27">
        <f t="shared" si="138"/>
        <v>1.6606977911339412E-2</v>
      </c>
      <c r="AL636" s="27">
        <f t="shared" si="138"/>
        <v>1.6626062012476617E-2</v>
      </c>
      <c r="AM636" s="27">
        <f t="shared" si="138"/>
        <v>1.664342433023323E-2</v>
      </c>
      <c r="AN636" s="27">
        <f t="shared" si="138"/>
        <v>1.6659243730537236E-2</v>
      </c>
      <c r="AO636" s="27">
        <f t="shared" si="138"/>
        <v>1.6673071131631082E-2</v>
      </c>
      <c r="AP636" s="27">
        <f t="shared" si="138"/>
        <v>1.6684616029064781E-2</v>
      </c>
      <c r="AQ636" s="27">
        <f t="shared" si="138"/>
        <v>1.6693857214200334E-2</v>
      </c>
      <c r="AR636" s="27">
        <f t="shared" si="138"/>
        <v>1.6700461030767416E-2</v>
      </c>
      <c r="AS636" s="27">
        <f t="shared" si="138"/>
        <v>1.6704063934453468E-2</v>
      </c>
      <c r="AT636" s="27">
        <f t="shared" si="138"/>
        <v>1.6704647334029751E-2</v>
      </c>
      <c r="AU636" s="27">
        <f t="shared" si="138"/>
        <v>1.6702295489105456E-2</v>
      </c>
      <c r="AV636" s="27">
        <f t="shared" si="138"/>
        <v>1.6697074170612902E-2</v>
      </c>
      <c r="AW636" s="27">
        <f t="shared" si="138"/>
        <v>1.668864228260674E-2</v>
      </c>
      <c r="AY636" s="79"/>
      <c r="AZ636" s="79"/>
    </row>
    <row r="637" spans="1:52" x14ac:dyDescent="0.25">
      <c r="A637" s="95" t="str">
        <f t="shared" si="133"/>
        <v>NI Goats MMCH4</v>
      </c>
      <c r="B637" s="95" t="s">
        <v>969</v>
      </c>
      <c r="C637" s="95" t="s">
        <v>1325</v>
      </c>
      <c r="D637" t="s">
        <v>15</v>
      </c>
      <c r="E637" t="s">
        <v>22</v>
      </c>
      <c r="F637" t="s">
        <v>19</v>
      </c>
      <c r="G637" t="s">
        <v>123</v>
      </c>
      <c r="H637" t="s">
        <v>1227</v>
      </c>
      <c r="I637" t="s">
        <v>121</v>
      </c>
      <c r="J637" t="s">
        <v>286</v>
      </c>
      <c r="K637" s="27">
        <f t="shared" si="135"/>
        <v>2.6592218800664803E-2</v>
      </c>
      <c r="L637" s="27">
        <f t="shared" si="138"/>
        <v>2.6661345733624896E-2</v>
      </c>
      <c r="M637" s="27">
        <f t="shared" si="138"/>
        <v>2.6756703894783639E-2</v>
      </c>
      <c r="N637" s="27">
        <f t="shared" si="138"/>
        <v>2.6872875319249701E-2</v>
      </c>
      <c r="O637" s="27">
        <f t="shared" si="138"/>
        <v>2.7009694315810229E-2</v>
      </c>
      <c r="P637" s="27">
        <f t="shared" si="138"/>
        <v>2.7166328132291764E-2</v>
      </c>
      <c r="Q637" s="27">
        <f t="shared" si="138"/>
        <v>2.7334899828466052E-2</v>
      </c>
      <c r="R637" s="27">
        <f t="shared" si="138"/>
        <v>2.7514742110372921E-2</v>
      </c>
      <c r="S637" s="27">
        <f t="shared" si="138"/>
        <v>2.7447647358155608E-2</v>
      </c>
      <c r="T637" s="27">
        <f t="shared" si="138"/>
        <v>2.7492566159553547E-2</v>
      </c>
      <c r="U637" s="27">
        <f t="shared" si="138"/>
        <v>2.8049985098492974E-2</v>
      </c>
      <c r="V637" s="27">
        <f t="shared" si="138"/>
        <v>2.80751686129566E-2</v>
      </c>
      <c r="W637" s="27">
        <f t="shared" si="138"/>
        <v>2.81418423136056E-2</v>
      </c>
      <c r="X637" s="27">
        <f t="shared" si="138"/>
        <v>2.8231827097181202E-2</v>
      </c>
      <c r="Y637" s="27">
        <f t="shared" si="138"/>
        <v>2.8314355695658353E-2</v>
      </c>
      <c r="Z637" s="27">
        <f t="shared" si="138"/>
        <v>2.8390518993026845E-2</v>
      </c>
      <c r="AA637" s="27">
        <f t="shared" si="138"/>
        <v>2.8460083375349849E-2</v>
      </c>
      <c r="AB637" s="27">
        <f t="shared" si="138"/>
        <v>2.8523763184995402E-2</v>
      </c>
      <c r="AC637" s="27">
        <f t="shared" si="138"/>
        <v>2.8582585850220259E-2</v>
      </c>
      <c r="AD637" s="27">
        <f t="shared" si="138"/>
        <v>2.8636598764339351E-2</v>
      </c>
      <c r="AE637" s="27">
        <f t="shared" si="138"/>
        <v>2.8686734564558631E-2</v>
      </c>
      <c r="AF637" s="27">
        <f t="shared" si="138"/>
        <v>2.873319355283693E-2</v>
      </c>
      <c r="AG637" s="27">
        <f t="shared" si="138"/>
        <v>2.8775408485608011E-2</v>
      </c>
      <c r="AH637" s="27">
        <f t="shared" si="138"/>
        <v>2.8813846877721389E-2</v>
      </c>
      <c r="AI637" s="27">
        <f t="shared" si="138"/>
        <v>2.884921497213825E-2</v>
      </c>
      <c r="AJ637" s="27">
        <f t="shared" si="138"/>
        <v>2.7933385004716402E-2</v>
      </c>
      <c r="AK637" s="27">
        <f t="shared" si="138"/>
        <v>2.7968685409771071E-2</v>
      </c>
      <c r="AL637" s="27">
        <f t="shared" si="138"/>
        <v>2.8000825948759214E-2</v>
      </c>
      <c r="AM637" s="27">
        <f t="shared" si="138"/>
        <v>2.8030066741750678E-2</v>
      </c>
      <c r="AN637" s="27">
        <f t="shared" si="138"/>
        <v>2.8056709026267227E-2</v>
      </c>
      <c r="AO637" s="27">
        <f t="shared" si="138"/>
        <v>2.8079996480088933E-2</v>
      </c>
      <c r="AP637" s="27">
        <f t="shared" si="138"/>
        <v>2.8099439849384365E-2</v>
      </c>
      <c r="AQ637" s="27">
        <f t="shared" si="138"/>
        <v>2.8115003415570192E-2</v>
      </c>
      <c r="AR637" s="27">
        <f t="shared" si="138"/>
        <v>2.8126125250563565E-2</v>
      </c>
      <c r="AS637" s="27">
        <f t="shared" si="138"/>
        <v>2.8132193090256906E-2</v>
      </c>
      <c r="AT637" s="27">
        <f t="shared" si="138"/>
        <v>2.8133175624183573E-2</v>
      </c>
      <c r="AU637" s="27">
        <f t="shared" si="138"/>
        <v>2.8129214758385396E-2</v>
      </c>
      <c r="AV637" s="27">
        <f t="shared" si="138"/>
        <v>2.8120421261150549E-2</v>
      </c>
      <c r="AW637" s="27">
        <f t="shared" si="138"/>
        <v>2.8106220674847984E-2</v>
      </c>
      <c r="AY637" s="79"/>
      <c r="AZ637" s="79"/>
    </row>
    <row r="638" spans="1:52" x14ac:dyDescent="0.25">
      <c r="A638" s="95" t="str">
        <f t="shared" si="133"/>
        <v>NI Horses MMCH4</v>
      </c>
      <c r="B638" s="95" t="s">
        <v>969</v>
      </c>
      <c r="C638" s="95" t="s">
        <v>1326</v>
      </c>
      <c r="D638" t="s">
        <v>15</v>
      </c>
      <c r="E638" t="s">
        <v>22</v>
      </c>
      <c r="F638" t="s">
        <v>20</v>
      </c>
      <c r="G638" t="s">
        <v>3</v>
      </c>
      <c r="H638" t="s">
        <v>1227</v>
      </c>
      <c r="I638" t="s">
        <v>121</v>
      </c>
      <c r="J638" t="s">
        <v>286</v>
      </c>
      <c r="K638" s="27">
        <f t="shared" si="135"/>
        <v>4.1336182129460552E-3</v>
      </c>
      <c r="L638" s="27">
        <f t="shared" si="138"/>
        <v>4.1536453250924088E-3</v>
      </c>
      <c r="M638" s="27">
        <f t="shared" si="138"/>
        <v>4.1840370126470534E-3</v>
      </c>
      <c r="N638" s="27">
        <f t="shared" si="138"/>
        <v>4.1905340987284578E-3</v>
      </c>
      <c r="O638" s="27">
        <f t="shared" si="138"/>
        <v>4.1812329246154597E-3</v>
      </c>
      <c r="P638" s="27">
        <f t="shared" si="138"/>
        <v>4.1564738854214557E-3</v>
      </c>
      <c r="Q638" s="27">
        <f t="shared" si="138"/>
        <v>4.142746062070715E-3</v>
      </c>
      <c r="R638" s="27">
        <f t="shared" si="138"/>
        <v>4.130408792135833E-3</v>
      </c>
      <c r="S638" s="27">
        <f t="shared" si="138"/>
        <v>3.9465365523139234E-3</v>
      </c>
      <c r="T638" s="27">
        <f t="shared" si="138"/>
        <v>4.0449031054022467E-3</v>
      </c>
      <c r="U638" s="27">
        <f t="shared" si="138"/>
        <v>8.6826637855320493E-3</v>
      </c>
      <c r="V638" s="27">
        <f t="shared" si="138"/>
        <v>8.7938640755687025E-3</v>
      </c>
      <c r="W638" s="27">
        <f t="shared" si="138"/>
        <v>8.8834218995517203E-3</v>
      </c>
      <c r="X638" s="27">
        <f t="shared" si="138"/>
        <v>8.9554975933649264E-3</v>
      </c>
      <c r="Y638" s="27">
        <f t="shared" si="138"/>
        <v>9.018105952641001E-3</v>
      </c>
      <c r="Z638" s="27">
        <f t="shared" si="138"/>
        <v>9.0705357904088645E-3</v>
      </c>
      <c r="AA638" s="27">
        <f t="shared" si="138"/>
        <v>9.1124930520699761E-3</v>
      </c>
      <c r="AB638" s="27">
        <f t="shared" si="138"/>
        <v>9.143466497408213E-3</v>
      </c>
      <c r="AC638" s="27">
        <f t="shared" si="138"/>
        <v>9.1629085267338015E-3</v>
      </c>
      <c r="AD638" s="27">
        <f t="shared" si="138"/>
        <v>9.1706067297579116E-3</v>
      </c>
      <c r="AE638" s="27">
        <f t="shared" si="138"/>
        <v>9.1661590701848112E-3</v>
      </c>
      <c r="AF638" s="27">
        <f t="shared" si="138"/>
        <v>9.149435618350802E-3</v>
      </c>
      <c r="AG638" s="27">
        <f t="shared" si="138"/>
        <v>9.120587540138371E-3</v>
      </c>
      <c r="AH638" s="27">
        <f t="shared" si="138"/>
        <v>9.0795393134023624E-3</v>
      </c>
      <c r="AI638" s="27">
        <f t="shared" si="138"/>
        <v>9.0262176145749634E-3</v>
      </c>
      <c r="AJ638" s="27">
        <f t="shared" si="138"/>
        <v>1.3289120185476511E-3</v>
      </c>
      <c r="AK638" s="27">
        <f t="shared" si="138"/>
        <v>1.3289120185476511E-3</v>
      </c>
      <c r="AL638" s="27">
        <f t="shared" si="138"/>
        <v>1.3289120185476511E-3</v>
      </c>
      <c r="AM638" s="27">
        <f t="shared" si="138"/>
        <v>1.3289120185476511E-3</v>
      </c>
      <c r="AN638" s="27">
        <f t="shared" si="138"/>
        <v>1.3289120185476511E-3</v>
      </c>
      <c r="AO638" s="27">
        <f t="shared" si="138"/>
        <v>1.3289120185476511E-3</v>
      </c>
      <c r="AP638" s="27">
        <f t="shared" si="138"/>
        <v>1.3289120185476511E-3</v>
      </c>
      <c r="AQ638" s="27">
        <f t="shared" si="138"/>
        <v>1.3289120185476511E-3</v>
      </c>
      <c r="AR638" s="27">
        <f t="shared" si="138"/>
        <v>1.3289120185476511E-3</v>
      </c>
      <c r="AS638" s="27">
        <f t="shared" si="138"/>
        <v>1.3289120185476511E-3</v>
      </c>
      <c r="AT638" s="27">
        <f t="shared" si="138"/>
        <v>1.3289120185476511E-3</v>
      </c>
      <c r="AU638" s="27">
        <f t="shared" si="138"/>
        <v>1.3289120185476511E-3</v>
      </c>
      <c r="AV638" s="27">
        <f t="shared" si="138"/>
        <v>1.3289120185476511E-3</v>
      </c>
      <c r="AW638" s="27">
        <f t="shared" si="138"/>
        <v>1.3289120185476511E-3</v>
      </c>
      <c r="AY638" s="79"/>
      <c r="AZ638" s="79"/>
    </row>
    <row r="639" spans="1:52" x14ac:dyDescent="0.25">
      <c r="A639" s="95" t="str">
        <f t="shared" si="133"/>
        <v>NI Mules MMCH4</v>
      </c>
      <c r="B639" s="95" t="s">
        <v>969</v>
      </c>
      <c r="C639" s="95" t="s">
        <v>1327</v>
      </c>
      <c r="D639" t="s">
        <v>15</v>
      </c>
      <c r="E639" t="s">
        <v>22</v>
      </c>
      <c r="F639" t="s">
        <v>140</v>
      </c>
      <c r="G639" t="s">
        <v>124</v>
      </c>
      <c r="H639" t="s">
        <v>1227</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25">
      <c r="A640" s="95" t="str">
        <f t="shared" si="133"/>
        <v>NI Swine MMCH4</v>
      </c>
      <c r="B640" s="95" t="s">
        <v>969</v>
      </c>
      <c r="C640" s="95" t="s">
        <v>1230</v>
      </c>
      <c r="D640" t="s">
        <v>15</v>
      </c>
      <c r="E640" t="s">
        <v>22</v>
      </c>
      <c r="F640" t="s">
        <v>21</v>
      </c>
      <c r="G640" t="s">
        <v>122</v>
      </c>
      <c r="H640" t="s">
        <v>1227</v>
      </c>
      <c r="I640" t="s">
        <v>121</v>
      </c>
      <c r="J640" t="s">
        <v>286</v>
      </c>
      <c r="K640" s="27">
        <f t="shared" si="135"/>
        <v>23.279067868377393</v>
      </c>
      <c r="L640" s="27">
        <f t="shared" si="138"/>
        <v>23.152530650802596</v>
      </c>
      <c r="M640" s="27">
        <f t="shared" si="138"/>
        <v>23.162916433064304</v>
      </c>
      <c r="N640" s="27">
        <f t="shared" si="138"/>
        <v>22.950263110497293</v>
      </c>
      <c r="O640" s="27">
        <f t="shared" si="138"/>
        <v>22.602951186820601</v>
      </c>
      <c r="P640" s="27">
        <f t="shared" si="138"/>
        <v>22.12653281137495</v>
      </c>
      <c r="Q640" s="27">
        <f t="shared" si="138"/>
        <v>21.780600237355962</v>
      </c>
      <c r="R640" s="27">
        <f t="shared" si="138"/>
        <v>21.465278056857681</v>
      </c>
      <c r="S640" s="27">
        <f t="shared" si="138"/>
        <v>19.312832226900145</v>
      </c>
      <c r="T640" s="27">
        <f t="shared" si="138"/>
        <v>20.002458493758922</v>
      </c>
      <c r="U640" s="27">
        <f t="shared" si="138"/>
        <v>63.938225509328625</v>
      </c>
      <c r="V640" s="27">
        <f t="shared" si="138"/>
        <v>64.113496025150383</v>
      </c>
      <c r="W640" s="27">
        <f t="shared" si="138"/>
        <v>64.178228567667873</v>
      </c>
      <c r="X640" s="27">
        <f t="shared" si="138"/>
        <v>64.135343897693133</v>
      </c>
      <c r="Y640" s="27">
        <f t="shared" si="138"/>
        <v>63.991311737388052</v>
      </c>
      <c r="Z640" s="27">
        <f t="shared" si="138"/>
        <v>63.744809060362954</v>
      </c>
      <c r="AA640" s="27">
        <f t="shared" si="138"/>
        <v>63.395481625326759</v>
      </c>
      <c r="AB640" s="27">
        <f t="shared" si="138"/>
        <v>62.943362188824892</v>
      </c>
      <c r="AC640" s="27">
        <f t="shared" si="138"/>
        <v>62.389030635456976</v>
      </c>
      <c r="AD640" s="27">
        <f t="shared" si="138"/>
        <v>61.733913705110233</v>
      </c>
      <c r="AE640" s="27">
        <f t="shared" si="138"/>
        <v>60.979815772111941</v>
      </c>
      <c r="AF640" s="27">
        <f t="shared" si="138"/>
        <v>60.129286570076758</v>
      </c>
      <c r="AG640" s="27">
        <f t="shared" si="138"/>
        <v>59.185593442917096</v>
      </c>
      <c r="AH640" s="27">
        <f t="shared" si="138"/>
        <v>58.152275579872715</v>
      </c>
      <c r="AI640" s="27">
        <f t="shared" si="138"/>
        <v>57.033304574173563</v>
      </c>
      <c r="AJ640" s="27">
        <f t="shared" si="138"/>
        <v>-5.3144936119483299</v>
      </c>
      <c r="AK640" s="27">
        <f t="shared" si="138"/>
        <v>-5.2569593669429695</v>
      </c>
      <c r="AL640" s="27">
        <f t="shared" si="138"/>
        <v>-5.1992212819469339</v>
      </c>
      <c r="AM640" s="27">
        <f t="shared" si="138"/>
        <v>-5.1413392574015706</v>
      </c>
      <c r="AN640" s="27">
        <f t="shared" si="138"/>
        <v>-5.0833794948522248</v>
      </c>
      <c r="AO640" s="27">
        <f t="shared" si="138"/>
        <v>-5.0251883541674571</v>
      </c>
      <c r="AP640" s="27">
        <f t="shared" si="138"/>
        <v>-4.9666751294444857</v>
      </c>
      <c r="AQ640" s="27">
        <f t="shared" si="138"/>
        <v>-4.9078454730797514</v>
      </c>
      <c r="AR640" s="27">
        <f t="shared" si="138"/>
        <v>-4.8486018943647</v>
      </c>
      <c r="AS640" s="27">
        <f t="shared" si="138"/>
        <v>-4.7888432589736398</v>
      </c>
      <c r="AT640" s="27">
        <f t="shared" si="138"/>
        <v>-4.7285865274691332</v>
      </c>
      <c r="AU640" s="27">
        <f t="shared" si="138"/>
        <v>-4.667881841438601</v>
      </c>
      <c r="AV640" s="27">
        <f t="shared" si="138"/>
        <v>-4.6067720913188221</v>
      </c>
      <c r="AW640" s="27">
        <f t="shared" si="138"/>
        <v>-4.5451726737388229</v>
      </c>
      <c r="AY640" s="79"/>
      <c r="AZ640" s="79"/>
    </row>
    <row r="641" spans="1:52" x14ac:dyDescent="0.25">
      <c r="A641" s="95" t="str">
        <f t="shared" si="133"/>
        <v>NI Swine MMCH4</v>
      </c>
      <c r="B641" s="95" t="s">
        <v>969</v>
      </c>
      <c r="C641" s="95" t="s">
        <v>1230</v>
      </c>
      <c r="D641" t="s">
        <v>15</v>
      </c>
      <c r="E641" t="s">
        <v>22</v>
      </c>
      <c r="F641" t="s">
        <v>21</v>
      </c>
      <c r="G641" t="s">
        <v>123</v>
      </c>
      <c r="H641" t="s">
        <v>1227</v>
      </c>
      <c r="I641" t="s">
        <v>121</v>
      </c>
      <c r="J641" t="s">
        <v>286</v>
      </c>
      <c r="K641" s="27">
        <f t="shared" si="135"/>
        <v>7.7932061732677776E-2</v>
      </c>
      <c r="L641" s="27">
        <f t="shared" si="138"/>
        <v>7.7508449141861113E-2</v>
      </c>
      <c r="M641" s="27">
        <f t="shared" si="138"/>
        <v>7.7543217949140597E-2</v>
      </c>
      <c r="N641" s="27">
        <f t="shared" si="138"/>
        <v>7.6831311787104617E-2</v>
      </c>
      <c r="O641" s="27">
        <f t="shared" si="138"/>
        <v>7.5668604825232008E-2</v>
      </c>
      <c r="P641" s="27">
        <f t="shared" si="138"/>
        <v>7.4073684167079393E-2</v>
      </c>
      <c r="Q641" s="27">
        <f t="shared" si="138"/>
        <v>7.2915594897087016E-2</v>
      </c>
      <c r="R641" s="27">
        <f t="shared" si="138"/>
        <v>7.1859980996426681E-2</v>
      </c>
      <c r="S641" s="27">
        <f t="shared" si="138"/>
        <v>6.4654170942306688E-2</v>
      </c>
      <c r="T641" s="27">
        <f t="shared" si="138"/>
        <v>6.6962854309922146E-2</v>
      </c>
      <c r="U641" s="27">
        <f t="shared" ref="L641:AW647" si="139">U1406</f>
        <v>0.21404799219815959</v>
      </c>
      <c r="V641" s="27">
        <f t="shared" si="139"/>
        <v>0.21463475077183489</v>
      </c>
      <c r="W641" s="27">
        <f t="shared" si="139"/>
        <v>0.21485145792386132</v>
      </c>
      <c r="X641" s="27">
        <f t="shared" si="139"/>
        <v>0.21470789157632744</v>
      </c>
      <c r="Y641" s="27">
        <f t="shared" si="139"/>
        <v>0.21422571061994838</v>
      </c>
      <c r="Z641" s="27">
        <f t="shared" si="139"/>
        <v>0.21340048591800548</v>
      </c>
      <c r="AA641" s="27">
        <f t="shared" si="139"/>
        <v>0.21223103156587736</v>
      </c>
      <c r="AB641" s="27">
        <f t="shared" si="139"/>
        <v>0.21071745722367313</v>
      </c>
      <c r="AC641" s="27">
        <f t="shared" si="139"/>
        <v>0.20886170418915742</v>
      </c>
      <c r="AD641" s="27">
        <f t="shared" si="139"/>
        <v>0.20666854880396013</v>
      </c>
      <c r="AE641" s="27">
        <f t="shared" si="139"/>
        <v>0.20414403162830727</v>
      </c>
      <c r="AF641" s="27">
        <f t="shared" si="139"/>
        <v>0.20129668848496379</v>
      </c>
      <c r="AG641" s="27">
        <f t="shared" si="139"/>
        <v>0.19813745756307569</v>
      </c>
      <c r="AH641" s="27">
        <f t="shared" si="139"/>
        <v>0.19467818711687174</v>
      </c>
      <c r="AI641" s="27">
        <f t="shared" si="139"/>
        <v>0.19093217297290849</v>
      </c>
      <c r="AJ641" s="27">
        <f t="shared" si="139"/>
        <v>-1.7791496059294212E-2</v>
      </c>
      <c r="AK641" s="27">
        <f t="shared" si="139"/>
        <v>-1.759888687241214E-2</v>
      </c>
      <c r="AL641" s="27">
        <f t="shared" si="139"/>
        <v>-1.7405595284034153E-2</v>
      </c>
      <c r="AM641" s="27">
        <f t="shared" si="139"/>
        <v>-1.7211821824736444E-2</v>
      </c>
      <c r="AN641" s="27">
        <f t="shared" si="139"/>
        <v>-1.7017788119497636E-2</v>
      </c>
      <c r="AO641" s="27">
        <f t="shared" si="139"/>
        <v>-1.6822979822456646E-2</v>
      </c>
      <c r="AP641" s="27">
        <f t="shared" si="139"/>
        <v>-1.6627093274633003E-2</v>
      </c>
      <c r="AQ641" s="27">
        <f t="shared" si="139"/>
        <v>-1.6430147398730621E-2</v>
      </c>
      <c r="AR641" s="27">
        <f t="shared" si="139"/>
        <v>-1.6231815822063071E-2</v>
      </c>
      <c r="AS641" s="27">
        <f t="shared" si="139"/>
        <v>-1.6031759974093191E-2</v>
      </c>
      <c r="AT641" s="27">
        <f t="shared" si="139"/>
        <v>-1.5830036634225372E-2</v>
      </c>
      <c r="AU641" s="27">
        <f t="shared" si="139"/>
        <v>-1.5626813663016086E-2</v>
      </c>
      <c r="AV641" s="27">
        <f t="shared" si="139"/>
        <v>-1.5422234646118577E-2</v>
      </c>
      <c r="AW641" s="27">
        <f t="shared" si="139"/>
        <v>-1.5216016354188486E-2</v>
      </c>
      <c r="AY641" s="79"/>
      <c r="AZ641" s="79"/>
    </row>
    <row r="642" spans="1:52" x14ac:dyDescent="0.25">
      <c r="A642" s="95" t="str">
        <f t="shared" si="133"/>
        <v>NI Poultry MMCH4</v>
      </c>
      <c r="B642" s="95" t="s">
        <v>969</v>
      </c>
      <c r="C642" s="95" t="s">
        <v>1231</v>
      </c>
      <c r="D642" t="s">
        <v>15</v>
      </c>
      <c r="E642" t="s">
        <v>22</v>
      </c>
      <c r="F642" t="s">
        <v>28</v>
      </c>
      <c r="G642" t="s">
        <v>131</v>
      </c>
      <c r="H642" t="s">
        <v>1227</v>
      </c>
      <c r="I642" t="s">
        <v>121</v>
      </c>
      <c r="J642" t="s">
        <v>286</v>
      </c>
      <c r="K642" s="27">
        <f t="shared" si="135"/>
        <v>0.55586528215230246</v>
      </c>
      <c r="L642" s="27">
        <f t="shared" si="139"/>
        <v>0.56716712532642333</v>
      </c>
      <c r="M642" s="27">
        <f t="shared" si="139"/>
        <v>0.58037790885594753</v>
      </c>
      <c r="N642" s="27">
        <f t="shared" si="139"/>
        <v>0.59052015237226141</v>
      </c>
      <c r="O642" s="27">
        <f t="shared" si="139"/>
        <v>0.5986618277459016</v>
      </c>
      <c r="P642" s="27">
        <f t="shared" si="139"/>
        <v>0.60475451589519713</v>
      </c>
      <c r="Q642" s="27">
        <f t="shared" si="139"/>
        <v>0.61256702388185857</v>
      </c>
      <c r="R642" s="27">
        <f t="shared" si="139"/>
        <v>0.62068986953889782</v>
      </c>
      <c r="S642" s="27">
        <f t="shared" si="139"/>
        <v>0.59622101179856346</v>
      </c>
      <c r="T642" s="27">
        <f t="shared" si="139"/>
        <v>0.61809135680643945</v>
      </c>
      <c r="U642" s="27">
        <f t="shared" si="139"/>
        <v>1.373668837271812</v>
      </c>
      <c r="V642" s="27">
        <f t="shared" si="139"/>
        <v>1.4038681554321815</v>
      </c>
      <c r="W642" s="27">
        <f t="shared" si="139"/>
        <v>1.4328290155562637</v>
      </c>
      <c r="X642" s="27">
        <f t="shared" si="139"/>
        <v>1.460295648957926</v>
      </c>
      <c r="Y642" s="27">
        <f t="shared" si="139"/>
        <v>1.4859212180508141</v>
      </c>
      <c r="Z642" s="27">
        <f t="shared" si="139"/>
        <v>1.5095937275054243</v>
      </c>
      <c r="AA642" s="27">
        <f t="shared" si="139"/>
        <v>1.5311992010813591</v>
      </c>
      <c r="AB642" s="27">
        <f t="shared" si="139"/>
        <v>1.5506393195302268</v>
      </c>
      <c r="AC642" s="27">
        <f t="shared" si="139"/>
        <v>1.5678278043895033</v>
      </c>
      <c r="AD642" s="27">
        <f t="shared" si="139"/>
        <v>1.5826815313976288</v>
      </c>
      <c r="AE642" s="27">
        <f t="shared" si="139"/>
        <v>1.5951352940969563</v>
      </c>
      <c r="AF642" s="27">
        <f t="shared" si="139"/>
        <v>1.6051302673357504</v>
      </c>
      <c r="AG642" s="27">
        <f t="shared" si="139"/>
        <v>1.6126141322836316</v>
      </c>
      <c r="AH642" s="27">
        <f t="shared" si="139"/>
        <v>1.6175553910519496</v>
      </c>
      <c r="AI642" s="27">
        <f t="shared" si="139"/>
        <v>1.6199377421840562</v>
      </c>
      <c r="AJ642" s="27">
        <f t="shared" si="139"/>
        <v>0.21118052827101272</v>
      </c>
      <c r="AK642" s="27">
        <f t="shared" si="139"/>
        <v>0.21273045495969528</v>
      </c>
      <c r="AL642" s="27">
        <f t="shared" si="139"/>
        <v>0.21424196096407097</v>
      </c>
      <c r="AM642" s="27">
        <f t="shared" si="139"/>
        <v>0.21571732327397183</v>
      </c>
      <c r="AN642" s="27">
        <f t="shared" si="139"/>
        <v>0.21715916671304386</v>
      </c>
      <c r="AO642" s="27">
        <f t="shared" si="139"/>
        <v>0.2185615794759829</v>
      </c>
      <c r="AP642" s="27">
        <f t="shared" si="139"/>
        <v>0.21992066841646388</v>
      </c>
      <c r="AQ642" s="27">
        <f t="shared" si="139"/>
        <v>0.22123614681909931</v>
      </c>
      <c r="AR642" s="27">
        <f t="shared" si="139"/>
        <v>0.22250337724956543</v>
      </c>
      <c r="AS642" s="27">
        <f t="shared" si="139"/>
        <v>0.22371719705711082</v>
      </c>
      <c r="AT642" s="27">
        <f t="shared" si="139"/>
        <v>0.22487715475079265</v>
      </c>
      <c r="AU642" s="27">
        <f t="shared" si="139"/>
        <v>0.22598422868600801</v>
      </c>
      <c r="AV642" s="27">
        <f t="shared" si="139"/>
        <v>0.22703914928135227</v>
      </c>
      <c r="AW642" s="27">
        <f t="shared" si="139"/>
        <v>0.22803688221361912</v>
      </c>
      <c r="AY642" s="79"/>
      <c r="AZ642" s="79"/>
    </row>
    <row r="643" spans="1:52" x14ac:dyDescent="0.25">
      <c r="A643" s="95" t="str">
        <f t="shared" si="133"/>
        <v>NI Poultry MMCH4</v>
      </c>
      <c r="B643" s="95" t="s">
        <v>969</v>
      </c>
      <c r="C643" s="95" t="s">
        <v>1231</v>
      </c>
      <c r="D643" t="s">
        <v>15</v>
      </c>
      <c r="E643" t="s">
        <v>22</v>
      </c>
      <c r="F643" t="s">
        <v>28</v>
      </c>
      <c r="G643" t="s">
        <v>132</v>
      </c>
      <c r="H643" t="s">
        <v>1227</v>
      </c>
      <c r="I643" t="s">
        <v>121</v>
      </c>
      <c r="J643" t="s">
        <v>286</v>
      </c>
      <c r="K643" s="27">
        <f t="shared" si="135"/>
        <v>2.2100196981344116</v>
      </c>
      <c r="L643" s="27">
        <f t="shared" si="139"/>
        <v>2.2391217074451495</v>
      </c>
      <c r="M643" s="27">
        <f t="shared" si="139"/>
        <v>2.2858678822724832</v>
      </c>
      <c r="N643" s="27">
        <f t="shared" si="139"/>
        <v>2.29929007480786</v>
      </c>
      <c r="O643" s="27">
        <f t="shared" si="139"/>
        <v>2.2910596881616572</v>
      </c>
      <c r="P643" s="27">
        <f t="shared" si="139"/>
        <v>2.2612642885898926</v>
      </c>
      <c r="Q643" s="27">
        <f t="shared" si="139"/>
        <v>2.2487211059946213</v>
      </c>
      <c r="R643" s="27">
        <f t="shared" si="139"/>
        <v>2.2390235702415184</v>
      </c>
      <c r="S643" s="27">
        <f t="shared" si="139"/>
        <v>1.9526804721775937</v>
      </c>
      <c r="T643" s="27">
        <f t="shared" si="139"/>
        <v>2.100459804618418</v>
      </c>
      <c r="U643" s="27">
        <f t="shared" si="139"/>
        <v>9.1333253803948828</v>
      </c>
      <c r="V643" s="27">
        <f t="shared" si="139"/>
        <v>9.2970707439361586</v>
      </c>
      <c r="W643" s="27">
        <f t="shared" si="139"/>
        <v>9.4425409001496003</v>
      </c>
      <c r="X643" s="27">
        <f t="shared" si="139"/>
        <v>9.5703569928358032</v>
      </c>
      <c r="Y643" s="27">
        <f t="shared" si="139"/>
        <v>9.6822560637136306</v>
      </c>
      <c r="Z643" s="27">
        <f t="shared" si="139"/>
        <v>9.7773987663862059</v>
      </c>
      <c r="AA643" s="27">
        <f t="shared" si="139"/>
        <v>9.8551407097026438</v>
      </c>
      <c r="AB643" s="27">
        <f t="shared" si="139"/>
        <v>9.9148485168231666</v>
      </c>
      <c r="AC643" s="27">
        <f t="shared" si="139"/>
        <v>9.9559572971640158</v>
      </c>
      <c r="AD643" s="27">
        <f t="shared" si="139"/>
        <v>9.9780818543236887</v>
      </c>
      <c r="AE643" s="27">
        <f t="shared" si="139"/>
        <v>9.9808650627783955</v>
      </c>
      <c r="AF643" s="27">
        <f t="shared" si="139"/>
        <v>9.9641144926279814</v>
      </c>
      <c r="AG643" s="27">
        <f t="shared" si="139"/>
        <v>9.9278067613283412</v>
      </c>
      <c r="AH643" s="27">
        <f t="shared" si="139"/>
        <v>9.8719390395073479</v>
      </c>
      <c r="AI643" s="27">
        <f t="shared" si="139"/>
        <v>9.7965950136724871</v>
      </c>
      <c r="AJ643" s="27">
        <f t="shared" si="139"/>
        <v>-2.0919754098137773</v>
      </c>
      <c r="AK643" s="27">
        <f t="shared" si="139"/>
        <v>-2.0949358900923882</v>
      </c>
      <c r="AL643" s="27">
        <f t="shared" si="139"/>
        <v>-2.0976165546607759</v>
      </c>
      <c r="AM643" s="27">
        <f t="shared" si="139"/>
        <v>-2.1000401992552491</v>
      </c>
      <c r="AN643" s="27">
        <f t="shared" si="139"/>
        <v>-2.1022328856249954</v>
      </c>
      <c r="AO643" s="27">
        <f t="shared" si="139"/>
        <v>-2.1041334183696132</v>
      </c>
      <c r="AP643" s="27">
        <f t="shared" si="139"/>
        <v>-2.1057026664304765</v>
      </c>
      <c r="AQ643" s="27">
        <f t="shared" si="139"/>
        <v>-2.1069388532626809</v>
      </c>
      <c r="AR643" s="27">
        <f t="shared" si="139"/>
        <v>-2.107796866715046</v>
      </c>
      <c r="AS643" s="27">
        <f t="shared" si="139"/>
        <v>-2.1082275012492091</v>
      </c>
      <c r="AT643" s="27">
        <f t="shared" si="139"/>
        <v>-2.1082293468263522</v>
      </c>
      <c r="AU643" s="27">
        <f t="shared" si="139"/>
        <v>-2.1078151792766633</v>
      </c>
      <c r="AV643" s="27">
        <f t="shared" si="139"/>
        <v>-2.1069951517588699</v>
      </c>
      <c r="AW643" s="27">
        <f t="shared" si="139"/>
        <v>-2.1057231360288351</v>
      </c>
      <c r="AY643" s="79"/>
      <c r="AZ643" s="79"/>
    </row>
    <row r="644" spans="1:52" x14ac:dyDescent="0.25">
      <c r="A644" s="95" t="str">
        <f t="shared" si="133"/>
        <v>NI Poultry MMCH4</v>
      </c>
      <c r="B644" s="95" t="s">
        <v>969</v>
      </c>
      <c r="C644" s="95" t="s">
        <v>1231</v>
      </c>
      <c r="D644" t="s">
        <v>15</v>
      </c>
      <c r="E644" t="s">
        <v>22</v>
      </c>
      <c r="F644" t="s">
        <v>28</v>
      </c>
      <c r="G644" t="s">
        <v>134</v>
      </c>
      <c r="H644" t="s">
        <v>1227</v>
      </c>
      <c r="I644" t="s">
        <v>121</v>
      </c>
      <c r="J644" t="s">
        <v>286</v>
      </c>
      <c r="K644" s="27">
        <f t="shared" si="135"/>
        <v>2.3161053423012629E-2</v>
      </c>
      <c r="L644" s="27">
        <f t="shared" si="139"/>
        <v>2.3631963555267661E-2</v>
      </c>
      <c r="M644" s="27">
        <f t="shared" si="139"/>
        <v>2.4182412868997839E-2</v>
      </c>
      <c r="N644" s="27">
        <f t="shared" si="139"/>
        <v>2.4605006348844244E-2</v>
      </c>
      <c r="O644" s="27">
        <f t="shared" si="139"/>
        <v>2.4944242822745925E-2</v>
      </c>
      <c r="P644" s="27">
        <f t="shared" si="139"/>
        <v>2.5198104828966571E-2</v>
      </c>
      <c r="Q644" s="27">
        <f t="shared" si="139"/>
        <v>2.5523625995077459E-2</v>
      </c>
      <c r="R644" s="27">
        <f t="shared" si="139"/>
        <v>2.5862077897454101E-2</v>
      </c>
      <c r="S644" s="27">
        <f t="shared" si="139"/>
        <v>2.4842542158273501E-2</v>
      </c>
      <c r="T644" s="27">
        <f t="shared" si="139"/>
        <v>2.5753806533601667E-2</v>
      </c>
      <c r="U644" s="27">
        <f t="shared" si="139"/>
        <v>5.7236201552992215E-2</v>
      </c>
      <c r="V644" s="27">
        <f t="shared" si="139"/>
        <v>5.8494506476340941E-2</v>
      </c>
      <c r="W644" s="27">
        <f t="shared" si="139"/>
        <v>5.9701208981511052E-2</v>
      </c>
      <c r="X644" s="27">
        <f t="shared" si="139"/>
        <v>6.0845652039913642E-2</v>
      </c>
      <c r="Y644" s="27">
        <f t="shared" si="139"/>
        <v>6.1913384085450655E-2</v>
      </c>
      <c r="Z644" s="27">
        <f t="shared" si="139"/>
        <v>6.2899738646059397E-2</v>
      </c>
      <c r="AA644" s="27">
        <f t="shared" si="139"/>
        <v>6.3799966711723347E-2</v>
      </c>
      <c r="AB644" s="27">
        <f t="shared" si="139"/>
        <v>6.4609971647092854E-2</v>
      </c>
      <c r="AC644" s="27">
        <f t="shared" si="139"/>
        <v>6.5326158516229374E-2</v>
      </c>
      <c r="AD644" s="27">
        <f t="shared" si="139"/>
        <v>6.5945063808234589E-2</v>
      </c>
      <c r="AE644" s="27">
        <f t="shared" si="139"/>
        <v>6.6463970587373244E-2</v>
      </c>
      <c r="AF644" s="27">
        <f t="shared" si="139"/>
        <v>6.6880427805656326E-2</v>
      </c>
      <c r="AG644" s="27">
        <f t="shared" si="139"/>
        <v>6.7192255511818053E-2</v>
      </c>
      <c r="AH644" s="27">
        <f t="shared" si="139"/>
        <v>6.7398141293831301E-2</v>
      </c>
      <c r="AI644" s="27">
        <f t="shared" si="139"/>
        <v>6.7497405924335729E-2</v>
      </c>
      <c r="AJ644" s="27">
        <f t="shared" si="139"/>
        <v>8.7991886779588708E-3</v>
      </c>
      <c r="AK644" s="27">
        <f t="shared" si="139"/>
        <v>8.8637689566539793E-3</v>
      </c>
      <c r="AL644" s="27">
        <f t="shared" si="139"/>
        <v>8.9267483735029646E-3</v>
      </c>
      <c r="AM644" s="27">
        <f t="shared" si="139"/>
        <v>8.9882218030821696E-3</v>
      </c>
      <c r="AN644" s="27">
        <f t="shared" si="139"/>
        <v>9.0482986130435011E-3</v>
      </c>
      <c r="AO644" s="27">
        <f t="shared" si="139"/>
        <v>9.1067324781659627E-3</v>
      </c>
      <c r="AP644" s="27">
        <f t="shared" si="139"/>
        <v>9.1633611840193346E-3</v>
      </c>
      <c r="AQ644" s="27">
        <f t="shared" si="139"/>
        <v>9.2181727841291489E-3</v>
      </c>
      <c r="AR644" s="27">
        <f t="shared" si="139"/>
        <v>9.2709740520652353E-3</v>
      </c>
      <c r="AS644" s="27">
        <f t="shared" si="139"/>
        <v>9.3215498773796274E-3</v>
      </c>
      <c r="AT644" s="27">
        <f t="shared" si="139"/>
        <v>9.3698814479497017E-3</v>
      </c>
      <c r="AU644" s="27">
        <f t="shared" si="139"/>
        <v>9.4160095285836763E-3</v>
      </c>
      <c r="AV644" s="27">
        <f t="shared" si="139"/>
        <v>9.4599645533896878E-3</v>
      </c>
      <c r="AW644" s="27">
        <f t="shared" si="139"/>
        <v>9.5015367589008064E-3</v>
      </c>
      <c r="AY644" s="79"/>
      <c r="AZ644" s="79"/>
    </row>
    <row r="645" spans="1:52" x14ac:dyDescent="0.25">
      <c r="A645" s="95" t="str">
        <f t="shared" si="133"/>
        <v>NI Poultry MMCH4</v>
      </c>
      <c r="B645" s="95" t="s">
        <v>969</v>
      </c>
      <c r="C645" s="95" t="s">
        <v>1231</v>
      </c>
      <c r="D645" t="s">
        <v>15</v>
      </c>
      <c r="E645" t="s">
        <v>22</v>
      </c>
      <c r="F645" t="s">
        <v>28</v>
      </c>
      <c r="G645" t="s">
        <v>133</v>
      </c>
      <c r="H645" t="s">
        <v>1227</v>
      </c>
      <c r="I645" t="s">
        <v>121</v>
      </c>
      <c r="J645" t="s">
        <v>286</v>
      </c>
      <c r="K645" s="27">
        <f t="shared" si="135"/>
        <v>9.2084154088933889E-2</v>
      </c>
      <c r="L645" s="27">
        <f t="shared" si="139"/>
        <v>9.3296737810214664E-2</v>
      </c>
      <c r="M645" s="27">
        <f t="shared" si="139"/>
        <v>9.5244495094686882E-2</v>
      </c>
      <c r="N645" s="27">
        <f t="shared" si="139"/>
        <v>9.5803753116994267E-2</v>
      </c>
      <c r="O645" s="27">
        <f t="shared" si="139"/>
        <v>9.5460820340069155E-2</v>
      </c>
      <c r="P645" s="27">
        <f t="shared" si="139"/>
        <v>9.4219345357912279E-2</v>
      </c>
      <c r="Q645" s="27">
        <f t="shared" si="139"/>
        <v>9.3696712749775993E-2</v>
      </c>
      <c r="R645" s="27">
        <f t="shared" si="139"/>
        <v>9.3292648760063338E-2</v>
      </c>
      <c r="S645" s="27">
        <f t="shared" si="139"/>
        <v>8.1361686340733153E-2</v>
      </c>
      <c r="T645" s="27">
        <f t="shared" si="139"/>
        <v>8.7519158525767499E-2</v>
      </c>
      <c r="U645" s="27">
        <f t="shared" si="139"/>
        <v>0.38055522418312043</v>
      </c>
      <c r="V645" s="27">
        <f t="shared" si="139"/>
        <v>0.38737794766400691</v>
      </c>
      <c r="W645" s="27">
        <f t="shared" si="139"/>
        <v>0.39343920417290035</v>
      </c>
      <c r="X645" s="27">
        <f t="shared" si="139"/>
        <v>0.39876487470149208</v>
      </c>
      <c r="Y645" s="27">
        <f t="shared" si="139"/>
        <v>0.40342733598806829</v>
      </c>
      <c r="Z645" s="27">
        <f t="shared" si="139"/>
        <v>0.40739161526609236</v>
      </c>
      <c r="AA645" s="27">
        <f t="shared" si="139"/>
        <v>0.41063086290427719</v>
      </c>
      <c r="AB645" s="27">
        <f t="shared" si="139"/>
        <v>0.41311868820096576</v>
      </c>
      <c r="AC645" s="27">
        <f t="shared" si="139"/>
        <v>0.41483155404850092</v>
      </c>
      <c r="AD645" s="27">
        <f t="shared" si="139"/>
        <v>0.4157534105968208</v>
      </c>
      <c r="AE645" s="27">
        <f t="shared" si="139"/>
        <v>0.41586937761576692</v>
      </c>
      <c r="AF645" s="27">
        <f t="shared" si="139"/>
        <v>0.41517143719283295</v>
      </c>
      <c r="AG645" s="27">
        <f t="shared" si="139"/>
        <v>0.41365861505534796</v>
      </c>
      <c r="AH645" s="27">
        <f t="shared" si="139"/>
        <v>0.41133079331280648</v>
      </c>
      <c r="AI645" s="27">
        <f t="shared" si="139"/>
        <v>0.40819145890302061</v>
      </c>
      <c r="AJ645" s="27">
        <f t="shared" si="139"/>
        <v>-8.7165642075574146E-2</v>
      </c>
      <c r="AK645" s="27">
        <f t="shared" si="139"/>
        <v>-8.7288995420516255E-2</v>
      </c>
      <c r="AL645" s="27">
        <f t="shared" si="139"/>
        <v>-8.7400689777532417E-2</v>
      </c>
      <c r="AM645" s="27">
        <f t="shared" si="139"/>
        <v>-8.7501674968968782E-2</v>
      </c>
      <c r="AN645" s="27">
        <f t="shared" si="139"/>
        <v>-8.759303690104156E-2</v>
      </c>
      <c r="AO645" s="27">
        <f t="shared" si="139"/>
        <v>-8.7672225765400638E-2</v>
      </c>
      <c r="AP645" s="27">
        <f t="shared" si="139"/>
        <v>-8.773761110126993E-2</v>
      </c>
      <c r="AQ645" s="27">
        <f t="shared" si="139"/>
        <v>-8.7789118885945122E-2</v>
      </c>
      <c r="AR645" s="27">
        <f t="shared" si="139"/>
        <v>-8.7824869446460341E-2</v>
      </c>
      <c r="AS645" s="27">
        <f t="shared" si="139"/>
        <v>-8.7842812552050467E-2</v>
      </c>
      <c r="AT645" s="27">
        <f t="shared" si="139"/>
        <v>-8.7842889451098083E-2</v>
      </c>
      <c r="AU645" s="27">
        <f t="shared" si="139"/>
        <v>-8.7825632469861054E-2</v>
      </c>
      <c r="AV645" s="27">
        <f t="shared" si="139"/>
        <v>-8.7791464656619661E-2</v>
      </c>
      <c r="AW645" s="27">
        <f t="shared" si="139"/>
        <v>-8.7738464001201541E-2</v>
      </c>
      <c r="AY645" s="79"/>
      <c r="AZ645" s="79"/>
    </row>
    <row r="646" spans="1:52" x14ac:dyDescent="0.25">
      <c r="A646" s="95" t="str">
        <f t="shared" si="133"/>
        <v>NI Cattle MMN2O</v>
      </c>
      <c r="B646" s="95" t="s">
        <v>969</v>
      </c>
      <c r="C646" s="95" t="s">
        <v>1232</v>
      </c>
      <c r="D646" t="s">
        <v>15</v>
      </c>
      <c r="E646" t="s">
        <v>657</v>
      </c>
      <c r="F646" t="s">
        <v>6</v>
      </c>
      <c r="G646" t="s">
        <v>136</v>
      </c>
      <c r="H646" t="s">
        <v>1227</v>
      </c>
      <c r="I646" t="s">
        <v>139</v>
      </c>
      <c r="J646" t="s">
        <v>287</v>
      </c>
      <c r="K646" s="27">
        <f t="shared" si="135"/>
        <v>5.9474079071945893E-2</v>
      </c>
      <c r="L646" s="27">
        <f t="shared" si="139"/>
        <v>5.9806569587962537E-2</v>
      </c>
      <c r="M646" s="27">
        <f t="shared" si="139"/>
        <v>6.0278316688762053E-2</v>
      </c>
      <c r="N646" s="27">
        <f t="shared" si="139"/>
        <v>6.0581464452445992E-2</v>
      </c>
      <c r="O646" s="27">
        <f t="shared" si="139"/>
        <v>6.0782907527895308E-2</v>
      </c>
      <c r="P646" s="27">
        <f t="shared" si="139"/>
        <v>6.0880663265441164E-2</v>
      </c>
      <c r="Q646" s="27">
        <f t="shared" si="139"/>
        <v>6.1096642070638009E-2</v>
      </c>
      <c r="R646" s="27">
        <f t="shared" si="139"/>
        <v>6.1344406036983781E-2</v>
      </c>
      <c r="S646" s="27">
        <f t="shared" si="139"/>
        <v>5.9601328930113273E-2</v>
      </c>
      <c r="T646" s="27">
        <f t="shared" si="139"/>
        <v>6.0626854202705693E-2</v>
      </c>
      <c r="U646" s="27">
        <f t="shared" si="139"/>
        <v>0.10431335111869787</v>
      </c>
      <c r="V646" s="27">
        <f t="shared" si="139"/>
        <v>0.10557079987792001</v>
      </c>
      <c r="W646" s="27">
        <f t="shared" si="139"/>
        <v>0.10677309385797164</v>
      </c>
      <c r="X646" s="27">
        <f t="shared" si="139"/>
        <v>0.10789978230362134</v>
      </c>
      <c r="Y646" s="27">
        <f t="shared" si="139"/>
        <v>0.10892077673602073</v>
      </c>
      <c r="Z646" s="27">
        <f t="shared" si="139"/>
        <v>0.10983130908819148</v>
      </c>
      <c r="AA646" s="27">
        <f t="shared" si="139"/>
        <v>0.11062607502856897</v>
      </c>
      <c r="AB646" s="27">
        <f t="shared" si="139"/>
        <v>0.11130105996088024</v>
      </c>
      <c r="AC646" s="27">
        <f t="shared" si="139"/>
        <v>0.11185308002540331</v>
      </c>
      <c r="AD646" s="27">
        <f t="shared" si="139"/>
        <v>0.11227878827005904</v>
      </c>
      <c r="AE646" s="27">
        <f t="shared" si="139"/>
        <v>0.11257618100536711</v>
      </c>
      <c r="AF646" s="27">
        <f t="shared" si="139"/>
        <v>0.11274333624880213</v>
      </c>
      <c r="AG646" s="27">
        <f t="shared" si="139"/>
        <v>0.11277839712706036</v>
      </c>
      <c r="AH646" s="27">
        <f t="shared" si="139"/>
        <v>0.11268102453940491</v>
      </c>
      <c r="AI646" s="27">
        <f t="shared" si="139"/>
        <v>0.11245177283662604</v>
      </c>
      <c r="AJ646" s="27">
        <f t="shared" si="139"/>
        <v>3.5577796363991845E-2</v>
      </c>
      <c r="AK646" s="27">
        <f t="shared" si="139"/>
        <v>3.5603767558276704E-2</v>
      </c>
      <c r="AL646" s="27">
        <f t="shared" si="139"/>
        <v>3.5627869174539424E-2</v>
      </c>
      <c r="AM646" s="27">
        <f t="shared" si="139"/>
        <v>3.5650264251912672E-2</v>
      </c>
      <c r="AN646" s="27">
        <f t="shared" si="139"/>
        <v>3.5671153620438649E-2</v>
      </c>
      <c r="AO646" s="27">
        <f t="shared" si="139"/>
        <v>3.5689881664317018E-2</v>
      </c>
      <c r="AP646" s="27">
        <f t="shared" si="139"/>
        <v>3.5706008112300056E-2</v>
      </c>
      <c r="AQ646" s="27">
        <f t="shared" si="139"/>
        <v>3.5719462361704167E-2</v>
      </c>
      <c r="AR646" s="27">
        <f t="shared" si="139"/>
        <v>3.5729744862623404E-2</v>
      </c>
      <c r="AS646" s="27">
        <f t="shared" si="139"/>
        <v>3.5736313260064892E-2</v>
      </c>
      <c r="AT646" s="27">
        <f t="shared" si="139"/>
        <v>3.5739100565622635E-2</v>
      </c>
      <c r="AU646" s="27">
        <f t="shared" si="139"/>
        <v>3.5738183814189306E-2</v>
      </c>
      <c r="AV646" s="27">
        <f t="shared" si="139"/>
        <v>3.5733616728715514E-2</v>
      </c>
      <c r="AW646" s="27">
        <f t="shared" si="139"/>
        <v>3.5724889195264529E-2</v>
      </c>
      <c r="AY646" s="79"/>
      <c r="AZ646" s="79"/>
    </row>
    <row r="647" spans="1:52" x14ac:dyDescent="0.25">
      <c r="A647" s="95" t="str">
        <f t="shared" si="133"/>
        <v>NI Cattle MMN2O</v>
      </c>
      <c r="B647" s="95" t="s">
        <v>969</v>
      </c>
      <c r="C647" s="95" t="s">
        <v>1232</v>
      </c>
      <c r="D647" t="s">
        <v>15</v>
      </c>
      <c r="E647" t="s">
        <v>657</v>
      </c>
      <c r="F647" t="s">
        <v>6</v>
      </c>
      <c r="G647" t="s">
        <v>137</v>
      </c>
      <c r="H647" t="s">
        <v>1227</v>
      </c>
      <c r="I647" t="s">
        <v>139</v>
      </c>
      <c r="J647" t="s">
        <v>287</v>
      </c>
      <c r="K647" s="27">
        <f t="shared" si="135"/>
        <v>0.26041511380118898</v>
      </c>
      <c r="L647" s="27">
        <f t="shared" si="139"/>
        <v>0.26187096745907495</v>
      </c>
      <c r="M647" s="27">
        <f t="shared" si="139"/>
        <v>0.26393657447404822</v>
      </c>
      <c r="N647" s="27">
        <f t="shared" si="139"/>
        <v>0.26526394701365208</v>
      </c>
      <c r="O647" s="27">
        <f t="shared" si="139"/>
        <v>0.26614599213711054</v>
      </c>
      <c r="P647" s="27">
        <f t="shared" si="139"/>
        <v>0.26657402855087214</v>
      </c>
      <c r="Q647" s="27">
        <f t="shared" si="139"/>
        <v>0.26751972028770321</v>
      </c>
      <c r="R647" s="27">
        <f t="shared" si="139"/>
        <v>0.26860458755254507</v>
      </c>
      <c r="S647" s="27">
        <f t="shared" si="139"/>
        <v>0.26097229411928624</v>
      </c>
      <c r="T647" s="27">
        <f t="shared" si="139"/>
        <v>0.26546269203272144</v>
      </c>
      <c r="U647" s="27">
        <f t="shared" si="139"/>
        <v>0.45674979127794169</v>
      </c>
      <c r="V647" s="27">
        <f t="shared" si="139"/>
        <v>0.46225569682270645</v>
      </c>
      <c r="W647" s="27">
        <f t="shared" si="139"/>
        <v>0.46752009987901733</v>
      </c>
      <c r="X647" s="27">
        <f t="shared" si="139"/>
        <v>0.47245345411284095</v>
      </c>
      <c r="Y647" s="27">
        <f t="shared" si="139"/>
        <v>0.47692401314381044</v>
      </c>
      <c r="Z647" s="27">
        <f t="shared" si="139"/>
        <v>0.48091089936063391</v>
      </c>
      <c r="AA647" s="27">
        <f t="shared" si="139"/>
        <v>0.48439088704666999</v>
      </c>
      <c r="AB647" s="27">
        <f t="shared" si="139"/>
        <v>0.48734639776167055</v>
      </c>
      <c r="AC647" s="27">
        <f t="shared" si="139"/>
        <v>0.48976349055514479</v>
      </c>
      <c r="AD647" s="27">
        <f t="shared" si="139"/>
        <v>0.49162751035516583</v>
      </c>
      <c r="AE647" s="27">
        <f t="shared" si="139"/>
        <v>0.49292968374258739</v>
      </c>
      <c r="AF647" s="27">
        <f t="shared" si="139"/>
        <v>0.49366159506296176</v>
      </c>
      <c r="AG647" s="27">
        <f t="shared" si="139"/>
        <v>0.49381511375117121</v>
      </c>
      <c r="AH647" s="27">
        <f t="shared" si="139"/>
        <v>0.4933887550098322</v>
      </c>
      <c r="AI647" s="27">
        <f t="shared" si="139"/>
        <v>0.49238494613712885</v>
      </c>
      <c r="AJ647" s="27">
        <f t="shared" si="139"/>
        <v>0.15578208243824307</v>
      </c>
      <c r="AK647" s="27">
        <f t="shared" si="139"/>
        <v>0.15589580074411316</v>
      </c>
      <c r="AL647" s="27">
        <f t="shared" si="139"/>
        <v>0.15600133285557738</v>
      </c>
      <c r="AM647" s="27">
        <f t="shared" si="139"/>
        <v>0.1560993926610211</v>
      </c>
      <c r="AN647" s="27">
        <f t="shared" si="139"/>
        <v>0.15619085952132081</v>
      </c>
      <c r="AO647" s="27">
        <f t="shared" si="139"/>
        <v>0.15627286273606522</v>
      </c>
      <c r="AP647" s="27">
        <f t="shared" si="139"/>
        <v>0.15634347451942091</v>
      </c>
      <c r="AQ647" s="27">
        <f t="shared" si="139"/>
        <v>0.15640238572820886</v>
      </c>
      <c r="AR647" s="27">
        <f t="shared" si="139"/>
        <v>0.15644740901715809</v>
      </c>
      <c r="AS647" s="27">
        <f t="shared" si="139"/>
        <v>0.15647616961326835</v>
      </c>
      <c r="AT647" s="27">
        <f t="shared" si="139"/>
        <v>0.15648837419895245</v>
      </c>
      <c r="AU647" s="27">
        <f t="shared" si="139"/>
        <v>0.15648436008166708</v>
      </c>
      <c r="AV647" s="27">
        <f t="shared" ref="L647:AW654" si="140">AV1412</f>
        <v>0.15646436249445</v>
      </c>
      <c r="AW647" s="27">
        <f t="shared" si="140"/>
        <v>0.15642614783602549</v>
      </c>
      <c r="AY647" s="79"/>
      <c r="AZ647" s="79"/>
    </row>
    <row r="648" spans="1:52" x14ac:dyDescent="0.25">
      <c r="A648" s="95" t="str">
        <f t="shared" si="133"/>
        <v>NI Cattle MMN2O</v>
      </c>
      <c r="B648" s="95" t="s">
        <v>969</v>
      </c>
      <c r="C648" s="95" t="s">
        <v>1232</v>
      </c>
      <c r="D648" t="s">
        <v>15</v>
      </c>
      <c r="E648" t="s">
        <v>657</v>
      </c>
      <c r="F648" t="s">
        <v>67</v>
      </c>
      <c r="G648" t="s">
        <v>307</v>
      </c>
      <c r="H648" t="s">
        <v>1227</v>
      </c>
      <c r="I648" t="s">
        <v>139</v>
      </c>
      <c r="J648" t="s">
        <v>287</v>
      </c>
      <c r="K648" s="27">
        <f t="shared" si="135"/>
        <v>1.1586934798802538E-2</v>
      </c>
      <c r="L648" s="27">
        <f t="shared" si="140"/>
        <v>1.1651711689683767E-2</v>
      </c>
      <c r="M648" s="27">
        <f t="shared" si="140"/>
        <v>1.1743619004328788E-2</v>
      </c>
      <c r="N648" s="27">
        <f t="shared" si="140"/>
        <v>1.1802679244134426E-2</v>
      </c>
      <c r="O648" s="27">
        <f t="shared" si="140"/>
        <v>1.1841925043604104E-2</v>
      </c>
      <c r="P648" s="27">
        <f t="shared" si="140"/>
        <v>1.186097013643829E-2</v>
      </c>
      <c r="Q648" s="27">
        <f t="shared" si="140"/>
        <v>1.1903047834366352E-2</v>
      </c>
      <c r="R648" s="27">
        <f t="shared" si="140"/>
        <v>1.1951318021451862E-2</v>
      </c>
      <c r="S648" s="27">
        <f t="shared" si="140"/>
        <v>1.1611726032777913E-2</v>
      </c>
      <c r="T648" s="27">
        <f t="shared" si="140"/>
        <v>1.1811522223882912E-2</v>
      </c>
      <c r="U648" s="27">
        <f t="shared" si="140"/>
        <v>2.0322668579614574E-2</v>
      </c>
      <c r="V648" s="27">
        <f t="shared" si="140"/>
        <v>2.0567648863686182E-2</v>
      </c>
      <c r="W648" s="27">
        <f t="shared" si="140"/>
        <v>2.0801883713106869E-2</v>
      </c>
      <c r="X648" s="27">
        <f t="shared" si="140"/>
        <v>2.1021388844788085E-2</v>
      </c>
      <c r="Y648" s="27">
        <f t="shared" si="140"/>
        <v>2.1220302322773034E-2</v>
      </c>
      <c r="Z648" s="27">
        <f t="shared" si="140"/>
        <v>2.1397695216642653E-2</v>
      </c>
      <c r="AA648" s="27">
        <f t="shared" si="140"/>
        <v>2.1552534119155507E-2</v>
      </c>
      <c r="AB648" s="27">
        <f t="shared" si="140"/>
        <v>2.1684036893522194E-2</v>
      </c>
      <c r="AC648" s="27">
        <f t="shared" si="140"/>
        <v>2.1791583249767946E-2</v>
      </c>
      <c r="AD648" s="27">
        <f t="shared" si="140"/>
        <v>2.1874521123731019E-2</v>
      </c>
      <c r="AE648" s="27">
        <f t="shared" si="140"/>
        <v>2.1932460150066901E-2</v>
      </c>
      <c r="AF648" s="27">
        <f t="shared" si="140"/>
        <v>2.1965025881847573E-2</v>
      </c>
      <c r="AG648" s="27">
        <f t="shared" si="140"/>
        <v>2.1971856556936734E-2</v>
      </c>
      <c r="AH648" s="27">
        <f t="shared" si="140"/>
        <v>2.1952886110618599E-2</v>
      </c>
      <c r="AI648" s="27">
        <f t="shared" si="140"/>
        <v>2.190822254332906E-2</v>
      </c>
      <c r="AJ648" s="27">
        <f t="shared" si="140"/>
        <v>6.931382766868284E-3</v>
      </c>
      <c r="AK648" s="27">
        <f t="shared" si="140"/>
        <v>6.9364425599667493E-3</v>
      </c>
      <c r="AL648" s="27">
        <f t="shared" si="140"/>
        <v>6.9411381157540699E-3</v>
      </c>
      <c r="AM648" s="27">
        <f t="shared" si="140"/>
        <v>6.9455011980478565E-3</v>
      </c>
      <c r="AN648" s="27">
        <f t="shared" si="140"/>
        <v>6.9495709332144289E-3</v>
      </c>
      <c r="AO648" s="27">
        <f t="shared" si="140"/>
        <v>6.9532195920371295E-3</v>
      </c>
      <c r="AP648" s="27">
        <f t="shared" si="140"/>
        <v>6.9563613994300545E-3</v>
      </c>
      <c r="AQ648" s="27">
        <f t="shared" si="140"/>
        <v>6.9589826003472414E-3</v>
      </c>
      <c r="AR648" s="27">
        <f t="shared" si="140"/>
        <v>6.9609858708405197E-3</v>
      </c>
      <c r="AS648" s="27">
        <f t="shared" si="140"/>
        <v>6.9622655475345486E-3</v>
      </c>
      <c r="AT648" s="27">
        <f t="shared" si="140"/>
        <v>6.9628085795287523E-3</v>
      </c>
      <c r="AU648" s="27">
        <f t="shared" si="140"/>
        <v>6.9626299750131342E-3</v>
      </c>
      <c r="AV648" s="27">
        <f t="shared" si="140"/>
        <v>6.9617402004688092E-3</v>
      </c>
      <c r="AW648" s="27">
        <f t="shared" si="140"/>
        <v>6.960039873828548E-3</v>
      </c>
      <c r="AY648" s="79"/>
      <c r="AZ648" s="79"/>
    </row>
    <row r="649" spans="1:52" x14ac:dyDescent="0.25">
      <c r="A649" s="95" t="str">
        <f t="shared" si="133"/>
        <v>NI Cattle MMN2O</v>
      </c>
      <c r="B649" s="95" t="s">
        <v>969</v>
      </c>
      <c r="C649" s="95" t="s">
        <v>1232</v>
      </c>
      <c r="D649" t="s">
        <v>15</v>
      </c>
      <c r="E649" t="s">
        <v>657</v>
      </c>
      <c r="F649" t="s">
        <v>67</v>
      </c>
      <c r="G649" t="s">
        <v>122</v>
      </c>
      <c r="H649" t="s">
        <v>1227</v>
      </c>
      <c r="I649" t="s">
        <v>139</v>
      </c>
      <c r="J649" t="s">
        <v>287</v>
      </c>
      <c r="K649" s="27">
        <f t="shared" si="135"/>
        <v>0.52525224947331295</v>
      </c>
      <c r="L649" s="27">
        <f t="shared" si="140"/>
        <v>0.5206969044571037</v>
      </c>
      <c r="M649" s="27">
        <f t="shared" si="140"/>
        <v>0.51896282251134873</v>
      </c>
      <c r="N649" s="27">
        <f t="shared" si="140"/>
        <v>0.51203275332440923</v>
      </c>
      <c r="O649" s="27">
        <f t="shared" si="140"/>
        <v>0.50197358865556674</v>
      </c>
      <c r="P649" s="27">
        <f t="shared" si="140"/>
        <v>0.48899333628247277</v>
      </c>
      <c r="Q649" s="27">
        <f t="shared" si="140"/>
        <v>0.47875543160314166</v>
      </c>
      <c r="R649" s="27">
        <f t="shared" si="140"/>
        <v>0.46906920988966783</v>
      </c>
      <c r="S649" s="27">
        <f t="shared" si="140"/>
        <v>0.41949739097667643</v>
      </c>
      <c r="T649" s="27">
        <f t="shared" si="140"/>
        <v>0.43565935064957972</v>
      </c>
      <c r="U649" s="27">
        <f t="shared" si="140"/>
        <v>1.3730656770552265</v>
      </c>
      <c r="V649" s="27">
        <f t="shared" si="140"/>
        <v>1.3796884935069886</v>
      </c>
      <c r="W649" s="27">
        <f t="shared" si="140"/>
        <v>1.3839270796629521</v>
      </c>
      <c r="X649" s="27">
        <f t="shared" si="140"/>
        <v>1.3857805722044871</v>
      </c>
      <c r="Y649" s="27">
        <f t="shared" si="140"/>
        <v>1.3852882351123565</v>
      </c>
      <c r="Z649" s="27">
        <f t="shared" si="140"/>
        <v>1.3824264694708266</v>
      </c>
      <c r="AA649" s="27">
        <f t="shared" si="140"/>
        <v>1.3771882651473364</v>
      </c>
      <c r="AB649" s="27">
        <f t="shared" si="140"/>
        <v>1.3695779562696064</v>
      </c>
      <c r="AC649" s="27">
        <f t="shared" si="140"/>
        <v>1.3596126553947701</v>
      </c>
      <c r="AD649" s="27">
        <f t="shared" si="140"/>
        <v>1.33600285419975</v>
      </c>
      <c r="AE649" s="27">
        <f t="shared" si="140"/>
        <v>1.3101691590672178</v>
      </c>
      <c r="AF649" s="27">
        <f t="shared" si="140"/>
        <v>1.2822276459176047</v>
      </c>
      <c r="AG649" s="27">
        <f t="shared" si="140"/>
        <v>1.2523075801974097</v>
      </c>
      <c r="AH649" s="27">
        <f t="shared" si="140"/>
        <v>1.2205465760046283</v>
      </c>
      <c r="AI649" s="27">
        <f t="shared" si="140"/>
        <v>1.1870911726481781</v>
      </c>
      <c r="AJ649" s="27">
        <f t="shared" si="140"/>
        <v>-9.1659099684125458E-2</v>
      </c>
      <c r="AK649" s="27">
        <f t="shared" si="140"/>
        <v>-8.9452213438823466E-2</v>
      </c>
      <c r="AL649" s="27">
        <f t="shared" si="140"/>
        <v>-8.7268288718690495E-2</v>
      </c>
      <c r="AM649" s="27">
        <f t="shared" si="140"/>
        <v>-8.5107099964586319E-2</v>
      </c>
      <c r="AN649" s="27">
        <f t="shared" si="140"/>
        <v>-8.3391821536204336E-2</v>
      </c>
      <c r="AO649" s="27">
        <f t="shared" si="140"/>
        <v>-8.1692814399719135E-2</v>
      </c>
      <c r="AP649" s="27">
        <f t="shared" si="140"/>
        <v>-8.0008814881266738E-2</v>
      </c>
      <c r="AQ649" s="27">
        <f t="shared" si="140"/>
        <v>-7.8339405843548718E-2</v>
      </c>
      <c r="AR649" s="27">
        <f t="shared" si="140"/>
        <v>-7.6683366781164067E-2</v>
      </c>
      <c r="AS649" s="27">
        <f t="shared" si="140"/>
        <v>-7.5039502453707246E-2</v>
      </c>
      <c r="AT649" s="27">
        <f t="shared" si="140"/>
        <v>-7.3407620898571099E-2</v>
      </c>
      <c r="AU649" s="27">
        <f t="shared" si="140"/>
        <v>-7.1787822935495418E-2</v>
      </c>
      <c r="AV649" s="27">
        <f t="shared" si="140"/>
        <v>-7.0180170412069726E-2</v>
      </c>
      <c r="AW649" s="27">
        <f t="shared" si="140"/>
        <v>-6.8583739954492046E-2</v>
      </c>
      <c r="AY649" s="79"/>
      <c r="AZ649" s="79"/>
    </row>
    <row r="650" spans="1:52" x14ac:dyDescent="0.25">
      <c r="A650" s="95" t="str">
        <f t="shared" si="133"/>
        <v>NI Cattle MMN2O</v>
      </c>
      <c r="B650" s="95" t="s">
        <v>969</v>
      </c>
      <c r="C650" s="95" t="s">
        <v>1232</v>
      </c>
      <c r="D650" t="s">
        <v>15</v>
      </c>
      <c r="E650" t="s">
        <v>657</v>
      </c>
      <c r="F650" t="s">
        <v>67</v>
      </c>
      <c r="G650" t="s">
        <v>123</v>
      </c>
      <c r="H650" t="s">
        <v>1227</v>
      </c>
      <c r="I650" t="s">
        <v>139</v>
      </c>
      <c r="J650" t="s">
        <v>287</v>
      </c>
      <c r="K650" s="27">
        <f t="shared" si="135"/>
        <v>0.80452586370517853</v>
      </c>
      <c r="L650" s="27">
        <f t="shared" si="140"/>
        <v>0.79754846782098077</v>
      </c>
      <c r="M650" s="27">
        <f t="shared" si="140"/>
        <v>0.79489238443144161</v>
      </c>
      <c r="N650" s="27">
        <f t="shared" si="140"/>
        <v>0.78427763712907461</v>
      </c>
      <c r="O650" s="27">
        <f t="shared" si="140"/>
        <v>0.76887007218962322</v>
      </c>
      <c r="P650" s="27">
        <f t="shared" si="140"/>
        <v>0.74898829393537247</v>
      </c>
      <c r="Q650" s="27">
        <f t="shared" si="140"/>
        <v>0.73330695394505496</v>
      </c>
      <c r="R650" s="27">
        <f t="shared" si="140"/>
        <v>0.71847062359542468</v>
      </c>
      <c r="S650" s="27">
        <f t="shared" si="140"/>
        <v>0.64254175234089539</v>
      </c>
      <c r="T650" s="27">
        <f t="shared" si="140"/>
        <v>0.66729693345254038</v>
      </c>
      <c r="U650" s="27">
        <f t="shared" si="140"/>
        <v>2.1031168374137881</v>
      </c>
      <c r="V650" s="27">
        <f t="shared" si="140"/>
        <v>2.1132609674605565</v>
      </c>
      <c r="W650" s="27">
        <f t="shared" si="140"/>
        <v>2.1197531856118057</v>
      </c>
      <c r="X650" s="27">
        <f t="shared" si="140"/>
        <v>2.1225921695273335</v>
      </c>
      <c r="Y650" s="27">
        <f t="shared" si="140"/>
        <v>2.1218380596217075</v>
      </c>
      <c r="Z650" s="27">
        <f t="shared" si="140"/>
        <v>2.1174547095707896</v>
      </c>
      <c r="AA650" s="27">
        <f t="shared" si="140"/>
        <v>2.1094313819946655</v>
      </c>
      <c r="AB650" s="27">
        <f t="shared" si="140"/>
        <v>2.0977747154519557</v>
      </c>
      <c r="AC650" s="27">
        <f t="shared" si="140"/>
        <v>2.0825109211484589</v>
      </c>
      <c r="AD650" s="27">
        <f t="shared" si="140"/>
        <v>2.0463479238126498</v>
      </c>
      <c r="AE650" s="27">
        <f t="shared" si="140"/>
        <v>2.0067786008634618</v>
      </c>
      <c r="AF650" s="27">
        <f t="shared" si="140"/>
        <v>1.9639807451237425</v>
      </c>
      <c r="AG650" s="27">
        <f t="shared" si="140"/>
        <v>1.9181523517379118</v>
      </c>
      <c r="AH650" s="27">
        <f t="shared" si="140"/>
        <v>1.8695042034320957</v>
      </c>
      <c r="AI650" s="27">
        <f t="shared" si="140"/>
        <v>1.8182607536268967</v>
      </c>
      <c r="AJ650" s="27">
        <f t="shared" si="140"/>
        <v>-0.14039371828250841</v>
      </c>
      <c r="AK650" s="27">
        <f t="shared" si="140"/>
        <v>-0.13701344325392734</v>
      </c>
      <c r="AL650" s="27">
        <f t="shared" si="140"/>
        <v>-0.13366833826200414</v>
      </c>
      <c r="AM650" s="27">
        <f t="shared" si="140"/>
        <v>-0.13035805781909493</v>
      </c>
      <c r="AN650" s="27">
        <f t="shared" si="140"/>
        <v>-0.12773077566947513</v>
      </c>
      <c r="AO650" s="27">
        <f t="shared" si="140"/>
        <v>-0.12512841616450843</v>
      </c>
      <c r="AP650" s="27">
        <f t="shared" si="140"/>
        <v>-0.12254904374217125</v>
      </c>
      <c r="AQ650" s="27">
        <f t="shared" si="140"/>
        <v>-0.11999201947565157</v>
      </c>
      <c r="AR650" s="27">
        <f t="shared" si="140"/>
        <v>-0.11745547392381339</v>
      </c>
      <c r="AS650" s="27">
        <f t="shared" si="140"/>
        <v>-0.11493757634376978</v>
      </c>
      <c r="AT650" s="27">
        <f t="shared" si="140"/>
        <v>-0.11243803270749411</v>
      </c>
      <c r="AU650" s="27">
        <f t="shared" si="140"/>
        <v>-0.10995699744000494</v>
      </c>
      <c r="AV650" s="27">
        <f t="shared" si="140"/>
        <v>-0.10749456527290084</v>
      </c>
      <c r="AW650" s="27">
        <f t="shared" si="140"/>
        <v>-0.10504932187981528</v>
      </c>
      <c r="AY650" s="79"/>
      <c r="AZ650" s="79"/>
    </row>
    <row r="651" spans="1:52" x14ac:dyDescent="0.25">
      <c r="A651" s="95" t="str">
        <f t="shared" si="133"/>
        <v>NI Cattle MMN2O</v>
      </c>
      <c r="B651" s="95" t="s">
        <v>969</v>
      </c>
      <c r="C651" s="95" t="s">
        <v>1232</v>
      </c>
      <c r="D651" t="s">
        <v>15</v>
      </c>
      <c r="E651" t="s">
        <v>657</v>
      </c>
      <c r="F651" t="s">
        <v>67</v>
      </c>
      <c r="G651" t="s">
        <v>135</v>
      </c>
      <c r="H651" t="s">
        <v>1227</v>
      </c>
      <c r="I651" t="s">
        <v>139</v>
      </c>
      <c r="J651" t="s">
        <v>287</v>
      </c>
      <c r="K651" s="27">
        <f t="shared" si="135"/>
        <v>0.97926119892671493</v>
      </c>
      <c r="L651" s="27">
        <f t="shared" si="140"/>
        <v>1.0122801448609147</v>
      </c>
      <c r="M651" s="27">
        <f t="shared" si="140"/>
        <v>1.0514701788925804</v>
      </c>
      <c r="N651" s="27">
        <f t="shared" si="140"/>
        <v>1.0806972456941155</v>
      </c>
      <c r="O651" s="27">
        <f t="shared" si="140"/>
        <v>1.1032367943433714</v>
      </c>
      <c r="P651" s="27">
        <f t="shared" si="140"/>
        <v>1.1187666946803869</v>
      </c>
      <c r="Q651" s="27">
        <f t="shared" si="140"/>
        <v>1.1399714801203364</v>
      </c>
      <c r="R651" s="27">
        <f t="shared" si="140"/>
        <v>1.1622002864669057</v>
      </c>
      <c r="S651" s="27">
        <f t="shared" si="140"/>
        <v>1.0813845600959935</v>
      </c>
      <c r="T651" s="27">
        <f t="shared" si="140"/>
        <v>1.1501042489069657</v>
      </c>
      <c r="U651" s="27">
        <f t="shared" si="140"/>
        <v>3.7109100106027491</v>
      </c>
      <c r="V651" s="27">
        <f t="shared" si="140"/>
        <v>3.81628643561459</v>
      </c>
      <c r="W651" s="27">
        <f t="shared" si="140"/>
        <v>3.9167580657264067</v>
      </c>
      <c r="X651" s="27">
        <f t="shared" si="140"/>
        <v>4.0119388397207816</v>
      </c>
      <c r="Y651" s="27">
        <f t="shared" si="140"/>
        <v>4.1015489666041693</v>
      </c>
      <c r="Z651" s="27">
        <f t="shared" si="140"/>
        <v>4.185115809425092</v>
      </c>
      <c r="AA651" s="27">
        <f t="shared" si="140"/>
        <v>4.2621982223461794</v>
      </c>
      <c r="AB651" s="27">
        <f t="shared" si="140"/>
        <v>4.332374707921506</v>
      </c>
      <c r="AC651" s="27">
        <f t="shared" si="140"/>
        <v>4.3952511811697104</v>
      </c>
      <c r="AD651" s="27">
        <f t="shared" si="140"/>
        <v>4.4621545606882416</v>
      </c>
      <c r="AE651" s="27">
        <f t="shared" si="140"/>
        <v>4.5212658165225097</v>
      </c>
      <c r="AF651" s="27">
        <f t="shared" si="140"/>
        <v>4.572238941429692</v>
      </c>
      <c r="AG651" s="27">
        <f t="shared" si="140"/>
        <v>4.6147735825145579</v>
      </c>
      <c r="AH651" s="27">
        <f t="shared" si="140"/>
        <v>4.6486045920264791</v>
      </c>
      <c r="AI651" s="27">
        <f t="shared" si="140"/>
        <v>4.6735101171168392</v>
      </c>
      <c r="AJ651" s="27">
        <f t="shared" si="140"/>
        <v>-0.37307516132200708</v>
      </c>
      <c r="AK651" s="27">
        <f t="shared" si="140"/>
        <v>-0.37648970355727795</v>
      </c>
      <c r="AL651" s="27">
        <f t="shared" si="140"/>
        <v>-0.37988166723122341</v>
      </c>
      <c r="AM651" s="27">
        <f t="shared" si="140"/>
        <v>-0.38325274179247815</v>
      </c>
      <c r="AN651" s="27">
        <f t="shared" si="140"/>
        <v>-0.3861241570916577</v>
      </c>
      <c r="AO651" s="27">
        <f t="shared" si="140"/>
        <v>-0.38896686054418655</v>
      </c>
      <c r="AP651" s="27">
        <f t="shared" si="140"/>
        <v>-0.39177650128046815</v>
      </c>
      <c r="AQ651" s="27">
        <f t="shared" si="140"/>
        <v>-0.39455230658450102</v>
      </c>
      <c r="AR651" s="27">
        <f t="shared" si="140"/>
        <v>-0.39728909714720628</v>
      </c>
      <c r="AS651" s="27">
        <f t="shared" si="140"/>
        <v>-0.39998109146847105</v>
      </c>
      <c r="AT651" s="27">
        <f t="shared" si="140"/>
        <v>-0.40262723351695445</v>
      </c>
      <c r="AU651" s="27">
        <f t="shared" si="140"/>
        <v>-0.4052279233246403</v>
      </c>
      <c r="AV651" s="27">
        <f t="shared" si="140"/>
        <v>-0.40778332090512204</v>
      </c>
      <c r="AW651" s="27">
        <f t="shared" si="140"/>
        <v>-0.41028765697691083</v>
      </c>
      <c r="AY651" s="79"/>
      <c r="AZ651" s="79"/>
    </row>
    <row r="652" spans="1:52" x14ac:dyDescent="0.25">
      <c r="A652" s="95" t="str">
        <f t="shared" si="133"/>
        <v>NI Sheep MMN2O</v>
      </c>
      <c r="B652" s="95" t="s">
        <v>969</v>
      </c>
      <c r="C652" s="95" t="s">
        <v>1328</v>
      </c>
      <c r="D652" t="s">
        <v>15</v>
      </c>
      <c r="E652" t="s">
        <v>657</v>
      </c>
      <c r="F652" t="s">
        <v>18</v>
      </c>
      <c r="G652" t="s">
        <v>122</v>
      </c>
      <c r="H652" t="s">
        <v>1227</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0.11888990250365807</v>
      </c>
      <c r="T652" s="27">
        <f t="shared" si="140"/>
        <v>0.1189690287837306</v>
      </c>
      <c r="U652" s="27">
        <f t="shared" si="140"/>
        <v>0.12051861082287679</v>
      </c>
      <c r="V652" s="27">
        <f t="shared" si="140"/>
        <v>0.1205564116673056</v>
      </c>
      <c r="W652" s="27">
        <f t="shared" si="140"/>
        <v>0.1207181038170992</v>
      </c>
      <c r="X652" s="27">
        <f t="shared" si="140"/>
        <v>0.1209518337442019</v>
      </c>
      <c r="Y652" s="27">
        <f t="shared" si="140"/>
        <v>0.12116896083678347</v>
      </c>
      <c r="Z652" s="27">
        <f t="shared" si="140"/>
        <v>0.12137217342001694</v>
      </c>
      <c r="AA652" s="27">
        <f t="shared" si="140"/>
        <v>0.1215603878714394</v>
      </c>
      <c r="AB652" s="27">
        <f t="shared" si="140"/>
        <v>0.12173530001872475</v>
      </c>
      <c r="AC652" s="27">
        <f t="shared" si="140"/>
        <v>0.12189956310100271</v>
      </c>
      <c r="AD652" s="27">
        <f t="shared" si="140"/>
        <v>0.12205302234453672</v>
      </c>
      <c r="AE652" s="27">
        <f t="shared" si="140"/>
        <v>0.12219813225383717</v>
      </c>
      <c r="AF652" s="27">
        <f t="shared" si="140"/>
        <v>0.12233524409037175</v>
      </c>
      <c r="AG652" s="27">
        <f t="shared" si="140"/>
        <v>0.12246247857835596</v>
      </c>
      <c r="AH652" s="27">
        <f t="shared" si="140"/>
        <v>0.12258099962950754</v>
      </c>
      <c r="AI652" s="27">
        <f t="shared" si="140"/>
        <v>0.1226926980528978</v>
      </c>
      <c r="AJ652" s="27">
        <f t="shared" si="140"/>
        <v>0.12000006421083369</v>
      </c>
      <c r="AK652" s="27">
        <f t="shared" si="140"/>
        <v>0.12011041514130365</v>
      </c>
      <c r="AL652" s="27">
        <f t="shared" si="140"/>
        <v>0.12021334415571779</v>
      </c>
      <c r="AM652" s="27">
        <f t="shared" si="140"/>
        <v>0.12030948030331916</v>
      </c>
      <c r="AN652" s="27">
        <f t="shared" si="140"/>
        <v>0.12039958826810335</v>
      </c>
      <c r="AO652" s="27">
        <f t="shared" si="140"/>
        <v>0.12048129784431058</v>
      </c>
      <c r="AP652" s="27">
        <f t="shared" si="140"/>
        <v>0.12055302618273207</v>
      </c>
      <c r="AQ652" s="27">
        <f t="shared" si="140"/>
        <v>0.12061454144456668</v>
      </c>
      <c r="AR652" s="27">
        <f t="shared" si="140"/>
        <v>0.12066404237348154</v>
      </c>
      <c r="AS652" s="27">
        <f t="shared" si="140"/>
        <v>0.12069957105311468</v>
      </c>
      <c r="AT652" s="27">
        <f t="shared" si="140"/>
        <v>0.12072090668873016</v>
      </c>
      <c r="AU652" s="27">
        <f t="shared" si="140"/>
        <v>0.12072835361242823</v>
      </c>
      <c r="AV652" s="27">
        <f t="shared" si="140"/>
        <v>0.12072212964886384</v>
      </c>
      <c r="AW652" s="27">
        <f t="shared" si="140"/>
        <v>0.12070039195556491</v>
      </c>
      <c r="AY652" s="79"/>
      <c r="AZ652" s="79"/>
    </row>
    <row r="653" spans="1:52" x14ac:dyDescent="0.25">
      <c r="A653" s="95" t="str">
        <f t="shared" si="133"/>
        <v>NI Sheep MMN2O</v>
      </c>
      <c r="B653" s="95" t="s">
        <v>969</v>
      </c>
      <c r="C653" s="95" t="s">
        <v>1328</v>
      </c>
      <c r="D653" t="s">
        <v>15</v>
      </c>
      <c r="E653" t="s">
        <v>657</v>
      </c>
      <c r="F653" t="s">
        <v>18</v>
      </c>
      <c r="G653" t="s">
        <v>123</v>
      </c>
      <c r="H653" t="s">
        <v>1227</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6.3575358075834407E-2</v>
      </c>
      <c r="T653" s="27">
        <f t="shared" si="140"/>
        <v>6.3617670177054816E-2</v>
      </c>
      <c r="U653" s="27">
        <f t="shared" si="140"/>
        <v>6.4446295913404186E-2</v>
      </c>
      <c r="V653" s="27">
        <f t="shared" si="140"/>
        <v>6.4466509591517507E-2</v>
      </c>
      <c r="W653" s="27">
        <f t="shared" si="140"/>
        <v>6.4552973085091836E-2</v>
      </c>
      <c r="X653" s="27">
        <f t="shared" si="140"/>
        <v>6.4677958163687016E-2</v>
      </c>
      <c r="Y653" s="27">
        <f t="shared" si="140"/>
        <v>6.479406501858509E-2</v>
      </c>
      <c r="Z653" s="27">
        <f t="shared" si="140"/>
        <v>6.4902731208669517E-2</v>
      </c>
      <c r="AA653" s="27">
        <f t="shared" si="140"/>
        <v>6.500337727610038E-2</v>
      </c>
      <c r="AB653" s="27">
        <f t="shared" si="140"/>
        <v>6.5096910050215798E-2</v>
      </c>
      <c r="AC653" s="27">
        <f t="shared" si="140"/>
        <v>6.518474832793783E-2</v>
      </c>
      <c r="AD653" s="27">
        <f t="shared" si="140"/>
        <v>6.5266809345335172E-2</v>
      </c>
      <c r="AE653" s="27">
        <f t="shared" si="140"/>
        <v>6.5344405627692656E-2</v>
      </c>
      <c r="AF653" s="27">
        <f t="shared" si="140"/>
        <v>6.5417725009074529E-2</v>
      </c>
      <c r="AG653" s="27">
        <f t="shared" si="140"/>
        <v>6.5485762562835198E-2</v>
      </c>
      <c r="AH653" s="27">
        <f t="shared" si="140"/>
        <v>6.5549140680806597E-2</v>
      </c>
      <c r="AI653" s="27">
        <f t="shared" si="140"/>
        <v>6.560887045696083E-2</v>
      </c>
      <c r="AJ653" s="27">
        <f t="shared" si="140"/>
        <v>6.4169007549586779E-2</v>
      </c>
      <c r="AK653" s="27">
        <f t="shared" si="140"/>
        <v>6.42280167654318E-2</v>
      </c>
      <c r="AL653" s="27">
        <f t="shared" si="140"/>
        <v>6.4283057175171951E-2</v>
      </c>
      <c r="AM653" s="27">
        <f t="shared" si="140"/>
        <v>6.4334465157507542E-2</v>
      </c>
      <c r="AN653" s="27">
        <f t="shared" si="140"/>
        <v>6.4382649620662147E-2</v>
      </c>
      <c r="AO653" s="27">
        <f t="shared" si="140"/>
        <v>6.4426343117386445E-2</v>
      </c>
      <c r="AP653" s="27">
        <f t="shared" si="140"/>
        <v>6.4464699232609876E-2</v>
      </c>
      <c r="AQ653" s="27">
        <f t="shared" si="140"/>
        <v>6.4497593992517213E-2</v>
      </c>
      <c r="AR653" s="27">
        <f t="shared" si="140"/>
        <v>6.452406419069702E-2</v>
      </c>
      <c r="AS653" s="27">
        <f t="shared" si="140"/>
        <v>6.4543062848127733E-2</v>
      </c>
      <c r="AT653" s="27">
        <f t="shared" si="140"/>
        <v>6.4554471896713567E-2</v>
      </c>
      <c r="AU653" s="27">
        <f t="shared" si="140"/>
        <v>6.4558454075441099E-2</v>
      </c>
      <c r="AV653" s="27">
        <f t="shared" si="140"/>
        <v>6.4555125864180746E-2</v>
      </c>
      <c r="AW653" s="27">
        <f t="shared" si="140"/>
        <v>6.4543501818688898E-2</v>
      </c>
      <c r="AY653" s="79"/>
      <c r="AZ653" s="79"/>
    </row>
    <row r="654" spans="1:52" x14ac:dyDescent="0.25">
      <c r="A654" s="95" t="str">
        <f t="shared" si="133"/>
        <v>NI Goats MMN2O</v>
      </c>
      <c r="B654" s="95" t="s">
        <v>969</v>
      </c>
      <c r="C654" s="95" t="s">
        <v>1329</v>
      </c>
      <c r="D654" t="s">
        <v>15</v>
      </c>
      <c r="E654" t="s">
        <v>657</v>
      </c>
      <c r="F654" t="s">
        <v>19</v>
      </c>
      <c r="G654" t="s">
        <v>122</v>
      </c>
      <c r="H654" t="s">
        <v>1227</v>
      </c>
      <c r="I654" t="s">
        <v>139</v>
      </c>
      <c r="J654" t="s">
        <v>287</v>
      </c>
      <c r="K654" s="27">
        <f t="shared" si="135"/>
        <v>1.4486129996083084E-2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1.4890706011157261E-2</v>
      </c>
      <c r="R654" s="27">
        <f t="shared" si="140"/>
        <v>1.4988675221399694E-2</v>
      </c>
      <c r="S654" s="27">
        <f t="shared" si="140"/>
        <v>1.4952125307683931E-2</v>
      </c>
      <c r="T654" s="27">
        <f t="shared" si="140"/>
        <v>1.497659485650934E-2</v>
      </c>
      <c r="U654" s="27">
        <f t="shared" si="140"/>
        <v>1.5280249217669807E-2</v>
      </c>
      <c r="V654" s="27">
        <f t="shared" si="140"/>
        <v>1.5293967954982137E-2</v>
      </c>
      <c r="W654" s="27">
        <f t="shared" si="140"/>
        <v>1.5330288500558316E-2</v>
      </c>
      <c r="X654" s="27">
        <f t="shared" si="140"/>
        <v>1.5379307775042967E-2</v>
      </c>
      <c r="Y654" s="27">
        <f t="shared" si="140"/>
        <v>1.5424265287422665E-2</v>
      </c>
      <c r="Z654" s="27">
        <f t="shared" si="140"/>
        <v>1.5465755297522263E-2</v>
      </c>
      <c r="AA654" s="27">
        <f t="shared" si="140"/>
        <v>1.5503650543984475E-2</v>
      </c>
      <c r="AB654" s="27">
        <f t="shared" si="140"/>
        <v>1.5538340165319426E-2</v>
      </c>
      <c r="AC654" s="27">
        <f t="shared" si="140"/>
        <v>1.5570383853796523E-2</v>
      </c>
      <c r="AD654" s="27">
        <f t="shared" si="140"/>
        <v>1.5599807426957595E-2</v>
      </c>
      <c r="AE654" s="27">
        <f t="shared" si="140"/>
        <v>1.5627118939580072E-2</v>
      </c>
      <c r="AF654" s="27">
        <f t="shared" si="140"/>
        <v>1.5652427506297684E-2</v>
      </c>
      <c r="AG654" s="27">
        <f t="shared" si="140"/>
        <v>1.5675424120776597E-2</v>
      </c>
      <c r="AH654" s="27">
        <f t="shared" si="140"/>
        <v>1.5696363462061685E-2</v>
      </c>
      <c r="AI654" s="27">
        <f t="shared" si="140"/>
        <v>1.5715630256505467E-2</v>
      </c>
      <c r="AJ654" s="27">
        <f t="shared" si="140"/>
        <v>1.5216731234132433E-2</v>
      </c>
      <c r="AK654" s="27">
        <f t="shared" ref="L654:AW661" si="141">AK1419</f>
        <v>1.5235961154748286E-2</v>
      </c>
      <c r="AL654" s="27">
        <f t="shared" si="141"/>
        <v>1.5253469736089939E-2</v>
      </c>
      <c r="AM654" s="27">
        <f t="shared" si="141"/>
        <v>1.5269398678749371E-2</v>
      </c>
      <c r="AN654" s="27">
        <f t="shared" si="141"/>
        <v>1.5283912082079585E-2</v>
      </c>
      <c r="AO654" s="27">
        <f t="shared" si="141"/>
        <v>1.5296597939016455E-2</v>
      </c>
      <c r="AP654" s="27">
        <f t="shared" si="141"/>
        <v>1.530718972818932E-2</v>
      </c>
      <c r="AQ654" s="27">
        <f t="shared" si="141"/>
        <v>1.5315667991874672E-2</v>
      </c>
      <c r="AR654" s="27">
        <f t="shared" si="141"/>
        <v>1.5321726619352006E-2</v>
      </c>
      <c r="AS654" s="27">
        <f t="shared" si="141"/>
        <v>1.5325032079315765E-2</v>
      </c>
      <c r="AT654" s="27">
        <f t="shared" si="141"/>
        <v>1.5325567315367106E-2</v>
      </c>
      <c r="AU654" s="27">
        <f t="shared" si="141"/>
        <v>1.5323409630922659E-2</v>
      </c>
      <c r="AV654" s="27">
        <f t="shared" si="141"/>
        <v>1.5318619367085746E-2</v>
      </c>
      <c r="AW654" s="27">
        <f t="shared" si="141"/>
        <v>1.5310883587655623E-2</v>
      </c>
      <c r="AY654" s="79"/>
      <c r="AZ654" s="79"/>
    </row>
    <row r="655" spans="1:52" x14ac:dyDescent="0.25">
      <c r="A655" s="95" t="str">
        <f t="shared" si="133"/>
        <v>NI Goats MMN2O</v>
      </c>
      <c r="B655" s="95" t="s">
        <v>969</v>
      </c>
      <c r="C655" s="95" t="s">
        <v>1329</v>
      </c>
      <c r="D655" t="s">
        <v>15</v>
      </c>
      <c r="E655" t="s">
        <v>657</v>
      </c>
      <c r="F655" t="s">
        <v>19</v>
      </c>
      <c r="G655" t="s">
        <v>123</v>
      </c>
      <c r="H655" t="s">
        <v>1227</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0.11664735601685972</v>
      </c>
      <c r="P655" s="27">
        <f t="shared" si="141"/>
        <v>0.11732381389682567</v>
      </c>
      <c r="Q655" s="27">
        <f t="shared" si="141"/>
        <v>0.11805182815822728</v>
      </c>
      <c r="R655" s="27">
        <f t="shared" si="141"/>
        <v>0.11882851694408277</v>
      </c>
      <c r="S655" s="27">
        <f t="shared" si="141"/>
        <v>0.11853875337411246</v>
      </c>
      <c r="T655" s="27">
        <f t="shared" si="141"/>
        <v>0.11873274518154472</v>
      </c>
      <c r="U655" s="27">
        <f t="shared" si="141"/>
        <v>0.12114008251238399</v>
      </c>
      <c r="V655" s="27">
        <f t="shared" si="141"/>
        <v>0.12124884310563787</v>
      </c>
      <c r="W655" s="27">
        <f t="shared" si="141"/>
        <v>0.12153678827101554</v>
      </c>
      <c r="X655" s="27">
        <f t="shared" si="141"/>
        <v>0.12192540751872388</v>
      </c>
      <c r="Y655" s="27">
        <f t="shared" si="141"/>
        <v>0.12228182557720234</v>
      </c>
      <c r="Z655" s="27">
        <f t="shared" si="141"/>
        <v>0.12261075367093349</v>
      </c>
      <c r="AA655" s="27">
        <f t="shared" si="141"/>
        <v>0.12291118288631245</v>
      </c>
      <c r="AB655" s="27">
        <f t="shared" si="141"/>
        <v>0.12318619826930632</v>
      </c>
      <c r="AC655" s="27">
        <f t="shared" si="141"/>
        <v>0.12344023699673938</v>
      </c>
      <c r="AD655" s="27">
        <f t="shared" si="141"/>
        <v>0.12367350374715462</v>
      </c>
      <c r="AE655" s="27">
        <f t="shared" si="141"/>
        <v>0.12389002632119744</v>
      </c>
      <c r="AF655" s="27">
        <f t="shared" si="141"/>
        <v>0.12409066976730669</v>
      </c>
      <c r="AG655" s="27">
        <f t="shared" si="141"/>
        <v>0.12427298431831933</v>
      </c>
      <c r="AH655" s="27">
        <f t="shared" si="141"/>
        <v>0.12443898904081413</v>
      </c>
      <c r="AI655" s="27">
        <f t="shared" si="141"/>
        <v>0.12459173400167312</v>
      </c>
      <c r="AJ655" s="27">
        <f t="shared" si="141"/>
        <v>0.12063651914393841</v>
      </c>
      <c r="AK655" s="27">
        <f t="shared" si="141"/>
        <v>0.12078897177327232</v>
      </c>
      <c r="AL655" s="27">
        <f t="shared" si="141"/>
        <v>0.12092777782009714</v>
      </c>
      <c r="AM655" s="27">
        <f t="shared" si="141"/>
        <v>0.12105406067063253</v>
      </c>
      <c r="AN655" s="27">
        <f t="shared" si="141"/>
        <v>0.12116912128593484</v>
      </c>
      <c r="AO655" s="27">
        <f t="shared" si="141"/>
        <v>0.12126969332073484</v>
      </c>
      <c r="AP655" s="27">
        <f t="shared" si="141"/>
        <v>0.12135366382383837</v>
      </c>
      <c r="AQ655" s="27">
        <f t="shared" si="141"/>
        <v>0.12142087853662052</v>
      </c>
      <c r="AR655" s="27">
        <f t="shared" si="141"/>
        <v>0.12146891064801223</v>
      </c>
      <c r="AS655" s="27">
        <f t="shared" si="141"/>
        <v>0.12149511595965648</v>
      </c>
      <c r="AT655" s="27">
        <f t="shared" si="141"/>
        <v>0.12149935925035804</v>
      </c>
      <c r="AU655" s="27">
        <f t="shared" si="141"/>
        <v>0.12148225337283523</v>
      </c>
      <c r="AV655" s="27">
        <f t="shared" si="141"/>
        <v>0.12144427670451041</v>
      </c>
      <c r="AW655" s="27">
        <f t="shared" si="141"/>
        <v>0.12138294832268144</v>
      </c>
      <c r="AY655" s="79"/>
      <c r="AZ655" s="79"/>
    </row>
    <row r="656" spans="1:52" x14ac:dyDescent="0.25">
      <c r="A656" s="95" t="str">
        <f t="shared" si="133"/>
        <v>NI Horses MMN2O</v>
      </c>
      <c r="B656" s="95" t="s">
        <v>969</v>
      </c>
      <c r="C656" s="95" t="s">
        <v>1330</v>
      </c>
      <c r="D656" t="s">
        <v>15</v>
      </c>
      <c r="E656" t="s">
        <v>657</v>
      </c>
      <c r="F656" t="s">
        <v>20</v>
      </c>
      <c r="G656" t="s">
        <v>3</v>
      </c>
      <c r="H656" t="s">
        <v>1227</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25">
      <c r="A657" s="95" t="str">
        <f t="shared" si="133"/>
        <v>NI Mules MMN2O</v>
      </c>
      <c r="B657" s="95" t="s">
        <v>969</v>
      </c>
      <c r="C657" s="95" t="s">
        <v>1331</v>
      </c>
      <c r="D657" t="s">
        <v>15</v>
      </c>
      <c r="E657" t="s">
        <v>657</v>
      </c>
      <c r="F657" t="s">
        <v>140</v>
      </c>
      <c r="G657" t="s">
        <v>124</v>
      </c>
      <c r="H657" t="s">
        <v>1227</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25">
      <c r="A658" s="95" t="str">
        <f t="shared" si="133"/>
        <v>NI Swine MMN2O</v>
      </c>
      <c r="B658" s="95" t="s">
        <v>969</v>
      </c>
      <c r="C658" s="95" t="s">
        <v>1233</v>
      </c>
      <c r="D658" t="s">
        <v>15</v>
      </c>
      <c r="E658" t="s">
        <v>657</v>
      </c>
      <c r="F658" t="s">
        <v>21</v>
      </c>
      <c r="G658" t="s">
        <v>122</v>
      </c>
      <c r="H658" t="s">
        <v>1227</v>
      </c>
      <c r="I658" t="s">
        <v>139</v>
      </c>
      <c r="J658" t="s">
        <v>287</v>
      </c>
      <c r="K658" s="27">
        <f t="shared" si="135"/>
        <v>9.7466979224281824E-2</v>
      </c>
      <c r="L658" s="27">
        <f t="shared" si="141"/>
        <v>9.6937181363551519E-2</v>
      </c>
      <c r="M658" s="27">
        <f t="shared" si="141"/>
        <v>9.6980665528366608E-2</v>
      </c>
      <c r="N658" s="27">
        <f t="shared" si="141"/>
        <v>9.6090308702663593E-2</v>
      </c>
      <c r="O658" s="27">
        <f t="shared" si="141"/>
        <v>9.4636150647850484E-2</v>
      </c>
      <c r="P658" s="27">
        <f t="shared" si="141"/>
        <v>9.2641437622218339E-2</v>
      </c>
      <c r="Q658" s="27">
        <f t="shared" si="141"/>
        <v>9.1193054757597189E-2</v>
      </c>
      <c r="R658" s="27">
        <f t="shared" si="141"/>
        <v>8.9872834352323558E-2</v>
      </c>
      <c r="S658" s="27">
        <f t="shared" si="141"/>
        <v>8.0860772779409465E-2</v>
      </c>
      <c r="T658" s="27">
        <f t="shared" si="141"/>
        <v>8.3748164551472229E-2</v>
      </c>
      <c r="U658" s="27">
        <f t="shared" si="141"/>
        <v>0.26770254430249885</v>
      </c>
      <c r="V658" s="27">
        <f t="shared" si="141"/>
        <v>0.26843638329557273</v>
      </c>
      <c r="W658" s="27">
        <f t="shared" si="141"/>
        <v>0.26870741156063732</v>
      </c>
      <c r="X658" s="27">
        <f t="shared" si="141"/>
        <v>0.26852785801231227</v>
      </c>
      <c r="Y658" s="27">
        <f t="shared" si="141"/>
        <v>0.26792481068861962</v>
      </c>
      <c r="Z658" s="27">
        <f t="shared" si="141"/>
        <v>0.26689273021889548</v>
      </c>
      <c r="AA658" s="27">
        <f t="shared" si="141"/>
        <v>0.26543013343256128</v>
      </c>
      <c r="AB658" s="27">
        <f t="shared" si="141"/>
        <v>0.26353715747778594</v>
      </c>
      <c r="AC658" s="27">
        <f t="shared" si="141"/>
        <v>0.26121623026966229</v>
      </c>
      <c r="AD658" s="27">
        <f t="shared" si="141"/>
        <v>0.25847332541622875</v>
      </c>
      <c r="AE658" s="27">
        <f t="shared" si="141"/>
        <v>0.25531599764072704</v>
      </c>
      <c r="AF658" s="27">
        <f t="shared" si="141"/>
        <v>0.25175492240639524</v>
      </c>
      <c r="AG658" s="27">
        <f t="shared" si="141"/>
        <v>0.2478037797344021</v>
      </c>
      <c r="AH658" s="27">
        <f t="shared" si="141"/>
        <v>0.24347738783336567</v>
      </c>
      <c r="AI658" s="27">
        <f t="shared" si="141"/>
        <v>0.23879237534138331</v>
      </c>
      <c r="AJ658" s="27">
        <f t="shared" si="141"/>
        <v>-2.2251219051901461E-2</v>
      </c>
      <c r="AK658" s="27">
        <f t="shared" si="141"/>
        <v>-2.2010329292297307E-2</v>
      </c>
      <c r="AL658" s="27">
        <f t="shared" si="141"/>
        <v>-2.1768586076349947E-2</v>
      </c>
      <c r="AM658" s="27">
        <f t="shared" si="141"/>
        <v>-2.1526240200831197E-2</v>
      </c>
      <c r="AN658" s="27">
        <f t="shared" si="141"/>
        <v>-2.1283568844564598E-2</v>
      </c>
      <c r="AO658" s="27">
        <f t="shared" si="141"/>
        <v>-2.1039928732674035E-2</v>
      </c>
      <c r="AP658" s="27">
        <f t="shared" si="141"/>
        <v>-2.0794940089199746E-2</v>
      </c>
      <c r="AQ658" s="27">
        <f t="shared" si="141"/>
        <v>-2.054862658012397E-2</v>
      </c>
      <c r="AR658" s="27">
        <f t="shared" si="141"/>
        <v>-2.0300580022227385E-2</v>
      </c>
      <c r="AS658" s="27">
        <f t="shared" si="141"/>
        <v>-2.0050376976853562E-2</v>
      </c>
      <c r="AT658" s="27">
        <f t="shared" si="141"/>
        <v>-1.9798088456072588E-2</v>
      </c>
      <c r="AU658" s="27">
        <f t="shared" si="141"/>
        <v>-1.9543924397373666E-2</v>
      </c>
      <c r="AV658" s="27">
        <f t="shared" si="141"/>
        <v>-1.9288064378450123E-2</v>
      </c>
      <c r="AW658" s="27">
        <f t="shared" si="141"/>
        <v>-1.9030154173993289E-2</v>
      </c>
      <c r="AY658" s="79"/>
      <c r="AZ658" s="79"/>
    </row>
    <row r="659" spans="1:52" x14ac:dyDescent="0.25">
      <c r="A659" s="95" t="str">
        <f t="shared" si="133"/>
        <v>NI Swine MMN2O</v>
      </c>
      <c r="B659" s="95" t="s">
        <v>969</v>
      </c>
      <c r="C659" s="95" t="s">
        <v>1233</v>
      </c>
      <c r="D659" t="s">
        <v>15</v>
      </c>
      <c r="E659" t="s">
        <v>657</v>
      </c>
      <c r="F659" t="s">
        <v>21</v>
      </c>
      <c r="G659" t="s">
        <v>123</v>
      </c>
      <c r="H659" t="s">
        <v>1227</v>
      </c>
      <c r="I659" t="s">
        <v>139</v>
      </c>
      <c r="J659" t="s">
        <v>287</v>
      </c>
      <c r="K659" s="27">
        <f t="shared" si="135"/>
        <v>3.8131055665722169E-2</v>
      </c>
      <c r="L659" s="27">
        <f t="shared" si="141"/>
        <v>3.7923788015899962E-2</v>
      </c>
      <c r="M659" s="27">
        <f t="shared" si="141"/>
        <v>3.7940799901590251E-2</v>
      </c>
      <c r="N659" s="27">
        <f t="shared" si="141"/>
        <v>3.759247428451009E-2</v>
      </c>
      <c r="O659" s="27">
        <f t="shared" si="141"/>
        <v>3.7023578211438569E-2</v>
      </c>
      <c r="P659" s="27">
        <f t="shared" si="141"/>
        <v>3.6243206089281214E-2</v>
      </c>
      <c r="Q659" s="27">
        <f t="shared" si="141"/>
        <v>3.567656938754183E-2</v>
      </c>
      <c r="R659" s="27">
        <f t="shared" si="141"/>
        <v>3.5160072434777256E-2</v>
      </c>
      <c r="S659" s="27">
        <f t="shared" si="141"/>
        <v>3.1634371482160743E-2</v>
      </c>
      <c r="T659" s="27">
        <f t="shared" si="141"/>
        <v>3.2763977603798337E-2</v>
      </c>
      <c r="U659" s="27">
        <f t="shared" si="141"/>
        <v>0.10473065544757326</v>
      </c>
      <c r="V659" s="27">
        <f t="shared" si="141"/>
        <v>0.10501774811954566</v>
      </c>
      <c r="W659" s="27">
        <f t="shared" si="141"/>
        <v>0.10512377986429053</v>
      </c>
      <c r="X659" s="27">
        <f t="shared" si="141"/>
        <v>0.10505353488080327</v>
      </c>
      <c r="Y659" s="27">
        <f t="shared" si="141"/>
        <v>0.10481761055800391</v>
      </c>
      <c r="Z659" s="27">
        <f t="shared" si="141"/>
        <v>0.10441383978193423</v>
      </c>
      <c r="AA659" s="27">
        <f t="shared" si="141"/>
        <v>0.10384164230623445</v>
      </c>
      <c r="AB659" s="27">
        <f t="shared" si="141"/>
        <v>0.10310107178604509</v>
      </c>
      <c r="AC659" s="27">
        <f t="shared" si="141"/>
        <v>0.10219307807090795</v>
      </c>
      <c r="AD659" s="27">
        <f t="shared" si="141"/>
        <v>0.10111999815723396</v>
      </c>
      <c r="AE659" s="27">
        <f t="shared" si="141"/>
        <v>9.9884787605714245E-2</v>
      </c>
      <c r="AF659" s="27">
        <f t="shared" si="141"/>
        <v>9.8491622873711313E-2</v>
      </c>
      <c r="AG659" s="27">
        <f t="shared" si="141"/>
        <v>9.6945855862482944E-2</v>
      </c>
      <c r="AH659" s="27">
        <f t="shared" si="141"/>
        <v>9.5253283755261486E-2</v>
      </c>
      <c r="AI659" s="27">
        <f t="shared" si="141"/>
        <v>9.3420412011947257E-2</v>
      </c>
      <c r="AJ659" s="27">
        <f t="shared" si="141"/>
        <v>-8.7051274087999644E-3</v>
      </c>
      <c r="AK659" s="27">
        <f t="shared" si="141"/>
        <v>-8.6108864575991286E-3</v>
      </c>
      <c r="AL659" s="27">
        <f t="shared" si="141"/>
        <v>-8.5163116169970788E-3</v>
      </c>
      <c r="AM659" s="27">
        <f t="shared" si="141"/>
        <v>-8.4215010037687853E-3</v>
      </c>
      <c r="AN659" s="27">
        <f t="shared" si="141"/>
        <v>-8.3265630558819938E-3</v>
      </c>
      <c r="AO659" s="27">
        <f t="shared" si="141"/>
        <v>-8.2312461111809163E-3</v>
      </c>
      <c r="AP659" s="27">
        <f t="shared" si="141"/>
        <v>-8.135401593620856E-3</v>
      </c>
      <c r="AQ659" s="27">
        <f t="shared" si="141"/>
        <v>-8.0390387618132202E-3</v>
      </c>
      <c r="AR659" s="27">
        <f t="shared" si="141"/>
        <v>-7.9419979262182108E-3</v>
      </c>
      <c r="AS659" s="27">
        <f t="shared" si="141"/>
        <v>-7.8441134290601709E-3</v>
      </c>
      <c r="AT659" s="27">
        <f t="shared" si="141"/>
        <v>-7.7454130516986675E-3</v>
      </c>
      <c r="AU659" s="27">
        <f t="shared" si="141"/>
        <v>-7.6459789259300508E-3</v>
      </c>
      <c r="AV659" s="27">
        <f t="shared" si="141"/>
        <v>-7.5458813061838152E-3</v>
      </c>
      <c r="AW659" s="27">
        <f t="shared" si="141"/>
        <v>-7.444981612347289E-3</v>
      </c>
      <c r="AY659" s="79"/>
      <c r="AZ659" s="79"/>
    </row>
    <row r="660" spans="1:52" x14ac:dyDescent="0.25">
      <c r="A660" s="95" t="str">
        <f t="shared" si="133"/>
        <v>NI Poultry MMN2O</v>
      </c>
      <c r="B660" s="95" t="s">
        <v>969</v>
      </c>
      <c r="C660" s="95" t="s">
        <v>1234</v>
      </c>
      <c r="D660" t="s">
        <v>15</v>
      </c>
      <c r="E660" t="s">
        <v>657</v>
      </c>
      <c r="F660" t="s">
        <v>28</v>
      </c>
      <c r="G660" t="s">
        <v>131</v>
      </c>
      <c r="H660" t="s">
        <v>1227</v>
      </c>
      <c r="I660" t="s">
        <v>139</v>
      </c>
      <c r="J660" t="s">
        <v>287</v>
      </c>
      <c r="K660" s="27">
        <f t="shared" si="135"/>
        <v>0.3278422472608899</v>
      </c>
      <c r="L660" s="27">
        <f t="shared" si="141"/>
        <v>0.33450793008613738</v>
      </c>
      <c r="M660" s="27">
        <f t="shared" si="141"/>
        <v>0.34229948156355033</v>
      </c>
      <c r="N660" s="27">
        <f t="shared" si="141"/>
        <v>0.34828124731402305</v>
      </c>
      <c r="O660" s="27">
        <f t="shared" si="141"/>
        <v>0.35308310351311478</v>
      </c>
      <c r="P660" s="27">
        <f t="shared" si="141"/>
        <v>0.35667649320457162</v>
      </c>
      <c r="Q660" s="27">
        <f t="shared" si="141"/>
        <v>0.36128421068096001</v>
      </c>
      <c r="R660" s="27">
        <f t="shared" si="141"/>
        <v>0.36607496135357975</v>
      </c>
      <c r="S660" s="27">
        <f t="shared" si="141"/>
        <v>0.35164354142672727</v>
      </c>
      <c r="T660" s="27">
        <f t="shared" si="141"/>
        <v>0.36454239171647873</v>
      </c>
      <c r="U660" s="27">
        <f t="shared" si="141"/>
        <v>0.81017234402499216</v>
      </c>
      <c r="V660" s="27">
        <f t="shared" si="141"/>
        <v>0.82798351635276735</v>
      </c>
      <c r="W660" s="27">
        <f t="shared" si="141"/>
        <v>0.84506426194084328</v>
      </c>
      <c r="X660" s="27">
        <f t="shared" si="141"/>
        <v>0.86126373168327053</v>
      </c>
      <c r="Y660" s="27">
        <f t="shared" si="141"/>
        <v>0.8763773651993314</v>
      </c>
      <c r="Z660" s="27">
        <f t="shared" si="141"/>
        <v>0.89033910907341196</v>
      </c>
      <c r="AA660" s="27">
        <f t="shared" si="141"/>
        <v>0.90308174157394194</v>
      </c>
      <c r="AB660" s="27">
        <f t="shared" si="141"/>
        <v>0.91454727526335933</v>
      </c>
      <c r="AC660" s="27">
        <f t="shared" si="141"/>
        <v>0.92468482420589437</v>
      </c>
      <c r="AD660" s="27">
        <f t="shared" si="141"/>
        <v>0.93344536277323964</v>
      </c>
      <c r="AE660" s="27">
        <f t="shared" si="141"/>
        <v>0.94079043302909848</v>
      </c>
      <c r="AF660" s="27">
        <f t="shared" si="141"/>
        <v>0.94668534064993604</v>
      </c>
      <c r="AG660" s="27">
        <f t="shared" si="141"/>
        <v>0.95109922865749519</v>
      </c>
      <c r="AH660" s="27">
        <f t="shared" si="141"/>
        <v>0.95401351999914974</v>
      </c>
      <c r="AI660" s="27">
        <f t="shared" si="141"/>
        <v>0.95541860028387315</v>
      </c>
      <c r="AJ660" s="27">
        <f t="shared" si="141"/>
        <v>0.12455157965260578</v>
      </c>
      <c r="AK660" s="27">
        <f t="shared" si="141"/>
        <v>0.12546570662729262</v>
      </c>
      <c r="AL660" s="27">
        <f t="shared" si="141"/>
        <v>0.12635717357285206</v>
      </c>
      <c r="AM660" s="27">
        <f t="shared" si="141"/>
        <v>0.12722732342881915</v>
      </c>
      <c r="AN660" s="27">
        <f t="shared" si="141"/>
        <v>0.12807770428267184</v>
      </c>
      <c r="AO660" s="27">
        <f t="shared" si="141"/>
        <v>0.12890482942711159</v>
      </c>
      <c r="AP660" s="27">
        <f t="shared" si="141"/>
        <v>0.12970640273413572</v>
      </c>
      <c r="AQ660" s="27">
        <f t="shared" si="141"/>
        <v>0.13048225510266878</v>
      </c>
      <c r="AR660" s="27">
        <f t="shared" si="141"/>
        <v>0.13122965143314799</v>
      </c>
      <c r="AS660" s="27">
        <f t="shared" si="141"/>
        <v>0.13194554686006624</v>
      </c>
      <c r="AT660" s="27">
        <f t="shared" si="141"/>
        <v>0.1326296750998292</v>
      </c>
      <c r="AU660" s="27">
        <f t="shared" si="141"/>
        <v>0.13328261317396048</v>
      </c>
      <c r="AV660" s="27">
        <f t="shared" si="141"/>
        <v>0.1339047918740231</v>
      </c>
      <c r="AW660" s="27">
        <f t="shared" si="141"/>
        <v>0.13449324202045793</v>
      </c>
      <c r="AY660" s="79"/>
      <c r="AZ660" s="79"/>
    </row>
    <row r="661" spans="1:52" x14ac:dyDescent="0.25">
      <c r="A661" s="95" t="str">
        <f t="shared" si="133"/>
        <v>NI Poultry MMN2O</v>
      </c>
      <c r="B661" s="95" t="s">
        <v>969</v>
      </c>
      <c r="C661" s="95" t="s">
        <v>1234</v>
      </c>
      <c r="D661" t="s">
        <v>15</v>
      </c>
      <c r="E661" t="s">
        <v>657</v>
      </c>
      <c r="F661" t="s">
        <v>28</v>
      </c>
      <c r="G661" t="s">
        <v>132</v>
      </c>
      <c r="H661" t="s">
        <v>1227</v>
      </c>
      <c r="I661" t="s">
        <v>139</v>
      </c>
      <c r="J661" t="s">
        <v>287</v>
      </c>
      <c r="K661" s="27">
        <f t="shared" si="135"/>
        <v>1.7017151675634967</v>
      </c>
      <c r="L661" s="27">
        <f t="shared" si="141"/>
        <v>1.724123714732765</v>
      </c>
      <c r="M661" s="27">
        <f t="shared" si="141"/>
        <v>1.7601182693498119</v>
      </c>
      <c r="N661" s="27">
        <f t="shared" si="141"/>
        <v>1.7704533576020518</v>
      </c>
      <c r="O661" s="27">
        <f t="shared" si="141"/>
        <v>1.7641159598844758</v>
      </c>
      <c r="P661" s="27">
        <f t="shared" si="141"/>
        <v>1.741173502214217</v>
      </c>
      <c r="Q661" s="27">
        <f t="shared" si="141"/>
        <v>1.7315152516158581</v>
      </c>
      <c r="R661" s="27">
        <f t="shared" si="141"/>
        <v>1.7240481490859689</v>
      </c>
      <c r="S661" s="27">
        <f t="shared" si="141"/>
        <v>1.5035639635767468</v>
      </c>
      <c r="T661" s="27">
        <f t="shared" si="141"/>
        <v>1.6173540495561818</v>
      </c>
      <c r="U661" s="27">
        <f t="shared" si="141"/>
        <v>7.0326605429040603</v>
      </c>
      <c r="V661" s="27">
        <f t="shared" si="141"/>
        <v>7.1587444728308389</v>
      </c>
      <c r="W661" s="27">
        <f t="shared" si="141"/>
        <v>7.2707564931151909</v>
      </c>
      <c r="X661" s="27">
        <f t="shared" si="141"/>
        <v>7.3691748844835665</v>
      </c>
      <c r="Y661" s="27">
        <f t="shared" si="141"/>
        <v>7.4553371690594963</v>
      </c>
      <c r="Z661" s="27">
        <f t="shared" ref="L661:AW663" si="142">Z1426</f>
        <v>7.5285970501173791</v>
      </c>
      <c r="AA661" s="27">
        <f t="shared" si="142"/>
        <v>7.5884583464710351</v>
      </c>
      <c r="AB661" s="27">
        <f t="shared" si="142"/>
        <v>7.6344333579538368</v>
      </c>
      <c r="AC661" s="27">
        <f t="shared" si="142"/>
        <v>7.6660871188162911</v>
      </c>
      <c r="AD661" s="27">
        <f t="shared" si="142"/>
        <v>7.6831230278292386</v>
      </c>
      <c r="AE661" s="27">
        <f t="shared" si="142"/>
        <v>7.6852660983393646</v>
      </c>
      <c r="AF661" s="27">
        <f t="shared" si="142"/>
        <v>7.6723681593235442</v>
      </c>
      <c r="AG661" s="27">
        <f t="shared" si="142"/>
        <v>7.6444112062228218</v>
      </c>
      <c r="AH661" s="27">
        <f t="shared" si="142"/>
        <v>7.601393060420655</v>
      </c>
      <c r="AI661" s="27">
        <f t="shared" si="142"/>
        <v>7.5433781605278138</v>
      </c>
      <c r="AJ661" s="27">
        <f t="shared" si="142"/>
        <v>-1.6108210655566082</v>
      </c>
      <c r="AK661" s="27">
        <f t="shared" si="142"/>
        <v>-1.613100635371139</v>
      </c>
      <c r="AL661" s="27">
        <f t="shared" si="142"/>
        <v>-1.6151647470887973</v>
      </c>
      <c r="AM661" s="27">
        <f t="shared" si="142"/>
        <v>-1.6170309534265412</v>
      </c>
      <c r="AN661" s="27">
        <f t="shared" si="142"/>
        <v>-1.6187193219312461</v>
      </c>
      <c r="AO661" s="27">
        <f t="shared" si="142"/>
        <v>-1.6201827321446018</v>
      </c>
      <c r="AP661" s="27">
        <f t="shared" si="142"/>
        <v>-1.6213910531514668</v>
      </c>
      <c r="AQ661" s="27">
        <f t="shared" si="142"/>
        <v>-1.6223429170122639</v>
      </c>
      <c r="AR661" s="27">
        <f t="shared" si="142"/>
        <v>-1.623003587370585</v>
      </c>
      <c r="AS661" s="27">
        <f t="shared" si="142"/>
        <v>-1.6233351759618906</v>
      </c>
      <c r="AT661" s="27">
        <f t="shared" si="142"/>
        <v>-1.623336597056291</v>
      </c>
      <c r="AU661" s="27">
        <f t="shared" si="142"/>
        <v>-1.6230176880430305</v>
      </c>
      <c r="AV661" s="27">
        <f t="shared" si="142"/>
        <v>-1.6223862668543294</v>
      </c>
      <c r="AW661" s="27">
        <f t="shared" si="142"/>
        <v>-1.6214068147422027</v>
      </c>
      <c r="AY661" s="79"/>
      <c r="AZ661" s="79"/>
    </row>
    <row r="662" spans="1:52" x14ac:dyDescent="0.25">
      <c r="A662" s="95" t="str">
        <f t="shared" si="133"/>
        <v>NI Poultry MMN2O</v>
      </c>
      <c r="B662" s="95" t="s">
        <v>969</v>
      </c>
      <c r="C662" s="95" t="s">
        <v>1234</v>
      </c>
      <c r="D662" t="s">
        <v>15</v>
      </c>
      <c r="E662" t="s">
        <v>657</v>
      </c>
      <c r="F662" t="s">
        <v>28</v>
      </c>
      <c r="G662" t="s">
        <v>134</v>
      </c>
      <c r="H662" t="s">
        <v>1227</v>
      </c>
      <c r="I662" t="s">
        <v>139</v>
      </c>
      <c r="J662" t="s">
        <v>287</v>
      </c>
      <c r="K662" s="27">
        <f t="shared" si="135"/>
        <v>1.3660093635870426E-2</v>
      </c>
      <c r="L662" s="27">
        <f t="shared" si="142"/>
        <v>1.3937830420255738E-2</v>
      </c>
      <c r="M662" s="27">
        <f t="shared" si="142"/>
        <v>1.4262478398481276E-2</v>
      </c>
      <c r="N662" s="27">
        <f t="shared" si="142"/>
        <v>1.4511718638084306E-2</v>
      </c>
      <c r="O662" s="27">
        <f t="shared" si="142"/>
        <v>1.4711795979713132E-2</v>
      </c>
      <c r="P662" s="27">
        <f t="shared" si="142"/>
        <v>1.4861520550190495E-2</v>
      </c>
      <c r="Q662" s="27">
        <f t="shared" si="142"/>
        <v>1.5053508778373347E-2</v>
      </c>
      <c r="R662" s="27">
        <f t="shared" si="142"/>
        <v>1.5253123389732505E-2</v>
      </c>
      <c r="S662" s="27">
        <f t="shared" si="142"/>
        <v>1.4651814226113646E-2</v>
      </c>
      <c r="T662" s="27">
        <f t="shared" si="142"/>
        <v>1.5189266321519962E-2</v>
      </c>
      <c r="U662" s="27">
        <f t="shared" si="142"/>
        <v>3.3757181001041366E-2</v>
      </c>
      <c r="V662" s="27">
        <f t="shared" si="142"/>
        <v>3.4499313181365336E-2</v>
      </c>
      <c r="W662" s="27">
        <f t="shared" si="142"/>
        <v>3.5211010914201833E-2</v>
      </c>
      <c r="X662" s="27">
        <f t="shared" si="142"/>
        <v>3.5885988820136307E-2</v>
      </c>
      <c r="Y662" s="27">
        <f t="shared" si="142"/>
        <v>3.6515723549972179E-2</v>
      </c>
      <c r="Z662" s="27">
        <f t="shared" si="142"/>
        <v>3.7097462878058866E-2</v>
      </c>
      <c r="AA662" s="27">
        <f t="shared" si="142"/>
        <v>3.7628405898914287E-2</v>
      </c>
      <c r="AB662" s="27">
        <f t="shared" si="142"/>
        <v>3.8106136469306676E-2</v>
      </c>
      <c r="AC662" s="27">
        <f t="shared" si="142"/>
        <v>3.85285343419123E-2</v>
      </c>
      <c r="AD662" s="27">
        <f t="shared" si="142"/>
        <v>3.8893556782218362E-2</v>
      </c>
      <c r="AE662" s="27">
        <f t="shared" si="142"/>
        <v>3.9199601376212471E-2</v>
      </c>
      <c r="AF662" s="27">
        <f t="shared" si="142"/>
        <v>3.9445222527080714E-2</v>
      </c>
      <c r="AG662" s="27">
        <f t="shared" si="142"/>
        <v>3.9629134527395672E-2</v>
      </c>
      <c r="AH662" s="27">
        <f t="shared" si="142"/>
        <v>3.9750563333297947E-2</v>
      </c>
      <c r="AI662" s="27">
        <f t="shared" si="142"/>
        <v>3.9809108345161416E-2</v>
      </c>
      <c r="AJ662" s="27">
        <f t="shared" si="142"/>
        <v>5.189649152191912E-3</v>
      </c>
      <c r="AK662" s="27">
        <f t="shared" si="142"/>
        <v>5.2277377761371976E-3</v>
      </c>
      <c r="AL662" s="27">
        <f t="shared" si="142"/>
        <v>5.2648822322021753E-3</v>
      </c>
      <c r="AM662" s="27">
        <f t="shared" si="142"/>
        <v>5.3011384762008023E-3</v>
      </c>
      <c r="AN662" s="27">
        <f t="shared" si="142"/>
        <v>5.3365710117779979E-3</v>
      </c>
      <c r="AO662" s="27">
        <f t="shared" si="142"/>
        <v>5.3710345594629892E-3</v>
      </c>
      <c r="AP662" s="27">
        <f t="shared" si="142"/>
        <v>5.4044334472556589E-3</v>
      </c>
      <c r="AQ662" s="27">
        <f t="shared" si="142"/>
        <v>5.4367606292778717E-3</v>
      </c>
      <c r="AR662" s="27">
        <f t="shared" si="142"/>
        <v>5.4679021430478368E-3</v>
      </c>
      <c r="AS662" s="27">
        <f t="shared" si="142"/>
        <v>5.4977311191694326E-3</v>
      </c>
      <c r="AT662" s="27">
        <f t="shared" si="142"/>
        <v>5.5262364624928872E-3</v>
      </c>
      <c r="AU662" s="27">
        <f t="shared" si="142"/>
        <v>5.5534422155816918E-3</v>
      </c>
      <c r="AV662" s="27">
        <f t="shared" si="142"/>
        <v>5.5793663280842998E-3</v>
      </c>
      <c r="AW662" s="27">
        <f t="shared" si="142"/>
        <v>5.6038850841857524E-3</v>
      </c>
      <c r="AY662" s="79"/>
      <c r="AZ662" s="79"/>
    </row>
    <row r="663" spans="1:52" x14ac:dyDescent="0.25">
      <c r="A663" s="95" t="str">
        <f t="shared" si="133"/>
        <v>NI Poultry MMN2O</v>
      </c>
      <c r="B663" s="95" t="s">
        <v>969</v>
      </c>
      <c r="C663" s="95" t="s">
        <v>1234</v>
      </c>
      <c r="D663" t="s">
        <v>15</v>
      </c>
      <c r="E663" t="s">
        <v>657</v>
      </c>
      <c r="F663" t="s">
        <v>28</v>
      </c>
      <c r="G663" t="s">
        <v>133</v>
      </c>
      <c r="H663" t="s">
        <v>1227</v>
      </c>
      <c r="I663" t="s">
        <v>139</v>
      </c>
      <c r="J663" t="s">
        <v>287</v>
      </c>
      <c r="K663" s="27">
        <f t="shared" si="135"/>
        <v>7.0904798648479081E-2</v>
      </c>
      <c r="L663" s="27">
        <f t="shared" si="142"/>
        <v>7.183848811386527E-2</v>
      </c>
      <c r="M663" s="27">
        <f t="shared" si="142"/>
        <v>7.3338261222908901E-2</v>
      </c>
      <c r="N663" s="27">
        <f t="shared" si="142"/>
        <v>7.3768889900085566E-2</v>
      </c>
      <c r="O663" s="27">
        <f t="shared" si="142"/>
        <v>7.3504831661853232E-2</v>
      </c>
      <c r="P663" s="27">
        <f t="shared" si="142"/>
        <v>7.2548895925592438E-2</v>
      </c>
      <c r="Q663" s="27">
        <f t="shared" si="142"/>
        <v>7.2146468817327503E-2</v>
      </c>
      <c r="R663" s="27">
        <f t="shared" si="142"/>
        <v>7.1835339545248775E-2</v>
      </c>
      <c r="S663" s="27">
        <f t="shared" si="142"/>
        <v>6.264849848236452E-2</v>
      </c>
      <c r="T663" s="27">
        <f t="shared" si="142"/>
        <v>6.7389752064840963E-2</v>
      </c>
      <c r="U663" s="27">
        <f t="shared" si="142"/>
        <v>0.29302752262100273</v>
      </c>
      <c r="V663" s="27">
        <f t="shared" si="142"/>
        <v>0.29828101970128529</v>
      </c>
      <c r="W663" s="27">
        <f t="shared" si="142"/>
        <v>0.30294818721313321</v>
      </c>
      <c r="X663" s="27">
        <f t="shared" si="142"/>
        <v>0.30704895352014883</v>
      </c>
      <c r="Y663" s="27">
        <f t="shared" si="142"/>
        <v>0.31063904871081255</v>
      </c>
      <c r="Z663" s="27">
        <f t="shared" si="142"/>
        <v>0.31369154375489111</v>
      </c>
      <c r="AA663" s="27">
        <f t="shared" si="142"/>
        <v>0.31618576443629343</v>
      </c>
      <c r="AB663" s="27">
        <f t="shared" si="142"/>
        <v>0.31810138991474352</v>
      </c>
      <c r="AC663" s="27">
        <f t="shared" si="142"/>
        <v>0.31942029661734572</v>
      </c>
      <c r="AD663" s="27">
        <f t="shared" si="142"/>
        <v>0.320130126159552</v>
      </c>
      <c r="AE663" s="27">
        <f t="shared" si="142"/>
        <v>0.32021942076414051</v>
      </c>
      <c r="AF663" s="27">
        <f t="shared" si="142"/>
        <v>0.31968200663848134</v>
      </c>
      <c r="AG663" s="27">
        <f t="shared" si="142"/>
        <v>0.31851713359261785</v>
      </c>
      <c r="AH663" s="27">
        <f t="shared" si="142"/>
        <v>0.31672471085086101</v>
      </c>
      <c r="AI663" s="27">
        <f t="shared" si="142"/>
        <v>0.31430742335532585</v>
      </c>
      <c r="AJ663" s="27">
        <f t="shared" si="142"/>
        <v>-6.7117544398192078E-2</v>
      </c>
      <c r="AK663" s="27">
        <f t="shared" si="142"/>
        <v>-6.7212526473797524E-2</v>
      </c>
      <c r="AL663" s="27">
        <f t="shared" si="142"/>
        <v>-6.7298531128699962E-2</v>
      </c>
      <c r="AM663" s="27">
        <f t="shared" si="142"/>
        <v>-6.7376289726105959E-2</v>
      </c>
      <c r="AN663" s="27">
        <f t="shared" si="142"/>
        <v>-6.7446638413801982E-2</v>
      </c>
      <c r="AO663" s="27">
        <f t="shared" si="142"/>
        <v>-6.750761383935848E-2</v>
      </c>
      <c r="AP663" s="27">
        <f t="shared" si="142"/>
        <v>-6.7557960547977858E-2</v>
      </c>
      <c r="AQ663" s="27">
        <f t="shared" si="142"/>
        <v>-6.759762154217773E-2</v>
      </c>
      <c r="AR663" s="27">
        <f t="shared" si="142"/>
        <v>-6.7625149473774446E-2</v>
      </c>
      <c r="AS663" s="27">
        <f t="shared" si="142"/>
        <v>-6.7638965665078848E-2</v>
      </c>
      <c r="AT663" s="27">
        <f t="shared" si="142"/>
        <v>-6.7639024877345522E-2</v>
      </c>
      <c r="AU663" s="27">
        <f t="shared" si="142"/>
        <v>-6.7625737001792988E-2</v>
      </c>
      <c r="AV663" s="27">
        <f t="shared" si="142"/>
        <v>-6.7599427785597133E-2</v>
      </c>
      <c r="AW663" s="27">
        <f t="shared" si="142"/>
        <v>-6.7558617280925187E-2</v>
      </c>
      <c r="AY663" s="79"/>
      <c r="AZ663" s="79"/>
    </row>
    <row r="664" spans="1:52" x14ac:dyDescent="0.25">
      <c r="A664" s="95" t="str">
        <f t="shared" si="133"/>
        <v>NI Synthetic</v>
      </c>
      <c r="B664" s="95" t="s">
        <v>969</v>
      </c>
      <c r="C664" s="95" t="s">
        <v>1126</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6.6035651430821094</v>
      </c>
      <c r="U664" s="94">
        <f>IF('Net zero activities &amp; levers'!$C$9="Off",'Activity data'!AN47*ttokg*SNEF*NtoN2O*kgtoGg,IF('Net zero activities &amp; levers'!$C$9="On",(('Net zero supporting data'!L157*ttokg*'Net zero supporting data'!L181)+('Net zero supporting data'!L169*ttokg*SNEF))*NtoN2O*kgtoGg,"ERROR"))</f>
        <v>6.6008394987584191</v>
      </c>
      <c r="V664" s="94">
        <f>IF('Net zero activities &amp; levers'!$C$9="Off",'Activity data'!AO47*ttokg*SNEF*NtoN2O*kgtoGg,IF('Net zero activities &amp; levers'!$C$9="On",(('Net zero supporting data'!M157*ttokg*'Net zero supporting data'!M181)+('Net zero supporting data'!M169*ttokg*SNEF))*NtoN2O*kgtoGg,"ERROR"))</f>
        <v>6.5354261970149441</v>
      </c>
      <c r="W664" s="94">
        <f>IF('Net zero activities &amp; levers'!$C$9="Off",'Activity data'!AP47*ttokg*SNEF*NtoN2O*kgtoGg,IF('Net zero activities &amp; levers'!$C$9="On",(('Net zero supporting data'!N157*ttokg*'Net zero supporting data'!N181)+('Net zero supporting data'!N169*ttokg*SNEF))*NtoN2O*kgtoGg,"ERROR"))</f>
        <v>6.5337920332710731</v>
      </c>
      <c r="X664" s="94">
        <f>IF('Net zero activities &amp; levers'!$C$9="Off",'Activity data'!AQ47*ttokg*SNEF*NtoN2O*kgtoGg,IF('Net zero activities &amp; levers'!$C$9="On",(('Net zero supporting data'!O157*ttokg*'Net zero supporting data'!O181)+('Net zero supporting data'!O169*ttokg*SNEF))*NtoN2O*kgtoGg,"ERROR"))</f>
        <v>6.5322793572104443</v>
      </c>
      <c r="Y664" s="94">
        <f>IF('Net zero activities &amp; levers'!$C$9="Off",'Activity data'!AR47*ttokg*SNEF*NtoN2O*kgtoGg,IF('Net zero activities &amp; levers'!$C$9="On",(('Net zero supporting data'!P157*ttokg*'Net zero supporting data'!P181)+('Net zero supporting data'!P169*ttokg*SNEF))*NtoN2O*kgtoGg,"ERROR"))</f>
        <v>6.5308880056970544</v>
      </c>
      <c r="Z664" s="94">
        <f>IF('Net zero activities &amp; levers'!$C$9="Off",'Activity data'!AS47*ttokg*SNEF*NtoN2O*kgtoGg,IF('Net zero activities &amp; levers'!$C$9="On",(('Net zero supporting data'!Q157*ttokg*'Net zero supporting data'!Q181)+('Net zero supporting data'!Q169*ttokg*SNEF))*NtoN2O*kgtoGg,"ERROR"))</f>
        <v>6.5296169227266478</v>
      </c>
      <c r="AA664" s="94">
        <f>IF('Net zero activities &amp; levers'!$C$9="Off",'Activity data'!AT47*ttokg*SNEF*NtoN2O*kgtoGg,IF('Net zero activities &amp; levers'!$C$9="On",(('Net zero supporting data'!R157*ttokg*'Net zero supporting data'!R181)+('Net zero supporting data'!R169*ttokg*SNEF))*NtoN2O*kgtoGg,"ERROR"))</f>
        <v>6.5284672118777083</v>
      </c>
      <c r="AB664" s="94">
        <f>IF('Net zero activities &amp; levers'!$C$9="Off",'Activity data'!AU47*ttokg*SNEF*NtoN2O*kgtoGg,IF('Net zero activities &amp; levers'!$C$9="On",(('Net zero supporting data'!S157*ttokg*'Net zero supporting data'!S181)+('Net zero supporting data'!S169*ttokg*SNEF))*NtoN2O*kgtoGg,"ERROR"))</f>
        <v>6.5274397960506132</v>
      </c>
      <c r="AC664" s="94">
        <f>IF('Net zero activities &amp; levers'!$C$9="Off",'Activity data'!AV47*ttokg*SNEF*NtoN2O*kgtoGg,IF('Net zero activities &amp; levers'!$C$9="On",(('Net zero supporting data'!T157*ttokg*'Net zero supporting data'!T181)+('Net zero supporting data'!T169*ttokg*SNEF))*NtoN2O*kgtoGg,"ERROR"))</f>
        <v>6.5265355793719113</v>
      </c>
      <c r="AD664" s="94">
        <f>IF('Net zero activities &amp; levers'!$C$9="Off",'Activity data'!AW47*ttokg*SNEF*NtoN2O*kgtoGg,IF('Net zero activities &amp; levers'!$C$9="On",(('Net zero supporting data'!U157*ttokg*'Net zero supporting data'!U181)+('Net zero supporting data'!U169*ttokg*SNEF))*NtoN2O*kgtoGg,"ERROR"))</f>
        <v>6.5257554079256641</v>
      </c>
      <c r="AE664" s="94">
        <f>IF('Net zero activities &amp; levers'!$C$9="Off",'Activity data'!AX47*ttokg*SNEF*NtoN2O*kgtoGg,IF('Net zero activities &amp; levers'!$C$9="On",(('Net zero supporting data'!V157*ttokg*'Net zero supporting data'!V181)+('Net zero supporting data'!V169*ttokg*SNEF))*NtoN2O*kgtoGg,"ERROR"))</f>
        <v>6.5250999875184093</v>
      </c>
      <c r="AF664" s="94">
        <f>IF('Net zero activities &amp; levers'!$C$9="Off",'Activity data'!AY47*ttokg*SNEF*NtoN2O*kgtoGg,IF('Net zero activities &amp; levers'!$C$9="On",(('Net zero supporting data'!W157*ttokg*'Net zero supporting data'!W181)+('Net zero supporting data'!W169*ttokg*SNEF))*NtoN2O*kgtoGg,"ERROR"))</f>
        <v>6.524570013447069</v>
      </c>
      <c r="AG664" s="94">
        <f>IF('Net zero activities &amp; levers'!$C$9="Off",'Activity data'!AZ47*ttokg*SNEF*NtoN2O*kgtoGg,IF('Net zero activities &amp; levers'!$C$9="On",(('Net zero supporting data'!X157*ttokg*'Net zero supporting data'!X181)+('Net zero supporting data'!X169*ttokg*SNEF))*NtoN2O*kgtoGg,"ERROR"))</f>
        <v>6.524166065107158</v>
      </c>
      <c r="AH664" s="94">
        <f>IF('Net zero activities &amp; levers'!$C$9="Off",'Activity data'!BA47*ttokg*SNEF*NtoN2O*kgtoGg,IF('Net zero activities &amp; levers'!$C$9="On",(('Net zero supporting data'!Y157*ttokg*'Net zero supporting data'!Y181)+('Net zero supporting data'!Y169*ttokg*SNEF))*NtoN2O*kgtoGg,"ERROR"))</f>
        <v>6.5238886062718322</v>
      </c>
      <c r="AI664" s="94">
        <f>IF('Net zero activities &amp; levers'!$C$9="Off",'Activity data'!BB47*ttokg*SNEF*NtoN2O*kgtoGg,IF('Net zero activities &amp; levers'!$C$9="On",(('Net zero supporting data'!Z157*ttokg*'Net zero supporting data'!Z181)+('Net zero supporting data'!Z169*ttokg*SNEF))*NtoN2O*kgtoGg,"ERROR"))</f>
        <v>6.523738107982866</v>
      </c>
      <c r="AJ664" s="94">
        <f>IF('Net zero activities &amp; levers'!$C$9="Off",'Activity data'!BC47*ttokg*SNEF*NtoN2O*kgtoGg,IF('Net zero activities &amp; levers'!$C$9="On",(('Net zero supporting data'!AA157*ttokg*'Net zero supporting data'!AA181)+('Net zero supporting data'!AA169*ttokg*SNEF))*NtoN2O*kgtoGg,"ERROR"))</f>
        <v>6.5237149971504902</v>
      </c>
      <c r="AK664" s="94">
        <f>IF('Net zero activities &amp; levers'!$C$9="Off",'Activity data'!BD47*ttokg*SNEF*NtoN2O*kgtoGg,IF('Net zero activities &amp; levers'!$C$9="On",(('Net zero supporting data'!AB157*ttokg*'Net zero supporting data'!AB181)+('Net zero supporting data'!AB169*ttokg*SNEF))*NtoN2O*kgtoGg,"ERROR"))</f>
        <v>6.7170770118746468</v>
      </c>
      <c r="AL664" s="94">
        <f>IF('Net zero activities &amp; levers'!$C$9="Off",'Activity data'!BE47*ttokg*SNEF*NtoN2O*kgtoGg,IF('Net zero activities &amp; levers'!$C$9="On",(('Net zero supporting data'!AC157*ttokg*'Net zero supporting data'!AC181)+('Net zero supporting data'!AC169*ttokg*SNEF))*NtoN2O*kgtoGg,"ERROR"))</f>
        <v>6.7172409254060446</v>
      </c>
      <c r="AM664" s="94">
        <f>IF('Net zero activities &amp; levers'!$C$9="Off",'Activity data'!BF47*ttokg*SNEF*NtoN2O*kgtoGg,IF('Net zero activities &amp; levers'!$C$9="On",(('Net zero supporting data'!AD157*ttokg*'Net zero supporting data'!AD181)+('Net zero supporting data'!AD169*ttokg*SNEF))*NtoN2O*kgtoGg,"ERROR"))</f>
        <v>6.7174011054610014</v>
      </c>
      <c r="AN664" s="94">
        <f>IF('Net zero activities &amp; levers'!$C$9="Off",'Activity data'!BG47*ttokg*SNEF*NtoN2O*kgtoGg,IF('Net zero activities &amp; levers'!$C$9="On",(('Net zero supporting data'!AE157*ttokg*'Net zero supporting data'!AE181)+('Net zero supporting data'!AE169*ttokg*SNEF))*NtoN2O*kgtoGg,"ERROR"))</f>
        <v>6.717557770633813</v>
      </c>
      <c r="AO664" s="94">
        <f>IF('Net zero activities &amp; levers'!$C$9="Off",'Activity data'!BH47*ttokg*SNEF*NtoN2O*kgtoGg,IF('Net zero activities &amp; levers'!$C$9="On",(('Net zero supporting data'!AF157*ttokg*'Net zero supporting data'!AF181)+('Net zero supporting data'!AF169*ttokg*SNEF))*NtoN2O*kgtoGg,"ERROR"))</f>
        <v>6.7177111790148194</v>
      </c>
      <c r="AP664" s="94">
        <f>IF('Net zero activities &amp; levers'!$C$9="Off",'Activity data'!BI47*ttokg*SNEF*NtoN2O*kgtoGg,IF('Net zero activities &amp; levers'!$C$9="On",(('Net zero supporting data'!AG157*ttokg*'Net zero supporting data'!AG181)+('Net zero supporting data'!AG169*ttokg*SNEF))*NtoN2O*kgtoGg,"ERROR"))</f>
        <v>6.7178606782023653</v>
      </c>
      <c r="AQ664" s="94">
        <f>IF('Net zero activities &amp; levers'!$C$9="Off",'Activity data'!BJ47*ttokg*SNEF*NtoN2O*kgtoGg,IF('Net zero activities &amp; levers'!$C$9="On",(('Net zero supporting data'!AH157*ttokg*'Net zero supporting data'!AH181)+('Net zero supporting data'!AH169*ttokg*SNEF))*NtoN2O*kgtoGg,"ERROR"))</f>
        <v>6.7180058277133394</v>
      </c>
      <c r="AR664" s="94">
        <f>IF('Net zero activities &amp; levers'!$C$9="Off",'Activity data'!BK47*ttokg*SNEF*NtoN2O*kgtoGg,IF('Net zero activities &amp; levers'!$C$9="On",(('Net zero supporting data'!AI157*ttokg*'Net zero supporting data'!AI181)+('Net zero supporting data'!AI169*ttokg*SNEF))*NtoN2O*kgtoGg,"ERROR"))</f>
        <v>6.7181465717092257</v>
      </c>
      <c r="AS664" s="94">
        <f>IF('Net zero activities &amp; levers'!$C$9="Off",'Activity data'!BL47*ttokg*SNEF*NtoN2O*kgtoGg,IF('Net zero activities &amp; levers'!$C$9="On",(('Net zero supporting data'!AJ157*ttokg*'Net zero supporting data'!AJ181)+('Net zero supporting data'!AJ169*ttokg*SNEF))*NtoN2O*kgtoGg,"ERROR"))</f>
        <v>6.7182823869267976</v>
      </c>
      <c r="AT664" s="94">
        <f>IF('Net zero activities &amp; levers'!$C$9="Off",'Activity data'!BM47*ttokg*SNEF*NtoN2O*kgtoGg,IF('Net zero activities &amp; levers'!$C$9="On",(('Net zero supporting data'!AK157*ttokg*'Net zero supporting data'!AK181)+('Net zero supporting data'!AK169*ttokg*SNEF))*NtoN2O*kgtoGg,"ERROR"))</f>
        <v>6.7184126908492701</v>
      </c>
      <c r="AU664" s="94">
        <f>IF('Net zero activities &amp; levers'!$C$9="Off",'Activity data'!BN47*ttokg*SNEF*NtoN2O*kgtoGg,IF('Net zero activities &amp; levers'!$C$9="On",(('Net zero supporting data'!AL157*ttokg*'Net zero supporting data'!AL181)+('Net zero supporting data'!AL169*ttokg*SNEF))*NtoN2O*kgtoGg,"ERROR"))</f>
        <v>6.7185374065365453</v>
      </c>
      <c r="AV664" s="94">
        <f>IF('Net zero activities &amp; levers'!$C$9="Off",'Activity data'!BO47*ttokg*SNEF*NtoN2O*kgtoGg,IF('Net zero activities &amp; levers'!$C$9="On",(('Net zero supporting data'!AM157*ttokg*'Net zero supporting data'!AM181)+('Net zero supporting data'!AM169*ttokg*SNEF))*NtoN2O*kgtoGg,"ERROR"))</f>
        <v>6.7186566123512304</v>
      </c>
      <c r="AW664" s="94">
        <f>IF('Net zero activities &amp; levers'!$C$9="Off",'Activity data'!BP47*ttokg*SNEF*NtoN2O*kgtoGg,IF('Net zero activities &amp; levers'!$C$9="On",(('Net zero supporting data'!AN157*ttokg*'Net zero supporting data'!AN181)+('Net zero supporting data'!AN169*ttokg*SNEF))*NtoN2O*kgtoGg,"ERROR"))</f>
        <v>6.7187703615819192</v>
      </c>
      <c r="AY664" s="79"/>
      <c r="AZ664" s="79"/>
    </row>
    <row r="665" spans="1:52" x14ac:dyDescent="0.25">
      <c r="A665" s="95" t="str">
        <f t="shared" si="133"/>
        <v>NI Organic</v>
      </c>
      <c r="B665" s="95" t="s">
        <v>969</v>
      </c>
      <c r="C665" s="95" t="s">
        <v>1127</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4.358352994434192E-2</v>
      </c>
      <c r="U665" s="94">
        <f>IF('Net zero activities &amp; levers'!$C$9="Off",'Activity data'!AN48*ttokg*SNEF*NtoN2O*kgtoGg,IF('Net zero activities &amp; levers'!$C$9="On",(('Net zero supporting data'!L158*ttokg*'Net zero supporting data'!L182)+('Net zero supporting data'!L170*ttokg*ONEF))*NtoN2O*kgtoGg,"ERROR"))</f>
        <v>4.3565540691805578E-2</v>
      </c>
      <c r="V665" s="94">
        <f>IF('Net zero activities &amp; levers'!$C$9="Off",'Activity data'!AO48*ttokg*SNEF*NtoN2O*kgtoGg,IF('Net zero activities &amp; levers'!$C$9="On",(('Net zero supporting data'!M158*ttokg*'Net zero supporting data'!M182)+('Net zero supporting data'!M170*ttokg*ONEF))*NtoN2O*kgtoGg,"ERROR"))</f>
        <v>4.3133812900298642E-2</v>
      </c>
      <c r="W665" s="94">
        <f>IF('Net zero activities &amp; levers'!$C$9="Off",'Activity data'!AP48*ttokg*SNEF*NtoN2O*kgtoGg,IF('Net zero activities &amp; levers'!$C$9="On",(('Net zero supporting data'!N158*ttokg*'Net zero supporting data'!N182)+('Net zero supporting data'!N170*ttokg*ONEF))*NtoN2O*kgtoGg,"ERROR"))</f>
        <v>4.312302741958908E-2</v>
      </c>
      <c r="X665" s="94">
        <f>IF('Net zero activities &amp; levers'!$C$9="Off",'Activity data'!AQ48*ttokg*SNEF*NtoN2O*kgtoGg,IF('Net zero activities &amp; levers'!$C$9="On",(('Net zero supporting data'!O158*ttokg*'Net zero supporting data'!O182)+('Net zero supporting data'!O170*ttokg*ONEF))*NtoN2O*kgtoGg,"ERROR"))</f>
        <v>4.3113043757588947E-2</v>
      </c>
      <c r="Y665" s="94">
        <f>IF('Net zero activities &amp; levers'!$C$9="Off",'Activity data'!AR48*ttokg*SNEF*NtoN2O*kgtoGg,IF('Net zero activities &amp; levers'!$C$9="On",(('Net zero supporting data'!P158*ttokg*'Net zero supporting data'!P182)+('Net zero supporting data'!P170*ttokg*ONEF))*NtoN2O*kgtoGg,"ERROR"))</f>
        <v>4.3103860837600566E-2</v>
      </c>
      <c r="Z665" s="94">
        <f>IF('Net zero activities &amp; levers'!$C$9="Off",'Activity data'!AS48*ttokg*SNEF*NtoN2O*kgtoGg,IF('Net zero activities &amp; levers'!$C$9="On",(('Net zero supporting data'!Q158*ttokg*'Net zero supporting data'!Q182)+('Net zero supporting data'!Q170*ttokg*ONEF))*NtoN2O*kgtoGg,"ERROR"))</f>
        <v>4.3095471689995883E-2</v>
      </c>
      <c r="AA665" s="94">
        <f>IF('Net zero activities &amp; levers'!$C$9="Off",'Activity data'!AT48*ttokg*SNEF*NtoN2O*kgtoGg,IF('Net zero activities &amp; levers'!$C$9="On",(('Net zero supporting data'!R158*ttokg*'Net zero supporting data'!R182)+('Net zero supporting data'!R170*ttokg*ONEF))*NtoN2O*kgtoGg,"ERROR"))</f>
        <v>4.3087883598392877E-2</v>
      </c>
      <c r="AB665" s="94">
        <f>IF('Net zero activities &amp; levers'!$C$9="Off",'Activity data'!AU48*ttokg*SNEF*NtoN2O*kgtoGg,IF('Net zero activities &amp; levers'!$C$9="On",(('Net zero supporting data'!S158*ttokg*'Net zero supporting data'!S182)+('Net zero supporting data'!S170*ttokg*ONEF))*NtoN2O*kgtoGg,"ERROR"))</f>
        <v>4.3081102653934056E-2</v>
      </c>
      <c r="AC665" s="94">
        <f>IF('Net zero activities &amp; levers'!$C$9="Off",'Activity data'!AV48*ttokg*SNEF*NtoN2O*kgtoGg,IF('Net zero activities &amp; levers'!$C$9="On",(('Net zero supporting data'!T158*ttokg*'Net zero supporting data'!T182)+('Net zero supporting data'!T170*ttokg*ONEF))*NtoN2O*kgtoGg,"ERROR"))</f>
        <v>4.3075134823854618E-2</v>
      </c>
      <c r="AD665" s="94">
        <f>IF('Net zero activities &amp; levers'!$C$9="Off",'Activity data'!AW48*ttokg*SNEF*NtoN2O*kgtoGg,IF('Net zero activities &amp; levers'!$C$9="On",(('Net zero supporting data'!U158*ttokg*'Net zero supporting data'!U182)+('Net zero supporting data'!U170*ttokg*ONEF))*NtoN2O*kgtoGg,"ERROR"))</f>
        <v>4.3069985692309382E-2</v>
      </c>
      <c r="AE665" s="94">
        <f>IF('Net zero activities &amp; levers'!$C$9="Off",'Activity data'!AX48*ttokg*SNEF*NtoN2O*kgtoGg,IF('Net zero activities &amp; levers'!$C$9="On",(('Net zero supporting data'!V158*ttokg*'Net zero supporting data'!V182)+('Net zero supporting data'!V170*ttokg*ONEF))*NtoN2O*kgtoGg,"ERROR"))</f>
        <v>4.3065659917621506E-2</v>
      </c>
      <c r="AF665" s="94">
        <f>IF('Net zero activities &amp; levers'!$C$9="Off",'Activity data'!AY48*ttokg*SNEF*NtoN2O*kgtoGg,IF('Net zero activities &amp; levers'!$C$9="On",(('Net zero supporting data'!W158*ttokg*'Net zero supporting data'!W182)+('Net zero supporting data'!W170*ttokg*ONEF))*NtoN2O*kgtoGg,"ERROR"))</f>
        <v>4.3062162088750661E-2</v>
      </c>
      <c r="AG665" s="94">
        <f>IF('Net zero activities &amp; levers'!$C$9="Off",'Activity data'!AZ48*ttokg*SNEF*NtoN2O*kgtoGg,IF('Net zero activities &amp; levers'!$C$9="On",(('Net zero supporting data'!X158*ttokg*'Net zero supporting data'!X182)+('Net zero supporting data'!X170*ttokg*ONEF))*NtoN2O*kgtoGg,"ERROR"))</f>
        <v>4.3059496029707253E-2</v>
      </c>
      <c r="AH665" s="94">
        <f>IF('Net zero activities &amp; levers'!$C$9="Off",'Activity data'!BA48*ttokg*SNEF*NtoN2O*kgtoGg,IF('Net zero activities &amp; levers'!$C$9="On",(('Net zero supporting data'!Y158*ttokg*'Net zero supporting data'!Y182)+('Net zero supporting data'!Y170*ttokg*ONEF))*NtoN2O*kgtoGg,"ERROR"))</f>
        <v>4.3057664801394106E-2</v>
      </c>
      <c r="AI665" s="94">
        <f>IF('Net zero activities &amp; levers'!$C$9="Off",'Activity data'!BB48*ttokg*SNEF*NtoN2O*kgtoGg,IF('Net zero activities &amp; levers'!$C$9="On",(('Net zero supporting data'!Z158*ttokg*'Net zero supporting data'!Z182)+('Net zero supporting data'!Z170*ttokg*ONEF))*NtoN2O*kgtoGg,"ERROR"))</f>
        <v>4.3056671512686932E-2</v>
      </c>
      <c r="AJ665" s="94">
        <f>IF('Net zero activities &amp; levers'!$C$9="Off",'Activity data'!BC48*ttokg*SNEF*NtoN2O*kgtoGg,IF('Net zero activities &amp; levers'!$C$9="On",(('Net zero supporting data'!AA158*ttokg*'Net zero supporting data'!AA182)+('Net zero supporting data'!AA170*ttokg*ONEF))*NtoN2O*kgtoGg,"ERROR"))</f>
        <v>4.3056518981193247E-2</v>
      </c>
      <c r="AK665" s="94">
        <f>IF('Net zero activities &amp; levers'!$C$9="Off",'Activity data'!BD48*ttokg*SNEF*NtoN2O*kgtoGg,IF('Net zero activities &amp; levers'!$C$9="On",(('Net zero supporting data'!AB158*ttokg*'Net zero supporting data'!AB182)+('Net zero supporting data'!AB170*ttokg*ONEF))*NtoN2O*kgtoGg,"ERROR"))</f>
        <v>4.4332708278372678E-2</v>
      </c>
      <c r="AL665" s="94">
        <f>IF('Net zero activities &amp; levers'!$C$9="Off",'Activity data'!BE48*ttokg*SNEF*NtoN2O*kgtoGg,IF('Net zero activities &amp; levers'!$C$9="On",(('Net zero supporting data'!AC158*ttokg*'Net zero supporting data'!AC182)+('Net zero supporting data'!AC170*ttokg*ONEF))*NtoN2O*kgtoGg,"ERROR"))</f>
        <v>4.4333790107679898E-2</v>
      </c>
      <c r="AM665" s="94">
        <f>IF('Net zero activities &amp; levers'!$C$9="Off",'Activity data'!BF48*ttokg*SNEF*NtoN2O*kgtoGg,IF('Net zero activities &amp; levers'!$C$9="On",(('Net zero supporting data'!AD158*ttokg*'Net zero supporting data'!AD182)+('Net zero supporting data'!AD170*ttokg*ONEF))*NtoN2O*kgtoGg,"ERROR"))</f>
        <v>4.4334847296042611E-2</v>
      </c>
      <c r="AN665" s="94">
        <f>IF('Net zero activities &amp; levers'!$C$9="Off",'Activity data'!BG48*ttokg*SNEF*NtoN2O*kgtoGg,IF('Net zero activities &amp; levers'!$C$9="On",(('Net zero supporting data'!AE158*ttokg*'Net zero supporting data'!AE182)+('Net zero supporting data'!AE170*ttokg*ONEF))*NtoN2O*kgtoGg,"ERROR"))</f>
        <v>4.4335881286183175E-2</v>
      </c>
      <c r="AO665" s="94">
        <f>IF('Net zero activities &amp; levers'!$C$9="Off",'Activity data'!BH48*ttokg*SNEF*NtoN2O*kgtoGg,IF('Net zero activities &amp; levers'!$C$9="On",(('Net zero supporting data'!AF158*ttokg*'Net zero supporting data'!AF182)+('Net zero supporting data'!AF170*ttokg*ONEF))*NtoN2O*kgtoGg,"ERROR"))</f>
        <v>4.433689378149782E-2</v>
      </c>
      <c r="AP665" s="94">
        <f>IF('Net zero activities &amp; levers'!$C$9="Off",'Activity data'!BI48*ttokg*SNEF*NtoN2O*kgtoGg,IF('Net zero activities &amp; levers'!$C$9="On",(('Net zero supporting data'!AG158*ttokg*'Net zero supporting data'!AG182)+('Net zero supporting data'!AG170*ttokg*ONEF))*NtoN2O*kgtoGg,"ERROR"))</f>
        <v>4.433788047613562E-2</v>
      </c>
      <c r="AQ665" s="94">
        <f>IF('Net zero activities &amp; levers'!$C$9="Off",'Activity data'!BJ48*ttokg*SNEF*NtoN2O*kgtoGg,IF('Net zero activities &amp; levers'!$C$9="On",(('Net zero supporting data'!AH158*ttokg*'Net zero supporting data'!AH182)+('Net zero supporting data'!AH170*ttokg*ONEF))*NtoN2O*kgtoGg,"ERROR"))</f>
        <v>4.4338838462908037E-2</v>
      </c>
      <c r="AR665" s="94">
        <f>IF('Net zero activities &amp; levers'!$C$9="Off",'Activity data'!BK48*ttokg*SNEF*NtoN2O*kgtoGg,IF('Net zero activities &amp; levers'!$C$9="On",(('Net zero supporting data'!AI158*ttokg*'Net zero supporting data'!AI182)+('Net zero supporting data'!AI170*ttokg*ONEF))*NtoN2O*kgtoGg,"ERROR"))</f>
        <v>4.4339767373280901E-2</v>
      </c>
      <c r="AS665" s="94">
        <f>IF('Net zero activities &amp; levers'!$C$9="Off",'Activity data'!BL48*ttokg*SNEF*NtoN2O*kgtoGg,IF('Net zero activities &amp; levers'!$C$9="On",(('Net zero supporting data'!AJ158*ttokg*'Net zero supporting data'!AJ182)+('Net zero supporting data'!AJ170*ttokg*ONEF))*NtoN2O*kgtoGg,"ERROR"))</f>
        <v>4.4340663753716876E-2</v>
      </c>
      <c r="AT665" s="94">
        <f>IF('Net zero activities &amp; levers'!$C$9="Off",'Activity data'!BM48*ttokg*SNEF*NtoN2O*kgtoGg,IF('Net zero activities &amp; levers'!$C$9="On",(('Net zero supporting data'!AK158*ttokg*'Net zero supporting data'!AK182)+('Net zero supporting data'!AK170*ttokg*ONEF))*NtoN2O*kgtoGg,"ERROR"))</f>
        <v>4.4341523759605192E-2</v>
      </c>
      <c r="AU665" s="94">
        <f>IF('Net zero activities &amp; levers'!$C$9="Off",'Activity data'!BN48*ttokg*SNEF*NtoN2O*kgtoGg,IF('Net zero activities &amp; levers'!$C$9="On",(('Net zero supporting data'!AL158*ttokg*'Net zero supporting data'!AL182)+('Net zero supporting data'!AL170*ttokg*ONEF))*NtoN2O*kgtoGg,"ERROR"))</f>
        <v>4.4342346883141204E-2</v>
      </c>
      <c r="AV665" s="94">
        <f>IF('Net zero activities &amp; levers'!$C$9="Off",'Activity data'!BO48*ttokg*SNEF*NtoN2O*kgtoGg,IF('Net zero activities &amp; levers'!$C$9="On",(('Net zero supporting data'!AM158*ttokg*'Net zero supporting data'!AM182)+('Net zero supporting data'!AM170*ttokg*ONEF))*NtoN2O*kgtoGg,"ERROR"))</f>
        <v>4.4343133641518123E-2</v>
      </c>
      <c r="AW665" s="94">
        <f>IF('Net zero activities &amp; levers'!$C$9="Off",'Activity data'!BP48*ttokg*SNEF*NtoN2O*kgtoGg,IF('Net zero activities &amp; levers'!$C$9="On",(('Net zero supporting data'!AN158*ttokg*'Net zero supporting data'!AN182)+('Net zero supporting data'!AN170*ttokg*ONEF))*NtoN2O*kgtoGg,"ERROR"))</f>
        <v>4.4343884386440678E-2</v>
      </c>
      <c r="AY665" s="79"/>
      <c r="AZ665" s="79"/>
    </row>
    <row r="666" spans="1:52" x14ac:dyDescent="0.25">
      <c r="A666" s="95" t="str">
        <f t="shared" si="133"/>
        <v>NI Crop residues</v>
      </c>
      <c r="B666" s="95" t="s">
        <v>969</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2.9710792197336011</v>
      </c>
      <c r="U666" s="27">
        <f t="shared" si="144"/>
        <v>2.9914277552243997</v>
      </c>
      <c r="V666" s="27">
        <f t="shared" si="144"/>
        <v>3.4797764662170874</v>
      </c>
      <c r="W666" s="27">
        <f t="shared" si="144"/>
        <v>3.4919764582156594</v>
      </c>
      <c r="X666" s="27">
        <f t="shared" si="144"/>
        <v>3.5032694733160721</v>
      </c>
      <c r="Y666" s="27">
        <f t="shared" si="144"/>
        <v>3.5136567294244192</v>
      </c>
      <c r="Z666" s="27">
        <f t="shared" si="144"/>
        <v>3.5231461102325734</v>
      </c>
      <c r="AA666" s="27">
        <f t="shared" si="144"/>
        <v>3.5317293768790967</v>
      </c>
      <c r="AB666" s="27">
        <f t="shared" si="144"/>
        <v>3.539399639370707</v>
      </c>
      <c r="AC666" s="27">
        <f t="shared" si="144"/>
        <v>3.5461501478717818</v>
      </c>
      <c r="AD666" s="27">
        <f t="shared" si="144"/>
        <v>3.5519745858679355</v>
      </c>
      <c r="AE666" s="27">
        <f t="shared" si="144"/>
        <v>3.5568676840988758</v>
      </c>
      <c r="AF666" s="27">
        <f t="shared" si="144"/>
        <v>3.5608242517647808</v>
      </c>
      <c r="AG666" s="27">
        <f t="shared" si="144"/>
        <v>3.5638399633378826</v>
      </c>
      <c r="AH666" s="27">
        <f t="shared" si="144"/>
        <v>3.5659113564792468</v>
      </c>
      <c r="AI666" s="27">
        <f t="shared" si="144"/>
        <v>3.5670349145853852</v>
      </c>
      <c r="AJ666" s="27">
        <f t="shared" si="144"/>
        <v>3.5672074505207347</v>
      </c>
      <c r="AK666" s="27">
        <f t="shared" si="144"/>
        <v>2.1236464601919001</v>
      </c>
      <c r="AL666" s="27">
        <f t="shared" si="144"/>
        <v>2.122422749423007</v>
      </c>
      <c r="AM666" s="27">
        <f t="shared" si="144"/>
        <v>2.1212269112482072</v>
      </c>
      <c r="AN666" s="27">
        <f t="shared" si="144"/>
        <v>2.1200573137327008</v>
      </c>
      <c r="AO666" s="27">
        <f t="shared" si="144"/>
        <v>2.1189120300805597</v>
      </c>
      <c r="AP666" s="27">
        <f t="shared" si="144"/>
        <v>2.1177959308532275</v>
      </c>
      <c r="AQ666" s="27">
        <f t="shared" si="144"/>
        <v>2.1167123045158354</v>
      </c>
      <c r="AR666" s="27">
        <f t="shared" si="144"/>
        <v>2.1156615679356672</v>
      </c>
      <c r="AS666" s="27">
        <f t="shared" si="144"/>
        <v>2.1146476275800086</v>
      </c>
      <c r="AT666" s="27">
        <f t="shared" si="144"/>
        <v>2.1136748322787415</v>
      </c>
      <c r="AU666" s="27">
        <f t="shared" si="144"/>
        <v>2.1127437564348668</v>
      </c>
      <c r="AV666" s="27">
        <f t="shared" si="144"/>
        <v>2.111853815025504</v>
      </c>
      <c r="AW666" s="27">
        <f t="shared" si="144"/>
        <v>2.1110046102200224</v>
      </c>
      <c r="AY666" s="79"/>
      <c r="AZ666" s="79"/>
    </row>
    <row r="667" spans="1:52" x14ac:dyDescent="0.25">
      <c r="A667" s="95" t="str">
        <f t="shared" si="133"/>
        <v>NI Organic</v>
      </c>
      <c r="B667" s="95" t="s">
        <v>969</v>
      </c>
      <c r="C667" s="95" t="s">
        <v>1127</v>
      </c>
      <c r="D667" t="s">
        <v>369</v>
      </c>
      <c r="E667" t="s">
        <v>55</v>
      </c>
      <c r="F667" t="s">
        <v>421</v>
      </c>
      <c r="G667" t="s">
        <v>1152</v>
      </c>
      <c r="H667" t="s">
        <v>1153</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0.32309177745176459</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0.32579638434951891</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0.32880601635823309</v>
      </c>
      <c r="S667" s="94">
        <f>IF('Net zero activities &amp; levers'!$C$9="Off",'Activity data'!AL50*ManureNEF*NtoN2O*kgtoGg,IF('Net zero activities &amp; levers'!$C$9="On",(('Net zero supporting data'!J159*'Net zero supporting data'!J183)+('Net zero supporting data'!J171*ManureNEF))*NtoN2O*kgtoGg,"ERROR"))</f>
        <v>0.3194631230654072</v>
      </c>
      <c r="T667" s="94">
        <f>IF('Net zero activities &amp; levers'!$C$9="Off",'Activity data'!AM50*ManureNEF*NtoN2O*kgtoGg,IF('Net zero activities &amp; levers'!$C$9="On",(('Net zero supporting data'!K159*'Net zero supporting data'!K183)+('Net zero supporting data'!K171*ManureNEF))*NtoN2O*kgtoGg,"ERROR"))</f>
        <v>0.32495993852650251</v>
      </c>
      <c r="U667" s="94">
        <f>IF('Net zero activities &amp; levers'!$C$9="Off",'Activity data'!AN50*ManureNEF*NtoN2O*kgtoGg,IF('Net zero activities &amp; levers'!$C$9="On",(('Net zero supporting data'!L159*'Net zero supporting data'!L183)+('Net zero supporting data'!L171*ManureNEF))*NtoN2O*kgtoGg,"ERROR"))</f>
        <v>0.55911956199622048</v>
      </c>
      <c r="V667" s="94">
        <f>IF('Net zero activities &amp; levers'!$C$9="Off",'Activity data'!AO50*ManureNEF*NtoN2O*kgtoGg,IF('Net zero activities &amp; levers'!$C$9="On",(('Net zero supporting data'!M159*'Net zero supporting data'!M183)+('Net zero supporting data'!M171*ManureNEF))*NtoN2O*kgtoGg,"ERROR"))</f>
        <v>0.56585948734565139</v>
      </c>
      <c r="W667" s="94">
        <f>IF('Net zero activities &amp; levers'!$C$9="Off",'Activity data'!AP50*ManureNEF*NtoN2O*kgtoGg,IF('Net zero activities &amp; levers'!$C$9="On",(('Net zero supporting data'!N159*'Net zero supporting data'!N183)+('Net zero supporting data'!N171*ManureNEF))*NtoN2O*kgtoGg,"ERROR"))</f>
        <v>0.57230378307872798</v>
      </c>
      <c r="X667" s="94">
        <f>IF('Net zero activities &amp; levers'!$C$9="Off",'Activity data'!AQ50*ManureNEF*NtoN2O*kgtoGg,IF('Net zero activities &amp; levers'!$C$9="On",(('Net zero supporting data'!O159*'Net zero supporting data'!O183)+('Net zero supporting data'!O171*ManureNEF))*NtoN2O*kgtoGg,"ERROR"))</f>
        <v>0.57834283314741031</v>
      </c>
      <c r="Y667" s="94">
        <f>IF('Net zero activities &amp; levers'!$C$9="Off",'Activity data'!AR50*ManureNEF*NtoN2O*kgtoGg,IF('Net zero activities &amp; levers'!$C$9="On",(('Net zero supporting data'!P159*'Net zero supporting data'!P183)+('Net zero supporting data'!P171*ManureNEF))*NtoN2O*kgtoGg,"ERROR"))</f>
        <v>0.58381536330507111</v>
      </c>
      <c r="Z667" s="94">
        <f>IF('Net zero activities &amp; levers'!$C$9="Off",'Activity data'!AS50*ManureNEF*NtoN2O*kgtoGg,IF('Net zero activities &amp; levers'!$C$9="On",(('Net zero supporting data'!Q159*'Net zero supporting data'!Q183)+('Net zero supporting data'!Q171*ManureNEF))*NtoN2O*kgtoGg,"ERROR"))</f>
        <v>0.58869581671270654</v>
      </c>
      <c r="AA667" s="94">
        <f>IF('Net zero activities &amp; levers'!$C$9="Off",'Activity data'!AT50*ManureNEF*NtoN2O*kgtoGg,IF('Net zero activities &amp; levers'!$C$9="On",(('Net zero supporting data'!R159*'Net zero supporting data'!R183)+('Net zero supporting data'!R171*ManureNEF))*NtoN2O*kgtoGg,"ERROR"))</f>
        <v>0.59295576215312973</v>
      </c>
      <c r="AB667" s="94">
        <f>IF('Net zero activities &amp; levers'!$C$9="Off",'Activity data'!AU50*ManureNEF*NtoN2O*kgtoGg,IF('Net zero activities &amp; levers'!$C$9="On",(('Net zero supporting data'!S159*'Net zero supporting data'!S183)+('Net zero supporting data'!S171*ManureNEF))*NtoN2O*kgtoGg,"ERROR"))</f>
        <v>0.59657368139031808</v>
      </c>
      <c r="AC667" s="94">
        <f>IF('Net zero activities &amp; levers'!$C$9="Off",'Activity data'!AV50*ManureNEF*NtoN2O*kgtoGg,IF('Net zero activities &amp; levers'!$C$9="On",(('Net zero supporting data'!T159*'Net zero supporting data'!T183)+('Net zero supporting data'!T171*ManureNEF))*NtoN2O*kgtoGg,"ERROR"))</f>
        <v>0.59953250893616183</v>
      </c>
      <c r="AD667" s="94">
        <f>IF('Net zero activities &amp; levers'!$C$9="Off",'Activity data'!AW50*ManureNEF*NtoN2O*kgtoGg,IF('Net zero activities &amp; levers'!$C$9="On",(('Net zero supporting data'!U159*'Net zero supporting data'!U183)+('Net zero supporting data'!U171*ManureNEF))*NtoN2O*kgtoGg,"ERROR"))</f>
        <v>0.60181430512751644</v>
      </c>
      <c r="AE667" s="94">
        <f>IF('Net zero activities &amp; levers'!$C$9="Off",'Activity data'!AX50*ManureNEF*NtoN2O*kgtoGg,IF('Net zero activities &amp; levers'!$C$9="On",(('Net zero supporting data'!V159*'Net zero supporting data'!V183)+('Net zero supporting data'!V171*ManureNEF))*NtoN2O*kgtoGg,"ERROR"))</f>
        <v>0.60340833018876772</v>
      </c>
      <c r="AF667" s="94">
        <f>IF('Net zero activities &amp; levers'!$C$9="Off",'Activity data'!AY50*ManureNEF*NtoN2O*kgtoGg,IF('Net zero activities &amp; levers'!$C$9="On",(('Net zero supporting data'!W159*'Net zero supporting data'!W183)+('Net zero supporting data'!W171*ManureNEF))*NtoN2O*kgtoGg,"ERROR"))</f>
        <v>0.60430428229357946</v>
      </c>
      <c r="AG667" s="94">
        <f>IF('Net zero activities &amp; levers'!$C$9="Off",'Activity data'!AZ50*ManureNEF*NtoN2O*kgtoGg,IF('Net zero activities &amp; levers'!$C$9="On",(('Net zero supporting data'!X159*'Net zero supporting data'!X183)+('Net zero supporting data'!X171*ManureNEF))*NtoN2O*kgtoGg,"ERROR"))</f>
        <v>0.60449220860104358</v>
      </c>
      <c r="AH667" s="94">
        <f>IF('Net zero activities &amp; levers'!$C$9="Off",'Activity data'!BA50*ManureNEF*NtoN2O*kgtoGg,IF('Net zero activities &amp; levers'!$C$9="On",(('Net zero supporting data'!Y159*'Net zero supporting data'!Y183)+('Net zero supporting data'!Y171*ManureNEF))*NtoN2O*kgtoGg,"ERROR"))</f>
        <v>0.60397029153121029</v>
      </c>
      <c r="AI667" s="94">
        <f>IF('Net zero activities &amp; levers'!$C$9="Off",'Activity data'!BB50*ManureNEF*NtoN2O*kgtoGg,IF('Net zero activities &amp; levers'!$C$9="On",(('Net zero supporting data'!Z159*'Net zero supporting data'!Z183)+('Net zero supporting data'!Z171*ManureNEF))*NtoN2O*kgtoGg,"ERROR"))</f>
        <v>0.60274150240431557</v>
      </c>
      <c r="AJ667" s="94">
        <f>IF('Net zero activities &amp; levers'!$C$9="Off",'Activity data'!BC50*ManureNEF*NtoN2O*kgtoGg,IF('Net zero activities &amp; levers'!$C$9="On",(('Net zero supporting data'!AA159*'Net zero supporting data'!AA183)+('Net zero supporting data'!AA171*ManureNEF))*NtoN2O*kgtoGg,"ERROR"))</f>
        <v>0.19069698851099628</v>
      </c>
      <c r="AK667" s="94">
        <f>IF('Net zero activities &amp; levers'!$C$9="Off",'Activity data'!BD50*ManureNEF*NtoN2O*kgtoGg,IF('Net zero activities &amp; levers'!$C$9="On",(('Net zero supporting data'!AB159*'Net zero supporting data'!AB183)+('Net zero supporting data'!AB171*ManureNEF))*NtoN2O*kgtoGg,"ERROR"))</f>
        <v>0.19083619411236313</v>
      </c>
      <c r="AL667" s="94">
        <f>IF('Net zero activities &amp; levers'!$C$9="Off",'Activity data'!BE50*ManureNEF*NtoN2O*kgtoGg,IF('Net zero activities &amp; levers'!$C$9="On",(('Net zero supporting data'!AC159*'Net zero supporting data'!AC183)+('Net zero supporting data'!AC171*ManureNEF))*NtoN2O*kgtoGg,"ERROR"))</f>
        <v>0.19096537877553132</v>
      </c>
      <c r="AM667" s="94">
        <f>IF('Net zero activities &amp; levers'!$C$9="Off",'Activity data'!BF50*ManureNEF*NtoN2O*kgtoGg,IF('Net zero activities &amp; levers'!$C$9="On",(('Net zero supporting data'!AD159*'Net zero supporting data'!AD183)+('Net zero supporting data'!AD171*ManureNEF))*NtoN2O*kgtoGg,"ERROR"))</f>
        <v>0.19108541639025195</v>
      </c>
      <c r="AN667" s="94">
        <f>IF('Net zero activities &amp; levers'!$C$9="Off",'Activity data'!BG50*ManureNEF*NtoN2O*kgtoGg,IF('Net zero activities &amp; levers'!$C$9="On",(('Net zero supporting data'!AE159*'Net zero supporting data'!AE183)+('Net zero supporting data'!AE171*ManureNEF))*NtoN2O*kgtoGg,"ERROR"))</f>
        <v>0.19119738340555115</v>
      </c>
      <c r="AO667" s="94">
        <f>IF('Net zero activities &amp; levers'!$C$9="Off",'Activity data'!BH50*ManureNEF*NtoN2O*kgtoGg,IF('Net zero activities &amp; levers'!$C$9="On",(('Net zero supporting data'!AF159*'Net zero supporting data'!AF183)+('Net zero supporting data'!AF171*ManureNEF))*NtoN2O*kgtoGg,"ERROR"))</f>
        <v>0.19129776572073925</v>
      </c>
      <c r="AP667" s="94">
        <f>IF('Net zero activities &amp; levers'!$C$9="Off",'Activity data'!BI50*ManureNEF*NtoN2O*kgtoGg,IF('Net zero activities &amp; levers'!$C$9="On",(('Net zero supporting data'!AG159*'Net zero supporting data'!AG183)+('Net zero supporting data'!AG171*ManureNEF))*NtoN2O*kgtoGg,"ERROR"))</f>
        <v>0.19138420348192833</v>
      </c>
      <c r="AQ667" s="94">
        <f>IF('Net zero activities &amp; levers'!$C$9="Off",'Activity data'!BJ50*ManureNEF*NtoN2O*kgtoGg,IF('Net zero activities &amp; levers'!$C$9="On",(('Net zero supporting data'!AH159*'Net zero supporting data'!AH183)+('Net zero supporting data'!AH171*ManureNEF))*NtoN2O*kgtoGg,"ERROR"))</f>
        <v>0.19145631825873433</v>
      </c>
      <c r="AR667" s="94">
        <f>IF('Net zero activities &amp; levers'!$C$9="Off",'Activity data'!BK50*ManureNEF*NtoN2O*kgtoGg,IF('Net zero activities &amp; levers'!$C$9="On",(('Net zero supporting data'!AI159*'Net zero supporting data'!AI183)+('Net zero supporting data'!AI171*ManureNEF))*NtoN2O*kgtoGg,"ERROR"))</f>
        <v>0.19151143246366148</v>
      </c>
      <c r="AS667" s="94">
        <f>IF('Net zero activities &amp; levers'!$C$9="Off",'Activity data'!BL50*ManureNEF*NtoN2O*kgtoGg,IF('Net zero activities &amp; levers'!$C$9="On",(('Net zero supporting data'!AJ159*'Net zero supporting data'!AJ183)+('Net zero supporting data'!AJ171*ManureNEF))*NtoN2O*kgtoGg,"ERROR"))</f>
        <v>0.19154663907394784</v>
      </c>
      <c r="AT667" s="94">
        <f>IF('Net zero activities &amp; levers'!$C$9="Off",'Activity data'!BM50*ManureNEF*NtoN2O*kgtoGg,IF('Net zero activities &amp; levers'!$C$9="On",(('Net zero supporting data'!AK159*'Net zero supporting data'!AK183)+('Net zero supporting data'!AK171*ManureNEF))*NtoN2O*kgtoGg,"ERROR"))</f>
        <v>0.19156157903173729</v>
      </c>
      <c r="AU667" s="94">
        <f>IF('Net zero activities &amp; levers'!$C$9="Off",'Activity data'!BN50*ManureNEF*NtoN2O*kgtoGg,IF('Net zero activities &amp; levers'!$C$9="On",(('Net zero supporting data'!AL159*'Net zero supporting data'!AL183)+('Net zero supporting data'!AL171*ManureNEF))*NtoN2O*kgtoGg,"ERROR"))</f>
        <v>0.19155666524405471</v>
      </c>
      <c r="AV667" s="94">
        <f>IF('Net zero activities &amp; levers'!$C$9="Off",'Activity data'!BO50*ManureNEF*NtoN2O*kgtoGg,IF('Net zero activities &amp; levers'!$C$9="On",(('Net zero supporting data'!AM159*'Net zero supporting data'!AM183)+('Net zero supporting data'!AM171*ManureNEF))*NtoN2O*kgtoGg,"ERROR"))</f>
        <v>0.19153218566591518</v>
      </c>
      <c r="AW667" s="94">
        <f>IF('Net zero activities &amp; levers'!$C$9="Off",'Activity data'!BP50*ManureNEF*NtoN2O*kgtoGg,IF('Net zero activities &amp; levers'!$C$9="On",(('Net zero supporting data'!AN159*'Net zero supporting data'!AN183)+('Net zero supporting data'!AN171*ManureNEF))*NtoN2O*kgtoGg,"ERROR"))</f>
        <v>0.1914854060866179</v>
      </c>
      <c r="AY667" s="79"/>
      <c r="AZ667" s="79"/>
    </row>
    <row r="668" spans="1:52" x14ac:dyDescent="0.25">
      <c r="A668" s="95" t="str">
        <f t="shared" si="133"/>
        <v>NI Organic</v>
      </c>
      <c r="B668" s="95" t="s">
        <v>969</v>
      </c>
      <c r="C668" s="95" t="s">
        <v>1127</v>
      </c>
      <c r="D668" t="s">
        <v>369</v>
      </c>
      <c r="E668" t="s">
        <v>55</v>
      </c>
      <c r="F668" t="s">
        <v>421</v>
      </c>
      <c r="G668" t="s">
        <v>1154</v>
      </c>
      <c r="H668" t="s">
        <v>1155</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0.94471091139331731</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0.95261910289076102</v>
      </c>
      <c r="P668" s="94">
        <f>IF('Net zero activities &amp; levers'!$C$9="Off",'Activity data'!AI51*ManureNEF*NtoN2O*kgtoGg,IF('Net zero activities &amp; levers'!$C$9="On",(('Net zero supporting data'!G160*'Net zero supporting data'!G183)+('Net zero supporting data'!G172*ManureNEF))*NtoN2O*kgtoGg,"ERROR"))</f>
        <v>0.954151178054501</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0.96141917889497153</v>
      </c>
      <c r="S668" s="94">
        <f>IF('Net zero activities &amp; levers'!$C$9="Off",'Activity data'!AL51*ManureNEF*NtoN2O*kgtoGg,IF('Net zero activities &amp; levers'!$C$9="On",(('Net zero supporting data'!J160*'Net zero supporting data'!J183)+('Net zero supporting data'!J172*ManureNEF))*NtoN2O*kgtoGg,"ERROR"))</f>
        <v>0.93410083205454864</v>
      </c>
      <c r="T668" s="94">
        <f>IF('Net zero activities &amp; levers'!$C$9="Off",'Activity data'!AM51*ManureNEF*NtoN2O*kgtoGg,IF('Net zero activities &amp; levers'!$C$9="On",(('Net zero supporting data'!K160*'Net zero supporting data'!K183)+('Net zero supporting data'!K172*ManureNEF))*NtoN2O*kgtoGg,"ERROR"))</f>
        <v>0.95017335975849948</v>
      </c>
      <c r="U668" s="94">
        <f>IF('Net zero activities &amp; levers'!$C$9="Off",'Activity data'!AN51*ManureNEF*NtoN2O*kgtoGg,IF('Net zero activities &amp; levers'!$C$9="On",(('Net zero supporting data'!L160*'Net zero supporting data'!L183)+('Net zero supporting data'!L172*ManureNEF))*NtoN2O*kgtoGg,"ERROR"))</f>
        <v>1.6348492529189775</v>
      </c>
      <c r="V668" s="94">
        <f>IF('Net zero activities &amp; levers'!$C$9="Off",'Activity data'!AO51*ManureNEF*NtoN2O*kgtoGg,IF('Net zero activities &amp; levers'!$C$9="On",(('Net zero supporting data'!M160*'Net zero supporting data'!M183)+('Net zero supporting data'!M172*ManureNEF))*NtoN2O*kgtoGg,"ERROR"))</f>
        <v>1.654556597592997</v>
      </c>
      <c r="W668" s="94">
        <f>IF('Net zero activities &amp; levers'!$C$9="Off",'Activity data'!AP51*ManureNEF*NtoN2O*kgtoGg,IF('Net zero activities &amp; levers'!$C$9="On",(('Net zero supporting data'!N160*'Net zero supporting data'!N183)+('Net zero supporting data'!N172*ManureNEF))*NtoN2O*kgtoGg,"ERROR"))</f>
        <v>1.6733995299117927</v>
      </c>
      <c r="X668" s="94">
        <f>IF('Net zero activities &amp; levers'!$C$9="Off",'Activity data'!AQ51*ManureNEF*NtoN2O*kgtoGg,IF('Net zero activities &amp; levers'!$C$9="On",(('Net zero supporting data'!O160*'Net zero supporting data'!O183)+('Net zero supporting data'!O172*ManureNEF))*NtoN2O*kgtoGg,"ERROR"))</f>
        <v>1.6910575357556168</v>
      </c>
      <c r="Y668" s="94">
        <f>IF('Net zero activities &amp; levers'!$C$9="Off",'Activity data'!AR51*ManureNEF*NtoN2O*kgtoGg,IF('Net zero activities &amp; levers'!$C$9="On",(('Net zero supporting data'!P160*'Net zero supporting data'!P183)+('Net zero supporting data'!P172*ManureNEF))*NtoN2O*kgtoGg,"ERROR"))</f>
        <v>1.7070590539423278</v>
      </c>
      <c r="Z668" s="94">
        <f>IF('Net zero activities &amp; levers'!$C$9="Off",'Activity data'!AS51*ManureNEF*NtoN2O*kgtoGg,IF('Net zero activities &amp; levers'!$C$9="On",(('Net zero supporting data'!Q160*'Net zero supporting data'!Q183)+('Net zero supporting data'!Q172*ManureNEF))*NtoN2O*kgtoGg,"ERROR"))</f>
        <v>1.7213293570218551</v>
      </c>
      <c r="AA668" s="94">
        <f>IF('Net zero activities &amp; levers'!$C$9="Off",'Activity data'!AT51*ManureNEF*NtoN2O*kgtoGg,IF('Net zero activities &amp; levers'!$C$9="On",(('Net zero supporting data'!R160*'Net zero supporting data'!R183)+('Net zero supporting data'!R172*ManureNEF))*NtoN2O*kgtoGg,"ERROR"))</f>
        <v>1.7337853129463565</v>
      </c>
      <c r="AB668" s="94">
        <f>IF('Net zero activities &amp; levers'!$C$9="Off",'Activity data'!AU51*ManureNEF*NtoN2O*kgtoGg,IF('Net zero activities &amp; levers'!$C$9="On",(('Net zero supporting data'!S160*'Net zero supporting data'!S183)+('Net zero supporting data'!S172*ManureNEF))*NtoN2O*kgtoGg,"ERROR"))</f>
        <v>1.7443640030228067</v>
      </c>
      <c r="AC668" s="94">
        <f>IF('Net zero activities &amp; levers'!$C$9="Off",'Activity data'!AV51*ManureNEF*NtoN2O*kgtoGg,IF('Net zero activities &amp; levers'!$C$9="On",(('Net zero supporting data'!T160*'Net zero supporting data'!T183)+('Net zero supporting data'!T172*ManureNEF))*NtoN2O*kgtoGg,"ERROR"))</f>
        <v>1.753015528262897</v>
      </c>
      <c r="AD668" s="94">
        <f>IF('Net zero activities &amp; levers'!$C$9="Off",'Activity data'!AW51*ManureNEF*NtoN2O*kgtoGg,IF('Net zero activities &amp; levers'!$C$9="On",(('Net zero supporting data'!U160*'Net zero supporting data'!U183)+('Net zero supporting data'!U172*ManureNEF))*NtoN2O*kgtoGg,"ERROR"))</f>
        <v>1.7596874336160764</v>
      </c>
      <c r="AE668" s="94">
        <f>IF('Net zero activities &amp; levers'!$C$9="Off",'Activity data'!AX51*ManureNEF*NtoN2O*kgtoGg,IF('Net zero activities &amp; levers'!$C$9="On",(('Net zero supporting data'!V160*'Net zero supporting data'!V183)+('Net zero supporting data'!V172*ManureNEF))*NtoN2O*kgtoGg,"ERROR"))</f>
        <v>1.7643483162924332</v>
      </c>
      <c r="AF668" s="94">
        <f>IF('Net zero activities &amp; levers'!$C$9="Off",'Activity data'!AY51*ManureNEF*NtoN2O*kgtoGg,IF('Net zero activities &amp; levers'!$C$9="On",(('Net zero supporting data'!W160*'Net zero supporting data'!W183)+('Net zero supporting data'!W172*ManureNEF))*NtoN2O*kgtoGg,"ERROR"))</f>
        <v>1.7669680540529458</v>
      </c>
      <c r="AG668" s="94">
        <f>IF('Net zero activities &amp; levers'!$C$9="Off",'Activity data'!AZ51*ManureNEF*NtoN2O*kgtoGg,IF('Net zero activities &amp; levers'!$C$9="On",(('Net zero supporting data'!X160*'Net zero supporting data'!X183)+('Net zero supporting data'!X172*ManureNEF))*NtoN2O*kgtoGg,"ERROR"))</f>
        <v>1.7675175450817782</v>
      </c>
      <c r="AH668" s="94">
        <f>IF('Net zero activities &amp; levers'!$C$9="Off",'Activity data'!BA51*ManureNEF*NtoN2O*kgtoGg,IF('Net zero activities &amp; levers'!$C$9="On",(('Net zero supporting data'!Y160*'Net zero supporting data'!Y183)+('Net zero supporting data'!Y172*ManureNEF))*NtoN2O*kgtoGg,"ERROR"))</f>
        <v>1.7659914748282959</v>
      </c>
      <c r="AI668" s="94">
        <f>IF('Net zero activities &amp; levers'!$C$9="Off",'Activity data'!BB51*ManureNEF*NtoN2O*kgtoGg,IF('Net zero activities &amp; levers'!$C$9="On",(('Net zero supporting data'!Z160*'Net zero supporting data'!Z183)+('Net zero supporting data'!Z172*ManureNEF))*NtoN2O*kgtoGg,"ERROR"))</f>
        <v>1.7623985313459991</v>
      </c>
      <c r="AJ668" s="94">
        <f>IF('Net zero activities &amp; levers'!$C$9="Off",'Activity data'!BC51*ManureNEF*NtoN2O*kgtoGg,IF('Net zero activities &amp; levers'!$C$9="On",(('Net zero supporting data'!AA160*'Net zero supporting data'!AA183)+('Net zero supporting data'!AA172*ManureNEF))*NtoN2O*kgtoGg,"ERROR"))</f>
        <v>0.55759241920998737</v>
      </c>
      <c r="AK668" s="94">
        <f>IF('Net zero activities &amp; levers'!$C$9="Off",'Activity data'!BD51*ManureNEF*NtoN2O*kgtoGg,IF('Net zero activities &amp; levers'!$C$9="On",(('Net zero supporting data'!AB160*'Net zero supporting data'!AB183)+('Net zero supporting data'!AB172*ManureNEF))*NtoN2O*kgtoGg,"ERROR"))</f>
        <v>0.55799945231858428</v>
      </c>
      <c r="AL668" s="94">
        <f>IF('Net zero activities &amp; levers'!$C$9="Off",'Activity data'!BE51*ManureNEF*NtoN2O*kgtoGg,IF('Net zero activities &amp; levers'!$C$9="On",(('Net zero supporting data'!AC160*'Net zero supporting data'!AC183)+('Net zero supporting data'!AC172*ManureNEF))*NtoN2O*kgtoGg,"ERROR"))</f>
        <v>0.55837718449685969</v>
      </c>
      <c r="AM668" s="94">
        <f>IF('Net zero activities &amp; levers'!$C$9="Off",'Activity data'!BF51*ManureNEF*NtoN2O*kgtoGg,IF('Net zero activities &amp; levers'!$C$9="On",(('Net zero supporting data'!AD160*'Net zero supporting data'!AD183)+('Net zero supporting data'!AD172*ManureNEF))*NtoN2O*kgtoGg,"ERROR"))</f>
        <v>0.55872817097289618</v>
      </c>
      <c r="AN668" s="94">
        <f>IF('Net zero activities &amp; levers'!$C$9="Off",'Activity data'!BG51*ManureNEF*NtoN2O*kgtoGg,IF('Net zero activities &amp; levers'!$C$9="On",(('Net zero supporting data'!AE160*'Net zero supporting data'!AE183)+('Net zero supporting data'!AE172*ManureNEF))*NtoN2O*kgtoGg,"ERROR"))</f>
        <v>0.55905555925217576</v>
      </c>
      <c r="AO668" s="94">
        <f>IF('Net zero activities &amp; levers'!$C$9="Off",'Activity data'!BH51*ManureNEF*NtoN2O*kgtoGg,IF('Net zero activities &amp; levers'!$C$9="On",(('Net zero supporting data'!AF160*'Net zero supporting data'!AF183)+('Net zero supporting data'!AF172*ManureNEF))*NtoN2O*kgtoGg,"ERROR"))</f>
        <v>0.55934907420701951</v>
      </c>
      <c r="AP668" s="94">
        <f>IF('Net zero activities &amp; levers'!$C$9="Off",'Activity data'!BI51*ManureNEF*NtoN2O*kgtoGg,IF('Net zero activities &amp; levers'!$C$9="On",(('Net zero supporting data'!AG160*'Net zero supporting data'!AG183)+('Net zero supporting data'!AG172*ManureNEF))*NtoN2O*kgtoGg,"ERROR"))</f>
        <v>0.55960181569365119</v>
      </c>
      <c r="AQ668" s="94">
        <f>IF('Net zero activities &amp; levers'!$C$9="Off",'Activity data'!BJ51*ManureNEF*NtoN2O*kgtoGg,IF('Net zero activities &amp; levers'!$C$9="On",(('Net zero supporting data'!AH160*'Net zero supporting data'!AH183)+('Net zero supporting data'!AH172*ManureNEF))*NtoN2O*kgtoGg,"ERROR"))</f>
        <v>0.55981267719269234</v>
      </c>
      <c r="AR668" s="94">
        <f>IF('Net zero activities &amp; levers'!$C$9="Off",'Activity data'!BK51*ManureNEF*NtoN2O*kgtoGg,IF('Net zero activities &amp; levers'!$C$9="On",(('Net zero supporting data'!AI160*'Net zero supporting data'!AI183)+('Net zero supporting data'!AI172*ManureNEF))*NtoN2O*kgtoGg,"ERROR"))</f>
        <v>0.55997382951658647</v>
      </c>
      <c r="AS668" s="94">
        <f>IF('Net zero activities &amp; levers'!$C$9="Off",'Activity data'!BL51*ManureNEF*NtoN2O*kgtoGg,IF('Net zero activities &amp; levers'!$C$9="On",(('Net zero supporting data'!AJ160*'Net zero supporting data'!AJ183)+('Net zero supporting data'!AJ172*ManureNEF))*NtoN2O*kgtoGg,"ERROR"))</f>
        <v>0.56007677261576738</v>
      </c>
      <c r="AT668" s="94">
        <f>IF('Net zero activities &amp; levers'!$C$9="Off",'Activity data'!BM51*ManureNEF*NtoN2O*kgtoGg,IF('Net zero activities &amp; levers'!$C$9="On",(('Net zero supporting data'!AK160*'Net zero supporting data'!AK183)+('Net zero supporting data'!AK172*ManureNEF))*NtoN2O*kgtoGg,"ERROR"))</f>
        <v>0.56012045661556076</v>
      </c>
      <c r="AU668" s="94">
        <f>IF('Net zero activities &amp; levers'!$C$9="Off",'Activity data'!BN51*ManureNEF*NtoN2O*kgtoGg,IF('Net zero activities &amp; levers'!$C$9="On",(('Net zero supporting data'!AL160*'Net zero supporting data'!AL183)+('Net zero supporting data'!AL172*ManureNEF))*NtoN2O*kgtoGg,"ERROR"))</f>
        <v>0.56010608884403601</v>
      </c>
      <c r="AV668" s="94">
        <f>IF('Net zero activities &amp; levers'!$C$9="Off",'Activity data'!BO51*ManureNEF*NtoN2O*kgtoGg,IF('Net zero activities &amp; levers'!$C$9="On",(('Net zero supporting data'!AM160*'Net zero supporting data'!AM183)+('Net zero supporting data'!AM172*ManureNEF))*NtoN2O*kgtoGg,"ERROR"))</f>
        <v>0.56003451127323822</v>
      </c>
      <c r="AW668" s="94">
        <f>IF('Net zero activities &amp; levers'!$C$9="Off",'Activity data'!BP51*ManureNEF*NtoN2O*kgtoGg,IF('Net zero activities &amp; levers'!$C$9="On",(('Net zero supporting data'!AN160*'Net zero supporting data'!AN183)+('Net zero supporting data'!AN172*ManureNEF))*NtoN2O*kgtoGg,"ERROR"))</f>
        <v>0.55989772915101532</v>
      </c>
      <c r="AY668" s="79"/>
      <c r="AZ668" s="79"/>
    </row>
    <row r="669" spans="1:52" x14ac:dyDescent="0.25">
      <c r="A669" s="95" t="str">
        <f t="shared" si="133"/>
        <v>NI Organic</v>
      </c>
      <c r="B669" s="95" t="s">
        <v>969</v>
      </c>
      <c r="C669" s="95" t="s">
        <v>1127</v>
      </c>
      <c r="D669" t="s">
        <v>369</v>
      </c>
      <c r="E669" t="s">
        <v>55</v>
      </c>
      <c r="F669" t="s">
        <v>421</v>
      </c>
      <c r="G669" t="s">
        <v>1156</v>
      </c>
      <c r="H669" t="s">
        <v>1157</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5.0536707115294892E-2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5.0959750770976343E-2</v>
      </c>
      <c r="P669" s="94">
        <f>IF('Net zero activities &amp; levers'!$C$9="Off",'Activity data'!AI52*ManureNEF*NtoN2O*kgtoGg,IF('Net zero activities &amp; levers'!$C$9="On",(('Net zero supporting data'!G161*'Net zero supporting data'!G183)+('Net zero supporting data'!G173*ManureNEF))*NtoN2O*kgtoGg,"ERROR"))</f>
        <v>5.1041708153806126E-2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5.1430505218981189E-2</v>
      </c>
      <c r="S669" s="94">
        <f>IF('Net zero activities &amp; levers'!$C$9="Off",'Activity data'!AL52*ManureNEF*NtoN2O*kgtoGg,IF('Net zero activities &amp; levers'!$C$9="On",(('Net zero supporting data'!J161*'Net zero supporting data'!J183)+('Net zero supporting data'!J173*ManureNEF))*NtoN2O*kgtoGg,"ERROR"))</f>
        <v>4.9969127694387626E-2</v>
      </c>
      <c r="T669" s="94">
        <f>IF('Net zero activities &amp; levers'!$C$9="Off",'Activity data'!AM52*ManureNEF*NtoN2O*kgtoGg,IF('Net zero activities &amp; levers'!$C$9="On",(('Net zero supporting data'!K161*'Net zero supporting data'!K183)+('Net zero supporting data'!K173*ManureNEF))*NtoN2O*kgtoGg,"ERROR"))</f>
        <v>5.08289173034428E-2</v>
      </c>
      <c r="U669" s="94">
        <f>IF('Net zero activities &amp; levers'!$C$9="Off",'Activity data'!AN52*ManureNEF*NtoN2O*kgtoGg,IF('Net zero activities &amp; levers'!$C$9="On",(('Net zero supporting data'!L161*'Net zero supporting data'!L183)+('Net zero supporting data'!L173*ManureNEF))*NtoN2O*kgtoGg,"ERROR"))</f>
        <v>8.7455217120941425E-2</v>
      </c>
      <c r="V669" s="94">
        <f>IF('Net zero activities &amp; levers'!$C$9="Off",'Activity data'!AO52*ManureNEF*NtoN2O*kgtoGg,IF('Net zero activities &amp; levers'!$C$9="On",(('Net zero supporting data'!M161*'Net zero supporting data'!M183)+('Net zero supporting data'!M173*ManureNEF))*NtoN2O*kgtoGg,"ERROR"))</f>
        <v>8.8509448943396227E-2</v>
      </c>
      <c r="W669" s="94">
        <f>IF('Net zero activities &amp; levers'!$C$9="Off",'Activity data'!AP52*ManureNEF*NtoN2O*kgtoGg,IF('Net zero activities &amp; levers'!$C$9="On",(('Net zero supporting data'!N161*'Net zero supporting data'!N183)+('Net zero supporting data'!N173*ManureNEF))*NtoN2O*kgtoGg,"ERROR"))</f>
        <v>8.9517439578736563E-2</v>
      </c>
      <c r="X669" s="94">
        <f>IF('Net zero activities &amp; levers'!$C$9="Off",'Activity data'!AQ52*ManureNEF*NtoN2O*kgtoGg,IF('Net zero activities &amp; levers'!$C$9="On",(('Net zero supporting data'!O161*'Net zero supporting data'!O183)+('Net zero supporting data'!O173*ManureNEF))*NtoN2O*kgtoGg,"ERROR"))</f>
        <v>9.0462043328738057E-2</v>
      </c>
      <c r="Y669" s="94">
        <f>IF('Net zero activities &amp; levers'!$C$9="Off",'Activity data'!AR52*ManureNEF*NtoN2O*kgtoGg,IF('Net zero activities &amp; levers'!$C$9="On",(('Net zero supporting data'!P161*'Net zero supporting data'!P183)+('Net zero supporting data'!P173*ManureNEF))*NtoN2O*kgtoGg,"ERROR"))</f>
        <v>9.1318034328999972E-2</v>
      </c>
      <c r="Z669" s="94">
        <f>IF('Net zero activities &amp; levers'!$C$9="Off",'Activity data'!AS52*ManureNEF*NtoN2O*kgtoGg,IF('Net zero activities &amp; levers'!$C$9="On",(('Net zero supporting data'!Q161*'Net zero supporting data'!Q183)+('Net zero supporting data'!Q173*ManureNEF))*NtoN2O*kgtoGg,"ERROR"))</f>
        <v>9.2081415082285539E-2</v>
      </c>
      <c r="AA669" s="94">
        <f>IF('Net zero activities &amp; levers'!$C$9="Off",'Activity data'!AT52*ManureNEF*NtoN2O*kgtoGg,IF('Net zero activities &amp; levers'!$C$9="On",(('Net zero supporting data'!R161*'Net zero supporting data'!R183)+('Net zero supporting data'!R173*ManureNEF))*NtoN2O*kgtoGg,"ERROR"))</f>
        <v>9.2747738492765894E-2</v>
      </c>
      <c r="AB669" s="94">
        <f>IF('Net zero activities &amp; levers'!$C$9="Off",'Activity data'!AU52*ManureNEF*NtoN2O*kgtoGg,IF('Net zero activities &amp; levers'!$C$9="On",(('Net zero supporting data'!S161*'Net zero supporting data'!S183)+('Net zero supporting data'!S173*ManureNEF))*NtoN2O*kgtoGg,"ERROR"))</f>
        <v>9.3313638765123857E-2</v>
      </c>
      <c r="AC669" s="94">
        <f>IF('Net zero activities &amp; levers'!$C$9="Off",'Activity data'!AV52*ManureNEF*NtoN2O*kgtoGg,IF('Net zero activities &amp; levers'!$C$9="On",(('Net zero supporting data'!T161*'Net zero supporting data'!T183)+('Net zero supporting data'!T173*ManureNEF))*NtoN2O*kgtoGg,"ERROR"))</f>
        <v>9.3776446584834763E-2</v>
      </c>
      <c r="AD669" s="94">
        <f>IF('Net zero activities &amp; levers'!$C$9="Off",'Activity data'!AW52*ManureNEF*NtoN2O*kgtoGg,IF('Net zero activities &amp; levers'!$C$9="On",(('Net zero supporting data'!U161*'Net zero supporting data'!U183)+('Net zero supporting data'!U173*ManureNEF))*NtoN2O*kgtoGg,"ERROR"))</f>
        <v>9.4133355902455834E-2</v>
      </c>
      <c r="AE669" s="94">
        <f>IF('Net zero activities &amp; levers'!$C$9="Off",'Activity data'!AX52*ManureNEF*NtoN2O*kgtoGg,IF('Net zero activities &amp; levers'!$C$9="On",(('Net zero supporting data'!V161*'Net zero supporting data'!V183)+('Net zero supporting data'!V173*ManureNEF))*NtoN2O*kgtoGg,"ERROR"))</f>
        <v>9.4382686845787919E-2</v>
      </c>
      <c r="AF669" s="94">
        <f>IF('Net zero activities &amp; levers'!$C$9="Off",'Activity data'!AY52*ManureNEF*NtoN2O*kgtoGg,IF('Net zero activities &amp; levers'!$C$9="On",(('Net zero supporting data'!W161*'Net zero supporting data'!W183)+('Net zero supporting data'!W173*ManureNEF))*NtoN2O*kgtoGg,"ERROR"))</f>
        <v>9.4522828044884072E-2</v>
      </c>
      <c r="AG669" s="94">
        <f>IF('Net zero activities &amp; levers'!$C$9="Off",'Activity data'!AZ52*ManureNEF*NtoN2O*kgtoGg,IF('Net zero activities &amp; levers'!$C$9="On",(('Net zero supporting data'!X161*'Net zero supporting data'!X183)+('Net zero supporting data'!X173*ManureNEF))*NtoN2O*kgtoGg,"ERROR"))</f>
        <v>9.4552222716684439E-2</v>
      </c>
      <c r="AH669" s="94">
        <f>IF('Net zero activities &amp; levers'!$C$9="Off",'Activity data'!BA52*ManureNEF*NtoN2O*kgtoGg,IF('Net zero activities &amp; levers'!$C$9="On",(('Net zero supporting data'!Y161*'Net zero supporting data'!Y183)+('Net zero supporting data'!Y173*ManureNEF))*NtoN2O*kgtoGg,"ERROR"))</f>
        <v>9.4470586562695413E-2</v>
      </c>
      <c r="AI669" s="94">
        <f>IF('Net zero activities &amp; levers'!$C$9="Off",'Activity data'!BB52*ManureNEF*NtoN2O*kgtoGg,IF('Net zero activities &amp; levers'!$C$9="On",(('Net zero supporting data'!Z161*'Net zero supporting data'!Z183)+('Net zero supporting data'!Z173*ManureNEF))*NtoN2O*kgtoGg,"ERROR"))</f>
        <v>9.4278384344792743E-2</v>
      </c>
      <c r="AJ669" s="94">
        <f>IF('Net zero activities &amp; levers'!$C$9="Off",'Activity data'!BC52*ManureNEF*NtoN2O*kgtoGg,IF('Net zero activities &amp; levers'!$C$9="On",(('Net zero supporting data'!AA161*'Net zero supporting data'!AA183)+('Net zero supporting data'!AA173*ManureNEF))*NtoN2O*kgtoGg,"ERROR"))</f>
        <v>2.9828050506756527E-2</v>
      </c>
      <c r="AK669" s="94">
        <f>IF('Net zero activities &amp; levers'!$C$9="Off",'Activity data'!BD52*ManureNEF*NtoN2O*kgtoGg,IF('Net zero activities &amp; levers'!$C$9="On",(('Net zero supporting data'!AB161*'Net zero supporting data'!AB183)+('Net zero supporting data'!AB173*ManureNEF))*NtoN2O*kgtoGg,"ERROR"))</f>
        <v>2.9849824483056911E-2</v>
      </c>
      <c r="AL669" s="94">
        <f>IF('Net zero activities &amp; levers'!$C$9="Off",'Activity data'!BE52*ManureNEF*NtoN2O*kgtoGg,IF('Net zero activities &amp; levers'!$C$9="On",(('Net zero supporting data'!AC161*'Net zero supporting data'!AC183)+('Net zero supporting data'!AC173*ManureNEF))*NtoN2O*kgtoGg,"ERROR"))</f>
        <v>2.9870031024795022E-2</v>
      </c>
      <c r="AM669" s="94">
        <f>IF('Net zero activities &amp; levers'!$C$9="Off",'Activity data'!BF52*ManureNEF*NtoN2O*kgtoGg,IF('Net zero activities &amp; levers'!$C$9="On",(('Net zero supporting data'!AD161*'Net zero supporting data'!AD183)+('Net zero supporting data'!AD173*ManureNEF))*NtoN2O*kgtoGg,"ERROR"))</f>
        <v>2.9888806822265943E-2</v>
      </c>
      <c r="AN669" s="94">
        <f>IF('Net zero activities &amp; levers'!$C$9="Off",'Activity data'!BG52*ManureNEF*NtoN2O*kgtoGg,IF('Net zero activities &amp; levers'!$C$9="On",(('Net zero supporting data'!AE161*'Net zero supporting data'!AE183)+('Net zero supporting data'!AE173*ManureNEF))*NtoN2O*kgtoGg,"ERROR"))</f>
        <v>2.9906320249266097E-2</v>
      </c>
      <c r="AO669" s="94">
        <f>IF('Net zero activities &amp; levers'!$C$9="Off",'Activity data'!BH52*ManureNEF*NtoN2O*kgtoGg,IF('Net zero activities &amp; levers'!$C$9="On",(('Net zero supporting data'!AF161*'Net zero supporting data'!AF183)+('Net zero supporting data'!AF173*ManureNEF))*NtoN2O*kgtoGg,"ERROR"))</f>
        <v>2.9922021644399784E-2</v>
      </c>
      <c r="AP669" s="94">
        <f>IF('Net zero activities &amp; levers'!$C$9="Off",'Activity data'!BI52*ManureNEF*NtoN2O*kgtoGg,IF('Net zero activities &amp; levers'!$C$9="On",(('Net zero supporting data'!AG161*'Net zero supporting data'!AG183)+('Net zero supporting data'!AG173*ManureNEF))*NtoN2O*kgtoGg,"ERROR"))</f>
        <v>2.9935541888880673E-2</v>
      </c>
      <c r="AQ669" s="94">
        <f>IF('Net zero activities &amp; levers'!$C$9="Off",'Activity data'!BJ52*ManureNEF*NtoN2O*kgtoGg,IF('Net zero activities &amp; levers'!$C$9="On",(('Net zero supporting data'!AH161*'Net zero supporting data'!AH183)+('Net zero supporting data'!AH173*ManureNEF))*NtoN2O*kgtoGg,"ERROR"))</f>
        <v>2.9946821790160959E-2</v>
      </c>
      <c r="AR669" s="94">
        <f>IF('Net zero activities &amp; levers'!$C$9="Off",'Activity data'!BK52*ManureNEF*NtoN2O*kgtoGg,IF('Net zero activities &amp; levers'!$C$9="On",(('Net zero supporting data'!AI161*'Net zero supporting data'!AI183)+('Net zero supporting data'!AI173*ManureNEF))*NtoN2O*kgtoGg,"ERROR"))</f>
        <v>2.995544253085038E-2</v>
      </c>
      <c r="AS669" s="94">
        <f>IF('Net zero activities &amp; levers'!$C$9="Off",'Activity data'!BL52*ManureNEF*NtoN2O*kgtoGg,IF('Net zero activities &amp; levers'!$C$9="On",(('Net zero supporting data'!AJ161*'Net zero supporting data'!AJ183)+('Net zero supporting data'!AJ173*ManureNEF))*NtoN2O*kgtoGg,"ERROR"))</f>
        <v>2.9960949406223684E-2</v>
      </c>
      <c r="AT669" s="94">
        <f>IF('Net zero activities &amp; levers'!$C$9="Off",'Activity data'!BM52*ManureNEF*NtoN2O*kgtoGg,IF('Net zero activities &amp; levers'!$C$9="On",(('Net zero supporting data'!AK161*'Net zero supporting data'!AK183)+('Net zero supporting data'!AK173*ManureNEF))*NtoN2O*kgtoGg,"ERROR"))</f>
        <v>2.9963286253905406E-2</v>
      </c>
      <c r="AU669" s="94">
        <f>IF('Net zero activities &amp; levers'!$C$9="Off",'Activity data'!BN52*ManureNEF*NtoN2O*kgtoGg,IF('Net zero activities &amp; levers'!$C$9="On",(('Net zero supporting data'!AL161*'Net zero supporting data'!AL183)+('Net zero supporting data'!AL173*ManureNEF))*NtoN2O*kgtoGg,"ERROR"))</f>
        <v>2.9962517659139858E-2</v>
      </c>
      <c r="AV669" s="94">
        <f>IF('Net zero activities &amp; levers'!$C$9="Off",'Activity data'!BO52*ManureNEF*NtoN2O*kgtoGg,IF('Net zero activities &amp; levers'!$C$9="On",(('Net zero supporting data'!AM161*'Net zero supporting data'!AM183)+('Net zero supporting data'!AM173*ManureNEF))*NtoN2O*kgtoGg,"ERROR"))</f>
        <v>2.995868866268411E-2</v>
      </c>
      <c r="AW669" s="94">
        <f>IF('Net zero activities &amp; levers'!$C$9="Off",'Activity data'!BP52*ManureNEF*NtoN2O*kgtoGg,IF('Net zero activities &amp; levers'!$C$9="On",(('Net zero supporting data'!AN161*'Net zero supporting data'!AN183)+('Net zero supporting data'!AN173*ManureNEF))*NtoN2O*kgtoGg,"ERROR"))</f>
        <v>2.9951371590375517E-2</v>
      </c>
      <c r="AY669" s="79"/>
      <c r="AZ669" s="79"/>
    </row>
    <row r="670" spans="1:52" x14ac:dyDescent="0.25">
      <c r="A670" s="95" t="str">
        <f t="shared" si="133"/>
        <v>NI Organic</v>
      </c>
      <c r="B670" s="95" t="s">
        <v>969</v>
      </c>
      <c r="C670" s="95" t="s">
        <v>1127</v>
      </c>
      <c r="D670" t="s">
        <v>369</v>
      </c>
      <c r="E670" t="s">
        <v>55</v>
      </c>
      <c r="F670" t="s">
        <v>421</v>
      </c>
      <c r="G670" t="s">
        <v>1158</v>
      </c>
      <c r="H670" t="s">
        <v>1159</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0.39999978998352292</v>
      </c>
      <c r="L670" s="94">
        <f>IF('Net zero activities &amp; levers'!$C$9="Off",'Activity data'!AE53*ManureNEF*NtoN2O*kgtoGg,IF('Net zero activities &amp; levers'!$C$9="On",(('Net zero supporting data'!C162*'Net zero supporting data'!C183)+('Net zero supporting data'!C174*ManureNEF))*NtoN2O*kgtoGg,"ERROR"))</f>
        <v>0.39653071954810204</v>
      </c>
      <c r="M670" s="94">
        <f>IF('Net zero activities &amp; levers'!$C$9="Off",'Activity data'!AF53*ManureNEF*NtoN2O*kgtoGg,IF('Net zero activities &amp; levers'!$C$9="On",(('Net zero supporting data'!D162*'Net zero supporting data'!D183)+('Net zero supporting data'!D174*ManureNEF))*NtoN2O*kgtoGg,"ERROR"))</f>
        <v>0.39521014945095018</v>
      </c>
      <c r="N670" s="94">
        <f>IF('Net zero activities &amp; levers'!$C$9="Off",'Activity data'!AG53*ManureNEF*NtoN2O*kgtoGg,IF('Net zero activities &amp; levers'!$C$9="On",(('Net zero supporting data'!E162*'Net zero supporting data'!E183)+('Net zero supporting data'!E174*ManureNEF))*NtoN2O*kgtoGg,"ERROR"))</f>
        <v>0.38993263522397326</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0.37238723301511389</v>
      </c>
      <c r="Q670" s="94">
        <f>IF('Net zero activities &amp; levers'!$C$9="Off",'Activity data'!AJ53*ManureNEF*NtoN2O*kgtoGg,IF('Net zero activities &amp; levers'!$C$9="On",(('Net zero supporting data'!H162*'Net zero supporting data'!H183)+('Net zero supporting data'!H174*ManureNEF))*NtoN2O*kgtoGg,"ERROR"))</f>
        <v>0.36459067483623864</v>
      </c>
      <c r="R670" s="94">
        <f>IF('Net zero activities &amp; levers'!$C$9="Off",'Activity data'!AK53*ManureNEF*NtoN2O*kgtoGg,IF('Net zero activities &amp; levers'!$C$9="On",(('Net zero supporting data'!I162*'Net zero supporting data'!I183)+('Net zero supporting data'!I174*ManureNEF))*NtoN2O*kgtoGg,"ERROR"))</f>
        <v>0.35721424445443944</v>
      </c>
      <c r="S670" s="94">
        <f>IF('Net zero activities &amp; levers'!$C$9="Off",'Activity data'!AL53*ManureNEF*NtoN2O*kgtoGg,IF('Net zero activities &amp; levers'!$C$9="On",(('Net zero supporting data'!J162*'Net zero supporting data'!J183)+('Net zero supporting data'!J174*ManureNEF))*NtoN2O*kgtoGg,"ERROR"))</f>
        <v>0.31946339774377674</v>
      </c>
      <c r="T670" s="94">
        <f>IF('Net zero activities &amp; levers'!$C$9="Off",'Activity data'!AM53*ManureNEF*NtoN2O*kgtoGg,IF('Net zero activities &amp; levers'!$C$9="On",(('Net zero supporting data'!K162*'Net zero supporting data'!K183)+('Net zero supporting data'!K174*ManureNEF))*NtoN2O*kgtoGg,"ERROR"))</f>
        <v>0.33177135164852617</v>
      </c>
      <c r="U670" s="94">
        <f>IF('Net zero activities &amp; levers'!$C$9="Off",'Activity data'!AN53*ManureNEF*NtoN2O*kgtoGg,IF('Net zero activities &amp; levers'!$C$9="On",(('Net zero supporting data'!L162*'Net zero supporting data'!L183)+('Net zero supporting data'!L174*ManureNEF))*NtoN2O*kgtoGg,"ERROR"))</f>
        <v>1.0456423232959036</v>
      </c>
      <c r="V670" s="94">
        <f>IF('Net zero activities &amp; levers'!$C$9="Off",'Activity data'!AO53*ManureNEF*NtoN2O*kgtoGg,IF('Net zero activities &amp; levers'!$C$9="On",(('Net zero supporting data'!M162*'Net zero supporting data'!M183)+('Net zero supporting data'!M174*ManureNEF))*NtoN2O*kgtoGg,"ERROR"))</f>
        <v>1.0506858527476302</v>
      </c>
      <c r="W670" s="94">
        <f>IF('Net zero activities &amp; levers'!$C$9="Off",'Activity data'!AP53*ManureNEF*NtoN2O*kgtoGg,IF('Net zero activities &amp; levers'!$C$9="On",(('Net zero supporting data'!N162*'Net zero supporting data'!N183)+('Net zero supporting data'!N174*ManureNEF))*NtoN2O*kgtoGg,"ERROR"))</f>
        <v>1.0539136991279403</v>
      </c>
      <c r="X670" s="94">
        <f>IF('Net zero activities &amp; levers'!$C$9="Off",'Activity data'!AQ53*ManureNEF*NtoN2O*kgtoGg,IF('Net zero activities &amp; levers'!$C$9="On",(('Net zero supporting data'!O162*'Net zero supporting data'!O183)+('Net zero supporting data'!O174*ManureNEF))*NtoN2O*kgtoGg,"ERROR"))</f>
        <v>1.0553252049864941</v>
      </c>
      <c r="Y670" s="94">
        <f>IF('Net zero activities &amp; levers'!$C$9="Off",'Activity data'!AR53*ManureNEF*NtoN2O*kgtoGg,IF('Net zero activities &amp; levers'!$C$9="On",(('Net zero supporting data'!P162*'Net zero supporting data'!P183)+('Net zero supporting data'!P174*ManureNEF))*NtoN2O*kgtoGg,"ERROR"))</f>
        <v>1.0549502713547947</v>
      </c>
      <c r="Z670" s="94">
        <f>IF('Net zero activities &amp; levers'!$C$9="Off",'Activity data'!AS53*ManureNEF*NtoN2O*kgtoGg,IF('Net zero activities &amp; levers'!$C$9="On",(('Net zero supporting data'!Q162*'Net zero supporting data'!Q183)+('Net zero supporting data'!Q174*ManureNEF))*NtoN2O*kgtoGg,"ERROR"))</f>
        <v>1.0527709267508603</v>
      </c>
      <c r="AA670" s="94">
        <f>IF('Net zero activities &amp; levers'!$C$9="Off",'Activity data'!AT53*ManureNEF*NtoN2O*kgtoGg,IF('Net zero activities &amp; levers'!$C$9="On",(('Net zero supporting data'!R162*'Net zero supporting data'!R183)+('Net zero supporting data'!R174*ManureNEF))*NtoN2O*kgtoGg,"ERROR"))</f>
        <v>1.0487818326891256</v>
      </c>
      <c r="AB670" s="94">
        <f>IF('Net zero activities &amp; levers'!$C$9="Off",'Activity data'!AU53*ManureNEF*NtoN2O*kgtoGg,IF('Net zero activities &amp; levers'!$C$9="On",(('Net zero supporting data'!S162*'Net zero supporting data'!S183)+('Net zero supporting data'!S174*ManureNEF))*NtoN2O*kgtoGg,"ERROR"))</f>
        <v>1.0429862897745465</v>
      </c>
      <c r="AC670" s="94">
        <f>IF('Net zero activities &amp; levers'!$C$9="Off",'Activity data'!AV53*ManureNEF*NtoN2O*kgtoGg,IF('Net zero activities &amp; levers'!$C$9="On",(('Net zero supporting data'!T162*'Net zero supporting data'!T183)+('Net zero supporting data'!T174*ManureNEF))*NtoN2O*kgtoGg,"ERROR"))</f>
        <v>1.0353973298775558</v>
      </c>
      <c r="AD670" s="94">
        <f>IF('Net zero activities &amp; levers'!$C$9="Off",'Activity data'!AW53*ManureNEF*NtoN2O*kgtoGg,IF('Net zero activities &amp; levers'!$C$9="On",(('Net zero supporting data'!U162*'Net zero supporting data'!U183)+('Net zero supporting data'!U174*ManureNEF))*NtoN2O*kgtoGg,"ERROR"))</f>
        <v>1.0174175581982712</v>
      </c>
      <c r="AE670" s="94">
        <f>IF('Net zero activities &amp; levers'!$C$9="Off",'Activity data'!AX53*ManureNEF*NtoN2O*kgtoGg,IF('Net zero activities &amp; levers'!$C$9="On",(('Net zero supporting data'!V162*'Net zero supporting data'!V183)+('Net zero supporting data'!V174*ManureNEF))*NtoN2O*kgtoGg,"ERROR"))</f>
        <v>0.99774420575118894</v>
      </c>
      <c r="AF670" s="94">
        <f>IF('Net zero activities &amp; levers'!$C$9="Off",'Activity data'!AY53*ManureNEF*NtoN2O*kgtoGg,IF('Net zero activities &amp; levers'!$C$9="On",(('Net zero supporting data'!W162*'Net zero supporting data'!W183)+('Net zero supporting data'!W174*ManureNEF))*NtoN2O*kgtoGg,"ERROR"))</f>
        <v>0.97646566881417607</v>
      </c>
      <c r="AG670" s="94">
        <f>IF('Net zero activities &amp; levers'!$C$9="Off",'Activity data'!AZ53*ManureNEF*NtoN2O*kgtoGg,IF('Net zero activities &amp; levers'!$C$9="On",(('Net zero supporting data'!X162*'Net zero supporting data'!X183)+('Net zero supporting data'!X174*ManureNEF))*NtoN2O*kgtoGg,"ERROR"))</f>
        <v>0.95368038799648891</v>
      </c>
      <c r="AH670" s="94">
        <f>IF('Net zero activities &amp; levers'!$C$9="Off",'Activity data'!BA53*ManureNEF*NtoN2O*kgtoGg,IF('Net zero activities &amp; levers'!$C$9="On",(('Net zero supporting data'!Y162*'Net zero supporting data'!Y183)+('Net zero supporting data'!Y174*ManureNEF))*NtoN2O*kgtoGg,"ERROR"))</f>
        <v>0.92949316172660157</v>
      </c>
      <c r="AI670" s="94">
        <f>IF('Net zero activities &amp; levers'!$C$9="Off",'Activity data'!BB53*ManureNEF*NtoN2O*kgtoGg,IF('Net zero activities &amp; levers'!$C$9="On",(('Net zero supporting data'!Z162*'Net zero supporting data'!Z183)+('Net zero supporting data'!Z174*ManureNEF))*NtoN2O*kgtoGg,"ERROR"))</f>
        <v>0.90401558532438187</v>
      </c>
      <c r="AJ670" s="94">
        <f>IF('Net zero activities &amp; levers'!$C$9="Off",'Activity data'!BC53*ManureNEF*NtoN2O*kgtoGg,IF('Net zero activities &amp; levers'!$C$9="On",(('Net zero supporting data'!AA162*'Net zero supporting data'!AA183)+('Net zero supporting data'!AA174*ManureNEF))*NtoN2O*kgtoGg,"ERROR"))</f>
        <v>-6.9801929759449391E-2</v>
      </c>
      <c r="AK670" s="94">
        <f>IF('Net zero activities &amp; levers'!$C$9="Off",'Activity data'!BD53*ManureNEF*NtoN2O*kgtoGg,IF('Net zero activities &amp; levers'!$C$9="On",(('Net zero supporting data'!AB162*'Net zero supporting data'!AB183)+('Net zero supporting data'!AB174*ManureNEF))*NtoN2O*kgtoGg,"ERROR"))</f>
        <v>-6.8121301003411724E-2</v>
      </c>
      <c r="AL670" s="94">
        <f>IF('Net zero activities &amp; levers'!$C$9="Off",'Activity data'!BE53*ManureNEF*NtoN2O*kgtoGg,IF('Net zero activities &amp; levers'!$C$9="On",(('Net zero supporting data'!AC162*'Net zero supporting data'!AC183)+('Net zero supporting data'!AC174*ManureNEF))*NtoN2O*kgtoGg,"ERROR"))</f>
        <v>-6.6458158331925851E-2</v>
      </c>
      <c r="AM670" s="94">
        <f>IF('Net zero activities &amp; levers'!$C$9="Off",'Activity data'!BF53*ManureNEF*NtoN2O*kgtoGg,IF('Net zero activities &amp; levers'!$C$9="On",(('Net zero supporting data'!AD162*'Net zero supporting data'!AD183)+('Net zero supporting data'!AD174*ManureNEF))*NtoN2O*kgtoGg,"ERROR"))</f>
        <v>-6.481232997303113E-2</v>
      </c>
      <c r="AN670" s="94">
        <f>IF('Net zero activities &amp; levers'!$C$9="Off",'Activity data'!BG53*ManureNEF*NtoN2O*kgtoGg,IF('Net zero activities &amp; levers'!$C$9="On",(('Net zero supporting data'!AE162*'Net zero supporting data'!AE183)+('Net zero supporting data'!AE174*ManureNEF))*NtoN2O*kgtoGg,"ERROR"))</f>
        <v>-6.3506079477571004E-2</v>
      </c>
      <c r="AO670" s="94">
        <f>IF('Net zero activities &amp; levers'!$C$9="Off",'Activity data'!BH53*ManureNEF*NtoN2O*kgtoGg,IF('Net zero activities &amp; levers'!$C$9="On",(('Net zero supporting data'!AF162*'Net zero supporting data'!AF183)+('Net zero supporting data'!AF174*ManureNEF))*NtoN2O*kgtoGg,"ERROR"))</f>
        <v>-6.2212220196709189E-2</v>
      </c>
      <c r="AP670" s="94">
        <f>IF('Net zero activities &amp; levers'!$C$9="Off",'Activity data'!BI53*ManureNEF*NtoN2O*kgtoGg,IF('Net zero activities &amp; levers'!$C$9="On",(('Net zero supporting data'!AG162*'Net zero supporting data'!AG183)+('Net zero supporting data'!AG174*ManureNEF))*NtoN2O*kgtoGg,"ERROR"))</f>
        <v>-6.0929789794195444E-2</v>
      </c>
      <c r="AQ670" s="94">
        <f>IF('Net zero activities &amp; levers'!$C$9="Off",'Activity data'!BJ53*ManureNEF*NtoN2O*kgtoGg,IF('Net zero activities &amp; levers'!$C$9="On",(('Net zero supporting data'!AH162*'Net zero supporting data'!AH183)+('Net zero supporting data'!AH174*ManureNEF))*NtoN2O*kgtoGg,"ERROR"))</f>
        <v>-5.9658470603933263E-2</v>
      </c>
      <c r="AR670" s="94">
        <f>IF('Net zero activities &amp; levers'!$C$9="Off",'Activity data'!BK53*ManureNEF*NtoN2O*kgtoGg,IF('Net zero activities &amp; levers'!$C$9="On",(('Net zero supporting data'!AI162*'Net zero supporting data'!AI183)+('Net zero supporting data'!AI174*ManureNEF))*NtoN2O*kgtoGg,"ERROR"))</f>
        <v>-5.839733316411725E-2</v>
      </c>
      <c r="AS670" s="94">
        <f>IF('Net zero activities &amp; levers'!$C$9="Off",'Activity data'!BL53*ManureNEF*NtoN2O*kgtoGg,IF('Net zero activities &amp; levers'!$C$9="On",(('Net zero supporting data'!AJ162*'Net zero supporting data'!AJ183)+('Net zero supporting data'!AJ174*ManureNEF))*NtoN2O*kgtoGg,"ERROR"))</f>
        <v>-5.7145467253207828E-2</v>
      </c>
      <c r="AT670" s="94">
        <f>IF('Net zero activities &amp; levers'!$C$9="Off",'Activity data'!BM53*ManureNEF*NtoN2O*kgtoGg,IF('Net zero activities &amp; levers'!$C$9="On",(('Net zero supporting data'!AK162*'Net zero supporting data'!AK183)+('Net zero supporting data'!AK174*ManureNEF))*NtoN2O*kgtoGg,"ERROR"))</f>
        <v>-5.590272668429646E-2</v>
      </c>
      <c r="AU670" s="94">
        <f>IF('Net zero activities &amp; levers'!$C$9="Off",'Activity data'!BN53*ManureNEF*NtoN2O*kgtoGg,IF('Net zero activities &amp; levers'!$C$9="On",(('Net zero supporting data'!AL162*'Net zero supporting data'!AL183)+('Net zero supporting data'!AL174*ManureNEF))*NtoN2O*kgtoGg,"ERROR"))</f>
        <v>-5.4669188235492674E-2</v>
      </c>
      <c r="AV670" s="94">
        <f>IF('Net zero activities &amp; levers'!$C$9="Off",'Activity data'!BO53*ManureNEF*NtoN2O*kgtoGg,IF('Net zero activities &amp; levers'!$C$9="On",(('Net zero supporting data'!AM162*'Net zero supporting data'!AM183)+('Net zero supporting data'!AM174*ManureNEF))*NtoN2O*kgtoGg,"ERROR"))</f>
        <v>-5.3444899006114648E-2</v>
      </c>
      <c r="AW670" s="94">
        <f>IF('Net zero activities &amp; levers'!$C$9="Off",'Activity data'!BP53*ManureNEF*NtoN2O*kgtoGg,IF('Net zero activities &amp; levers'!$C$9="On",(('Net zero supporting data'!AN162*'Net zero supporting data'!AN183)+('Net zero supporting data'!AN174*ManureNEF))*NtoN2O*kgtoGg,"ERROR"))</f>
        <v>-5.2229155811497792E-2</v>
      </c>
      <c r="AY670" s="79"/>
      <c r="AZ670" s="79"/>
    </row>
    <row r="671" spans="1:52" x14ac:dyDescent="0.25">
      <c r="A671" s="95" t="str">
        <f t="shared" si="133"/>
        <v>NI Organic</v>
      </c>
      <c r="B671" s="95" t="s">
        <v>969</v>
      </c>
      <c r="C671" s="95" t="s">
        <v>1127</v>
      </c>
      <c r="D671" t="s">
        <v>369</v>
      </c>
      <c r="E671" t="s">
        <v>55</v>
      </c>
      <c r="F671" t="s">
        <v>421</v>
      </c>
      <c r="G671" t="s">
        <v>1160</v>
      </c>
      <c r="H671" t="s">
        <v>1161</v>
      </c>
      <c r="I671" t="s">
        <v>139</v>
      </c>
      <c r="J671" t="s">
        <v>287</v>
      </c>
      <c r="K671" s="22">
        <f>K1470</f>
        <v>2.6602988559851242</v>
      </c>
      <c r="L671" s="22">
        <f t="shared" ref="L671:AW671" si="145">L1470</f>
        <v>2.6372269335947092</v>
      </c>
      <c r="M671" s="22">
        <f t="shared" si="145"/>
        <v>2.6284441511866339</v>
      </c>
      <c r="N671" s="22">
        <f t="shared" si="145"/>
        <v>2.5933447201068063</v>
      </c>
      <c r="O671" s="22">
        <f t="shared" si="145"/>
        <v>2.5423970387070201</v>
      </c>
      <c r="P671" s="22">
        <f t="shared" si="145"/>
        <v>2.4766546252796315</v>
      </c>
      <c r="Q671" s="22">
        <f t="shared" si="145"/>
        <v>2.4248016610449814</v>
      </c>
      <c r="R671" s="22">
        <f t="shared" si="145"/>
        <v>2.3757428620222041</v>
      </c>
      <c r="S671" s="22">
        <f t="shared" si="145"/>
        <v>2.1246713944072271</v>
      </c>
      <c r="T671" s="22">
        <f t="shared" si="145"/>
        <v>2.2065285266163999</v>
      </c>
      <c r="U671" s="22">
        <f t="shared" si="145"/>
        <v>6.9543063423815932</v>
      </c>
      <c r="V671" s="22">
        <f t="shared" si="145"/>
        <v>6.9878495990695715</v>
      </c>
      <c r="W671" s="22">
        <f t="shared" si="145"/>
        <v>7.0093172004230366</v>
      </c>
      <c r="X671" s="22">
        <f t="shared" si="145"/>
        <v>7.0187047739037158</v>
      </c>
      <c r="Y671" s="22">
        <f t="shared" si="145"/>
        <v>7.0162111838157779</v>
      </c>
      <c r="Z671" s="22">
        <f t="shared" si="145"/>
        <v>7.0017169063140772</v>
      </c>
      <c r="AA671" s="22">
        <f t="shared" si="145"/>
        <v>6.9751864364623621</v>
      </c>
      <c r="AB671" s="22">
        <f t="shared" si="145"/>
        <v>6.9366417257611337</v>
      </c>
      <c r="AC671" s="22">
        <f t="shared" si="145"/>
        <v>6.8861694459309035</v>
      </c>
      <c r="AD671" s="22">
        <f t="shared" si="145"/>
        <v>6.7665904680738294</v>
      </c>
      <c r="AE671" s="22">
        <f t="shared" si="145"/>
        <v>6.6357479068551806</v>
      </c>
      <c r="AF671" s="22">
        <f t="shared" si="145"/>
        <v>6.4942296638758421</v>
      </c>
      <c r="AG671" s="22">
        <f t="shared" si="145"/>
        <v>6.3426904430800271</v>
      </c>
      <c r="AH671" s="22">
        <f t="shared" si="145"/>
        <v>6.181827232682128</v>
      </c>
      <c r="AI671" s="22">
        <f t="shared" si="145"/>
        <v>6.0123822253262711</v>
      </c>
      <c r="AJ671" s="22">
        <f t="shared" si="145"/>
        <v>-0.46423522845416099</v>
      </c>
      <c r="AK671" s="22">
        <f t="shared" si="145"/>
        <v>-0.45305778569298638</v>
      </c>
      <c r="AL671" s="22">
        <f t="shared" si="145"/>
        <v>-0.44199663851969367</v>
      </c>
      <c r="AM671" s="22">
        <f t="shared" si="145"/>
        <v>-0.43105064452180719</v>
      </c>
      <c r="AN671" s="22">
        <f t="shared" si="145"/>
        <v>-0.42236309821373103</v>
      </c>
      <c r="AO671" s="22">
        <f t="shared" si="145"/>
        <v>-0.41375796278397442</v>
      </c>
      <c r="AP671" s="22">
        <f t="shared" si="145"/>
        <v>-0.40522883797411285</v>
      </c>
      <c r="AQ671" s="22">
        <f t="shared" si="145"/>
        <v>-0.3967736110661545</v>
      </c>
      <c r="AR671" s="22">
        <f t="shared" si="145"/>
        <v>-0.38838610044140948</v>
      </c>
      <c r="AS671" s="22">
        <f t="shared" si="145"/>
        <v>-0.38006025244339864</v>
      </c>
      <c r="AT671" s="22">
        <f t="shared" si="145"/>
        <v>-0.37179509481944717</v>
      </c>
      <c r="AU671" s="22">
        <f t="shared" si="145"/>
        <v>-0.36359113820161632</v>
      </c>
      <c r="AV671" s="22">
        <f t="shared" si="145"/>
        <v>-0.35544869583572547</v>
      </c>
      <c r="AW671" s="22">
        <f t="shared" si="145"/>
        <v>-0.34736309101592239</v>
      </c>
      <c r="AY671" s="79"/>
      <c r="AZ671" s="79"/>
    </row>
    <row r="672" spans="1:52" x14ac:dyDescent="0.25">
      <c r="A672" s="95" t="str">
        <f t="shared" si="133"/>
        <v>NI Organic</v>
      </c>
      <c r="B672" s="95" t="s">
        <v>969</v>
      </c>
      <c r="C672" s="95" t="s">
        <v>1127</v>
      </c>
      <c r="D672" t="s">
        <v>369</v>
      </c>
      <c r="E672" t="s">
        <v>55</v>
      </c>
      <c r="F672" t="s">
        <v>421</v>
      </c>
      <c r="G672" t="s">
        <v>1162</v>
      </c>
      <c r="H672" t="s">
        <v>1163</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0.35516571939691516</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0.379170347917821</v>
      </c>
      <c r="O672" s="94">
        <f>IF('Net zero activities &amp; levers'!$C$9="Off",'Activity data'!AH55*ManureNEF*NtoN2O*kgtoGg,IF('Net zero activities &amp; levers'!$C$9="On",(('Net zero supporting data'!F163*'Net zero supporting data'!F183)+('Net zero supporting data'!F175*ManureNEF))*NtoN2O*kgtoGg,"ERROR"))</f>
        <v>0.38707850955818851</v>
      </c>
      <c r="P672" s="94">
        <f>IF('Net zero activities &amp; levers'!$C$9="Off",'Activity data'!AI55*ManureNEF*NtoN2O*kgtoGg,IF('Net zero activities &amp; levers'!$C$9="On",(('Net zero supporting data'!G163*'Net zero supporting data'!G183)+('Net zero supporting data'!G175*ManureNEF))*NtoN2O*kgtoGg,"ERROR"))</f>
        <v>0.39252728601928999</v>
      </c>
      <c r="Q672" s="94">
        <f>IF('Net zero activities &amp; levers'!$C$9="Off",'Activity data'!AJ55*ManureNEF*NtoN2O*kgtoGg,IF('Net zero activities &amp; levers'!$C$9="On",(('Net zero supporting data'!H163*'Net zero supporting data'!H183)+('Net zero supporting data'!H175*ManureNEF))*NtoN2O*kgtoGg,"ERROR"))</f>
        <v>0.3999671364536494</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0.37941149708510857</v>
      </c>
      <c r="T672" s="94">
        <f>IF('Net zero activities &amp; levers'!$C$9="Off",'Activity data'!AM55*ManureNEF*NtoN2O*kgtoGg,IF('Net zero activities &amp; levers'!$C$9="On",(('Net zero supporting data'!K163*'Net zero supporting data'!K183)+('Net zero supporting data'!K175*ManureNEF))*NtoN2O*kgtoGg,"ERROR"))</f>
        <v>0.40352229075935825</v>
      </c>
      <c r="U672" s="94">
        <f>IF('Net zero activities &amp; levers'!$C$9="Off",'Activity data'!AN55*ManureNEF*NtoN2O*kgtoGg,IF('Net zero activities &amp; levers'!$C$9="On",(('Net zero supporting data'!L163*'Net zero supporting data'!L183)+('Net zero supporting data'!L175*ManureNEF))*NtoN2O*kgtoGg,"ERROR"))</f>
        <v>1.3019992837200502</v>
      </c>
      <c r="V672" s="94">
        <f>IF('Net zero activities &amp; levers'!$C$9="Off",'Activity data'!AO55*ManureNEF*NtoN2O*kgtoGg,IF('Net zero activities &amp; levers'!$C$9="On",(('Net zero supporting data'!M163*'Net zero supporting data'!M183)+('Net zero supporting data'!M175*ManureNEF))*NtoN2O*kgtoGg,"ERROR"))</f>
        <v>1.3389713551242044</v>
      </c>
      <c r="W672" s="94">
        <f>IF('Net zero activities &amp; levers'!$C$9="Off",'Activity data'!AP55*ManureNEF*NtoN2O*kgtoGg,IF('Net zero activities &amp; levers'!$C$9="On",(('Net zero supporting data'!N163*'Net zero supporting data'!N183)+('Net zero supporting data'!N175*ManureNEF))*NtoN2O*kgtoGg,"ERROR"))</f>
        <v>1.3742225442034364</v>
      </c>
      <c r="X672" s="94">
        <f>IF('Net zero activities &amp; levers'!$C$9="Off",'Activity data'!AQ55*ManureNEF*NtoN2O*kgtoGg,IF('Net zero activities &amp; levers'!$C$9="On",(('Net zero supporting data'!O163*'Net zero supporting data'!O183)+('Net zero supporting data'!O175*ManureNEF))*NtoN2O*kgtoGg,"ERROR"))</f>
        <v>1.4076173986220344</v>
      </c>
      <c r="Y672" s="94">
        <f>IF('Net zero activities &amp; levers'!$C$9="Off",'Activity data'!AR55*ManureNEF*NtoN2O*kgtoGg,IF('Net zero activities &amp; levers'!$C$9="On",(('Net zero supporting data'!P163*'Net zero supporting data'!P183)+('Net zero supporting data'!P175*ManureNEF))*NtoN2O*kgtoGg,"ERROR"))</f>
        <v>1.4390577517114058</v>
      </c>
      <c r="Z672" s="94">
        <f>IF('Net zero activities &amp; levers'!$C$9="Off",'Activity data'!AS55*ManureNEF*NtoN2O*kgtoGg,IF('Net zero activities &amp; levers'!$C$9="On",(('Net zero supporting data'!Q163*'Net zero supporting data'!Q183)+('Net zero supporting data'!Q175*ManureNEF))*NtoN2O*kgtoGg,"ERROR"))</f>
        <v>1.4683777754211462</v>
      </c>
      <c r="AA672" s="94">
        <f>IF('Net zero activities &amp; levers'!$C$9="Off",'Activity data'!AT55*ManureNEF*NtoN2O*kgtoGg,IF('Net zero activities &amp; levers'!$C$9="On",(('Net zero supporting data'!R163*'Net zero supporting data'!R183)+('Net zero supporting data'!R175*ManureNEF))*NtoN2O*kgtoGg,"ERROR"))</f>
        <v>1.4954226905831736</v>
      </c>
      <c r="AB672" s="94">
        <f>IF('Net zero activities &amp; levers'!$C$9="Off",'Activity data'!AU55*ManureNEF*NtoN2O*kgtoGg,IF('Net zero activities &amp; levers'!$C$9="On",(('Net zero supporting data'!S163*'Net zero supporting data'!S183)+('Net zero supporting data'!S175*ManureNEF))*NtoN2O*kgtoGg,"ERROR"))</f>
        <v>1.5200446118078883</v>
      </c>
      <c r="AC672" s="94">
        <f>IF('Net zero activities &amp; levers'!$C$9="Off",'Activity data'!AV55*ManureNEF*NtoN2O*kgtoGg,IF('Net zero activities &amp; levers'!$C$9="On",(('Net zero supporting data'!T163*'Net zero supporting data'!T183)+('Net zero supporting data'!T175*ManureNEF))*NtoN2O*kgtoGg,"ERROR"))</f>
        <v>1.5421052715646864</v>
      </c>
      <c r="AD672" s="94">
        <f>IF('Net zero activities &amp; levers'!$C$9="Off",'Activity data'!AW55*ManureNEF*NtoN2O*kgtoGg,IF('Net zero activities &amp; levers'!$C$9="On",(('Net zero supporting data'!U163*'Net zero supporting data'!U183)+('Net zero supporting data'!U175*ManureNEF))*NtoN2O*kgtoGg,"ERROR"))</f>
        <v>1.5655788001500457</v>
      </c>
      <c r="AE672" s="94">
        <f>IF('Net zero activities &amp; levers'!$C$9="Off",'Activity data'!AX55*ManureNEF*NtoN2O*kgtoGg,IF('Net zero activities &amp; levers'!$C$9="On",(('Net zero supporting data'!V163*'Net zero supporting data'!V183)+('Net zero supporting data'!V175*ManureNEF))*NtoN2O*kgtoGg,"ERROR"))</f>
        <v>1.5863184064827547</v>
      </c>
      <c r="AF672" s="94">
        <f>IF('Net zero activities &amp; levers'!$C$9="Off",'Activity data'!AY55*ManureNEF*NtoN2O*kgtoGg,IF('Net zero activities &amp; levers'!$C$9="On",(('Net zero supporting data'!W163*'Net zero supporting data'!W183)+('Net zero supporting data'!W175*ManureNEF))*NtoN2O*kgtoGg,"ERROR"))</f>
        <v>1.604202691450189</v>
      </c>
      <c r="AG672" s="94">
        <f>IF('Net zero activities &amp; levers'!$C$9="Off",'Activity data'!AZ55*ManureNEF*NtoN2O*kgtoGg,IF('Net zero activities &amp; levers'!$C$9="On",(('Net zero supporting data'!X163*'Net zero supporting data'!X183)+('Net zero supporting data'!X175*ManureNEF))*NtoN2O*kgtoGg,"ERROR"))</f>
        <v>1.6191262740936789</v>
      </c>
      <c r="AH672" s="94">
        <f>IF('Net zero activities &amp; levers'!$C$9="Off",'Activity data'!BA55*ManureNEF*NtoN2O*kgtoGg,IF('Net zero activities &amp; levers'!$C$9="On",(('Net zero supporting data'!Y163*'Net zero supporting data'!Y183)+('Net zero supporting data'!Y175*ManureNEF))*NtoN2O*kgtoGg,"ERROR"))</f>
        <v>1.6309961254310048</v>
      </c>
      <c r="AI672" s="94">
        <f>IF('Net zero activities &amp; levers'!$C$9="Off",'Activity data'!BB55*ManureNEF*NtoN2O*kgtoGg,IF('Net zero activities &amp; levers'!$C$9="On",(('Net zero supporting data'!Z163*'Net zero supporting data'!Z183)+('Net zero supporting data'!Z175*ManureNEF))*NtoN2O*kgtoGg,"ERROR"))</f>
        <v>1.6397344068055653</v>
      </c>
      <c r="AJ672" s="94">
        <f>IF('Net zero activities &amp; levers'!$C$9="Off",'Activity data'!BC55*ManureNEF*NtoN2O*kgtoGg,IF('Net zero activities &amp; levers'!$C$9="On",(('Net zero supporting data'!AA163*'Net zero supporting data'!AA183)+('Net zero supporting data'!AA175*ManureNEF))*NtoN2O*kgtoGg,"ERROR"))</f>
        <v>-0.13089608517240703</v>
      </c>
      <c r="AK672" s="94">
        <f>IF('Net zero activities &amp; levers'!$C$9="Off",'Activity data'!BD55*ManureNEF*NtoN2O*kgtoGg,IF('Net zero activities &amp; levers'!$C$9="On",(('Net zero supporting data'!AB163*'Net zero supporting data'!AB183)+('Net zero supporting data'!AB175*ManureNEF))*NtoN2O*kgtoGg,"ERROR"))</f>
        <v>-0.13209410170523925</v>
      </c>
      <c r="AL672" s="94">
        <f>IF('Net zero activities &amp; levers'!$C$9="Off",'Activity data'!BE55*ManureNEF*NtoN2O*kgtoGg,IF('Net zero activities &amp; levers'!$C$9="On",(('Net zero supporting data'!AC163*'Net zero supporting data'!AC183)+('Net zero supporting data'!AC175*ManureNEF))*NtoN2O*kgtoGg,"ERROR"))</f>
        <v>-0.13328419638855493</v>
      </c>
      <c r="AM672" s="94">
        <f>IF('Net zero activities &amp; levers'!$C$9="Off",'Activity data'!BF55*ManureNEF*NtoN2O*kgtoGg,IF('Net zero activities &amp; levers'!$C$9="On",(('Net zero supporting data'!AD163*'Net zero supporting data'!AD183)+('Net zero supporting data'!AD175*ManureNEF))*NtoN2O*kgtoGg,"ERROR"))</f>
        <v>-0.13446696197747518</v>
      </c>
      <c r="AN672" s="94">
        <f>IF('Net zero activities &amp; levers'!$C$9="Off",'Activity data'!BG55*ManureNEF*NtoN2O*kgtoGg,IF('Net zero activities &amp; levers'!$C$9="On",(('Net zero supporting data'!AE163*'Net zero supporting data'!AE183)+('Net zero supporting data'!AE175*ManureNEF))*NtoN2O*kgtoGg,"ERROR"))</f>
        <v>-0.13547441854530159</v>
      </c>
      <c r="AO672" s="94">
        <f>IF('Net zero activities &amp; levers'!$C$9="Off",'Activity data'!BH55*ManureNEF*NtoN2O*kgtoGg,IF('Net zero activities &amp; levers'!$C$9="On",(('Net zero supporting data'!AF163*'Net zero supporting data'!AF183)+('Net zero supporting data'!AF175*ManureNEF))*NtoN2O*kgtoGg,"ERROR"))</f>
        <v>-0.13647180135664599</v>
      </c>
      <c r="AP672" s="94">
        <f>IF('Net zero activities &amp; levers'!$C$9="Off",'Activity data'!BI55*ManureNEF*NtoN2O*kgtoGg,IF('Net zero activities &amp; levers'!$C$9="On",(('Net zero supporting data'!AG163*'Net zero supporting data'!AG183)+('Net zero supporting data'!AG175*ManureNEF))*NtoN2O*kgtoGg,"ERROR"))</f>
        <v>-0.1374575838778328</v>
      </c>
      <c r="AQ672" s="94">
        <f>IF('Net zero activities &amp; levers'!$C$9="Off",'Activity data'!BJ55*ManureNEF*NtoN2O*kgtoGg,IF('Net zero activities &amp; levers'!$C$9="On",(('Net zero supporting data'!AH163*'Net zero supporting data'!AH183)+('Net zero supporting data'!AH175*ManureNEF))*NtoN2O*kgtoGg,"ERROR"))</f>
        <v>-0.13843149499593352</v>
      </c>
      <c r="AR672" s="94">
        <f>IF('Net zero activities &amp; levers'!$C$9="Off",'Activity data'!BK55*ManureNEF*NtoN2O*kgtoGg,IF('Net zero activities &amp; levers'!$C$9="On",(('Net zero supporting data'!AI163*'Net zero supporting data'!AI183)+('Net zero supporting data'!AI175*ManureNEF))*NtoN2O*kgtoGg,"ERROR"))</f>
        <v>-0.13939171751336263</v>
      </c>
      <c r="AS672" s="94">
        <f>IF('Net zero activities &amp; levers'!$C$9="Off",'Activity data'!BL55*ManureNEF*NtoN2O*kgtoGg,IF('Net zero activities &amp; levers'!$C$9="On",(('Net zero supporting data'!AJ163*'Net zero supporting data'!AJ183)+('Net zero supporting data'!AJ175*ManureNEF))*NtoN2O*kgtoGg,"ERROR"))</f>
        <v>-0.14033622294950923</v>
      </c>
      <c r="AT672" s="94">
        <f>IF('Net zero activities &amp; levers'!$C$9="Off",'Activity data'!BM55*ManureNEF*NtoN2O*kgtoGg,IF('Net zero activities &amp; levers'!$C$9="On",(('Net zero supporting data'!AK163*'Net zero supporting data'!AK183)+('Net zero supporting data'!AK175*ManureNEF))*NtoN2O*kgtoGg,"ERROR"))</f>
        <v>-0.14126464078823431</v>
      </c>
      <c r="AU672" s="94">
        <f>IF('Net zero activities &amp; levers'!$C$9="Off",'Activity data'!BN55*ManureNEF*NtoN2O*kgtoGg,IF('Net zero activities &amp; levers'!$C$9="On",(('Net zero supporting data'!AL163*'Net zero supporting data'!AL183)+('Net zero supporting data'!AL175*ManureNEF))*NtoN2O*kgtoGg,"ERROR"))</f>
        <v>-0.14217711138361663</v>
      </c>
      <c r="AV672" s="94">
        <f>IF('Net zero activities &amp; levers'!$C$9="Off",'Activity data'!BO55*ManureNEF*NtoN2O*kgtoGg,IF('Net zero activities &amp; levers'!$C$9="On",(('Net zero supporting data'!AM163*'Net zero supporting data'!AM183)+('Net zero supporting data'!AM175*ManureNEF))*NtoN2O*kgtoGg,"ERROR"))</f>
        <v>-0.14307369087756849</v>
      </c>
      <c r="AW672" s="94">
        <f>IF('Net zero activities &amp; levers'!$C$9="Off",'Activity data'!BP55*ManureNEF*NtoN2O*kgtoGg,IF('Net zero activities &amp; levers'!$C$9="On",(('Net zero supporting data'!AN163*'Net zero supporting data'!AN183)+('Net zero supporting data'!AN175*ManureNEF))*NtoN2O*kgtoGg,"ERROR"))</f>
        <v>-0.14395235507647042</v>
      </c>
      <c r="AY672" s="79"/>
      <c r="AZ672" s="79"/>
    </row>
    <row r="673" spans="1:52" x14ac:dyDescent="0.25">
      <c r="A673" s="95" t="str">
        <f t="shared" si="133"/>
        <v>NI Organic</v>
      </c>
      <c r="B673" s="95" t="s">
        <v>969</v>
      </c>
      <c r="C673" s="95" t="s">
        <v>1127</v>
      </c>
      <c r="D673" t="s">
        <v>369</v>
      </c>
      <c r="E673" t="s">
        <v>55</v>
      </c>
      <c r="F673" t="s">
        <v>421</v>
      </c>
      <c r="G673" t="s">
        <v>1164</v>
      </c>
      <c r="H673" t="s">
        <v>1165</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5.9207171446821721E-2</v>
      </c>
      <c r="T673" s="94">
        <f>IF('Net zero activities &amp; levers'!$C$9="Off",'Activity data'!AM56*ManureNEF*NtoN2O*kgtoGg,IF('Net zero activities &amp; levers'!$C$9="On",(('Net zero supporting data'!K164*'Net zero supporting data'!K183)+('Net zero supporting data'!K176*ManureNEF))*NtoN2O*kgtoGg,"ERROR"))</f>
        <v>5.9246576334297835E-2</v>
      </c>
      <c r="U673" s="94">
        <f>IF('Net zero activities &amp; levers'!$C$9="Off",'Activity data'!AN56*ManureNEF*NtoN2O*kgtoGg,IF('Net zero activities &amp; levers'!$C$9="On",(('Net zero supporting data'!L164*'Net zero supporting data'!L183)+('Net zero supporting data'!L176*ManureNEF))*NtoN2O*kgtoGg,"ERROR"))</f>
        <v>6.0018268189792646E-2</v>
      </c>
      <c r="V673" s="94">
        <f>IF('Net zero activities &amp; levers'!$C$9="Off",'Activity data'!AO56*ManureNEF*NtoN2O*kgtoGg,IF('Net zero activities &amp; levers'!$C$9="On",(('Net zero supporting data'!M164*'Net zero supporting data'!M183)+('Net zero supporting data'!M176*ManureNEF))*NtoN2O*kgtoGg,"ERROR"))</f>
        <v>6.0037093010318184E-2</v>
      </c>
      <c r="W673" s="94">
        <f>IF('Net zero activities &amp; levers'!$C$9="Off",'Activity data'!AP56*ManureNEF*NtoN2O*kgtoGg,IF('Net zero activities &amp; levers'!$C$9="On",(('Net zero supporting data'!N164*'Net zero supporting data'!N183)+('Net zero supporting data'!N176*ManureNEF))*NtoN2O*kgtoGg,"ERROR"))</f>
        <v>6.0117615700915394E-2</v>
      </c>
      <c r="X673" s="94">
        <f>IF('Net zero activities &amp; levers'!$C$9="Off",'Activity data'!AQ56*ManureNEF*NtoN2O*kgtoGg,IF('Net zero activities &amp; levers'!$C$9="On",(('Net zero supporting data'!O164*'Net zero supporting data'!O183)+('Net zero supporting data'!O176*ManureNEF))*NtoN2O*kgtoGg,"ERROR"))</f>
        <v>6.0234013204612538E-2</v>
      </c>
      <c r="Y673" s="94">
        <f>IF('Net zero activities &amp; levers'!$C$9="Off",'Activity data'!AR56*ManureNEF*NtoN2O*kgtoGg,IF('Net zero activities &amp; levers'!$C$9="On",(('Net zero supporting data'!P164*'Net zero supporting data'!P183)+('Net zero supporting data'!P176*ManureNEF))*NtoN2O*kgtoGg,"ERROR"))</f>
        <v>6.0342142496718161E-2</v>
      </c>
      <c r="Z673" s="94">
        <f>IF('Net zero activities &amp; levers'!$C$9="Off",'Activity data'!AS56*ManureNEF*NtoN2O*kgtoGg,IF('Net zero activities &amp; levers'!$C$9="On",(('Net zero supporting data'!Q164*'Net zero supporting data'!Q183)+('Net zero supporting data'!Q176*ManureNEF))*NtoN2O*kgtoGg,"ERROR"))</f>
        <v>6.0443342363168437E-2</v>
      </c>
      <c r="AA673" s="94">
        <f>IF('Net zero activities &amp; levers'!$C$9="Off",'Activity data'!AT56*ManureNEF*NtoN2O*kgtoGg,IF('Net zero activities &amp; levers'!$C$9="On",(('Net zero supporting data'!R164*'Net zero supporting data'!R183)+('Net zero supporting data'!R176*ManureNEF))*NtoN2O*kgtoGg,"ERROR"))</f>
        <v>6.0537073159976813E-2</v>
      </c>
      <c r="AB673" s="94">
        <f>IF('Net zero activities &amp; levers'!$C$9="Off",'Activity data'!AU56*ManureNEF*NtoN2O*kgtoGg,IF('Net zero activities &amp; levers'!$C$9="On",(('Net zero supporting data'!S164*'Net zero supporting data'!S183)+('Net zero supporting data'!S176*ManureNEF))*NtoN2O*kgtoGg,"ERROR"))</f>
        <v>6.0624179409324928E-2</v>
      </c>
      <c r="AC673" s="94">
        <f>IF('Net zero activities &amp; levers'!$C$9="Off",'Activity data'!AV56*ManureNEF*NtoN2O*kgtoGg,IF('Net zero activities &amp; levers'!$C$9="On",(('Net zero supporting data'!T164*'Net zero supporting data'!T183)+('Net zero supporting data'!T176*ManureNEF))*NtoN2O*kgtoGg,"ERROR"))</f>
        <v>6.0705982424299358E-2</v>
      </c>
      <c r="AD673" s="94">
        <f>IF('Net zero activities &amp; levers'!$C$9="Off",'Activity data'!AW56*ManureNEF*NtoN2O*kgtoGg,IF('Net zero activities &amp; levers'!$C$9="On",(('Net zero supporting data'!U164*'Net zero supporting data'!U183)+('Net zero supporting data'!U176*ManureNEF))*NtoN2O*kgtoGg,"ERROR"))</f>
        <v>6.0782405127579278E-2</v>
      </c>
      <c r="AE673" s="94">
        <f>IF('Net zero activities &amp; levers'!$C$9="Off",'Activity data'!AX56*ManureNEF*NtoN2O*kgtoGg,IF('Net zero activities &amp; levers'!$C$9="On",(('Net zero supporting data'!V164*'Net zero supporting data'!V183)+('Net zero supporting data'!V176*ManureNEF))*NtoN2O*kgtoGg,"ERROR"))</f>
        <v>6.0854669862410914E-2</v>
      </c>
      <c r="AF673" s="94">
        <f>IF('Net zero activities &amp; levers'!$C$9="Off",'Activity data'!AY56*ManureNEF*NtoN2O*kgtoGg,IF('Net zero activities &amp; levers'!$C$9="On",(('Net zero supporting data'!W164*'Net zero supporting data'!W183)+('Net zero supporting data'!W176*ManureNEF))*NtoN2O*kgtoGg,"ERROR"))</f>
        <v>6.0922951557005132E-2</v>
      </c>
      <c r="AG673" s="94">
        <f>IF('Net zero activities &amp; levers'!$C$9="Off",'Activity data'!AZ56*ManureNEF*NtoN2O*kgtoGg,IF('Net zero activities &amp; levers'!$C$9="On",(('Net zero supporting data'!X164*'Net zero supporting data'!X183)+('Net zero supporting data'!X176*ManureNEF))*NtoN2O*kgtoGg,"ERROR"))</f>
        <v>6.0986314332021271E-2</v>
      </c>
      <c r="AH673" s="94">
        <f>IF('Net zero activities &amp; levers'!$C$9="Off",'Activity data'!BA56*ManureNEF*NtoN2O*kgtoGg,IF('Net zero activities &amp; levers'!$C$9="On",(('Net zero supporting data'!Y164*'Net zero supporting data'!Y183)+('Net zero supporting data'!Y176*ManureNEF))*NtoN2O*kgtoGg,"ERROR"))</f>
        <v>6.1045337815494746E-2</v>
      </c>
      <c r="AI673" s="94">
        <f>IF('Net zero activities &amp; levers'!$C$9="Off",'Activity data'!BB56*ManureNEF*NtoN2O*kgtoGg,IF('Net zero activities &amp; levers'!$C$9="On",(('Net zero supporting data'!Z164*'Net zero supporting data'!Z183)+('Net zero supporting data'!Z176*ManureNEF))*NtoN2O*kgtoGg,"ERROR"))</f>
        <v>6.1100963630343091E-2</v>
      </c>
      <c r="AJ673" s="94">
        <f>IF('Net zero activities &amp; levers'!$C$9="Off",'Activity data'!BC56*ManureNEF*NtoN2O*kgtoGg,IF('Net zero activities &amp; levers'!$C$9="On",(('Net zero supporting data'!AA164*'Net zero supporting data'!AA183)+('Net zero supporting data'!AA176*ManureNEF))*NtoN2O*kgtoGg,"ERROR"))</f>
        <v>5.9760031976995184E-2</v>
      </c>
      <c r="AK673" s="94">
        <f>IF('Net zero activities &amp; levers'!$C$9="Off",'Activity data'!BD56*ManureNEF*NtoN2O*kgtoGg,IF('Net zero activities &amp; levers'!$C$9="On",(('Net zero supporting data'!AB164*'Net zero supporting data'!AB183)+('Net zero supporting data'!AB176*ManureNEF))*NtoN2O*kgtoGg,"ERROR"))</f>
        <v>5.9814986740369232E-2</v>
      </c>
      <c r="AL673" s="94">
        <f>IF('Net zero activities &amp; levers'!$C$9="Off",'Activity data'!BE56*ManureNEF*NtoN2O*kgtoGg,IF('Net zero activities &amp; levers'!$C$9="On",(('Net zero supporting data'!AC164*'Net zero supporting data'!AC183)+('Net zero supporting data'!AC176*ManureNEF))*NtoN2O*kgtoGg,"ERROR"))</f>
        <v>5.9866245389547455E-2</v>
      </c>
      <c r="AM673" s="94">
        <f>IF('Net zero activities &amp; levers'!$C$9="Off",'Activity data'!BF56*ManureNEF*NtoN2O*kgtoGg,IF('Net zero activities &amp; levers'!$C$9="On",(('Net zero supporting data'!AD164*'Net zero supporting data'!AD183)+('Net zero supporting data'!AD176*ManureNEF))*NtoN2O*kgtoGg,"ERROR"))</f>
        <v>5.9914121191052938E-2</v>
      </c>
      <c r="AN673" s="94">
        <f>IF('Net zero activities &amp; levers'!$C$9="Off",'Activity data'!BG56*ManureNEF*NtoN2O*kgtoGg,IF('Net zero activities &amp; levers'!$C$9="On",(('Net zero supporting data'!AE164*'Net zero supporting data'!AE183)+('Net zero supporting data'!AE176*ManureNEF))*NtoN2O*kgtoGg,"ERROR"))</f>
        <v>5.9958994957515464E-2</v>
      </c>
      <c r="AO673" s="94">
        <f>IF('Net zero activities &amp; levers'!$C$9="Off",'Activity data'!BH56*ManureNEF*NtoN2O*kgtoGg,IF('Net zero activities &amp; levers'!$C$9="On",(('Net zero supporting data'!AF164*'Net zero supporting data'!AF183)+('Net zero supporting data'!AF176*ManureNEF))*NtoN2O*kgtoGg,"ERROR"))</f>
        <v>5.9999686326466663E-2</v>
      </c>
      <c r="AP673" s="94">
        <f>IF('Net zero activities &amp; levers'!$C$9="Off",'Activity data'!BI56*ManureNEF*NtoN2O*kgtoGg,IF('Net zero activities &amp; levers'!$C$9="On",(('Net zero supporting data'!AG164*'Net zero supporting data'!AG183)+('Net zero supporting data'!AG176*ManureNEF))*NtoN2O*kgtoGg,"ERROR"))</f>
        <v>6.0035407039000573E-2</v>
      </c>
      <c r="AQ673" s="94">
        <f>IF('Net zero activities &amp; levers'!$C$9="Off",'Activity data'!BJ56*ManureNEF*NtoN2O*kgtoGg,IF('Net zero activities &amp; levers'!$C$9="On",(('Net zero supporting data'!AH164*'Net zero supporting data'!AH183)+('Net zero supporting data'!AH176*ManureNEF))*NtoN2O*kgtoGg,"ERROR"))</f>
        <v>6.0066041639394212E-2</v>
      </c>
      <c r="AR673" s="94">
        <f>IF('Net zero activities &amp; levers'!$C$9="Off",'Activity data'!BK56*ManureNEF*NtoN2O*kgtoGg,IF('Net zero activities &amp; levers'!$C$9="On",(('Net zero supporting data'!AI164*'Net zero supporting data'!AI183)+('Net zero supporting data'!AI176*ManureNEF))*NtoN2O*kgtoGg,"ERROR"))</f>
        <v>6.0090693101993796E-2</v>
      </c>
      <c r="AS673" s="94">
        <f>IF('Net zero activities &amp; levers'!$C$9="Off",'Activity data'!BL56*ManureNEF*NtoN2O*kgtoGg,IF('Net zero activities &amp; levers'!$C$9="On",(('Net zero supporting data'!AJ164*'Net zero supporting data'!AJ183)+('Net zero supporting data'!AJ176*ManureNEF))*NtoN2O*kgtoGg,"ERROR"))</f>
        <v>6.010838638445111E-2</v>
      </c>
      <c r="AT673" s="94">
        <f>IF('Net zero activities &amp; levers'!$C$9="Off",'Activity data'!BM56*ManureNEF*NtoN2O*kgtoGg,IF('Net zero activities &amp; levers'!$C$9="On",(('Net zero supporting data'!AK164*'Net zero supporting data'!AK183)+('Net zero supporting data'!AK176*ManureNEF))*NtoN2O*kgtoGg,"ERROR"))</f>
        <v>6.0119011530987615E-2</v>
      </c>
      <c r="AU673" s="94">
        <f>IF('Net zero activities &amp; levers'!$C$9="Off",'Activity data'!BN56*ManureNEF*NtoN2O*kgtoGg,IF('Net zero activities &amp; levers'!$C$9="On",(('Net zero supporting data'!AL164*'Net zero supporting data'!AL183)+('Net zero supporting data'!AL176*ManureNEF))*NtoN2O*kgtoGg,"ERROR"))</f>
        <v>6.0122720098989259E-2</v>
      </c>
      <c r="AV673" s="94">
        <f>IF('Net zero activities &amp; levers'!$C$9="Off",'Activity data'!BO56*ManureNEF*NtoN2O*kgtoGg,IF('Net zero activities &amp; levers'!$C$9="On",(('Net zero supporting data'!AM164*'Net zero supporting data'!AM183)+('Net zero supporting data'!AM176*ManureNEF))*NtoN2O*kgtoGg,"ERROR"))</f>
        <v>6.0119620565134202E-2</v>
      </c>
      <c r="AW673" s="94">
        <f>IF('Net zero activities &amp; levers'!$C$9="Off",'Activity data'!BP56*ManureNEF*NtoN2O*kgtoGg,IF('Net zero activities &amp; levers'!$C$9="On",(('Net zero supporting data'!AN164*'Net zero supporting data'!AN183)+('Net zero supporting data'!AN176*ManureNEF))*NtoN2O*kgtoGg,"ERROR"))</f>
        <v>6.0108795193871321E-2</v>
      </c>
      <c r="AY673" s="79"/>
      <c r="AZ673" s="79"/>
    </row>
    <row r="674" spans="1:52" x14ac:dyDescent="0.25">
      <c r="A674" s="95" t="str">
        <f t="shared" si="133"/>
        <v>NI Organic</v>
      </c>
      <c r="B674" s="95" t="s">
        <v>969</v>
      </c>
      <c r="C674" s="95" t="s">
        <v>1127</v>
      </c>
      <c r="D674" t="s">
        <v>369</v>
      </c>
      <c r="E674" t="s">
        <v>55</v>
      </c>
      <c r="F674" t="s">
        <v>421</v>
      </c>
      <c r="G674" t="s">
        <v>1166</v>
      </c>
      <c r="H674" t="s">
        <v>1167</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4.8186589457144935E-2</v>
      </c>
      <c r="T674" s="22">
        <f t="shared" si="146"/>
        <v>4.8218659679197723E-2</v>
      </c>
      <c r="U674" s="22">
        <f t="shared" si="146"/>
        <v>4.884671195258742E-2</v>
      </c>
      <c r="V674" s="22">
        <f t="shared" si="146"/>
        <v>4.8862032797615189E-2</v>
      </c>
      <c r="W674" s="22">
        <f t="shared" si="146"/>
        <v>4.8927567322217112E-2</v>
      </c>
      <c r="X674" s="22">
        <f t="shared" si="146"/>
        <v>4.9022299068176782E-2</v>
      </c>
      <c r="Y674" s="22">
        <f t="shared" si="146"/>
        <v>4.9110301613808693E-2</v>
      </c>
      <c r="Z674" s="22">
        <f t="shared" si="146"/>
        <v>4.9192664548882145E-2</v>
      </c>
      <c r="AA674" s="22">
        <f t="shared" si="146"/>
        <v>4.9268948676546534E-2</v>
      </c>
      <c r="AB674" s="22">
        <f t="shared" si="146"/>
        <v>4.9339841323060789E-2</v>
      </c>
      <c r="AC674" s="22">
        <f t="shared" si="146"/>
        <v>4.9406417857669777E-2</v>
      </c>
      <c r="AD674" s="22">
        <f t="shared" si="146"/>
        <v>4.9468615549911547E-2</v>
      </c>
      <c r="AE674" s="22">
        <f t="shared" si="146"/>
        <v>4.9527429221033953E-2</v>
      </c>
      <c r="AF674" s="22">
        <f t="shared" si="146"/>
        <v>4.9583001238822449E-2</v>
      </c>
      <c r="AG674" s="22">
        <f t="shared" si="146"/>
        <v>4.9634569924708931E-2</v>
      </c>
      <c r="AH674" s="22">
        <f t="shared" si="146"/>
        <v>4.9682607017124701E-2</v>
      </c>
      <c r="AI674" s="22">
        <f t="shared" si="146"/>
        <v>4.972787886912871E-2</v>
      </c>
      <c r="AJ674" s="22">
        <f t="shared" si="146"/>
        <v>4.8636542777722926E-2</v>
      </c>
      <c r="AK674" s="22">
        <f t="shared" si="146"/>
        <v>4.8681268485043679E-2</v>
      </c>
      <c r="AL674" s="22">
        <f t="shared" si="146"/>
        <v>4.872298605782617E-2</v>
      </c>
      <c r="AM674" s="22">
        <f t="shared" si="146"/>
        <v>4.8761950452437537E-2</v>
      </c>
      <c r="AN674" s="22">
        <f t="shared" si="146"/>
        <v>4.8798471598594094E-2</v>
      </c>
      <c r="AO674" s="22">
        <f t="shared" si="146"/>
        <v>4.8831588841694647E-2</v>
      </c>
      <c r="AP674" s="22">
        <f t="shared" si="146"/>
        <v>4.8860660646138712E-2</v>
      </c>
      <c r="AQ674" s="22">
        <f t="shared" si="146"/>
        <v>4.8885593046661804E-2</v>
      </c>
      <c r="AR674" s="22">
        <f t="shared" si="146"/>
        <v>4.8905655986315542E-2</v>
      </c>
      <c r="AS674" s="22">
        <f t="shared" si="146"/>
        <v>4.8920055913167046E-2</v>
      </c>
      <c r="AT674" s="22">
        <f t="shared" si="146"/>
        <v>4.8928703338159067E-2</v>
      </c>
      <c r="AU674" s="22">
        <f t="shared" si="146"/>
        <v>4.8931721608402395E-2</v>
      </c>
      <c r="AV674" s="22">
        <f t="shared" si="146"/>
        <v>4.8929199009167666E-2</v>
      </c>
      <c r="AW674" s="22">
        <f t="shared" si="146"/>
        <v>4.892038862846515E-2</v>
      </c>
      <c r="AY674" s="79"/>
      <c r="AZ674" s="79"/>
    </row>
    <row r="675" spans="1:52" x14ac:dyDescent="0.25">
      <c r="A675" s="95" t="str">
        <f t="shared" si="133"/>
        <v>NI Organic</v>
      </c>
      <c r="B675" s="95" t="s">
        <v>969</v>
      </c>
      <c r="C675" s="95" t="s">
        <v>1127</v>
      </c>
      <c r="D675" t="s">
        <v>369</v>
      </c>
      <c r="E675" t="s">
        <v>55</v>
      </c>
      <c r="F675" t="s">
        <v>421</v>
      </c>
      <c r="G675" t="s">
        <v>1168</v>
      </c>
      <c r="H675" t="s">
        <v>1169</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7.214092738049376E-3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7.4155715935563154E-3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7.4461584032265975E-3</v>
      </c>
      <c r="T675" s="94">
        <f>IF('Net zero activities &amp; levers'!$C$9="Off",'Activity data'!AM58*ManureNEF*NtoN2O*kgtoGg,IF('Net zero activities &amp; levers'!$C$9="On",(('Net zero supporting data'!K165*'Net zero supporting data'!K183)+('Net zero supporting data'!K177*ManureNEF))*NtoN2O*kgtoGg,"ERROR"))</f>
        <v>7.4583442385416504E-3</v>
      </c>
      <c r="U675" s="94">
        <f>IF('Net zero activities &amp; levers'!$C$9="Off",'Activity data'!AN58*ManureNEF*NtoN2O*kgtoGg,IF('Net zero activities &amp; levers'!$C$9="On",(('Net zero supporting data'!L165*'Net zero supporting data'!L183)+('Net zero supporting data'!L177*ManureNEF))*NtoN2O*kgtoGg,"ERROR"))</f>
        <v>7.6095641103995637E-3</v>
      </c>
      <c r="V675" s="94">
        <f>IF('Net zero activities &amp; levers'!$C$9="Off",'Activity data'!AO58*ManureNEF*NtoN2O*kgtoGg,IF('Net zero activities &amp; levers'!$C$9="On",(('Net zero supporting data'!M165*'Net zero supporting data'!M183)+('Net zero supporting data'!M177*ManureNEF))*NtoN2O*kgtoGg,"ERROR"))</f>
        <v>7.616396041581105E-3</v>
      </c>
      <c r="W675" s="94">
        <f>IF('Net zero activities &amp; levers'!$C$9="Off",'Activity data'!AP58*ManureNEF*NtoN2O*kgtoGg,IF('Net zero activities &amp; levers'!$C$9="On",(('Net zero supporting data'!N165*'Net zero supporting data'!N183)+('Net zero supporting data'!N177*ManureNEF))*NtoN2O*kgtoGg,"ERROR"))</f>
        <v>7.6344836732780402E-3</v>
      </c>
      <c r="X675" s="94">
        <f>IF('Net zero activities &amp; levers'!$C$9="Off",'Activity data'!AQ58*ManureNEF*NtoN2O*kgtoGg,IF('Net zero activities &amp; levers'!$C$9="On",(('Net zero supporting data'!O165*'Net zero supporting data'!O183)+('Net zero supporting data'!O177*ManureNEF))*NtoN2O*kgtoGg,"ERROR"))</f>
        <v>7.6588952719713966E-3</v>
      </c>
      <c r="Y675" s="94">
        <f>IF('Net zero activities &amp; levers'!$C$9="Off",'Activity data'!AR58*ManureNEF*NtoN2O*kgtoGg,IF('Net zero activities &amp; levers'!$C$9="On",(('Net zero supporting data'!P165*'Net zero supporting data'!P183)+('Net zero supporting data'!P177*ManureNEF))*NtoN2O*kgtoGg,"ERROR"))</f>
        <v>7.6812841131364881E-3</v>
      </c>
      <c r="Z675" s="94">
        <f>IF('Net zero activities &amp; levers'!$C$9="Off",'Activity data'!AS58*ManureNEF*NtoN2O*kgtoGg,IF('Net zero activities &amp; levers'!$C$9="On",(('Net zero supporting data'!Q165*'Net zero supporting data'!Q183)+('Net zero supporting data'!Q177*ManureNEF))*NtoN2O*kgtoGg,"ERROR"))</f>
        <v>7.7019461381660883E-3</v>
      </c>
      <c r="AA675" s="94">
        <f>IF('Net zero activities &amp; levers'!$C$9="Off",'Activity data'!AT58*ManureNEF*NtoN2O*kgtoGg,IF('Net zero activities &amp; levers'!$C$9="On",(('Net zero supporting data'!R165*'Net zero supporting data'!R183)+('Net zero supporting data'!R177*ManureNEF))*NtoN2O*kgtoGg,"ERROR"))</f>
        <v>7.7208179709042681E-3</v>
      </c>
      <c r="AB675" s="94">
        <f>IF('Net zero activities &amp; levers'!$C$9="Off",'Activity data'!AU58*ManureNEF*NtoN2O*kgtoGg,IF('Net zero activities &amp; levers'!$C$9="On",(('Net zero supporting data'!S165*'Net zero supporting data'!S183)+('Net zero supporting data'!S177*ManureNEF))*NtoN2O*kgtoGg,"ERROR"))</f>
        <v>7.7380934023290734E-3</v>
      </c>
      <c r="AC675" s="94">
        <f>IF('Net zero activities &amp; levers'!$C$9="Off",'Activity data'!AV58*ManureNEF*NtoN2O*kgtoGg,IF('Net zero activities &amp; levers'!$C$9="On",(('Net zero supporting data'!T165*'Net zero supporting data'!T183)+('Net zero supporting data'!T177*ManureNEF))*NtoN2O*kgtoGg,"ERROR"))</f>
        <v>7.754051159190669E-3</v>
      </c>
      <c r="AD675" s="94">
        <f>IF('Net zero activities &amp; levers'!$C$9="Off",'Activity data'!AW58*ManureNEF*NtoN2O*kgtoGg,IF('Net zero activities &amp; levers'!$C$9="On",(('Net zero supporting data'!U165*'Net zero supporting data'!U183)+('Net zero supporting data'!U177*ManureNEF))*NtoN2O*kgtoGg,"ERROR"))</f>
        <v>7.7687040986248812E-3</v>
      </c>
      <c r="AE675" s="94">
        <f>IF('Net zero activities &amp; levers'!$C$9="Off",'Activity data'!AX58*ManureNEF*NtoN2O*kgtoGg,IF('Net zero activities &amp; levers'!$C$9="On",(('Net zero supporting data'!V165*'Net zero supporting data'!V183)+('Net zero supporting data'!V177*ManureNEF))*NtoN2O*kgtoGg,"ERROR"))</f>
        <v>7.7823052319108766E-3</v>
      </c>
      <c r="AF675" s="94">
        <f>IF('Net zero activities &amp; levers'!$C$9="Off",'Activity data'!AY58*ManureNEF*NtoN2O*kgtoGg,IF('Net zero activities &amp; levers'!$C$9="On",(('Net zero supporting data'!W165*'Net zero supporting data'!W183)+('Net zero supporting data'!W177*ManureNEF))*NtoN2O*kgtoGg,"ERROR"))</f>
        <v>7.7949088981362474E-3</v>
      </c>
      <c r="AG675" s="94">
        <f>IF('Net zero activities &amp; levers'!$C$9="Off",'Activity data'!AZ58*ManureNEF*NtoN2O*kgtoGg,IF('Net zero activities &amp; levers'!$C$9="On",(('Net zero supporting data'!X165*'Net zero supporting data'!X183)+('Net zero supporting data'!X177*ManureNEF))*NtoN2O*kgtoGg,"ERROR"))</f>
        <v>7.8063612121467459E-3</v>
      </c>
      <c r="AH675" s="94">
        <f>IF('Net zero activities &amp; levers'!$C$9="Off",'Activity data'!BA58*ManureNEF*NtoN2O*kgtoGg,IF('Net zero activities &amp; levers'!$C$9="On",(('Net zero supporting data'!Y165*'Net zero supporting data'!Y183)+('Net zero supporting data'!Y177*ManureNEF))*NtoN2O*kgtoGg,"ERROR"))</f>
        <v>7.8167890041067195E-3</v>
      </c>
      <c r="AI675" s="94">
        <f>IF('Net zero activities &amp; levers'!$C$9="Off",'Activity data'!BB58*ManureNEF*NtoN2O*kgtoGg,IF('Net zero activities &amp; levers'!$C$9="On",(('Net zero supporting data'!Z165*'Net zero supporting data'!Z183)+('Net zero supporting data'!Z177*ManureNEF))*NtoN2O*kgtoGg,"ERROR"))</f>
        <v>7.8263838677397213E-3</v>
      </c>
      <c r="AJ675" s="94">
        <f>IF('Net zero activities &amp; levers'!$C$9="Off",'Activity data'!BC58*ManureNEF*NtoN2O*kgtoGg,IF('Net zero activities &amp; levers'!$C$9="On",(('Net zero supporting data'!AA165*'Net zero supporting data'!AA183)+('Net zero supporting data'!AA177*ManureNEF))*NtoN2O*kgtoGg,"ERROR"))</f>
        <v>7.5779321545979533E-3</v>
      </c>
      <c r="AK675" s="94">
        <f>IF('Net zero activities &amp; levers'!$C$9="Off",'Activity data'!BD58*ManureNEF*NtoN2O*kgtoGg,IF('Net zero activities &amp; levers'!$C$9="On",(('Net zero supporting data'!AB165*'Net zero supporting data'!AB183)+('Net zero supporting data'!AB177*ManureNEF))*NtoN2O*kgtoGg,"ERROR"))</f>
        <v>7.5875086550646472E-3</v>
      </c>
      <c r="AL675" s="94">
        <f>IF('Net zero activities &amp; levers'!$C$9="Off",'Activity data'!BE58*ManureNEF*NtoN2O*kgtoGg,IF('Net zero activities &amp; levers'!$C$9="On",(('Net zero supporting data'!AC165*'Net zero supporting data'!AC183)+('Net zero supporting data'!AC177*ManureNEF))*NtoN2O*kgtoGg,"ERROR"))</f>
        <v>7.5962279285727895E-3</v>
      </c>
      <c r="AM675" s="94">
        <f>IF('Net zero activities &amp; levers'!$C$9="Off",'Activity data'!BF58*ManureNEF*NtoN2O*kgtoGg,IF('Net zero activities &amp; levers'!$C$9="On",(('Net zero supporting data'!AD165*'Net zero supporting data'!AD183)+('Net zero supporting data'!AD177*ManureNEF))*NtoN2O*kgtoGg,"ERROR"))</f>
        <v>7.6041605420171859E-3</v>
      </c>
      <c r="AN675" s="94">
        <f>IF('Net zero activities &amp; levers'!$C$9="Off",'Activity data'!BG58*ManureNEF*NtoN2O*kgtoGg,IF('Net zero activities &amp; levers'!$C$9="On",(('Net zero supporting data'!AE165*'Net zero supporting data'!AE183)+('Net zero supporting data'!AE177*ManureNEF))*NtoN2O*kgtoGg,"ERROR"))</f>
        <v>7.6113882168756348E-3</v>
      </c>
      <c r="AO675" s="94">
        <f>IF('Net zero activities &amp; levers'!$C$9="Off",'Activity data'!BH58*ManureNEF*NtoN2O*kgtoGg,IF('Net zero activities &amp; levers'!$C$9="On",(('Net zero supporting data'!AF165*'Net zero supporting data'!AF183)+('Net zero supporting data'!AF177*ManureNEF))*NtoN2O*kgtoGg,"ERROR"))</f>
        <v>7.6177057736301935E-3</v>
      </c>
      <c r="AP675" s="94">
        <f>IF('Net zero activities &amp; levers'!$C$9="Off",'Activity data'!BI58*ManureNEF*NtoN2O*kgtoGg,IF('Net zero activities &amp; levers'!$C$9="On",(('Net zero supporting data'!AG165*'Net zero supporting data'!AG183)+('Net zero supporting data'!AG177*ManureNEF))*NtoN2O*kgtoGg,"ERROR"))</f>
        <v>7.6229804846382823E-3</v>
      </c>
      <c r="AQ675" s="94">
        <f>IF('Net zero activities &amp; levers'!$C$9="Off",'Activity data'!BJ58*ManureNEF*NtoN2O*kgtoGg,IF('Net zero activities &amp; levers'!$C$9="On",(('Net zero supporting data'!AH165*'Net zero supporting data'!AH183)+('Net zero supporting data'!AH177*ManureNEF))*NtoN2O*kgtoGg,"ERROR"))</f>
        <v>7.6272026599535862E-3</v>
      </c>
      <c r="AR675" s="94">
        <f>IF('Net zero activities &amp; levers'!$C$9="Off",'Activity data'!BK58*ManureNEF*NtoN2O*kgtoGg,IF('Net zero activities &amp; levers'!$C$9="On",(('Net zero supporting data'!AI165*'Net zero supporting data'!AI183)+('Net zero supporting data'!AI177*ManureNEF))*NtoN2O*kgtoGg,"ERROR"))</f>
        <v>7.6302198564372984E-3</v>
      </c>
      <c r="AS675" s="94">
        <f>IF('Net zero activities &amp; levers'!$C$9="Off",'Activity data'!BL58*ManureNEF*NtoN2O*kgtoGg,IF('Net zero activities &amp; levers'!$C$9="On",(('Net zero supporting data'!AJ165*'Net zero supporting data'!AJ183)+('Net zero supporting data'!AJ177*ManureNEF))*NtoN2O*kgtoGg,"ERROR"))</f>
        <v>7.6318659754992515E-3</v>
      </c>
      <c r="AT675" s="94">
        <f>IF('Net zero activities &amp; levers'!$C$9="Off",'Activity data'!BM58*ManureNEF*NtoN2O*kgtoGg,IF('Net zero activities &amp; levers'!$C$9="On",(('Net zero supporting data'!AK165*'Net zero supporting data'!AK183)+('Net zero supporting data'!AK177*ManureNEF))*NtoN2O*kgtoGg,"ERROR"))</f>
        <v>7.6321325230528187E-3</v>
      </c>
      <c r="AU675" s="94">
        <f>IF('Net zero activities &amp; levers'!$C$9="Off",'Activity data'!BN58*ManureNEF*NtoN2O*kgtoGg,IF('Net zero activities &amp; levers'!$C$9="On",(('Net zero supporting data'!AL165*'Net zero supporting data'!AL183)+('Net zero supporting data'!AL177*ManureNEF))*NtoN2O*kgtoGg,"ERROR"))</f>
        <v>7.631057996199485E-3</v>
      </c>
      <c r="AV675" s="94">
        <f>IF('Net zero activities &amp; levers'!$C$9="Off",'Activity data'!BO58*ManureNEF*NtoN2O*kgtoGg,IF('Net zero activities &amp; levers'!$C$9="On",(('Net zero supporting data'!AM165*'Net zero supporting data'!AM183)+('Net zero supporting data'!AM177*ManureNEF))*NtoN2O*kgtoGg,"ERROR"))</f>
        <v>7.6286724448087007E-3</v>
      </c>
      <c r="AW675" s="94">
        <f>IF('Net zero activities &amp; levers'!$C$9="Off",'Activity data'!BP58*ManureNEF*NtoN2O*kgtoGg,IF('Net zero activities &amp; levers'!$C$9="On",(('Net zero supporting data'!AN165*'Net zero supporting data'!AN183)+('Net zero supporting data'!AN177*ManureNEF))*NtoN2O*kgtoGg,"ERROR"))</f>
        <v>7.6248200266524988E-3</v>
      </c>
      <c r="AY675" s="79"/>
      <c r="AZ675" s="79"/>
    </row>
    <row r="676" spans="1:52" x14ac:dyDescent="0.25">
      <c r="A676" s="95" t="str">
        <f t="shared" si="133"/>
        <v>NI Organic</v>
      </c>
      <c r="B676" s="95" t="s">
        <v>969</v>
      </c>
      <c r="C676" s="95" t="s">
        <v>1127</v>
      </c>
      <c r="D676" t="s">
        <v>369</v>
      </c>
      <c r="E676" t="s">
        <v>55</v>
      </c>
      <c r="F676" t="s">
        <v>421</v>
      </c>
      <c r="G676" t="s">
        <v>1170</v>
      </c>
      <c r="H676" t="s">
        <v>1171</v>
      </c>
      <c r="I676" t="s">
        <v>139</v>
      </c>
      <c r="J676" t="s">
        <v>287</v>
      </c>
      <c r="K676" s="22">
        <f>K1475</f>
        <v>8.7045671471293537E-2</v>
      </c>
      <c r="L676" s="22">
        <f t="shared" ref="L676:AW678" si="147">L1475</f>
        <v>8.7271948200639354E-2</v>
      </c>
      <c r="M676" s="22">
        <f t="shared" si="147"/>
        <v>8.7584088952434122E-2</v>
      </c>
      <c r="N676" s="22">
        <f t="shared" si="147"/>
        <v>8.7964358824768801E-2</v>
      </c>
      <c r="O676" s="22">
        <f t="shared" si="147"/>
        <v>8.8412215452112072E-2</v>
      </c>
      <c r="P676" s="22">
        <f t="shared" si="147"/>
        <v>8.8924932944132923E-2</v>
      </c>
      <c r="Q676" s="22">
        <f t="shared" si="147"/>
        <v>8.9476727309038592E-2</v>
      </c>
      <c r="R676" s="22">
        <f t="shared" si="147"/>
        <v>9.0065414259340087E-2</v>
      </c>
      <c r="S676" s="22">
        <f t="shared" si="147"/>
        <v>8.9845789571278714E-2</v>
      </c>
      <c r="T676" s="22">
        <f t="shared" si="147"/>
        <v>8.9992824583989703E-2</v>
      </c>
      <c r="U676" s="22">
        <f t="shared" si="147"/>
        <v>9.1817452539803057E-2</v>
      </c>
      <c r="V676" s="22">
        <f t="shared" si="147"/>
        <v>9.1899887027234312E-2</v>
      </c>
      <c r="W676" s="22">
        <f t="shared" si="147"/>
        <v>9.211813346563695E-2</v>
      </c>
      <c r="X676" s="22">
        <f t="shared" si="147"/>
        <v>9.2412685265441663E-2</v>
      </c>
      <c r="Y676" s="22">
        <f t="shared" si="147"/>
        <v>9.2682830352765116E-2</v>
      </c>
      <c r="Z676" s="22">
        <f t="shared" si="147"/>
        <v>9.293213957403032E-2</v>
      </c>
      <c r="AA676" s="22">
        <f t="shared" si="147"/>
        <v>9.3159848228775613E-2</v>
      </c>
      <c r="AB676" s="22">
        <f t="shared" si="147"/>
        <v>9.3368294610452568E-2</v>
      </c>
      <c r="AC676" s="22">
        <f t="shared" si="147"/>
        <v>9.356084185258419E-2</v>
      </c>
      <c r="AD676" s="22">
        <f t="shared" si="147"/>
        <v>9.3737645090135047E-2</v>
      </c>
      <c r="AE676" s="22">
        <f t="shared" si="147"/>
        <v>9.390175717222761E-2</v>
      </c>
      <c r="AF676" s="22">
        <f t="shared" si="147"/>
        <v>9.40538337575203E-2</v>
      </c>
      <c r="AG676" s="22">
        <f t="shared" si="147"/>
        <v>9.4192018058601723E-2</v>
      </c>
      <c r="AH676" s="22">
        <f t="shared" si="147"/>
        <v>9.4317840415768184E-2</v>
      </c>
      <c r="AI676" s="22">
        <f t="shared" si="147"/>
        <v>9.4433612610268142E-2</v>
      </c>
      <c r="AJ676" s="22">
        <f t="shared" si="147"/>
        <v>9.1435779482264015E-2</v>
      </c>
      <c r="AK676" s="22">
        <f t="shared" si="147"/>
        <v>9.1551330105708581E-2</v>
      </c>
      <c r="AL676" s="22">
        <f t="shared" si="147"/>
        <v>9.1656537377754754E-2</v>
      </c>
      <c r="AM676" s="22">
        <f t="shared" si="147"/>
        <v>9.175225276274665E-2</v>
      </c>
      <c r="AN676" s="22">
        <f t="shared" si="147"/>
        <v>9.1839462316889414E-2</v>
      </c>
      <c r="AO676" s="22">
        <f t="shared" si="147"/>
        <v>9.1915690331932545E-2</v>
      </c>
      <c r="AP676" s="22">
        <f t="shared" si="147"/>
        <v>9.1979335308257068E-2</v>
      </c>
      <c r="AQ676" s="22">
        <f t="shared" si="147"/>
        <v>9.2030280326395222E-2</v>
      </c>
      <c r="AR676" s="22">
        <f t="shared" si="147"/>
        <v>9.2066685998379513E-2</v>
      </c>
      <c r="AS676" s="22">
        <f t="shared" si="147"/>
        <v>9.2086548168755195E-2</v>
      </c>
      <c r="AT676" s="22">
        <f t="shared" si="147"/>
        <v>9.2089764347368611E-2</v>
      </c>
      <c r="AU676" s="22">
        <f t="shared" si="147"/>
        <v>9.2076799042532853E-2</v>
      </c>
      <c r="AV676" s="22">
        <f t="shared" si="147"/>
        <v>9.2048014837757555E-2</v>
      </c>
      <c r="AW676" s="22">
        <f t="shared" si="147"/>
        <v>9.2001531331463521E-2</v>
      </c>
      <c r="AY676" s="79"/>
      <c r="AZ676" s="79"/>
    </row>
    <row r="677" spans="1:52" x14ac:dyDescent="0.25">
      <c r="A677" s="95" t="str">
        <f t="shared" si="133"/>
        <v>NI Organic</v>
      </c>
      <c r="B677" s="95" t="s">
        <v>969</v>
      </c>
      <c r="C677" s="95" t="s">
        <v>1127</v>
      </c>
      <c r="D677" t="s">
        <v>369</v>
      </c>
      <c r="E677" t="s">
        <v>55</v>
      </c>
      <c r="F677" t="s">
        <v>421</v>
      </c>
      <c r="G677" t="s">
        <v>1172</v>
      </c>
      <c r="H677" t="s">
        <v>1173</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25">
      <c r="A678" s="95" t="str">
        <f t="shared" ref="A678:A730" si="149">B678&amp;" "&amp;C678</f>
        <v>NI Organic</v>
      </c>
      <c r="B678" s="95" t="s">
        <v>969</v>
      </c>
      <c r="C678" s="95" t="s">
        <v>1127</v>
      </c>
      <c r="D678" t="s">
        <v>369</v>
      </c>
      <c r="E678" t="s">
        <v>55</v>
      </c>
      <c r="F678" t="s">
        <v>421</v>
      </c>
      <c r="G678" t="s">
        <v>1174</v>
      </c>
      <c r="H678" t="s">
        <v>1175</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25">
      <c r="A679" s="95" t="str">
        <f t="shared" si="149"/>
        <v>NI Organic</v>
      </c>
      <c r="B679" s="95" t="s">
        <v>969</v>
      </c>
      <c r="C679" s="95" t="s">
        <v>1127</v>
      </c>
      <c r="D679" t="s">
        <v>369</v>
      </c>
      <c r="E679" t="s">
        <v>55</v>
      </c>
      <c r="F679" t="s">
        <v>421</v>
      </c>
      <c r="G679" t="s">
        <v>1176</v>
      </c>
      <c r="H679" t="s">
        <v>1177</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0.12462873299340151</v>
      </c>
      <c r="L679" s="94">
        <f>IF('Net zero activities &amp; levers'!$C$9="Off",'Activity data'!AE62*ManureNEF*NtoN2O*kgtoGg,IF('Net zero activities &amp; levers'!$C$9="On",(('Net zero supporting data'!C166*'Net zero supporting data'!C183)+('Net zero supporting data'!C178*ManureNEF))*NtoN2O*kgtoGg,"ERROR"))</f>
        <v>0.12395129293471774</v>
      </c>
      <c r="M679" s="94">
        <f>IF('Net zero activities &amp; levers'!$C$9="Off",'Activity data'!AF62*ManureNEF*NtoN2O*kgtoGg,IF('Net zero activities &amp; levers'!$C$9="On",(('Net zero supporting data'!D166*'Net zero supporting data'!D183)+('Net zero supporting data'!D178*ManureNEF))*NtoN2O*kgtoGg,"ERROR"))</f>
        <v>0.12400689511310994</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0.11845842648899831</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0.10339476754661255</v>
      </c>
      <c r="T679" s="94">
        <f>IF('Net zero activities &amp; levers'!$C$9="Off",'Activity data'!AM62*ManureNEF*NtoN2O*kgtoGg,IF('Net zero activities &amp; levers'!$C$9="On",(('Net zero supporting data'!K166*'Net zero supporting data'!K183)+('Net zero supporting data'!K178*ManureNEF))*NtoN2O*kgtoGg,"ERROR"))</f>
        <v>0.10708680746691927</v>
      </c>
      <c r="U679" s="94">
        <f>IF('Net zero activities &amp; levers'!$C$9="Off",'Activity data'!AN62*ManureNEF*NtoN2O*kgtoGg,IF('Net zero activities &amp; levers'!$C$9="On",(('Net zero supporting data'!L166*'Net zero supporting data'!L183)+('Net zero supporting data'!L178*ManureNEF))*NtoN2O*kgtoGg,"ERROR"))</f>
        <v>0.34230494451620991</v>
      </c>
      <c r="V679" s="94">
        <f>IF('Net zero activities &amp; levers'!$C$9="Off",'Activity data'!AO62*ManureNEF*NtoN2O*kgtoGg,IF('Net zero activities &amp; levers'!$C$9="On",(('Net zero supporting data'!M166*'Net zero supporting data'!M183)+('Net zero supporting data'!M178*ManureNEF))*NtoN2O*kgtoGg,"ERROR"))</f>
        <v>0.34324328716985369</v>
      </c>
      <c r="W679" s="94">
        <f>IF('Net zero activities &amp; levers'!$C$9="Off",'Activity data'!AP62*ManureNEF*NtoN2O*kgtoGg,IF('Net zero activities &amp; levers'!$C$9="On",(('Net zero supporting data'!N166*'Net zero supporting data'!N183)+('Net zero supporting data'!N178*ManureNEF))*NtoN2O*kgtoGg,"ERROR"))</f>
        <v>0.3435898446352561</v>
      </c>
      <c r="X679" s="94">
        <f>IF('Net zero activities &amp; levers'!$C$9="Off",'Activity data'!AQ62*ManureNEF*NtoN2O*kgtoGg,IF('Net zero activities &amp; levers'!$C$9="On",(('Net zero supporting data'!O166*'Net zero supporting data'!O183)+('Net zero supporting data'!O178*ManureNEF))*NtoN2O*kgtoGg,"ERROR"))</f>
        <v>0.34336025373780221</v>
      </c>
      <c r="Y679" s="94">
        <f>IF('Net zero activities &amp; levers'!$C$9="Off",'Activity data'!AR62*ManureNEF*NtoN2O*kgtoGg,IF('Net zero activities &amp; levers'!$C$9="On",(('Net zero supporting data'!P166*'Net zero supporting data'!P183)+('Net zero supporting data'!P178*ManureNEF))*NtoN2O*kgtoGg,"ERROR"))</f>
        <v>0.34258915131434525</v>
      </c>
      <c r="Z679" s="94">
        <f>IF('Net zero activities &amp; levers'!$C$9="Off",'Activity data'!AS62*ManureNEF*NtoN2O*kgtoGg,IF('Net zero activities &amp; levers'!$C$9="On",(('Net zero supporting data'!Q166*'Net zero supporting data'!Q183)+('Net zero supporting data'!Q178*ManureNEF))*NtoN2O*kgtoGg,"ERROR"))</f>
        <v>0.34126945430195527</v>
      </c>
      <c r="AA679" s="94">
        <f>IF('Net zero activities &amp; levers'!$C$9="Off",'Activity data'!AT62*ManureNEF*NtoN2O*kgtoGg,IF('Net zero activities &amp; levers'!$C$9="On",(('Net zero supporting data'!R166*'Net zero supporting data'!R183)+('Net zero supporting data'!R178*ManureNEF))*NtoN2O*kgtoGg,"ERROR"))</f>
        <v>0.3393992662053118</v>
      </c>
      <c r="AB679" s="94">
        <f>IF('Net zero activities &amp; levers'!$C$9="Off",'Activity data'!AU62*ManureNEF*NtoN2O*kgtoGg,IF('Net zero activities &amp; levers'!$C$9="On",(('Net zero supporting data'!S166*'Net zero supporting data'!S183)+('Net zero supporting data'!S178*ManureNEF))*NtoN2O*kgtoGg,"ERROR"))</f>
        <v>0.33697876239255126</v>
      </c>
      <c r="AC679" s="94">
        <f>IF('Net zero activities &amp; levers'!$C$9="Off",'Activity data'!AV62*ManureNEF*NtoN2O*kgtoGg,IF('Net zero activities &amp; levers'!$C$9="On",(('Net zero supporting data'!T166*'Net zero supporting data'!T183)+('Net zero supporting data'!T178*ManureNEF))*NtoN2O*kgtoGg,"ERROR"))</f>
        <v>0.3340110473815755</v>
      </c>
      <c r="AD679" s="94">
        <f>IF('Net zero activities &amp; levers'!$C$9="Off",'Activity data'!AW62*ManureNEF*NtoN2O*kgtoGg,IF('Net zero activities &amp; levers'!$C$9="On",(('Net zero supporting data'!U166*'Net zero supporting data'!U183)+('Net zero supporting data'!U178*ManureNEF))*NtoN2O*kgtoGg,"ERROR"))</f>
        <v>0.33050375948442778</v>
      </c>
      <c r="AE679" s="94">
        <f>IF('Net zero activities &amp; levers'!$C$9="Off",'Activity data'!AX62*ManureNEF*NtoN2O*kgtoGg,IF('Net zero activities &amp; levers'!$C$9="On",(('Net zero supporting data'!V166*'Net zero supporting data'!V183)+('Net zero supporting data'!V178*ManureNEF))*NtoN2O*kgtoGg,"ERROR"))</f>
        <v>0.32646655874795893</v>
      </c>
      <c r="AF679" s="94">
        <f>IF('Net zero activities &amp; levers'!$C$9="Off",'Activity data'!AY62*ManureNEF*NtoN2O*kgtoGg,IF('Net zero activities &amp; levers'!$C$9="On",(('Net zero supporting data'!W166*'Net zero supporting data'!W183)+('Net zero supporting data'!W178*ManureNEF))*NtoN2O*kgtoGg,"ERROR"))</f>
        <v>0.32191309563582443</v>
      </c>
      <c r="AG679" s="94">
        <f>IF('Net zero activities &amp; levers'!$C$9="Off",'Activity data'!AZ62*ManureNEF*NtoN2O*kgtoGg,IF('Net zero activities &amp; levers'!$C$9="On",(('Net zero supporting data'!X166*'Net zero supporting data'!X183)+('Net zero supporting data'!X178*ManureNEF))*NtoN2O*kgtoGg,"ERROR"))</f>
        <v>0.31686086246920969</v>
      </c>
      <c r="AH679" s="94">
        <f>IF('Net zero activities &amp; levers'!$C$9="Off",'Activity data'!BA62*ManureNEF*NtoN2O*kgtoGg,IF('Net zero activities &amp; levers'!$C$9="On",(('Net zero supporting data'!Y166*'Net zero supporting data'!Y183)+('Net zero supporting data'!Y178*ManureNEF))*NtoN2O*kgtoGg,"ERROR"))</f>
        <v>0.31132880694281095</v>
      </c>
      <c r="AI679" s="94">
        <f>IF('Net zero activities &amp; levers'!$C$9="Off",'Activity data'!BB62*ManureNEF*NtoN2O*kgtoGg,IF('Net zero activities &amp; levers'!$C$9="On",(('Net zero supporting data'!Z166*'Net zero supporting data'!Z183)+('Net zero supporting data'!Z178*ManureNEF))*NtoN2O*kgtoGg,"ERROR"))</f>
        <v>0.30533819170490117</v>
      </c>
      <c r="AJ679" s="94">
        <f>IF('Net zero activities &amp; levers'!$C$9="Off",'Activity data'!BC62*ManureNEF*NtoN2O*kgtoGg,IF('Net zero activities &amp; levers'!$C$9="On",(('Net zero supporting data'!AA166*'Net zero supporting data'!AA183)+('Net zero supporting data'!AA178*ManureNEF))*NtoN2O*kgtoGg,"ERROR"))</f>
        <v>-2.8452110243571058E-2</v>
      </c>
      <c r="AK679" s="94">
        <f>IF('Net zero activities &amp; levers'!$C$9="Off",'Activity data'!BD62*ManureNEF*NtoN2O*kgtoGg,IF('Net zero activities &amp; levers'!$C$9="On",(('Net zero supporting data'!AB166*'Net zero supporting data'!AB183)+('Net zero supporting data'!AB178*ManureNEF))*NtoN2O*kgtoGg,"ERROR"))</f>
        <v>-2.814409017595957E-2</v>
      </c>
      <c r="AL679" s="94">
        <f>IF('Net zero activities &amp; levers'!$C$9="Off",'Activity data'!BE62*ManureNEF*NtoN2O*kgtoGg,IF('Net zero activities &amp; levers'!$C$9="On",(('Net zero supporting data'!AC166*'Net zero supporting data'!AC183)+('Net zero supporting data'!AC178*ManureNEF))*NtoN2O*kgtoGg,"ERROR"))</f>
        <v>-2.7834978813803351E-2</v>
      </c>
      <c r="AM679" s="94">
        <f>IF('Net zero activities &amp; levers'!$C$9="Off",'Activity data'!BF62*ManureNEF*NtoN2O*kgtoGg,IF('Net zero activities &amp; levers'!$C$9="On",(('Net zero supporting data'!AD166*'Net zero supporting data'!AD183)+('Net zero supporting data'!AD178*ManureNEF))*NtoN2O*kgtoGg,"ERROR"))</f>
        <v>-2.7525096845033417E-2</v>
      </c>
      <c r="AN679" s="94">
        <f>IF('Net zero activities &amp; levers'!$C$9="Off",'Activity data'!BG62*ManureNEF*NtoN2O*kgtoGg,IF('Net zero activities &amp; levers'!$C$9="On",(('Net zero supporting data'!AE166*'Net zero supporting data'!AE183)+('Net zero supporting data'!AE178*ManureNEF))*NtoN2O*kgtoGg,"ERROR"))</f>
        <v>-2.7214798691689582E-2</v>
      </c>
      <c r="AO679" s="94">
        <f>IF('Net zero activities &amp; levers'!$C$9="Off",'Activity data'!BH62*ManureNEF*NtoN2O*kgtoGg,IF('Net zero activities &amp; levers'!$C$9="On",(('Net zero supporting data'!AF166*'Net zero supporting data'!AF183)+('Net zero supporting data'!AF178*ManureNEF))*NtoN2O*kgtoGg,"ERROR"))</f>
        <v>-2.6903261813323635E-2</v>
      </c>
      <c r="AP679" s="94">
        <f>IF('Net zero activities &amp; levers'!$C$9="Off",'Activity data'!BI62*ManureNEF*NtoN2O*kgtoGg,IF('Net zero activities &amp; levers'!$C$9="On",(('Net zero supporting data'!AG166*'Net zero supporting data'!AG183)+('Net zero supporting data'!AG178*ManureNEF))*NtoN2O*kgtoGg,"ERROR"))</f>
        <v>-2.659000059935173E-2</v>
      </c>
      <c r="AQ679" s="94">
        <f>IF('Net zero activities &amp; levers'!$C$9="Off",'Activity data'!BJ62*ManureNEF*NtoN2O*kgtoGg,IF('Net zero activities &amp; levers'!$C$9="On",(('Net zero supporting data'!AH166*'Net zero supporting data'!AH183)+('Net zero supporting data'!AH178*ManureNEF))*NtoN2O*kgtoGg,"ERROR"))</f>
        <v>-2.6275045310908511E-2</v>
      </c>
      <c r="AR679" s="94">
        <f>IF('Net zero activities &amp; levers'!$C$9="Off",'Activity data'!BK62*ManureNEF*NtoN2O*kgtoGg,IF('Net zero activities &amp; levers'!$C$9="On",(('Net zero supporting data'!AI166*'Net zero supporting data'!AI183)+('Net zero supporting data'!AI178*ManureNEF))*NtoN2O*kgtoGg,"ERROR"))</f>
        <v>-2.5957874013715753E-2</v>
      </c>
      <c r="AS679" s="94">
        <f>IF('Net zero activities &amp; levers'!$C$9="Off",'Activity data'!BL62*ManureNEF*NtoN2O*kgtoGg,IF('Net zero activities &amp; levers'!$C$9="On",(('Net zero supporting data'!AJ166*'Net zero supporting data'!AJ183)+('Net zero supporting data'!AJ178*ManureNEF))*NtoN2O*kgtoGg,"ERROR"))</f>
        <v>-2.5637945266726723E-2</v>
      </c>
      <c r="AT679" s="94">
        <f>IF('Net zero activities &amp; levers'!$C$9="Off",'Activity data'!BM62*ManureNEF*NtoN2O*kgtoGg,IF('Net zero activities &amp; levers'!$C$9="On",(('Net zero supporting data'!AK166*'Net zero supporting data'!AK183)+('Net zero supporting data'!AK178*ManureNEF))*NtoN2O*kgtoGg,"ERROR"))</f>
        <v>-2.5315349871404581E-2</v>
      </c>
      <c r="AU679" s="94">
        <f>IF('Net zero activities &amp; levers'!$C$9="Off",'Activity data'!BN62*ManureNEF*NtoN2O*kgtoGg,IF('Net zero activities &amp; levers'!$C$9="On",(('Net zero supporting data'!AL166*'Net zero supporting data'!AL183)+('Net zero supporting data'!AL178*ManureNEF))*NtoN2O*kgtoGg,"ERROR"))</f>
        <v>-2.4990356269877063E-2</v>
      </c>
      <c r="AV679" s="94">
        <f>IF('Net zero activities &amp; levers'!$C$9="Off",'Activity data'!BO62*ManureNEF*NtoN2O*kgtoGg,IF('Net zero activities &amp; levers'!$C$9="On",(('Net zero supporting data'!AM166*'Net zero supporting data'!AM183)+('Net zero supporting data'!AM178*ManureNEF))*NtoN2O*kgtoGg,"ERROR"))</f>
        <v>-2.4663194083915266E-2</v>
      </c>
      <c r="AW679" s="94">
        <f>IF('Net zero activities &amp; levers'!$C$9="Off",'Activity data'!BP62*ManureNEF*NtoN2O*kgtoGg,IF('Net zero activities &amp; levers'!$C$9="On",(('Net zero supporting data'!AN166*'Net zero supporting data'!AN183)+('Net zero supporting data'!AN178*ManureNEF))*NtoN2O*kgtoGg,"ERROR"))</f>
        <v>-2.433341037395171E-2</v>
      </c>
      <c r="AY679" s="79"/>
      <c r="AZ679" s="79"/>
    </row>
    <row r="680" spans="1:52" x14ac:dyDescent="0.25">
      <c r="A680" s="95" t="str">
        <f t="shared" si="149"/>
        <v>NI Organic</v>
      </c>
      <c r="B680" s="95" t="s">
        <v>969</v>
      </c>
      <c r="C680" s="95" t="s">
        <v>1127</v>
      </c>
      <c r="D680" t="s">
        <v>369</v>
      </c>
      <c r="E680" t="s">
        <v>55</v>
      </c>
      <c r="F680" t="s">
        <v>421</v>
      </c>
      <c r="G680" t="s">
        <v>1178</v>
      </c>
      <c r="H680" t="s">
        <v>1179</v>
      </c>
      <c r="I680" t="s">
        <v>139</v>
      </c>
      <c r="J680" t="s">
        <v>287</v>
      </c>
      <c r="K680" s="22">
        <f>K1479</f>
        <v>3.1618785484610064E-2</v>
      </c>
      <c r="L680" s="22">
        <f t="shared" ref="L680:AW680" si="150">L1479</f>
        <v>3.1446916354757493E-2</v>
      </c>
      <c r="M680" s="22">
        <f t="shared" si="150"/>
        <v>3.1461022839745618E-2</v>
      </c>
      <c r="N680" s="22">
        <f t="shared" si="150"/>
        <v>3.1172186541537576E-2</v>
      </c>
      <c r="O680" s="22">
        <f t="shared" si="150"/>
        <v>3.0700450247237825E-2</v>
      </c>
      <c r="P680" s="22">
        <f t="shared" si="150"/>
        <v>3.0053355161673637E-2</v>
      </c>
      <c r="Q680" s="22">
        <f t="shared" si="150"/>
        <v>2.9583492368545915E-2</v>
      </c>
      <c r="R680" s="22">
        <f t="shared" si="150"/>
        <v>2.9155206131309674E-2</v>
      </c>
      <c r="S680" s="22">
        <f t="shared" si="150"/>
        <v>2.6231647363859134E-2</v>
      </c>
      <c r="T680" s="22">
        <f t="shared" si="150"/>
        <v>2.716833199056537E-2</v>
      </c>
      <c r="U680" s="22">
        <f t="shared" si="150"/>
        <v>8.684407159585289E-2</v>
      </c>
      <c r="V680" s="22">
        <f t="shared" si="150"/>
        <v>8.7082132710364829E-2</v>
      </c>
      <c r="W680" s="22">
        <f t="shared" si="150"/>
        <v>8.7170055662748783E-2</v>
      </c>
      <c r="X680" s="22">
        <f t="shared" si="150"/>
        <v>8.7111807575317793E-2</v>
      </c>
      <c r="Y680" s="22">
        <f t="shared" si="150"/>
        <v>8.6916175945850438E-2</v>
      </c>
      <c r="Z680" s="22">
        <f t="shared" si="150"/>
        <v>8.6581363774233103E-2</v>
      </c>
      <c r="AA680" s="22">
        <f t="shared" si="150"/>
        <v>8.6106889912360693E-2</v>
      </c>
      <c r="AB680" s="22">
        <f t="shared" si="150"/>
        <v>8.5492798851799182E-2</v>
      </c>
      <c r="AC680" s="22">
        <f t="shared" si="150"/>
        <v>8.4739878220595588E-2</v>
      </c>
      <c r="AD680" s="22">
        <f t="shared" si="150"/>
        <v>8.3850065887683914E-2</v>
      </c>
      <c r="AE680" s="22">
        <f t="shared" si="150"/>
        <v>8.2825812643839453E-2</v>
      </c>
      <c r="AF680" s="22">
        <f t="shared" si="150"/>
        <v>8.1670581663819047E-2</v>
      </c>
      <c r="AG680" s="22">
        <f t="shared" si="150"/>
        <v>8.0388810816306083E-2</v>
      </c>
      <c r="AH680" s="22">
        <f t="shared" si="150"/>
        <v>7.8985307203801092E-2</v>
      </c>
      <c r="AI680" s="22">
        <f t="shared" si="150"/>
        <v>7.7465465241367507E-2</v>
      </c>
      <c r="AJ680" s="22">
        <f t="shared" si="150"/>
        <v>-7.2184090198813182E-3</v>
      </c>
      <c r="AK680" s="22">
        <f t="shared" si="150"/>
        <v>-7.1402631524810738E-3</v>
      </c>
      <c r="AL680" s="22">
        <f t="shared" si="150"/>
        <v>-7.0618404194874671E-3</v>
      </c>
      <c r="AM680" s="22">
        <f t="shared" si="150"/>
        <v>-6.9832221806532197E-3</v>
      </c>
      <c r="AN680" s="22">
        <f t="shared" si="150"/>
        <v>-6.9044983542032711E-3</v>
      </c>
      <c r="AO680" s="22">
        <f t="shared" si="150"/>
        <v>-6.8254602584848501E-3</v>
      </c>
      <c r="AP680" s="22">
        <f t="shared" si="150"/>
        <v>-6.7459846922384176E-3</v>
      </c>
      <c r="AQ680" s="22">
        <f t="shared" si="150"/>
        <v>-6.66607933282939E-3</v>
      </c>
      <c r="AR680" s="22">
        <f t="shared" si="150"/>
        <v>-6.5856117635382473E-3</v>
      </c>
      <c r="AS680" s="22">
        <f t="shared" si="150"/>
        <v>-6.5044446187038276E-3</v>
      </c>
      <c r="AT680" s="22">
        <f t="shared" si="150"/>
        <v>-6.4226009350040626E-3</v>
      </c>
      <c r="AU680" s="22">
        <f t="shared" si="150"/>
        <v>-6.3401488172318849E-3</v>
      </c>
      <c r="AV680" s="22">
        <f t="shared" si="150"/>
        <v>-6.2571465213074788E-3</v>
      </c>
      <c r="AW680" s="22">
        <f t="shared" si="150"/>
        <v>-6.1734791347329209E-3</v>
      </c>
      <c r="AY680" s="79"/>
      <c r="AZ680" s="79"/>
    </row>
    <row r="681" spans="1:52" x14ac:dyDescent="0.25">
      <c r="A681" s="95" t="str">
        <f t="shared" si="149"/>
        <v>NI Organic</v>
      </c>
      <c r="B681" s="95" t="s">
        <v>969</v>
      </c>
      <c r="C681" s="95" t="s">
        <v>1127</v>
      </c>
      <c r="D681" t="s">
        <v>369</v>
      </c>
      <c r="E681" t="s">
        <v>55</v>
      </c>
      <c r="F681" t="s">
        <v>421</v>
      </c>
      <c r="G681" t="s">
        <v>1180</v>
      </c>
      <c r="H681" t="s">
        <v>1181</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0.15700744358616767</v>
      </c>
      <c r="L681" s="94">
        <f>IF('Net zero activities &amp; levers'!$C$9="Off",'Activity data'!AE64*ManureNEF*NtoN2O*kgtoGg,IF('Net zero activities &amp; levers'!$C$9="On",(('Net zero supporting data'!C167*'Net zero supporting data'!C183)+('Net zero supporting data'!C179*ManureNEF))*NtoN2O*kgtoGg,"ERROR"))</f>
        <v>0.16019971617730661</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0.17081649742586288</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0.17531753251219057</v>
      </c>
      <c r="S681" s="94">
        <f>IF('Net zero activities &amp; levers'!$C$9="Off",'Activity data'!AL64*ManureNEF*NtoN2O*kgtoGg,IF('Net zero activities &amp; levers'!$C$9="On",(('Net zero supporting data'!J167*'Net zero supporting data'!J183)+('Net zero supporting data'!J179*ManureNEF))*NtoN2O*kgtoGg,"ERROR"))</f>
        <v>0.16840615861524894</v>
      </c>
      <c r="T681" s="94">
        <f>IF('Net zero activities &amp; levers'!$C$9="Off",'Activity data'!AM64*ManureNEF*NtoN2O*kgtoGg,IF('Net zero activities &amp; levers'!$C$9="On",(('Net zero supporting data'!K167*'Net zero supporting data'!K183)+('Net zero supporting data'!K179*ManureNEF))*NtoN2O*kgtoGg,"ERROR"))</f>
        <v>0.17458356718938842</v>
      </c>
      <c r="U681" s="94">
        <f>IF('Net zero activities &amp; levers'!$C$9="Off",'Activity data'!AN64*ManureNEF*NtoN2O*kgtoGg,IF('Net zero activities &amp; levers'!$C$9="On",(('Net zero supporting data'!L167*'Net zero supporting data'!L183)+('Net zero supporting data'!L179*ManureNEF))*NtoN2O*kgtoGg,"ERROR"))</f>
        <v>0.38800090489360167</v>
      </c>
      <c r="V681" s="94">
        <f>IF('Net zero activities &amp; levers'!$C$9="Off",'Activity data'!AO64*ManureNEF*NtoN2O*kgtoGg,IF('Net zero activities &amp; levers'!$C$9="On",(('Net zero supporting data'!M167*'Net zero supporting data'!M183)+('Net zero supporting data'!M179*ManureNEF))*NtoN2O*kgtoGg,"ERROR"))</f>
        <v>0.39653088130091707</v>
      </c>
      <c r="W681" s="94">
        <f>IF('Net zero activities &amp; levers'!$C$9="Off",'Activity data'!AP64*ManureNEF*NtoN2O*kgtoGg,IF('Net zero activities &amp; levers'!$C$9="On",(('Net zero supporting data'!N167*'Net zero supporting data'!N183)+('Net zero supporting data'!N179*ManureNEF))*NtoN2O*kgtoGg,"ERROR"))</f>
        <v>0.40471104789547857</v>
      </c>
      <c r="X681" s="94">
        <f>IF('Net zero activities &amp; levers'!$C$9="Off",'Activity data'!AQ64*ManureNEF*NtoN2O*kgtoGg,IF('Net zero activities &amp; levers'!$C$9="On",(('Net zero supporting data'!O167*'Net zero supporting data'!O183)+('Net zero supporting data'!O179*ManureNEF))*NtoN2O*kgtoGg,"ERROR"))</f>
        <v>0.41246916129593358</v>
      </c>
      <c r="Y681" s="94">
        <f>IF('Net zero activities &amp; levers'!$C$9="Off",'Activity data'!AR64*ManureNEF*NtoN2O*kgtoGg,IF('Net zero activities &amp; levers'!$C$9="On",(('Net zero supporting data'!P167*'Net zero supporting data'!P183)+('Net zero supporting data'!P179*ManureNEF))*NtoN2O*kgtoGg,"ERROR"))</f>
        <v>0.41970725517029195</v>
      </c>
      <c r="Z681" s="94">
        <f>IF('Net zero activities &amp; levers'!$C$9="Off",'Activity data'!AS64*ManureNEF*NtoN2O*kgtoGg,IF('Net zero activities &amp; levers'!$C$9="On",(('Net zero supporting data'!Q167*'Net zero supporting data'!Q183)+('Net zero supporting data'!Q179*ManureNEF))*NtoN2O*kgtoGg,"ERROR"))</f>
        <v>0.42639369577393321</v>
      </c>
      <c r="AA681" s="94">
        <f>IF('Net zero activities &amp; levers'!$C$9="Off",'Activity data'!AT64*ManureNEF*NtoN2O*kgtoGg,IF('Net zero activities &amp; levers'!$C$9="On",(('Net zero supporting data'!R167*'Net zero supporting data'!R183)+('Net zero supporting data'!R179*ManureNEF))*NtoN2O*kgtoGg,"ERROR"))</f>
        <v>0.43249628984221433</v>
      </c>
      <c r="AB681" s="94">
        <f>IF('Net zero activities &amp; levers'!$C$9="Off",'Activity data'!AU64*ManureNEF*NtoN2O*kgtoGg,IF('Net zero activities &amp; levers'!$C$9="On",(('Net zero supporting data'!S167*'Net zero supporting data'!S183)+('Net zero supporting data'!S179*ManureNEF))*NtoN2O*kgtoGg,"ERROR"))</f>
        <v>0.4379872665206837</v>
      </c>
      <c r="AC681" s="94">
        <f>IF('Net zero activities &amp; levers'!$C$9="Off",'Activity data'!AV64*ManureNEF*NtoN2O*kgtoGg,IF('Net zero activities &amp; levers'!$C$9="On",(('Net zero supporting data'!T167*'Net zero supporting data'!T183)+('Net zero supporting data'!T179*ManureNEF))*NtoN2O*kgtoGg,"ERROR"))</f>
        <v>0.44284225594622417</v>
      </c>
      <c r="AD681" s="94">
        <f>IF('Net zero activities &amp; levers'!$C$9="Off",'Activity data'!AW64*ManureNEF*NtoN2O*kgtoGg,IF('Net zero activities &amp; levers'!$C$9="On",(('Net zero supporting data'!U167*'Net zero supporting data'!U183)+('Net zero supporting data'!U179*ManureNEF))*NtoN2O*kgtoGg,"ERROR"))</f>
        <v>0.44703777917847665</v>
      </c>
      <c r="AE681" s="94">
        <f>IF('Net zero activities &amp; levers'!$C$9="Off",'Activity data'!AX64*ManureNEF*NtoN2O*kgtoGg,IF('Net zero activities &amp; levers'!$C$9="On",(('Net zero supporting data'!V167*'Net zero supporting data'!V183)+('Net zero supporting data'!V179*ManureNEF))*NtoN2O*kgtoGg,"ERROR"))</f>
        <v>0.4505554182669968</v>
      </c>
      <c r="AF681" s="94">
        <f>IF('Net zero activities &amp; levers'!$C$9="Off",'Activity data'!AY64*ManureNEF*NtoN2O*kgtoGg,IF('Net zero activities &amp; levers'!$C$9="On",(('Net zero supporting data'!W167*'Net zero supporting data'!W183)+('Net zero supporting data'!W179*ManureNEF))*NtoN2O*kgtoGg,"ERROR"))</f>
        <v>0.45337855769901697</v>
      </c>
      <c r="AG681" s="94">
        <f>IF('Net zero activities &amp; levers'!$C$9="Off",'Activity data'!AZ64*ManureNEF*NtoN2O*kgtoGg,IF('Net zero activities &amp; levers'!$C$9="On",(('Net zero supporting data'!X167*'Net zero supporting data'!X183)+('Net zero supporting data'!X179*ManureNEF))*NtoN2O*kgtoGg,"ERROR"))</f>
        <v>0.45549241971080034</v>
      </c>
      <c r="AH681" s="94">
        <f>IF('Net zero activities &amp; levers'!$C$9="Off",'Activity data'!BA64*ManureNEF*NtoN2O*kgtoGg,IF('Net zero activities &amp; levers'!$C$9="On",(('Net zero supporting data'!Y167*'Net zero supporting data'!Y183)+('Net zero supporting data'!Y179*ManureNEF))*NtoN2O*kgtoGg,"ERROR"))</f>
        <v>0.45688810753700776</v>
      </c>
      <c r="AI681" s="94">
        <f>IF('Net zero activities &amp; levers'!$C$9="Off",'Activity data'!BB64*ManureNEF*NtoN2O*kgtoGg,IF('Net zero activities &amp; levers'!$C$9="On",(('Net zero supporting data'!Z167*'Net zero supporting data'!Z183)+('Net zero supporting data'!Z179*ManureNEF))*NtoN2O*kgtoGg,"ERROR"))</f>
        <v>0.45756101673458949</v>
      </c>
      <c r="AJ681" s="94">
        <f>IF('Net zero activities &amp; levers'!$C$9="Off",'Activity data'!BC64*ManureNEF*NtoN2O*kgtoGg,IF('Net zero activities &amp; levers'!$C$9="On",(('Net zero supporting data'!AA167*'Net zero supporting data'!AA183)+('Net zero supporting data'!AA179*ManureNEF))*NtoN2O*kgtoGg,"ERROR"))</f>
        <v>5.9649191888050651E-2</v>
      </c>
      <c r="AK681" s="94">
        <f>IF('Net zero activities &amp; levers'!$C$9="Off",'Activity data'!BD64*ManureNEF*NtoN2O*kgtoGg,IF('Net zero activities &amp; levers'!$C$9="On",(('Net zero supporting data'!AB167*'Net zero supporting data'!AB183)+('Net zero supporting data'!AB179*ManureNEF))*NtoN2O*kgtoGg,"ERROR"))</f>
        <v>6.0086977867764617E-2</v>
      </c>
      <c r="AL681" s="94">
        <f>IF('Net zero activities &amp; levers'!$C$9="Off",'Activity data'!BE64*ManureNEF*NtoN2O*kgtoGg,IF('Net zero activities &amp; levers'!$C$9="On",(('Net zero supporting data'!AC167*'Net zero supporting data'!AC183)+('Net zero supporting data'!AC179*ManureNEF))*NtoN2O*kgtoGg,"ERROR"))</f>
        <v>6.051391169747472E-2</v>
      </c>
      <c r="AM681" s="94">
        <f>IF('Net zero activities &amp; levers'!$C$9="Off",'Activity data'!BF64*ManureNEF*NtoN2O*kgtoGg,IF('Net zero activities &amp; levers'!$C$9="On",(('Net zero supporting data'!AD167*'Net zero supporting data'!AD183)+('Net zero supporting data'!AD179*ManureNEF))*NtoN2O*kgtoGg,"ERROR"))</f>
        <v>6.0930636526454876E-2</v>
      </c>
      <c r="AN681" s="94">
        <f>IF('Net zero activities &amp; levers'!$C$9="Off",'Activity data'!BG64*ManureNEF*NtoN2O*kgtoGg,IF('Net zero activities &amp; levers'!$C$9="On",(('Net zero supporting data'!AE167*'Net zero supporting data'!AE183)+('Net zero supporting data'!AE179*ManureNEF))*NtoN2O*kgtoGg,"ERROR"))</f>
        <v>6.1337893751701338E-2</v>
      </c>
      <c r="AO681" s="94">
        <f>IF('Net zero activities &amp; levers'!$C$9="Off",'Activity data'!BH64*ManureNEF*NtoN2O*kgtoGg,IF('Net zero activities &amp; levers'!$C$9="On",(('Net zero supporting data'!AF167*'Net zero supporting data'!AF183)+('Net zero supporting data'!AF179*ManureNEF))*NtoN2O*kgtoGg,"ERROR"))</f>
        <v>6.173401354876637E-2</v>
      </c>
      <c r="AP681" s="94">
        <f>IF('Net zero activities &amp; levers'!$C$9="Off",'Activity data'!BI64*ManureNEF*NtoN2O*kgtoGg,IF('Net zero activities &amp; levers'!$C$9="On",(('Net zero supporting data'!AG167*'Net zero supporting data'!AG183)+('Net zero supporting data'!AG179*ManureNEF))*NtoN2O*kgtoGg,"ERROR"))</f>
        <v>6.2117896275395594E-2</v>
      </c>
      <c r="AQ681" s="94">
        <f>IF('Net zero activities &amp; levers'!$C$9="Off",'Activity data'!BJ64*ManureNEF*NtoN2O*kgtoGg,IF('Net zero activities &amp; levers'!$C$9="On",(('Net zero supporting data'!AH167*'Net zero supporting data'!AH183)+('Net zero supporting data'!AH179*ManureNEF))*NtoN2O*kgtoGg,"ERROR"))</f>
        <v>6.2489460947128449E-2</v>
      </c>
      <c r="AR681" s="94">
        <f>IF('Net zero activities &amp; levers'!$C$9="Off",'Activity data'!BK64*ManureNEF*NtoN2O*kgtoGg,IF('Net zero activities &amp; levers'!$C$9="On",(('Net zero supporting data'!AI167*'Net zero supporting data'!AI183)+('Net zero supporting data'!AI179*ManureNEF))*NtoN2O*kgtoGg,"ERROR"))</f>
        <v>6.2847397693153853E-2</v>
      </c>
      <c r="AS681" s="94">
        <f>IF('Net zero activities &amp; levers'!$C$9="Off",'Activity data'!BL64*ManureNEF*NtoN2O*kgtoGg,IF('Net zero activities &amp; levers'!$C$9="On",(('Net zero supporting data'!AJ167*'Net zero supporting data'!AJ183)+('Net zero supporting data'!AJ179*ManureNEF))*NtoN2O*kgtoGg,"ERROR"))</f>
        <v>6.3190248292167767E-2</v>
      </c>
      <c r="AT681" s="94">
        <f>IF('Net zero activities &amp; levers'!$C$9="Off",'Activity data'!BM64*ManureNEF*NtoN2O*kgtoGg,IF('Net zero activities &amp; levers'!$C$9="On",(('Net zero supporting data'!AK167*'Net zero supporting data'!AK183)+('Net zero supporting data'!AK179*ManureNEF))*NtoN2O*kgtoGg,"ERROR"))</f>
        <v>6.3517885217877365E-2</v>
      </c>
      <c r="AU681" s="94">
        <f>IF('Net zero activities &amp; levers'!$C$9="Off",'Activity data'!BN64*ManureNEF*NtoN2O*kgtoGg,IF('Net zero activities &amp; levers'!$C$9="On",(('Net zero supporting data'!AL167*'Net zero supporting data'!AL183)+('Net zero supporting data'!AL179*ManureNEF))*NtoN2O*kgtoGg,"ERROR"))</f>
        <v>6.3830584812563373E-2</v>
      </c>
      <c r="AV681" s="94">
        <f>IF('Net zero activities &amp; levers'!$C$9="Off",'Activity data'!BO64*ManureNEF*NtoN2O*kgtoGg,IF('Net zero activities &amp; levers'!$C$9="On",(('Net zero supporting data'!AM167*'Net zero supporting data'!AM183)+('Net zero supporting data'!AM179*ManureNEF))*NtoN2O*kgtoGg,"ERROR"))</f>
        <v>6.4128553387287249E-2</v>
      </c>
      <c r="AW681" s="94">
        <f>IF('Net zero activities &amp; levers'!$C$9="Off",'Activity data'!BP64*ManureNEF*NtoN2O*kgtoGg,IF('Net zero activities &amp; levers'!$C$9="On",(('Net zero supporting data'!AN167*'Net zero supporting data'!AN183)+('Net zero supporting data'!AN179*ManureNEF))*NtoN2O*kgtoGg,"ERROR"))</f>
        <v>6.4410368967620674E-2</v>
      </c>
      <c r="AY681" s="79"/>
      <c r="AZ681" s="79"/>
    </row>
    <row r="682" spans="1:52" x14ac:dyDescent="0.25">
      <c r="A682" s="95" t="str">
        <f t="shared" si="149"/>
        <v>NI Organic</v>
      </c>
      <c r="B682" s="95" t="s">
        <v>969</v>
      </c>
      <c r="C682" s="95" t="s">
        <v>1127</v>
      </c>
      <c r="D682" t="s">
        <v>369</v>
      </c>
      <c r="E682" t="s">
        <v>55</v>
      </c>
      <c r="F682" t="s">
        <v>421</v>
      </c>
      <c r="G682" t="s">
        <v>1182</v>
      </c>
      <c r="H682" t="s">
        <v>1183</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0.78620275218739066</v>
      </c>
      <c r="L682" s="94">
        <f>IF('Net zero activities &amp; levers'!$C$9="Off",'Activity data'!AE65*ManureNEF*NtoN2O*kgtoGg,IF('Net zero activities &amp; levers'!$C$9="On",(('Net zero supporting data'!C168*'Net zero supporting data'!C183)+('Net zero supporting data'!C180*ManureNEF))*NtoN2O*kgtoGg,"ERROR"))</f>
        <v>0.79655563720176403</v>
      </c>
      <c r="M682" s="94">
        <f>IF('Net zero activities &amp; levers'!$C$9="Off",'Activity data'!AF65*ManureNEF*NtoN2O*kgtoGg,IF('Net zero activities &amp; levers'!$C$9="On",(('Net zero supporting data'!D168*'Net zero supporting data'!D183)+('Net zero supporting data'!D180*ManureNEF))*NtoN2O*kgtoGg,"ERROR"))</f>
        <v>0.81318534024672162</v>
      </c>
      <c r="N682" s="94">
        <f>IF('Net zero activities &amp; levers'!$C$9="Off",'Activity data'!AG65*ManureNEF*NtoN2O*kgtoGg,IF('Net zero activities &amp; levers'!$C$9="On",(('Net zero supporting data'!E168*'Net zero supporting data'!E183)+('Net zero supporting data'!E180*ManureNEF))*NtoN2O*kgtoGg,"ERROR"))</f>
        <v>0.81796021384654061</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0.80443274266431919</v>
      </c>
      <c r="Q682" s="94">
        <f>IF('Net zero activities &amp; levers'!$C$9="Off",'Activity data'!AJ65*ManureNEF*NtoN2O*kgtoGg,IF('Net zero activities &amp; levers'!$C$9="On",(('Net zero supporting data'!H168*'Net zero supporting data'!H183)+('Net zero supporting data'!H180*ManureNEF))*NtoN2O*kgtoGg,"ERROR"))</f>
        <v>0.7999705721751077</v>
      </c>
      <c r="R682" s="94">
        <f>IF('Net zero activities &amp; levers'!$C$9="Off",'Activity data'!AK65*ManureNEF*NtoN2O*kgtoGg,IF('Net zero activities &amp; levers'!$C$9="On",(('Net zero supporting data'!I168*'Net zero supporting data'!I183)+('Net zero supporting data'!I180*ManureNEF))*NtoN2O*kgtoGg,"ERROR"))</f>
        <v>0.79652072541357855</v>
      </c>
      <c r="S682" s="94">
        <f>IF('Net zero activities &amp; levers'!$C$9="Off",'Activity data'!AL65*ManureNEF*NtoN2O*kgtoGg,IF('Net zero activities &amp; levers'!$C$9="On",(('Net zero supporting data'!J168*'Net zero supporting data'!J183)+('Net zero supporting data'!J180*ManureNEF))*NtoN2O*kgtoGg,"ERROR"))</f>
        <v>0.69465569137892269</v>
      </c>
      <c r="T682" s="94">
        <f>IF('Net zero activities &amp; levers'!$C$9="Off",'Activity data'!AM65*ManureNEF*NtoN2O*kgtoGg,IF('Net zero activities &amp; levers'!$C$9="On",(('Net zero supporting data'!K168*'Net zero supporting data'!K183)+('Net zero supporting data'!K180*ManureNEF))*NtoN2O*kgtoGg,"ERROR"))</f>
        <v>0.74722740283446698</v>
      </c>
      <c r="U682" s="94">
        <f>IF('Net zero activities &amp; levers'!$C$9="Off",'Activity data'!AN65*ManureNEF*NtoN2O*kgtoGg,IF('Net zero activities &amp; levers'!$C$9="On",(('Net zero supporting data'!L168*'Net zero supporting data'!L183)+('Net zero supporting data'!L180*ManureNEF))*NtoN2O*kgtoGg,"ERROR"))</f>
        <v>3.2491319225574986</v>
      </c>
      <c r="V682" s="94">
        <f>IF('Net zero activities &amp; levers'!$C$9="Off",'Activity data'!AO65*ManureNEF*NtoN2O*kgtoGg,IF('Net zero activities &amp; levers'!$C$9="On",(('Net zero supporting data'!M168*'Net zero supporting data'!M183)+('Net zero supporting data'!M180*ManureNEF))*NtoN2O*kgtoGg,"ERROR"))</f>
        <v>3.3073834646513305</v>
      </c>
      <c r="W682" s="94">
        <f>IF('Net zero activities &amp; levers'!$C$9="Off",'Activity data'!AP65*ManureNEF*NtoN2O*kgtoGg,IF('Net zero activities &amp; levers'!$C$9="On",(('Net zero supporting data'!N168*'Net zero supporting data'!N183)+('Net zero supporting data'!N180*ManureNEF))*NtoN2O*kgtoGg,"ERROR"))</f>
        <v>3.3591336989468359</v>
      </c>
      <c r="X682" s="94">
        <f>IF('Net zero activities &amp; levers'!$C$9="Off",'Activity data'!AQ65*ManureNEF*NtoN2O*kgtoGg,IF('Net zero activities &amp; levers'!$C$9="On",(('Net zero supporting data'!O168*'Net zero supporting data'!O183)+('Net zero supporting data'!O180*ManureNEF))*NtoN2O*kgtoGg,"ERROR"))</f>
        <v>3.4046035940471189</v>
      </c>
      <c r="Y682" s="94">
        <f>IF('Net zero activities &amp; levers'!$C$9="Off",'Activity data'!AR65*ManureNEF*NtoN2O*kgtoGg,IF('Net zero activities &amp; levers'!$C$9="On",(('Net zero supporting data'!P168*'Net zero supporting data'!P183)+('Net zero supporting data'!P180*ManureNEF))*NtoN2O*kgtoGg,"ERROR"))</f>
        <v>3.4444110933040832</v>
      </c>
      <c r="Z682" s="94">
        <f>IF('Net zero activities &amp; levers'!$C$9="Off",'Activity data'!AS65*ManureNEF*NtoN2O*kgtoGg,IF('Net zero activities &amp; levers'!$C$9="On",(('Net zero supporting data'!Q168*'Net zero supporting data'!Q183)+('Net zero supporting data'!Q180*ManureNEF))*NtoN2O*kgtoGg,"ERROR"))</f>
        <v>3.4782576037016457</v>
      </c>
      <c r="AA682" s="94">
        <f>IF('Net zero activities &amp; levers'!$C$9="Off",'Activity data'!AT65*ManureNEF*NtoN2O*kgtoGg,IF('Net zero activities &amp; levers'!$C$9="On",(('Net zero supporting data'!R168*'Net zero supporting data'!R183)+('Net zero supporting data'!R180*ManureNEF))*NtoN2O*kgtoGg,"ERROR"))</f>
        <v>3.505913886515494</v>
      </c>
      <c r="AB682" s="94">
        <f>IF('Net zero activities &amp; levers'!$C$9="Off",'Activity data'!AU65*ManureNEF*NtoN2O*kgtoGg,IF('Net zero activities &amp; levers'!$C$9="On",(('Net zero supporting data'!S168*'Net zero supporting data'!S183)+('Net zero supporting data'!S180*ManureNEF))*NtoN2O*kgtoGg,"ERROR"))</f>
        <v>3.5271546213039011</v>
      </c>
      <c r="AC682" s="94">
        <f>IF('Net zero activities &amp; levers'!$C$9="Off",'Activity data'!AV65*ManureNEF*NtoN2O*kgtoGg,IF('Net zero activities &amp; levers'!$C$9="On",(('Net zero supporting data'!T168*'Net zero supporting data'!T183)+('Net zero supporting data'!T180*ManureNEF))*NtoN2O*kgtoGg,"ERROR"))</f>
        <v>3.5417788512464328</v>
      </c>
      <c r="AD682" s="94">
        <f>IF('Net zero activities &amp; levers'!$C$9="Off",'Activity data'!AW65*ManureNEF*NtoN2O*kgtoGg,IF('Net zero activities &amp; levers'!$C$9="On",(('Net zero supporting data'!U168*'Net zero supporting data'!U183)+('Net zero supporting data'!U180*ManureNEF))*NtoN2O*kgtoGg,"ERROR"))</f>
        <v>3.549649544772171</v>
      </c>
      <c r="AE682" s="94">
        <f>IF('Net zero activities &amp; levers'!$C$9="Off",'Activity data'!AX65*ManureNEF*NtoN2O*kgtoGg,IF('Net zero activities &amp; levers'!$C$9="On",(('Net zero supporting data'!V168*'Net zero supporting data'!V183)+('Net zero supporting data'!V180*ManureNEF))*NtoN2O*kgtoGg,"ERROR"))</f>
        <v>3.5506396563756342</v>
      </c>
      <c r="AF682" s="94">
        <f>IF('Net zero activities &amp; levers'!$C$9="Off",'Activity data'!AY65*ManureNEF*NtoN2O*kgtoGg,IF('Net zero activities &amp; levers'!$C$9="On",(('Net zero supporting data'!W168*'Net zero supporting data'!W183)+('Net zero supporting data'!W180*ManureNEF))*NtoN2O*kgtoGg,"ERROR"))</f>
        <v>3.5446807301434013</v>
      </c>
      <c r="AG682" s="94">
        <f>IF('Net zero activities &amp; levers'!$C$9="Off",'Activity data'!AZ65*ManureNEF*NtoN2O*kgtoGg,IF('Net zero activities &amp; levers'!$C$9="On",(('Net zero supporting data'!X168*'Net zero supporting data'!X183)+('Net zero supporting data'!X180*ManureNEF))*NtoN2O*kgtoGg,"ERROR"))</f>
        <v>3.5317644478597843</v>
      </c>
      <c r="AH682" s="94">
        <f>IF('Net zero activities &amp; levers'!$C$9="Off",'Activity data'!BA65*ManureNEF*NtoN2O*kgtoGg,IF('Net zero activities &amp; levers'!$C$9="On",(('Net zero supporting data'!Y168*'Net zero supporting data'!Y183)+('Net zero supporting data'!Y180*ManureNEF))*NtoN2O*kgtoGg,"ERROR"))</f>
        <v>3.5118898029906984</v>
      </c>
      <c r="AI682" s="94">
        <f>IF('Net zero activities &amp; levers'!$C$9="Off",'Activity data'!BB65*ManureNEF*NtoN2O*kgtoGg,IF('Net zero activities &amp; levers'!$C$9="On",(('Net zero supporting data'!Z168*'Net zero supporting data'!Z183)+('Net zero supporting data'!Z180*ManureNEF))*NtoN2O*kgtoGg,"ERROR"))</f>
        <v>3.4850865665660411</v>
      </c>
      <c r="AJ682" s="94">
        <f>IF('Net zero activities &amp; levers'!$C$9="Off",'Activity data'!BC65*ManureNEF*NtoN2O*kgtoGg,IF('Net zero activities &amp; levers'!$C$9="On",(('Net zero supporting data'!AA168*'Net zero supporting data'!AA183)+('Net zero supporting data'!AA180*ManureNEF))*NtoN2O*kgtoGg,"ERROR"))</f>
        <v>-0.74420912451247578</v>
      </c>
      <c r="AK682" s="94">
        <f>IF('Net zero activities &amp; levers'!$C$9="Off",'Activity data'!BD65*ManureNEF*NtoN2O*kgtoGg,IF('Net zero activities &amp; levers'!$C$9="On",(('Net zero supporting data'!AB168*'Net zero supporting data'!AB183)+('Net zero supporting data'!AB180*ManureNEF))*NtoN2O*kgtoGg,"ERROR"))</f>
        <v>-0.74526229962435608</v>
      </c>
      <c r="AL682" s="94">
        <f>IF('Net zero activities &amp; levers'!$C$9="Off",'Activity data'!BE65*ManureNEF*NtoN2O*kgtoGg,IF('Net zero activities &amp; levers'!$C$9="On",(('Net zero supporting data'!AC168*'Net zero supporting data'!AC183)+('Net zero supporting data'!AC180*ManureNEF))*NtoN2O*kgtoGg,"ERROR"))</f>
        <v>-0.74621593178570578</v>
      </c>
      <c r="AM682" s="94">
        <f>IF('Net zero activities &amp; levers'!$C$9="Off",'Activity data'!BF65*ManureNEF*NtoN2O*kgtoGg,IF('Net zero activities &amp; levers'!$C$9="On",(('Net zero supporting data'!AD168*'Net zero supporting data'!AD183)+('Net zero supporting data'!AD180*ManureNEF))*NtoN2O*kgtoGg,"ERROR"))</f>
        <v>-0.74707813045846294</v>
      </c>
      <c r="AN682" s="94">
        <f>IF('Net zero activities &amp; levers'!$C$9="Off",'Activity data'!BG65*ManureNEF*NtoN2O*kgtoGg,IF('Net zero activities &amp; levers'!$C$9="On",(('Net zero supporting data'!AE168*'Net zero supporting data'!AE183)+('Net zero supporting data'!AE180*ManureNEF))*NtoN2O*kgtoGg,"ERROR"))</f>
        <v>-0.74785816697127483</v>
      </c>
      <c r="AO682" s="94">
        <f>IF('Net zero activities &amp; levers'!$C$9="Off",'Activity data'!BH65*ManureNEF*NtoN2O*kgtoGg,IF('Net zero activities &amp; levers'!$C$9="On",(('Net zero supporting data'!AF168*'Net zero supporting data'!AF183)+('Net zero supporting data'!AF180*ManureNEF))*NtoN2O*kgtoGg,"ERROR"))</f>
        <v>-0.74853427138595596</v>
      </c>
      <c r="AP682" s="94">
        <f>IF('Net zero activities &amp; levers'!$C$9="Off",'Activity data'!BI65*ManureNEF*NtoN2O*kgtoGg,IF('Net zero activities &amp; levers'!$C$9="On",(('Net zero supporting data'!AG168*'Net zero supporting data'!AG183)+('Net zero supporting data'!AG180*ManureNEF))*NtoN2O*kgtoGg,"ERROR"))</f>
        <v>-0.74909252303654383</v>
      </c>
      <c r="AQ682" s="94">
        <f>IF('Net zero activities &amp; levers'!$C$9="Off",'Activity data'!BJ65*ManureNEF*NtoN2O*kgtoGg,IF('Net zero activities &amp; levers'!$C$9="On",(('Net zero supporting data'!AH168*'Net zero supporting data'!AH183)+('Net zero supporting data'!AH180*ManureNEF))*NtoN2O*kgtoGg,"ERROR"))</f>
        <v>-0.74953228992663867</v>
      </c>
      <c r="AR682" s="94">
        <f>IF('Net zero activities &amp; levers'!$C$9="Off",'Activity data'!BK65*ManureNEF*NtoN2O*kgtoGg,IF('Net zero activities &amp; levers'!$C$9="On",(('Net zero supporting data'!AI168*'Net zero supporting data'!AI183)+('Net zero supporting data'!AI180*ManureNEF))*NtoN2O*kgtoGg,"ERROR"))</f>
        <v>-0.74983752364841638</v>
      </c>
      <c r="AS682" s="94">
        <f>IF('Net zero activities &amp; levers'!$C$9="Off",'Activity data'!BL65*ManureNEF*NtoN2O*kgtoGg,IF('Net zero activities &amp; levers'!$C$9="On",(('Net zero supporting data'!AJ168*'Net zero supporting data'!AJ183)+('Net zero supporting data'!AJ180*ManureNEF))*NtoN2O*kgtoGg,"ERROR"))</f>
        <v>-0.74999071959333552</v>
      </c>
      <c r="AT682" s="94">
        <f>IF('Net zero activities &amp; levers'!$C$9="Off",'Activity data'!BM65*ManureNEF*NtoN2O*kgtoGg,IF('Net zero activities &amp; levers'!$C$9="On",(('Net zero supporting data'!AK168*'Net zero supporting data'!AK183)+('Net zero supporting data'!AK180*ManureNEF))*NtoN2O*kgtoGg,"ERROR"))</f>
        <v>-0.74999137614758737</v>
      </c>
      <c r="AU682" s="94">
        <f>IF('Net zero activities &amp; levers'!$C$9="Off",'Activity data'!BN65*ManureNEF*NtoN2O*kgtoGg,IF('Net zero activities &amp; levers'!$C$9="On",(('Net zero supporting data'!AL168*'Net zero supporting data'!AL183)+('Net zero supporting data'!AL180*ManureNEF))*NtoN2O*kgtoGg,"ERROR"))</f>
        <v>-0.74984403824480428</v>
      </c>
      <c r="AV682" s="94">
        <f>IF('Net zero activities &amp; levers'!$C$9="Off",'Activity data'!BO65*ManureNEF*NtoN2O*kgtoGg,IF('Net zero activities &amp; levers'!$C$9="On",(('Net zero supporting data'!AM168*'Net zero supporting data'!AM183)+('Net zero supporting data'!AM180*ManureNEF))*NtoN2O*kgtoGg,"ERROR"))</f>
        <v>-0.749552317817198</v>
      </c>
      <c r="AW682" s="94">
        <f>IF('Net zero activities &amp; levers'!$C$9="Off",'Activity data'!BP65*ManureNEF*NtoN2O*kgtoGg,IF('Net zero activities &amp; levers'!$C$9="On",(('Net zero supporting data'!AN168*'Net zero supporting data'!AN183)+('Net zero supporting data'!AN180*ManureNEF))*NtoN2O*kgtoGg,"ERROR"))</f>
        <v>-0.74909980498727913</v>
      </c>
      <c r="AY682" s="79"/>
      <c r="AZ682" s="79"/>
    </row>
    <row r="683" spans="1:52" x14ac:dyDescent="0.25">
      <c r="A683" s="95" t="str">
        <f t="shared" si="149"/>
        <v>NI U&amp;D</v>
      </c>
      <c r="B683" s="95" t="s">
        <v>969</v>
      </c>
      <c r="C683" s="95" t="s">
        <v>1336</v>
      </c>
      <c r="D683" t="s">
        <v>369</v>
      </c>
      <c r="E683" t="s">
        <v>55</v>
      </c>
      <c r="F683" t="s">
        <v>422</v>
      </c>
      <c r="G683" t="s">
        <v>1152</v>
      </c>
      <c r="H683" t="s">
        <v>1240</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25">
      <c r="A684" s="95" t="str">
        <f t="shared" si="149"/>
        <v>NI U&amp;D</v>
      </c>
      <c r="B684" s="95" t="s">
        <v>969</v>
      </c>
      <c r="C684" s="95" t="s">
        <v>1336</v>
      </c>
      <c r="D684" t="s">
        <v>369</v>
      </c>
      <c r="E684" t="s">
        <v>55</v>
      </c>
      <c r="F684" t="s">
        <v>422</v>
      </c>
      <c r="G684" t="s">
        <v>1154</v>
      </c>
      <c r="H684" t="s">
        <v>1241</v>
      </c>
      <c r="I684" t="s">
        <v>139</v>
      </c>
      <c r="J684" t="s">
        <v>287</v>
      </c>
      <c r="K684" s="22">
        <f t="shared" ref="K684:Z710" si="152">K1483</f>
        <v>1.0775797812462991</v>
      </c>
      <c r="L684" s="22">
        <f t="shared" si="152"/>
        <v>1.0836040032789309</v>
      </c>
      <c r="M684" s="22">
        <f t="shared" si="152"/>
        <v>1.0921513426512339</v>
      </c>
      <c r="N684" s="22">
        <f t="shared" si="152"/>
        <v>1.0976439186771809</v>
      </c>
      <c r="O684" s="22">
        <f t="shared" si="152"/>
        <v>1.1012937605673541</v>
      </c>
      <c r="P684" s="22">
        <f t="shared" si="152"/>
        <v>1.1030649457277466</v>
      </c>
      <c r="Q684" s="22">
        <f t="shared" si="152"/>
        <v>1.1069781529146336</v>
      </c>
      <c r="R684" s="22">
        <f t="shared" si="152"/>
        <v>1.1114672588381174</v>
      </c>
      <c r="S684" s="22">
        <f t="shared" si="152"/>
        <v>1.0798853549763567</v>
      </c>
      <c r="T684" s="22">
        <f t="shared" si="152"/>
        <v>1.098466311859537</v>
      </c>
      <c r="U684" s="22">
        <f t="shared" si="152"/>
        <v>1.889999136322517</v>
      </c>
      <c r="V684" s="22">
        <f t="shared" si="152"/>
        <v>1.9127821937491298</v>
      </c>
      <c r="W684" s="22">
        <f t="shared" si="152"/>
        <v>1.9345659305338647</v>
      </c>
      <c r="X684" s="22">
        <f t="shared" si="152"/>
        <v>1.9549798101221001</v>
      </c>
      <c r="Y684" s="22">
        <f t="shared" si="152"/>
        <v>1.9734786750778357</v>
      </c>
      <c r="Z684" s="22">
        <f t="shared" si="152"/>
        <v>1.9899761352853818</v>
      </c>
      <c r="AA684" s="22">
        <f t="shared" si="151"/>
        <v>2.0043760843310485</v>
      </c>
      <c r="AB684" s="22">
        <f t="shared" si="151"/>
        <v>2.0166057838413951</v>
      </c>
      <c r="AC684" s="22">
        <f t="shared" si="151"/>
        <v>2.0266075471247365</v>
      </c>
      <c r="AD684" s="22">
        <f t="shared" si="151"/>
        <v>2.0343207325041344</v>
      </c>
      <c r="AE684" s="22">
        <f t="shared" si="151"/>
        <v>2.0397090361762231</v>
      </c>
      <c r="AF684" s="22">
        <f t="shared" si="151"/>
        <v>2.0427376347432897</v>
      </c>
      <c r="AG684" s="22">
        <f t="shared" si="151"/>
        <v>2.0433728844876047</v>
      </c>
      <c r="AH684" s="22">
        <f t="shared" si="151"/>
        <v>2.0416086414199954</v>
      </c>
      <c r="AI684" s="22">
        <f t="shared" si="151"/>
        <v>2.0374549495329468</v>
      </c>
      <c r="AJ684" s="22">
        <f t="shared" si="151"/>
        <v>0.64461551353755753</v>
      </c>
      <c r="AK684" s="22">
        <f t="shared" si="151"/>
        <v>0.64508607204460633</v>
      </c>
      <c r="AL684" s="22">
        <f t="shared" si="151"/>
        <v>0.64552275664376835</v>
      </c>
      <c r="AM684" s="22">
        <f t="shared" si="151"/>
        <v>0.64592852135594947</v>
      </c>
      <c r="AN684" s="22">
        <f t="shared" si="151"/>
        <v>0.64630700491581017</v>
      </c>
      <c r="AO684" s="22">
        <f t="shared" si="151"/>
        <v>0.64664632856302828</v>
      </c>
      <c r="AP684" s="22">
        <f t="shared" si="151"/>
        <v>0.64693851525277601</v>
      </c>
      <c r="AQ684" s="22">
        <f t="shared" si="151"/>
        <v>0.64718228577189862</v>
      </c>
      <c r="AR684" s="22">
        <f t="shared" si="151"/>
        <v>0.64736858903651606</v>
      </c>
      <c r="AS684" s="22">
        <f t="shared" si="151"/>
        <v>0.64748759839973102</v>
      </c>
      <c r="AT684" s="22">
        <f t="shared" si="151"/>
        <v>0.64753810013359636</v>
      </c>
      <c r="AU684" s="22">
        <f t="shared" si="151"/>
        <v>0.6475214899931051</v>
      </c>
      <c r="AV684" s="22">
        <f t="shared" si="151"/>
        <v>0.6474387413563446</v>
      </c>
      <c r="AW684" s="22">
        <f t="shared" si="151"/>
        <v>0.64728061173527773</v>
      </c>
      <c r="AY684" s="79"/>
      <c r="AZ684" s="79"/>
    </row>
    <row r="685" spans="1:52" x14ac:dyDescent="0.25">
      <c r="A685" s="95" t="str">
        <f t="shared" si="149"/>
        <v>NI U&amp;D</v>
      </c>
      <c r="B685" s="95" t="s">
        <v>969</v>
      </c>
      <c r="C685" s="95" t="s">
        <v>1336</v>
      </c>
      <c r="D685" t="s">
        <v>369</v>
      </c>
      <c r="E685" t="s">
        <v>55</v>
      </c>
      <c r="F685" t="s">
        <v>422</v>
      </c>
      <c r="G685" t="s">
        <v>1156</v>
      </c>
      <c r="H685" t="s">
        <v>1242</v>
      </c>
      <c r="I685" t="s">
        <v>139</v>
      </c>
      <c r="J685" t="s">
        <v>287</v>
      </c>
      <c r="K685" s="22">
        <f t="shared" si="152"/>
        <v>0.73383920392416069</v>
      </c>
      <c r="L685" s="22">
        <f t="shared" si="151"/>
        <v>0.73794174034663862</v>
      </c>
      <c r="M685" s="22">
        <f t="shared" si="151"/>
        <v>0.74376253694082328</v>
      </c>
      <c r="N685" s="22">
        <f t="shared" si="151"/>
        <v>0.74750301879518044</v>
      </c>
      <c r="O685" s="22">
        <f t="shared" si="151"/>
        <v>0.74998858609492669</v>
      </c>
      <c r="P685" s="22">
        <f t="shared" si="151"/>
        <v>0.75119477530775858</v>
      </c>
      <c r="Q685" s="22">
        <f t="shared" si="151"/>
        <v>0.7538596961765357</v>
      </c>
      <c r="R685" s="22">
        <f t="shared" si="151"/>
        <v>0.75691680802528449</v>
      </c>
      <c r="S685" s="22">
        <f t="shared" si="151"/>
        <v>0.73540931540926791</v>
      </c>
      <c r="T685" s="22">
        <f t="shared" si="151"/>
        <v>0.74806307417925111</v>
      </c>
      <c r="U685" s="22">
        <f t="shared" si="151"/>
        <v>1.2871023433755899</v>
      </c>
      <c r="V685" s="22">
        <f t="shared" si="151"/>
        <v>1.3026177613667917</v>
      </c>
      <c r="W685" s="22">
        <f t="shared" si="151"/>
        <v>1.3174526351634348</v>
      </c>
      <c r="X685" s="22">
        <f t="shared" si="151"/>
        <v>1.3313546268365786</v>
      </c>
      <c r="Y685" s="22">
        <f t="shared" si="151"/>
        <v>1.3439524804422922</v>
      </c>
      <c r="Z685" s="22">
        <f t="shared" si="151"/>
        <v>1.3551873637207013</v>
      </c>
      <c r="AA685" s="22">
        <f t="shared" si="151"/>
        <v>1.3649938275465159</v>
      </c>
      <c r="AB685" s="22">
        <f t="shared" si="151"/>
        <v>1.3733223365897391</v>
      </c>
      <c r="AC685" s="22">
        <f t="shared" si="151"/>
        <v>1.3801336058186369</v>
      </c>
      <c r="AD685" s="22">
        <f t="shared" si="151"/>
        <v>1.3853863378362978</v>
      </c>
      <c r="AE685" s="22">
        <f t="shared" si="151"/>
        <v>1.3890558095042369</v>
      </c>
      <c r="AF685" s="22">
        <f t="shared" si="151"/>
        <v>1.3911183058503465</v>
      </c>
      <c r="AG685" s="22">
        <f t="shared" si="151"/>
        <v>1.3915509152726599</v>
      </c>
      <c r="AH685" s="22">
        <f t="shared" si="151"/>
        <v>1.3903494536725116</v>
      </c>
      <c r="AI685" s="22">
        <f t="shared" si="151"/>
        <v>1.3875207610775073</v>
      </c>
      <c r="AJ685" s="22">
        <f t="shared" si="151"/>
        <v>0.43898757523499138</v>
      </c>
      <c r="AK685" s="22">
        <f t="shared" si="151"/>
        <v>0.43930802879789405</v>
      </c>
      <c r="AL685" s="22">
        <f t="shared" si="151"/>
        <v>0.43960541399775782</v>
      </c>
      <c r="AM685" s="22">
        <f t="shared" si="151"/>
        <v>0.43988174254303092</v>
      </c>
      <c r="AN685" s="22">
        <f t="shared" si="151"/>
        <v>0.44013949243691386</v>
      </c>
      <c r="AO685" s="22">
        <f t="shared" si="151"/>
        <v>0.44037057416235159</v>
      </c>
      <c r="AP685" s="22">
        <f t="shared" si="151"/>
        <v>0.44056955529723674</v>
      </c>
      <c r="AQ685" s="22">
        <f t="shared" si="151"/>
        <v>0.4407355646886586</v>
      </c>
      <c r="AR685" s="22">
        <f t="shared" si="151"/>
        <v>0.44086243848656637</v>
      </c>
      <c r="AS685" s="22">
        <f t="shared" si="151"/>
        <v>0.44094348467718814</v>
      </c>
      <c r="AT685" s="22">
        <f t="shared" si="151"/>
        <v>0.44097787670348765</v>
      </c>
      <c r="AU685" s="22">
        <f t="shared" si="151"/>
        <v>0.44096656508416521</v>
      </c>
      <c r="AV685" s="22">
        <f t="shared" si="151"/>
        <v>0.44091021269635783</v>
      </c>
      <c r="AW685" s="22">
        <f t="shared" si="151"/>
        <v>0.44080252534247472</v>
      </c>
      <c r="AY685" s="79"/>
      <c r="AZ685" s="79"/>
    </row>
    <row r="686" spans="1:52" x14ac:dyDescent="0.25">
      <c r="A686" s="95" t="str">
        <f t="shared" si="149"/>
        <v>NI U&amp;D</v>
      </c>
      <c r="B686" s="95" t="s">
        <v>969</v>
      </c>
      <c r="C686" s="95" t="s">
        <v>1336</v>
      </c>
      <c r="D686" t="s">
        <v>369</v>
      </c>
      <c r="E686" t="s">
        <v>55</v>
      </c>
      <c r="F686" t="s">
        <v>422</v>
      </c>
      <c r="G686" t="s">
        <v>1158</v>
      </c>
      <c r="H686" t="s">
        <v>1243</v>
      </c>
      <c r="I686" t="s">
        <v>139</v>
      </c>
      <c r="J686" t="s">
        <v>287</v>
      </c>
      <c r="K686" s="22">
        <f t="shared" si="152"/>
        <v>15.353527292296841</v>
      </c>
      <c r="L686" s="22">
        <f t="shared" si="151"/>
        <v>15.220371053361493</v>
      </c>
      <c r="M686" s="22">
        <f t="shared" si="151"/>
        <v>15.169682504177887</v>
      </c>
      <c r="N686" s="22">
        <f t="shared" si="151"/>
        <v>14.967111251021194</v>
      </c>
      <c r="O686" s="22">
        <f t="shared" si="151"/>
        <v>14.673074129931953</v>
      </c>
      <c r="P686" s="22">
        <f t="shared" si="151"/>
        <v>14.293651368256896</v>
      </c>
      <c r="Q686" s="22">
        <f t="shared" si="151"/>
        <v>13.994389539168758</v>
      </c>
      <c r="R686" s="22">
        <f t="shared" si="151"/>
        <v>13.711253827544137</v>
      </c>
      <c r="S686" s="22">
        <f t="shared" si="151"/>
        <v>12.262231428549004</v>
      </c>
      <c r="T686" s="22">
        <f t="shared" si="151"/>
        <v>12.73465794206464</v>
      </c>
      <c r="U686" s="22">
        <f t="shared" si="151"/>
        <v>40.135765944691244</v>
      </c>
      <c r="V686" s="22">
        <f t="shared" si="151"/>
        <v>40.329355964050443</v>
      </c>
      <c r="W686" s="22">
        <f t="shared" si="151"/>
        <v>40.453253097840147</v>
      </c>
      <c r="X686" s="22">
        <f t="shared" si="151"/>
        <v>40.507432110592688</v>
      </c>
      <c r="Y686" s="22">
        <f t="shared" si="151"/>
        <v>40.493040718668887</v>
      </c>
      <c r="Z686" s="22">
        <f t="shared" si="151"/>
        <v>40.409389107608789</v>
      </c>
      <c r="AA686" s="22">
        <f t="shared" si="151"/>
        <v>40.256272365845206</v>
      </c>
      <c r="AB686" s="22">
        <f t="shared" si="151"/>
        <v>40.033817183265413</v>
      </c>
      <c r="AC686" s="22">
        <f t="shared" si="151"/>
        <v>39.742523773077906</v>
      </c>
      <c r="AD686" s="22">
        <f t="shared" si="151"/>
        <v>39.052391122761925</v>
      </c>
      <c r="AE686" s="22">
        <f t="shared" si="151"/>
        <v>38.297252341964814</v>
      </c>
      <c r="AF686" s="22">
        <f t="shared" si="151"/>
        <v>37.480500419129982</v>
      </c>
      <c r="AG686" s="22">
        <f t="shared" si="151"/>
        <v>36.605913882693514</v>
      </c>
      <c r="AH686" s="22">
        <f t="shared" si="151"/>
        <v>35.67751529859683</v>
      </c>
      <c r="AI686" s="22">
        <f t="shared" si="151"/>
        <v>34.699588123562123</v>
      </c>
      <c r="AJ686" s="22">
        <f t="shared" si="151"/>
        <v>-2.6792659907667447</v>
      </c>
      <c r="AK686" s="22">
        <f t="shared" si="151"/>
        <v>-2.6147570082117628</v>
      </c>
      <c r="AL686" s="22">
        <f t="shared" si="151"/>
        <v>-2.5509192087001833</v>
      </c>
      <c r="AM686" s="22">
        <f t="shared" si="151"/>
        <v>-2.4877459989648312</v>
      </c>
      <c r="AN686" s="22">
        <f t="shared" si="151"/>
        <v>-2.4376070910582812</v>
      </c>
      <c r="AO686" s="22">
        <f t="shared" si="151"/>
        <v>-2.3879438055302513</v>
      </c>
      <c r="AP686" s="22">
        <f t="shared" si="151"/>
        <v>-2.3387192042216429</v>
      </c>
      <c r="AQ686" s="22">
        <f t="shared" si="151"/>
        <v>-2.2899210938883474</v>
      </c>
      <c r="AR686" s="22">
        <f t="shared" si="151"/>
        <v>-2.2415137982186422</v>
      </c>
      <c r="AS686" s="22">
        <f t="shared" si="151"/>
        <v>-2.1934623794160584</v>
      </c>
      <c r="AT686" s="22">
        <f t="shared" si="151"/>
        <v>-2.145761226265924</v>
      </c>
      <c r="AU686" s="22">
        <f t="shared" si="151"/>
        <v>-2.0984132858067897</v>
      </c>
      <c r="AV686" s="22">
        <f t="shared" si="151"/>
        <v>-2.0514203658912691</v>
      </c>
      <c r="AW686" s="22">
        <f t="shared" si="151"/>
        <v>-2.0047554755928445</v>
      </c>
      <c r="AY686" s="79"/>
      <c r="AZ686" s="79"/>
    </row>
    <row r="687" spans="1:52" x14ac:dyDescent="0.25">
      <c r="A687" s="95" t="str">
        <f t="shared" si="149"/>
        <v>NI U&amp;D</v>
      </c>
      <c r="B687" s="95" t="s">
        <v>969</v>
      </c>
      <c r="C687" s="95" t="s">
        <v>1336</v>
      </c>
      <c r="D687" t="s">
        <v>369</v>
      </c>
      <c r="E687" t="s">
        <v>55</v>
      </c>
      <c r="F687" t="s">
        <v>422</v>
      </c>
      <c r="G687" t="s">
        <v>1160</v>
      </c>
      <c r="H687" t="s">
        <v>1244</v>
      </c>
      <c r="I687" t="s">
        <v>139</v>
      </c>
      <c r="J687" t="s">
        <v>287</v>
      </c>
      <c r="K687" s="22">
        <f t="shared" si="152"/>
        <v>9.6543103644621429</v>
      </c>
      <c r="L687" s="22">
        <f t="shared" si="151"/>
        <v>9.5705816138517683</v>
      </c>
      <c r="M687" s="22">
        <f t="shared" si="151"/>
        <v>9.5387086131772989</v>
      </c>
      <c r="N687" s="22">
        <f t="shared" si="151"/>
        <v>9.4113316455488931</v>
      </c>
      <c r="O687" s="22">
        <f t="shared" si="151"/>
        <v>9.2264408662754782</v>
      </c>
      <c r="P687" s="22">
        <f t="shared" si="151"/>
        <v>8.987859527224467</v>
      </c>
      <c r="Q687" s="22">
        <f t="shared" si="151"/>
        <v>8.7996834473406569</v>
      </c>
      <c r="R687" s="22">
        <f t="shared" si="151"/>
        <v>8.6216474831450949</v>
      </c>
      <c r="S687" s="22">
        <f t="shared" si="151"/>
        <v>7.7105010280907447</v>
      </c>
      <c r="T687" s="22">
        <f t="shared" si="151"/>
        <v>8.0075632014304841</v>
      </c>
      <c r="U687" s="22">
        <f t="shared" si="151"/>
        <v>25.237402048965457</v>
      </c>
      <c r="V687" s="22">
        <f t="shared" si="151"/>
        <v>25.359131609526678</v>
      </c>
      <c r="W687" s="22">
        <f t="shared" si="151"/>
        <v>25.43703822734167</v>
      </c>
      <c r="X687" s="22">
        <f t="shared" si="151"/>
        <v>25.471106034328002</v>
      </c>
      <c r="Y687" s="22">
        <f t="shared" si="151"/>
        <v>25.462056715460484</v>
      </c>
      <c r="Z687" s="22">
        <f t="shared" si="151"/>
        <v>25.40945651484947</v>
      </c>
      <c r="AA687" s="22">
        <f t="shared" si="151"/>
        <v>25.313176583935984</v>
      </c>
      <c r="AB687" s="22">
        <f t="shared" si="151"/>
        <v>25.173296585423468</v>
      </c>
      <c r="AC687" s="22">
        <f t="shared" si="151"/>
        <v>24.9901310537815</v>
      </c>
      <c r="AD687" s="22">
        <f t="shared" si="151"/>
        <v>24.5561750857518</v>
      </c>
      <c r="AE687" s="22">
        <f t="shared" si="151"/>
        <v>24.081343210361542</v>
      </c>
      <c r="AF687" s="22">
        <f t="shared" si="151"/>
        <v>23.567768941484907</v>
      </c>
      <c r="AG687" s="22">
        <f t="shared" si="151"/>
        <v>23.017828220854938</v>
      </c>
      <c r="AH687" s="22">
        <f t="shared" si="151"/>
        <v>22.434050441185143</v>
      </c>
      <c r="AI687" s="22">
        <f t="shared" si="151"/>
        <v>21.819129043522761</v>
      </c>
      <c r="AJ687" s="22">
        <f t="shared" si="151"/>
        <v>-1.6847246193901004</v>
      </c>
      <c r="AK687" s="22">
        <f t="shared" si="151"/>
        <v>-1.644161319047128</v>
      </c>
      <c r="AL687" s="22">
        <f t="shared" si="151"/>
        <v>-1.6040200591440494</v>
      </c>
      <c r="AM687" s="22">
        <f t="shared" si="151"/>
        <v>-1.5642966938291387</v>
      </c>
      <c r="AN687" s="22">
        <f t="shared" si="151"/>
        <v>-1.5327693080337013</v>
      </c>
      <c r="AO687" s="22">
        <f t="shared" si="151"/>
        <v>-1.5015409939741007</v>
      </c>
      <c r="AP687" s="22">
        <f t="shared" si="151"/>
        <v>-1.4705885249060549</v>
      </c>
      <c r="AQ687" s="22">
        <f t="shared" si="151"/>
        <v>-1.4399042337078187</v>
      </c>
      <c r="AR687" s="22">
        <f t="shared" si="151"/>
        <v>-1.4094656870857605</v>
      </c>
      <c r="AS687" s="22">
        <f t="shared" si="151"/>
        <v>-1.3792509161252371</v>
      </c>
      <c r="AT687" s="22">
        <f t="shared" si="151"/>
        <v>-1.3492563924899292</v>
      </c>
      <c r="AU687" s="22">
        <f t="shared" si="151"/>
        <v>-1.3194839692800588</v>
      </c>
      <c r="AV687" s="22">
        <f t="shared" si="151"/>
        <v>-1.2899347832748098</v>
      </c>
      <c r="AW687" s="22">
        <f t="shared" si="151"/>
        <v>-1.2605918625577832</v>
      </c>
      <c r="AY687" s="79"/>
      <c r="AZ687" s="79"/>
    </row>
    <row r="688" spans="1:52" x14ac:dyDescent="0.25">
      <c r="A688" s="95" t="str">
        <f t="shared" si="149"/>
        <v>NI U&amp;D</v>
      </c>
      <c r="B688" s="95" t="s">
        <v>969</v>
      </c>
      <c r="C688" s="95" t="s">
        <v>1336</v>
      </c>
      <c r="D688" t="s">
        <v>369</v>
      </c>
      <c r="E688" t="s">
        <v>55</v>
      </c>
      <c r="F688" t="s">
        <v>422</v>
      </c>
      <c r="G688" t="s">
        <v>1162</v>
      </c>
      <c r="H688" t="s">
        <v>1245</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25">
      <c r="A689" s="95" t="str">
        <f t="shared" si="149"/>
        <v>NI U&amp;D</v>
      </c>
      <c r="B689" s="95" t="s">
        <v>969</v>
      </c>
      <c r="C689" s="95" t="s">
        <v>1336</v>
      </c>
      <c r="D689" t="s">
        <v>369</v>
      </c>
      <c r="E689" t="s">
        <v>55</v>
      </c>
      <c r="F689" t="s">
        <v>422</v>
      </c>
      <c r="G689" t="s">
        <v>1164</v>
      </c>
      <c r="H689" t="s">
        <v>1246</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5.8850501739310754</v>
      </c>
      <c r="T689" s="22">
        <f t="shared" si="151"/>
        <v>5.8889669247946657</v>
      </c>
      <c r="U689" s="22">
        <f t="shared" si="151"/>
        <v>5.9656712357324011</v>
      </c>
      <c r="V689" s="22">
        <f t="shared" si="151"/>
        <v>5.9675423775316272</v>
      </c>
      <c r="W689" s="22">
        <f t="shared" si="151"/>
        <v>5.9755461389464104</v>
      </c>
      <c r="X689" s="22">
        <f t="shared" si="151"/>
        <v>5.9871157703379936</v>
      </c>
      <c r="Y689" s="22">
        <f t="shared" si="151"/>
        <v>5.9978635614207825</v>
      </c>
      <c r="Z689" s="22">
        <f t="shared" si="151"/>
        <v>6.0079225842908377</v>
      </c>
      <c r="AA689" s="22">
        <f t="shared" si="151"/>
        <v>6.0172391996362506</v>
      </c>
      <c r="AB689" s="22">
        <f t="shared" si="151"/>
        <v>6.0258973509268747</v>
      </c>
      <c r="AC689" s="22">
        <f t="shared" si="151"/>
        <v>6.0340283734996341</v>
      </c>
      <c r="AD689" s="22">
        <f t="shared" si="151"/>
        <v>6.0416246060545662</v>
      </c>
      <c r="AE689" s="22">
        <f t="shared" si="151"/>
        <v>6.0488075465649391</v>
      </c>
      <c r="AF689" s="22">
        <f t="shared" si="151"/>
        <v>6.0555945824734003</v>
      </c>
      <c r="AG689" s="22">
        <f t="shared" si="151"/>
        <v>6.0618926896286194</v>
      </c>
      <c r="AH689" s="22">
        <f t="shared" si="151"/>
        <v>6.0677594816606231</v>
      </c>
      <c r="AI689" s="22">
        <f t="shared" si="151"/>
        <v>6.0732885536184407</v>
      </c>
      <c r="AJ689" s="22">
        <f t="shared" si="151"/>
        <v>5.9400031784362666</v>
      </c>
      <c r="AK689" s="22">
        <f t="shared" si="151"/>
        <v>5.9454655494945321</v>
      </c>
      <c r="AL689" s="22">
        <f t="shared" si="151"/>
        <v>5.9505605357080302</v>
      </c>
      <c r="AM689" s="22">
        <f t="shared" si="151"/>
        <v>5.9553192750142969</v>
      </c>
      <c r="AN689" s="22">
        <f t="shared" si="151"/>
        <v>5.9597796192711163</v>
      </c>
      <c r="AO689" s="22">
        <f t="shared" si="151"/>
        <v>5.9638242432933737</v>
      </c>
      <c r="AP689" s="22">
        <f t="shared" si="151"/>
        <v>5.9673747960452372</v>
      </c>
      <c r="AQ689" s="22">
        <f t="shared" si="151"/>
        <v>5.9704198015060506</v>
      </c>
      <c r="AR689" s="22">
        <f t="shared" si="151"/>
        <v>5.9728700974873359</v>
      </c>
      <c r="AS689" s="22">
        <f t="shared" si="151"/>
        <v>5.9746287671291771</v>
      </c>
      <c r="AT689" s="22">
        <f t="shared" si="151"/>
        <v>5.9756848810921417</v>
      </c>
      <c r="AU689" s="22">
        <f t="shared" si="151"/>
        <v>5.9760535038151961</v>
      </c>
      <c r="AV689" s="22">
        <f t="shared" si="151"/>
        <v>5.9757454176187608</v>
      </c>
      <c r="AW689" s="22">
        <f t="shared" si="151"/>
        <v>5.9746694018004627</v>
      </c>
      <c r="AY689" s="79"/>
      <c r="AZ689" s="79"/>
    </row>
    <row r="690" spans="1:52" x14ac:dyDescent="0.25">
      <c r="A690" s="95" t="str">
        <f t="shared" si="149"/>
        <v>NI U&amp;D</v>
      </c>
      <c r="B690" s="95" t="s">
        <v>969</v>
      </c>
      <c r="C690" s="95" t="s">
        <v>1336</v>
      </c>
      <c r="D690" t="s">
        <v>369</v>
      </c>
      <c r="E690" t="s">
        <v>55</v>
      </c>
      <c r="F690" t="s">
        <v>422</v>
      </c>
      <c r="G690" t="s">
        <v>1166</v>
      </c>
      <c r="H690" t="s">
        <v>1247</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0.65694536678362214</v>
      </c>
      <c r="T690" s="22">
        <f t="shared" si="153"/>
        <v>0.65738259182956638</v>
      </c>
      <c r="U690" s="22">
        <f t="shared" si="153"/>
        <v>0.66594505777184321</v>
      </c>
      <c r="V690" s="22">
        <f t="shared" si="153"/>
        <v>0.66615393244568089</v>
      </c>
      <c r="W690" s="22">
        <f t="shared" si="153"/>
        <v>0.66704738854594903</v>
      </c>
      <c r="X690" s="22">
        <f t="shared" si="153"/>
        <v>0.66833890102476579</v>
      </c>
      <c r="Y690" s="22">
        <f t="shared" si="153"/>
        <v>0.66953867185871263</v>
      </c>
      <c r="Z690" s="22">
        <f t="shared" si="153"/>
        <v>0.67066155582291842</v>
      </c>
      <c r="AA690" s="22">
        <f t="shared" si="153"/>
        <v>0.67170156518637059</v>
      </c>
      <c r="AB690" s="22">
        <f t="shared" si="153"/>
        <v>0.67266807051889643</v>
      </c>
      <c r="AC690" s="22">
        <f t="shared" si="153"/>
        <v>0.67357573272202431</v>
      </c>
      <c r="AD690" s="22">
        <f t="shared" si="153"/>
        <v>0.67442369656846346</v>
      </c>
      <c r="AE690" s="22">
        <f t="shared" si="153"/>
        <v>0.67522552481949083</v>
      </c>
      <c r="AF690" s="22">
        <f t="shared" si="153"/>
        <v>0.67598315842710355</v>
      </c>
      <c r="AG690" s="22">
        <f t="shared" si="153"/>
        <v>0.676686213149297</v>
      </c>
      <c r="AH690" s="22">
        <f t="shared" si="153"/>
        <v>0.67734112036833483</v>
      </c>
      <c r="AI690" s="22">
        <f t="shared" si="153"/>
        <v>0.67795832805526179</v>
      </c>
      <c r="AJ690" s="22">
        <f t="shared" si="153"/>
        <v>0.66307974467906339</v>
      </c>
      <c r="AK690" s="22">
        <f t="shared" si="153"/>
        <v>0.66368950657612846</v>
      </c>
      <c r="AL690" s="22">
        <f t="shared" si="153"/>
        <v>0.6642582574767768</v>
      </c>
      <c r="AM690" s="22">
        <f t="shared" si="153"/>
        <v>0.66478947329424454</v>
      </c>
      <c r="AN690" s="22">
        <f t="shared" si="153"/>
        <v>0.66528737941350879</v>
      </c>
      <c r="AO690" s="22">
        <f t="shared" si="153"/>
        <v>0.66573887887965999</v>
      </c>
      <c r="AP690" s="22">
        <f t="shared" si="153"/>
        <v>0.66613522540363546</v>
      </c>
      <c r="AQ690" s="22">
        <f t="shared" si="153"/>
        <v>0.66647513792267787</v>
      </c>
      <c r="AR690" s="22">
        <f t="shared" si="153"/>
        <v>0.66674866330386928</v>
      </c>
      <c r="AS690" s="22">
        <f t="shared" si="153"/>
        <v>0.6669449827639865</v>
      </c>
      <c r="AT690" s="22">
        <f t="shared" si="153"/>
        <v>0.66706287626604011</v>
      </c>
      <c r="AU690" s="22">
        <f t="shared" si="153"/>
        <v>0.6671040254462246</v>
      </c>
      <c r="AV690" s="22">
        <f t="shared" si="153"/>
        <v>0.66706963392986762</v>
      </c>
      <c r="AW690" s="22">
        <f t="shared" si="153"/>
        <v>0.66694951879311848</v>
      </c>
      <c r="AY690" s="79"/>
      <c r="AZ690" s="79"/>
    </row>
    <row r="691" spans="1:52" x14ac:dyDescent="0.25">
      <c r="A691" s="95" t="str">
        <f t="shared" si="149"/>
        <v>NI U&amp;D</v>
      </c>
      <c r="B691" s="95" t="s">
        <v>969</v>
      </c>
      <c r="C691" s="95" t="s">
        <v>1336</v>
      </c>
      <c r="D691" t="s">
        <v>369</v>
      </c>
      <c r="E691" t="s">
        <v>55</v>
      </c>
      <c r="F691" t="s">
        <v>422</v>
      </c>
      <c r="G691" t="s">
        <v>1168</v>
      </c>
      <c r="H691" t="s">
        <v>1248</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0.73708994755228441</v>
      </c>
      <c r="R691" s="22">
        <f t="shared" si="153"/>
        <v>0.74193942345928476</v>
      </c>
      <c r="S691" s="22">
        <f t="shared" si="153"/>
        <v>0.74013020273035457</v>
      </c>
      <c r="T691" s="22">
        <f t="shared" si="153"/>
        <v>0.74134144539721225</v>
      </c>
      <c r="U691" s="22">
        <f t="shared" si="153"/>
        <v>0.75637233627465528</v>
      </c>
      <c r="V691" s="22">
        <f t="shared" si="153"/>
        <v>0.75705141377161567</v>
      </c>
      <c r="W691" s="22">
        <f t="shared" si="153"/>
        <v>0.7588492807776368</v>
      </c>
      <c r="X691" s="22">
        <f t="shared" si="153"/>
        <v>0.76127573486462674</v>
      </c>
      <c r="Y691" s="22">
        <f t="shared" si="153"/>
        <v>0.76350113172742184</v>
      </c>
      <c r="Z691" s="22">
        <f t="shared" si="153"/>
        <v>0.76555488722735199</v>
      </c>
      <c r="AA691" s="22">
        <f t="shared" si="153"/>
        <v>0.76743070192723151</v>
      </c>
      <c r="AB691" s="22">
        <f t="shared" si="153"/>
        <v>0.76914783818331145</v>
      </c>
      <c r="AC691" s="22">
        <f t="shared" si="153"/>
        <v>0.77073400076292786</v>
      </c>
      <c r="AD691" s="22">
        <f t="shared" si="153"/>
        <v>0.77219046763440091</v>
      </c>
      <c r="AE691" s="22">
        <f t="shared" si="153"/>
        <v>0.77354238750921345</v>
      </c>
      <c r="AF691" s="22">
        <f t="shared" si="153"/>
        <v>0.77479516156173556</v>
      </c>
      <c r="AG691" s="22">
        <f t="shared" si="153"/>
        <v>0.77593349397844169</v>
      </c>
      <c r="AH691" s="22">
        <f t="shared" si="153"/>
        <v>0.77696999137205336</v>
      </c>
      <c r="AI691" s="22">
        <f t="shared" si="153"/>
        <v>0.77792369769702041</v>
      </c>
      <c r="AJ691" s="22">
        <f t="shared" si="153"/>
        <v>0.75322819608955549</v>
      </c>
      <c r="AK691" s="22">
        <f t="shared" si="153"/>
        <v>0.7541800771600401</v>
      </c>
      <c r="AL691" s="22">
        <f t="shared" si="153"/>
        <v>0.75504675193645199</v>
      </c>
      <c r="AM691" s="22">
        <f t="shared" si="153"/>
        <v>0.75583523459809387</v>
      </c>
      <c r="AN691" s="22">
        <f t="shared" si="153"/>
        <v>0.75655364806293945</v>
      </c>
      <c r="AO691" s="22">
        <f t="shared" si="153"/>
        <v>0.75718159798131446</v>
      </c>
      <c r="AP691" s="22">
        <f t="shared" si="153"/>
        <v>0.75770589154537149</v>
      </c>
      <c r="AQ691" s="22">
        <f t="shared" si="153"/>
        <v>0.75812556559779631</v>
      </c>
      <c r="AR691" s="22">
        <f t="shared" si="153"/>
        <v>0.75842546765792429</v>
      </c>
      <c r="AS691" s="22">
        <f t="shared" si="153"/>
        <v>0.75858908792613033</v>
      </c>
      <c r="AT691" s="22">
        <f t="shared" si="153"/>
        <v>0.7586155821106717</v>
      </c>
      <c r="AU691" s="22">
        <f t="shared" si="153"/>
        <v>0.75850877673067174</v>
      </c>
      <c r="AV691" s="22">
        <f t="shared" si="153"/>
        <v>0.75827165867074431</v>
      </c>
      <c r="AW691" s="22">
        <f t="shared" si="153"/>
        <v>0.75788873758895325</v>
      </c>
      <c r="AY691" s="79"/>
      <c r="AZ691" s="79"/>
    </row>
    <row r="692" spans="1:52" x14ac:dyDescent="0.25">
      <c r="A692" s="95" t="str">
        <f t="shared" si="149"/>
        <v>NI U&amp;D</v>
      </c>
      <c r="B692" s="95" t="s">
        <v>969</v>
      </c>
      <c r="C692" s="95" t="s">
        <v>1336</v>
      </c>
      <c r="D692" t="s">
        <v>369</v>
      </c>
      <c r="E692" t="s">
        <v>55</v>
      </c>
      <c r="F692" t="s">
        <v>422</v>
      </c>
      <c r="G692" t="s">
        <v>1170</v>
      </c>
      <c r="H692" t="s">
        <v>1249</v>
      </c>
      <c r="I692" t="s">
        <v>139</v>
      </c>
      <c r="J692" t="s">
        <v>287</v>
      </c>
      <c r="K692" s="22">
        <f t="shared" si="152"/>
        <v>1.1867254191644503</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1.2198688909683484</v>
      </c>
      <c r="R692" s="22">
        <f t="shared" si="153"/>
        <v>1.2278946750888551</v>
      </c>
      <c r="S692" s="22">
        <f t="shared" si="153"/>
        <v>1.2249004515324955</v>
      </c>
      <c r="T692" s="22">
        <f t="shared" si="153"/>
        <v>1.2269050335426288</v>
      </c>
      <c r="U692" s="22">
        <f t="shared" si="153"/>
        <v>1.2517808526279679</v>
      </c>
      <c r="V692" s="22">
        <f t="shared" si="153"/>
        <v>1.2529047120915915</v>
      </c>
      <c r="W692" s="22">
        <f t="shared" si="153"/>
        <v>1.2558801454671604</v>
      </c>
      <c r="X692" s="22">
        <f t="shared" si="153"/>
        <v>1.2598958776934803</v>
      </c>
      <c r="Y692" s="22">
        <f t="shared" si="153"/>
        <v>1.2635788642977572</v>
      </c>
      <c r="Z692" s="22">
        <f t="shared" si="153"/>
        <v>1.2669777879329793</v>
      </c>
      <c r="AA692" s="22">
        <f t="shared" si="153"/>
        <v>1.270082223158562</v>
      </c>
      <c r="AB692" s="22">
        <f t="shared" si="153"/>
        <v>1.2729240487828319</v>
      </c>
      <c r="AC692" s="22">
        <f t="shared" si="153"/>
        <v>1.2755491156329737</v>
      </c>
      <c r="AD692" s="22">
        <f t="shared" si="153"/>
        <v>1.2779595387205978</v>
      </c>
      <c r="AE692" s="22">
        <f t="shared" si="153"/>
        <v>1.2801969386523735</v>
      </c>
      <c r="AF692" s="22">
        <f t="shared" si="153"/>
        <v>1.2822702542621691</v>
      </c>
      <c r="AG692" s="22">
        <f t="shared" si="153"/>
        <v>1.2841541712892999</v>
      </c>
      <c r="AH692" s="22">
        <f t="shared" si="153"/>
        <v>1.2858695534217459</v>
      </c>
      <c r="AI692" s="22">
        <f t="shared" si="153"/>
        <v>1.2874479180172889</v>
      </c>
      <c r="AJ692" s="22">
        <f t="shared" si="153"/>
        <v>1.2465773644873634</v>
      </c>
      <c r="AK692" s="22">
        <f t="shared" si="153"/>
        <v>1.2481527083238142</v>
      </c>
      <c r="AL692" s="22">
        <f t="shared" si="153"/>
        <v>1.249587037474337</v>
      </c>
      <c r="AM692" s="22">
        <f t="shared" si="153"/>
        <v>1.2508919602632027</v>
      </c>
      <c r="AN692" s="22">
        <f t="shared" si="153"/>
        <v>1.2520809199546599</v>
      </c>
      <c r="AO692" s="22">
        <f t="shared" si="153"/>
        <v>1.25312016431426</v>
      </c>
      <c r="AP692" s="22">
        <f t="shared" si="153"/>
        <v>1.2539878595129963</v>
      </c>
      <c r="AQ692" s="22">
        <f t="shared" si="153"/>
        <v>1.2546824115450788</v>
      </c>
      <c r="AR692" s="22">
        <f t="shared" si="153"/>
        <v>1.255178743362793</v>
      </c>
      <c r="AS692" s="22">
        <f t="shared" si="153"/>
        <v>1.2554495315831169</v>
      </c>
      <c r="AT692" s="22">
        <f t="shared" si="153"/>
        <v>1.2554933789203664</v>
      </c>
      <c r="AU692" s="22">
        <f t="shared" si="153"/>
        <v>1.2553166181859641</v>
      </c>
      <c r="AV692" s="22">
        <f t="shared" si="153"/>
        <v>1.2549241926132744</v>
      </c>
      <c r="AW692" s="22">
        <f t="shared" si="153"/>
        <v>1.2542904660010414</v>
      </c>
      <c r="AY692" s="79"/>
      <c r="AZ692" s="79"/>
    </row>
    <row r="693" spans="1:52" x14ac:dyDescent="0.25">
      <c r="A693" s="95" t="str">
        <f t="shared" si="149"/>
        <v>NI U&amp;D</v>
      </c>
      <c r="B693" s="95" t="s">
        <v>969</v>
      </c>
      <c r="C693" s="95" t="s">
        <v>1336</v>
      </c>
      <c r="D693" t="s">
        <v>369</v>
      </c>
      <c r="E693" t="s">
        <v>55</v>
      </c>
      <c r="F693" t="s">
        <v>422</v>
      </c>
      <c r="G693" t="s">
        <v>1172</v>
      </c>
      <c r="H693" t="s">
        <v>1250</v>
      </c>
      <c r="I693" t="s">
        <v>139</v>
      </c>
      <c r="J693" t="s">
        <v>287</v>
      </c>
      <c r="K693" s="22">
        <f t="shared" si="152"/>
        <v>0.19147730421375916</v>
      </c>
      <c r="L693" s="22">
        <f t="shared" si="153"/>
        <v>0.19240499933397137</v>
      </c>
      <c r="M693" s="22">
        <f t="shared" si="153"/>
        <v>0.19381280191845887</v>
      </c>
      <c r="N693" s="22">
        <f t="shared" si="153"/>
        <v>0.19411375969056666</v>
      </c>
      <c r="O693" s="22">
        <f t="shared" si="153"/>
        <v>0.19368291106027899</v>
      </c>
      <c r="P693" s="22">
        <f t="shared" si="153"/>
        <v>0.19253602379697465</v>
      </c>
      <c r="Q693" s="22">
        <f t="shared" si="153"/>
        <v>0.19190012409058904</v>
      </c>
      <c r="R693" s="22">
        <f t="shared" si="153"/>
        <v>0.19132863754616411</v>
      </c>
      <c r="S693" s="22">
        <f t="shared" si="153"/>
        <v>0.18281131471006393</v>
      </c>
      <c r="T693" s="22">
        <f t="shared" si="153"/>
        <v>0.18736784640695911</v>
      </c>
      <c r="U693" s="22">
        <f t="shared" si="153"/>
        <v>0.40219801863685228</v>
      </c>
      <c r="V693" s="22">
        <f t="shared" si="153"/>
        <v>0.40734903420411533</v>
      </c>
      <c r="W693" s="22">
        <f t="shared" si="153"/>
        <v>0.41149752828946928</v>
      </c>
      <c r="X693" s="22">
        <f t="shared" si="153"/>
        <v>0.41483621581205343</v>
      </c>
      <c r="Y693" s="22">
        <f t="shared" si="153"/>
        <v>0.41773635782756013</v>
      </c>
      <c r="Z693" s="22">
        <f t="shared" si="153"/>
        <v>0.42016501076041057</v>
      </c>
      <c r="AA693" s="22">
        <f t="shared" si="153"/>
        <v>0.42210855342477654</v>
      </c>
      <c r="AB693" s="22">
        <f t="shared" si="153"/>
        <v>0.42354330417098807</v>
      </c>
      <c r="AC693" s="22">
        <f t="shared" si="153"/>
        <v>0.42444389710723196</v>
      </c>
      <c r="AD693" s="22">
        <f t="shared" si="153"/>
        <v>0.42480049297226147</v>
      </c>
      <c r="AE693" s="22">
        <f t="shared" si="153"/>
        <v>0.42459446865621531</v>
      </c>
      <c r="AF693" s="22">
        <f t="shared" si="153"/>
        <v>0.42381980556219867</v>
      </c>
      <c r="AG693" s="22">
        <f t="shared" si="153"/>
        <v>0.42248350599041806</v>
      </c>
      <c r="AH693" s="22">
        <f t="shared" si="153"/>
        <v>0.42058207160696442</v>
      </c>
      <c r="AI693" s="22">
        <f t="shared" si="153"/>
        <v>0.41811210592034348</v>
      </c>
      <c r="AJ693" s="22">
        <f t="shared" si="153"/>
        <v>6.1557811520144383E-2</v>
      </c>
      <c r="AK693" s="22">
        <f t="shared" si="153"/>
        <v>6.1557811520144383E-2</v>
      </c>
      <c r="AL693" s="22">
        <f t="shared" si="153"/>
        <v>6.1557811520144383E-2</v>
      </c>
      <c r="AM693" s="22">
        <f t="shared" si="153"/>
        <v>6.1557811520144383E-2</v>
      </c>
      <c r="AN693" s="22">
        <f t="shared" si="153"/>
        <v>6.1557811520144383E-2</v>
      </c>
      <c r="AO693" s="22">
        <f t="shared" si="153"/>
        <v>6.1557811520144383E-2</v>
      </c>
      <c r="AP693" s="22">
        <f t="shared" si="153"/>
        <v>6.1557811520144383E-2</v>
      </c>
      <c r="AQ693" s="22">
        <f t="shared" si="153"/>
        <v>6.1557811520144383E-2</v>
      </c>
      <c r="AR693" s="22">
        <f t="shared" si="153"/>
        <v>6.1557811520144383E-2</v>
      </c>
      <c r="AS693" s="22">
        <f t="shared" si="153"/>
        <v>6.1557811520144383E-2</v>
      </c>
      <c r="AT693" s="22">
        <f t="shared" si="153"/>
        <v>6.1557811520144383E-2</v>
      </c>
      <c r="AU693" s="22">
        <f t="shared" si="153"/>
        <v>6.1557811520144383E-2</v>
      </c>
      <c r="AV693" s="22">
        <f t="shared" si="153"/>
        <v>6.1557811520144383E-2</v>
      </c>
      <c r="AW693" s="22">
        <f t="shared" si="153"/>
        <v>6.1557811520144383E-2</v>
      </c>
      <c r="AY693" s="79"/>
      <c r="AZ693" s="79"/>
    </row>
    <row r="694" spans="1:52" x14ac:dyDescent="0.25">
      <c r="A694" s="95" t="str">
        <f t="shared" si="149"/>
        <v>NI U&amp;D</v>
      </c>
      <c r="B694" s="95" t="s">
        <v>969</v>
      </c>
      <c r="C694" s="95" t="s">
        <v>1336</v>
      </c>
      <c r="D694" t="s">
        <v>369</v>
      </c>
      <c r="E694" t="s">
        <v>55</v>
      </c>
      <c r="F694" t="s">
        <v>422</v>
      </c>
      <c r="G694" t="s">
        <v>1174</v>
      </c>
      <c r="H694" t="s">
        <v>1251</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25">
      <c r="A695" s="95" t="str">
        <f t="shared" si="149"/>
        <v>NI U&amp;D</v>
      </c>
      <c r="B695" s="95" t="s">
        <v>969</v>
      </c>
      <c r="C695" s="95" t="s">
        <v>1336</v>
      </c>
      <c r="D695" t="s">
        <v>369</v>
      </c>
      <c r="E695" t="s">
        <v>55</v>
      </c>
      <c r="F695" t="s">
        <v>422</v>
      </c>
      <c r="G695" t="s">
        <v>1176</v>
      </c>
      <c r="H695" t="s">
        <v>1252</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25">
      <c r="A696" s="95" t="str">
        <f t="shared" si="149"/>
        <v>NI U&amp;D</v>
      </c>
      <c r="B696" s="95" t="s">
        <v>969</v>
      </c>
      <c r="C696" s="95" t="s">
        <v>1336</v>
      </c>
      <c r="D696" t="s">
        <v>369</v>
      </c>
      <c r="E696" t="s">
        <v>55</v>
      </c>
      <c r="F696" t="s">
        <v>422</v>
      </c>
      <c r="G696" t="s">
        <v>1178</v>
      </c>
      <c r="H696" t="s">
        <v>1253</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25">
      <c r="A697" s="95" t="str">
        <f t="shared" si="149"/>
        <v>NI U&amp;D</v>
      </c>
      <c r="B697" s="95" t="s">
        <v>969</v>
      </c>
      <c r="C697" s="95" t="s">
        <v>1336</v>
      </c>
      <c r="D697" t="s">
        <v>369</v>
      </c>
      <c r="E697" t="s">
        <v>55</v>
      </c>
      <c r="F697" t="s">
        <v>422</v>
      </c>
      <c r="G697" t="s">
        <v>1180</v>
      </c>
      <c r="H697" t="s">
        <v>1254</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25">
      <c r="A698" s="95" t="str">
        <f t="shared" si="149"/>
        <v>NI U&amp;D</v>
      </c>
      <c r="B698" s="95" t="s">
        <v>969</v>
      </c>
      <c r="C698" s="95" t="s">
        <v>1336</v>
      </c>
      <c r="D698" t="s">
        <v>369</v>
      </c>
      <c r="E698" t="s">
        <v>55</v>
      </c>
      <c r="F698" t="s">
        <v>422</v>
      </c>
      <c r="G698" t="s">
        <v>1182</v>
      </c>
      <c r="H698" t="s">
        <v>1255</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25">
      <c r="A699" s="95" t="str">
        <f t="shared" si="149"/>
        <v>NI FSOM</v>
      </c>
      <c r="B699" s="95" t="s">
        <v>969</v>
      </c>
      <c r="C699" s="95" t="s">
        <v>60</v>
      </c>
      <c r="D699" t="s">
        <v>369</v>
      </c>
      <c r="E699" t="s">
        <v>55</v>
      </c>
      <c r="F699" t="s">
        <v>60</v>
      </c>
      <c r="G699" t="s">
        <v>1266</v>
      </c>
      <c r="H699" t="s">
        <v>1267</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25">
      <c r="A700" s="95" t="str">
        <f t="shared" si="149"/>
        <v>NI FSOM</v>
      </c>
      <c r="B700" s="95" t="s">
        <v>969</v>
      </c>
      <c r="C700" s="95" t="s">
        <v>60</v>
      </c>
      <c r="D700" t="s">
        <v>369</v>
      </c>
      <c r="E700" t="s">
        <v>55</v>
      </c>
      <c r="F700" t="s">
        <v>60</v>
      </c>
      <c r="G700" t="s">
        <v>1268</v>
      </c>
      <c r="H700" t="s">
        <v>1269</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25">
      <c r="A701" s="95" t="str">
        <f t="shared" si="149"/>
        <v>NI FSOM</v>
      </c>
      <c r="B701" s="95" t="s">
        <v>969</v>
      </c>
      <c r="C701" s="95" t="s">
        <v>60</v>
      </c>
      <c r="D701" t="s">
        <v>369</v>
      </c>
      <c r="E701" t="s">
        <v>55</v>
      </c>
      <c r="F701" t="s">
        <v>60</v>
      </c>
      <c r="G701" t="s">
        <v>1270</v>
      </c>
      <c r="H701" t="s">
        <v>1271</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25">
      <c r="A702" s="95" t="str">
        <f t="shared" si="149"/>
        <v>NI FSOM</v>
      </c>
      <c r="B702" s="95" t="s">
        <v>969</v>
      </c>
      <c r="C702" s="95" t="s">
        <v>60</v>
      </c>
      <c r="D702" t="s">
        <v>369</v>
      </c>
      <c r="E702" t="s">
        <v>55</v>
      </c>
      <c r="F702" t="s">
        <v>60</v>
      </c>
      <c r="G702" t="s">
        <v>1272</v>
      </c>
      <c r="H702" t="s">
        <v>1273</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25">
      <c r="A703" s="95" t="str">
        <f t="shared" si="149"/>
        <v>NI FSOM</v>
      </c>
      <c r="B703" s="95" t="s">
        <v>969</v>
      </c>
      <c r="C703" s="95" t="s">
        <v>60</v>
      </c>
      <c r="D703" t="s">
        <v>369</v>
      </c>
      <c r="E703" t="s">
        <v>55</v>
      </c>
      <c r="F703" t="s">
        <v>60</v>
      </c>
      <c r="G703" t="s">
        <v>1274</v>
      </c>
      <c r="H703" t="s">
        <v>1275</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25">
      <c r="A704" s="95" t="str">
        <f t="shared" si="149"/>
        <v>NI FSOM</v>
      </c>
      <c r="B704" s="95" t="s">
        <v>969</v>
      </c>
      <c r="C704" s="95" t="s">
        <v>60</v>
      </c>
      <c r="D704" t="s">
        <v>369</v>
      </c>
      <c r="E704" t="s">
        <v>55</v>
      </c>
      <c r="F704" t="s">
        <v>60</v>
      </c>
      <c r="G704" t="s">
        <v>1276</v>
      </c>
      <c r="H704" t="s">
        <v>1277</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25">
      <c r="A705" s="95" t="str">
        <f t="shared" si="149"/>
        <v>NI FSOM</v>
      </c>
      <c r="B705" s="95" t="s">
        <v>969</v>
      </c>
      <c r="C705" s="95" t="s">
        <v>60</v>
      </c>
      <c r="D705" t="s">
        <v>369</v>
      </c>
      <c r="E705" t="s">
        <v>55</v>
      </c>
      <c r="F705" t="s">
        <v>60</v>
      </c>
      <c r="G705" t="s">
        <v>1278</v>
      </c>
      <c r="H705" t="s">
        <v>1279</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25">
      <c r="A706" s="95" t="str">
        <f t="shared" si="149"/>
        <v>NI FSOM</v>
      </c>
      <c r="B706" s="95" t="s">
        <v>969</v>
      </c>
      <c r="C706" s="95" t="s">
        <v>60</v>
      </c>
      <c r="D706" t="s">
        <v>369</v>
      </c>
      <c r="E706" t="s">
        <v>55</v>
      </c>
      <c r="F706" t="s">
        <v>60</v>
      </c>
      <c r="G706" t="s">
        <v>1280</v>
      </c>
      <c r="H706" t="s">
        <v>1281</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25">
      <c r="A707" s="95" t="str">
        <f t="shared" si="149"/>
        <v>NI FSOM</v>
      </c>
      <c r="B707" s="95" t="s">
        <v>969</v>
      </c>
      <c r="C707" s="95" t="s">
        <v>60</v>
      </c>
      <c r="D707" t="s">
        <v>369</v>
      </c>
      <c r="E707" t="s">
        <v>55</v>
      </c>
      <c r="F707" t="s">
        <v>60</v>
      </c>
      <c r="G707" t="s">
        <v>1282</v>
      </c>
      <c r="H707" t="s">
        <v>1283</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25">
      <c r="A708" s="95" t="str">
        <f t="shared" si="149"/>
        <v>NI FSOM</v>
      </c>
      <c r="B708" s="95" t="s">
        <v>969</v>
      </c>
      <c r="C708" s="95" t="s">
        <v>60</v>
      </c>
      <c r="D708" t="s">
        <v>369</v>
      </c>
      <c r="E708" t="s">
        <v>55</v>
      </c>
      <c r="F708" t="s">
        <v>60</v>
      </c>
      <c r="G708" t="s">
        <v>1284</v>
      </c>
      <c r="H708" t="s">
        <v>1285</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25">
      <c r="A709" s="95" t="str">
        <f t="shared" si="149"/>
        <v>NI FSOM</v>
      </c>
      <c r="B709" s="95" t="s">
        <v>969</v>
      </c>
      <c r="C709" s="95" t="s">
        <v>60</v>
      </c>
      <c r="D709" t="s">
        <v>369</v>
      </c>
      <c r="E709" t="s">
        <v>55</v>
      </c>
      <c r="F709" t="s">
        <v>60</v>
      </c>
      <c r="G709" t="s">
        <v>1286</v>
      </c>
      <c r="H709" t="s">
        <v>1287</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25">
      <c r="A710" s="95" t="str">
        <f t="shared" si="149"/>
        <v>NI FSOM</v>
      </c>
      <c r="B710" s="95" t="s">
        <v>969</v>
      </c>
      <c r="C710" s="95" t="s">
        <v>60</v>
      </c>
      <c r="D710" t="s">
        <v>369</v>
      </c>
      <c r="E710" t="s">
        <v>55</v>
      </c>
      <c r="F710" t="s">
        <v>60</v>
      </c>
      <c r="G710" t="s">
        <v>1288</v>
      </c>
      <c r="H710" t="s">
        <v>1289</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25">
      <c r="A711" s="95" t="str">
        <f t="shared" si="149"/>
        <v>NI Volatilisation</v>
      </c>
      <c r="B711" s="95" t="s">
        <v>969</v>
      </c>
      <c r="C711" s="95" t="s">
        <v>62</v>
      </c>
      <c r="D711" t="s">
        <v>369</v>
      </c>
      <c r="E711" t="s">
        <v>61</v>
      </c>
      <c r="F711" t="s">
        <v>62</v>
      </c>
      <c r="G711" t="s">
        <v>435</v>
      </c>
      <c r="H711" t="s">
        <v>1184</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0.66035651430821074</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0.66008394987584207</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0.65354261970149441</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0.65337920332710719</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0.65322793572104454</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0.65308880056970553</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0.65296169227266498</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0.65284672118777098</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0.65274397960506148</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0.65265355793719104</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0.65257554079256641</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0.65250999875184101</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0.65245700134470697</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0.65241660651071587</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0.65238886062718315</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0.6523738107982866</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0.65237149971504915</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0.6717077011874647</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0.67172409254060461</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0.67174011054610017</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0.67175577706338141</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0.67177111790148203</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0.67178606782023664</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0.67180058277133392</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0.67181465717092259</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0.67182823869267982</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0.67184126908492714</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0.67185374065365466</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0.67186566123512315</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0.67187703615819216</v>
      </c>
      <c r="AY711" s="79"/>
      <c r="AZ711" s="79"/>
    </row>
    <row r="712" spans="1:52" x14ac:dyDescent="0.25">
      <c r="A712" s="95" t="str">
        <f t="shared" si="149"/>
        <v>NI Volatilisation</v>
      </c>
      <c r="B712" s="95" t="s">
        <v>969</v>
      </c>
      <c r="C712" s="95" t="s">
        <v>62</v>
      </c>
      <c r="D712" t="s">
        <v>369</v>
      </c>
      <c r="E712" t="s">
        <v>61</v>
      </c>
      <c r="F712" t="s">
        <v>62</v>
      </c>
      <c r="G712" t="s">
        <v>436</v>
      </c>
      <c r="H712" t="s">
        <v>1185</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8.716705988868383E-3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8.7131081383611166E-3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8.6267625800597308E-3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8.624605483917816E-3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8.6226087515177911E-3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8.6207721675201129E-3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8.6190943379991763E-3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8.6175767196785755E-3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8.6162205307868112E-3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8.6150269647709242E-3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8.6139971384618756E-3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8.6131319835243015E-3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8.6124324177501328E-3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8.6118992059414506E-3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8.6115329602788199E-3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8.611334302537384E-3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8.6113037962386486E-3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8.8665416556745359E-3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8.8667580215359802E-3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8.8669694592085242E-3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8.8671762572366322E-3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8.8673787562995633E-3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8.8675760952271251E-3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8.8677676925816105E-3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8.867953474656182E-3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8.8681327507433762E-3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8.8683047519210381E-3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8.8684693766282394E-3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8.8686267283036267E-3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8.8687768772881346E-3</v>
      </c>
      <c r="AY712" s="79"/>
      <c r="AZ712" s="79"/>
    </row>
    <row r="713" spans="1:52" x14ac:dyDescent="0.25">
      <c r="A713" s="95" t="str">
        <f t="shared" si="149"/>
        <v>NI Volatilisation</v>
      </c>
      <c r="B713" s="95" t="s">
        <v>969</v>
      </c>
      <c r="C713" s="95" t="s">
        <v>62</v>
      </c>
      <c r="D713" t="s">
        <v>369</v>
      </c>
      <c r="E713" t="s">
        <v>61</v>
      </c>
      <c r="F713" t="s">
        <v>62</v>
      </c>
      <c r="G713" t="s">
        <v>437</v>
      </c>
      <c r="H713" t="s">
        <v>1186</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1.2019035107607596</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1.2055442230548157</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1.1799964998501227</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1.0648906691667142</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1.1057533797860197</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3.1715891643578864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3.205817503106533</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3.2352153287252081</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3.2596764998420773</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3.2791703785538746</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3.2935488814957896</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3.3026965587676997</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3.3065215616671835</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3.3049591714491218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3.2856040880514414</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3.2609006919876253</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3.2309381698250323</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3.1958369771906554</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3.1557406943377502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3.1108181429551416</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-7.9927190130914927E-2</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-7.7482459717295754E-2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-7.5056648302161827E-2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-7.2650174059267963E-2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-7.0723117301040472E-2</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-6.8807486280089009E-2</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-6.6901375831276963E-2</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-6.5004519075055389E-2</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-6.3114960679436297E-2</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-6.1230717258980515E-2</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-5.9351794077464999E-2</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-5.7478765169344234E-2</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-5.5612099659167281E-2</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-5.3750177084754498E-2</v>
      </c>
      <c r="AY713" s="79"/>
      <c r="AZ713" s="79"/>
    </row>
    <row r="714" spans="1:52" x14ac:dyDescent="0.25">
      <c r="A714" s="95" t="str">
        <f t="shared" si="149"/>
        <v>NI Volatilisation</v>
      </c>
      <c r="B714" s="95" t="s">
        <v>969</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3.9236983289257736</v>
      </c>
      <c r="T714" s="22">
        <f t="shared" si="160"/>
        <v>4.0061959356333121</v>
      </c>
      <c r="U714" s="22">
        <f t="shared" si="160"/>
        <v>8.6703485618299432</v>
      </c>
      <c r="V714" s="22">
        <f t="shared" si="160"/>
        <v>8.7075171611639437</v>
      </c>
      <c r="W714" s="22">
        <f t="shared" si="160"/>
        <v>8.7349231997789492</v>
      </c>
      <c r="X714" s="22">
        <f t="shared" si="160"/>
        <v>8.7517078724202371</v>
      </c>
      <c r="Y714" s="22">
        <f t="shared" si="160"/>
        <v>8.7566246906771106</v>
      </c>
      <c r="Z714" s="22">
        <f t="shared" si="160"/>
        <v>8.749585391639048</v>
      </c>
      <c r="AA714" s="22">
        <f t="shared" si="160"/>
        <v>8.7305224491182276</v>
      </c>
      <c r="AB714" s="22">
        <f t="shared" si="160"/>
        <v>8.6994684257142971</v>
      </c>
      <c r="AC714" s="22">
        <f t="shared" si="160"/>
        <v>8.6565339362109501</v>
      </c>
      <c r="AD714" s="22">
        <f t="shared" si="160"/>
        <v>8.5479552025611873</v>
      </c>
      <c r="AE714" s="22">
        <f t="shared" si="160"/>
        <v>8.4281375273268431</v>
      </c>
      <c r="AF714" s="22">
        <f t="shared" si="160"/>
        <v>8.2976332368638914</v>
      </c>
      <c r="AG714" s="22">
        <f t="shared" si="160"/>
        <v>8.1570247194237986</v>
      </c>
      <c r="AH714" s="22">
        <f t="shared" si="160"/>
        <v>8.0069849414591072</v>
      </c>
      <c r="AI714" s="22">
        <f t="shared" si="160"/>
        <v>7.8482435227169196</v>
      </c>
      <c r="AJ714" s="22">
        <f t="shared" si="160"/>
        <v>1.4117786211897634</v>
      </c>
      <c r="AK714" s="22">
        <f t="shared" si="160"/>
        <v>1.4240848222590068</v>
      </c>
      <c r="AL714" s="22">
        <f t="shared" si="160"/>
        <v>1.4361490833885919</v>
      </c>
      <c r="AM714" s="22">
        <f t="shared" si="160"/>
        <v>1.4479836223342117</v>
      </c>
      <c r="AN714" s="22">
        <f t="shared" si="160"/>
        <v>1.4575869997562623</v>
      </c>
      <c r="AO714" s="22">
        <f t="shared" si="160"/>
        <v>1.4669658638055674</v>
      </c>
      <c r="AP714" s="22">
        <f t="shared" si="160"/>
        <v>1.4761004652334226</v>
      </c>
      <c r="AQ714" s="22">
        <f t="shared" si="160"/>
        <v>1.4849895121905028</v>
      </c>
      <c r="AR714" s="22">
        <f t="shared" si="160"/>
        <v>1.4936094251739955</v>
      </c>
      <c r="AS714" s="22">
        <f t="shared" si="160"/>
        <v>1.5019339292237881</v>
      </c>
      <c r="AT714" s="22">
        <f t="shared" si="160"/>
        <v>1.5099608560757101</v>
      </c>
      <c r="AU714" s="22">
        <f t="shared" si="160"/>
        <v>1.5176953414243965</v>
      </c>
      <c r="AV714" s="22">
        <f t="shared" si="160"/>
        <v>1.5251412376449351</v>
      </c>
      <c r="AW714" s="22">
        <f t="shared" si="160"/>
        <v>1.5322728813191711</v>
      </c>
      <c r="AY714" s="79"/>
      <c r="AZ714" s="79"/>
    </row>
    <row r="715" spans="1:52" x14ac:dyDescent="0.25">
      <c r="A715" s="95" t="str">
        <f t="shared" si="149"/>
        <v>NI Leaching</v>
      </c>
      <c r="B715" s="95" t="s">
        <v>969</v>
      </c>
      <c r="C715" s="95" t="s">
        <v>1190</v>
      </c>
      <c r="D715" t="s">
        <v>369</v>
      </c>
      <c r="E715" t="s">
        <v>61</v>
      </c>
      <c r="F715" t="s">
        <v>63</v>
      </c>
      <c r="G715" t="s">
        <v>435</v>
      </c>
      <c r="H715" t="s">
        <v>1187</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2.2782299743633269E-4</v>
      </c>
      <c r="U715" s="94">
        <f>IF('Net zero activities &amp; levers'!$C$9="Off",'Activity data'!AN47*FracLEACH*MSLeachEF*NtoN2O*kgtoGg,IF('Net zero activities &amp; levers'!$C$9="On",(('Net zero supporting data'!L157*FracLEACH*'Net zero supporting data'!L185)+('Net zero supporting data'!L169*FracLEACH*MSLeachEF))*NtoN2O*kgtoGg,"ERROR"))</f>
        <v>2.2772896270716546E-4</v>
      </c>
      <c r="V715" s="94">
        <f>IF('Net zero activities &amp; levers'!$C$9="Off",'Activity data'!AO47*FracLEACH*MSLeachEF*NtoN2O*kgtoGg,IF('Net zero activities &amp; levers'!$C$9="On",(('Net zero supporting data'!M157*FracLEACH*'Net zero supporting data'!M185)+('Net zero supporting data'!M169*FracLEACH*MSLeachEF))*NtoN2O*kgtoGg,"ERROR"))</f>
        <v>2.2547220379701556E-4</v>
      </c>
      <c r="W715" s="94">
        <f>IF('Net zero activities &amp; levers'!$C$9="Off",'Activity data'!AP47*FracLEACH*MSLeachEF*NtoN2O*kgtoGg,IF('Net zero activities &amp; levers'!$C$9="On",(('Net zero supporting data'!N157*FracLEACH*'Net zero supporting data'!N185)+('Net zero supporting data'!N169*FracLEACH*MSLeachEF))*NtoN2O*kgtoGg,"ERROR"))</f>
        <v>2.2541582514785201E-4</v>
      </c>
      <c r="X715" s="94">
        <f>IF('Net zero activities &amp; levers'!$C$9="Off",'Activity data'!AQ47*FracLEACH*MSLeachEF*NtoN2O*kgtoGg,IF('Net zero activities &amp; levers'!$C$9="On",(('Net zero supporting data'!O157*FracLEACH*'Net zero supporting data'!O185)+('Net zero supporting data'!O169*FracLEACH*MSLeachEF))*NtoN2O*kgtoGg,"ERROR"))</f>
        <v>2.2536363782376035E-4</v>
      </c>
      <c r="Y715" s="94">
        <f>IF('Net zero activities &amp; levers'!$C$9="Off",'Activity data'!AR47*FracLEACH*MSLeachEF*NtoN2O*kgtoGg,IF('Net zero activities &amp; levers'!$C$9="On",(('Net zero supporting data'!P157*FracLEACH*'Net zero supporting data'!P185)+('Net zero supporting data'!P169*FracLEACH*MSLeachEF))*NtoN2O*kgtoGg,"ERROR"))</f>
        <v>2.2531563619654834E-4</v>
      </c>
      <c r="Z715" s="94">
        <f>IF('Net zero activities &amp; levers'!$C$9="Off",'Activity data'!AS47*FracLEACH*MSLeachEF*NtoN2O*kgtoGg,IF('Net zero activities &amp; levers'!$C$9="On",(('Net zero supporting data'!Q157*FracLEACH*'Net zero supporting data'!Q185)+('Net zero supporting data'!Q169*FracLEACH*MSLeachEF))*NtoN2O*kgtoGg,"ERROR"))</f>
        <v>2.252717838340693E-4</v>
      </c>
      <c r="AA715" s="94">
        <f>IF('Net zero activities &amp; levers'!$C$9="Off",'Activity data'!AT47*FracLEACH*MSLeachEF*NtoN2O*kgtoGg,IF('Net zero activities &amp; levers'!$C$9="On",(('Net zero supporting data'!R157*FracLEACH*'Net zero supporting data'!R185)+('Net zero supporting data'!R169*FracLEACH*MSLeachEF))*NtoN2O*kgtoGg,"ERROR"))</f>
        <v>2.2523211880978096E-4</v>
      </c>
      <c r="AB715" s="94">
        <f>IF('Net zero activities &amp; levers'!$C$9="Off",'Activity data'!AU47*FracLEACH*MSLeachEF*NtoN2O*kgtoGg,IF('Net zero activities &amp; levers'!$C$9="On",(('Net zero supporting data'!S157*FracLEACH*'Net zero supporting data'!S185)+('Net zero supporting data'!S169*FracLEACH*MSLeachEF))*NtoN2O*kgtoGg,"ERROR"))</f>
        <v>2.2519667296374613E-4</v>
      </c>
      <c r="AC715" s="94">
        <f>IF('Net zero activities &amp; levers'!$C$9="Off",'Activity data'!AV47*FracLEACH*MSLeachEF*NtoN2O*kgtoGg,IF('Net zero activities &amp; levers'!$C$9="On",(('Net zero supporting data'!T157*FracLEACH*'Net zero supporting data'!T185)+('Net zero supporting data'!T169*FracLEACH*MSLeachEF))*NtoN2O*kgtoGg,"ERROR"))</f>
        <v>2.2516547748833096E-4</v>
      </c>
      <c r="AD715" s="94">
        <f>IF('Net zero activities &amp; levers'!$C$9="Off",'Activity data'!AW47*FracLEACH*MSLeachEF*NtoN2O*kgtoGg,IF('Net zero activities &amp; levers'!$C$9="On",(('Net zero supporting data'!U157*FracLEACH*'Net zero supporting data'!U185)+('Net zero supporting data'!U169*FracLEACH*MSLeachEF))*NtoN2O*kgtoGg,"ERROR"))</f>
        <v>2.2513856157343538E-4</v>
      </c>
      <c r="AE715" s="94">
        <f>IF('Net zero activities &amp; levers'!$C$9="Off",'Activity data'!AX47*FracLEACH*MSLeachEF*NtoN2O*kgtoGg,IF('Net zero activities &amp; levers'!$C$9="On",(('Net zero supporting data'!V157*FracLEACH*'Net zero supporting data'!V185)+('Net zero supporting data'!V169*FracLEACH*MSLeachEF))*NtoN2O*kgtoGg,"ERROR"))</f>
        <v>2.2511594956938508E-4</v>
      </c>
      <c r="AF715" s="94">
        <f>IF('Net zero activities &amp; levers'!$C$9="Off",'Activity data'!AY47*FracLEACH*MSLeachEF*NtoN2O*kgtoGg,IF('Net zero activities &amp; levers'!$C$9="On",(('Net zero supporting data'!W157*FracLEACH*'Net zero supporting data'!W185)+('Net zero supporting data'!W169*FracLEACH*MSLeachEF))*NtoN2O*kgtoGg,"ERROR"))</f>
        <v>2.2509766546392388E-4</v>
      </c>
      <c r="AG715" s="94">
        <f>IF('Net zero activities &amp; levers'!$C$9="Off",'Activity data'!AZ47*FracLEACH*MSLeachEF*NtoN2O*kgtoGg,IF('Net zero activities &amp; levers'!$C$9="On",(('Net zero supporting data'!X157*FracLEACH*'Net zero supporting data'!X185)+('Net zero supporting data'!X169*FracLEACH*MSLeachEF))*NtoN2O*kgtoGg,"ERROR"))</f>
        <v>2.2508372924619698E-4</v>
      </c>
      <c r="AH715" s="94">
        <f>IF('Net zero activities &amp; levers'!$C$9="Off",'Activity data'!BA47*FracLEACH*MSLeachEF*NtoN2O*kgtoGg,IF('Net zero activities &amp; levers'!$C$9="On",(('Net zero supporting data'!Y157*FracLEACH*'Net zero supporting data'!Y185)+('Net zero supporting data'!Y169*FracLEACH*MSLeachEF))*NtoN2O*kgtoGg,"ERROR"))</f>
        <v>2.2507415691637819E-4</v>
      </c>
      <c r="AI715" s="94">
        <f>IF('Net zero activities &amp; levers'!$C$9="Off",'Activity data'!BB47*FracLEACH*MSLeachEF*NtoN2O*kgtoGg,IF('Net zero activities &amp; levers'!$C$9="On",(('Net zero supporting data'!Z157*FracLEACH*'Net zero supporting data'!Z185)+('Net zero supporting data'!Z169*FracLEACH*MSLeachEF))*NtoN2O*kgtoGg,"ERROR"))</f>
        <v>2.2506896472540883E-4</v>
      </c>
      <c r="AJ715" s="94">
        <f>IF('Net zero activities &amp; levers'!$C$9="Off",'Activity data'!BC47*FracLEACH*MSLeachEF*NtoN2O*kgtoGg,IF('Net zero activities &amp; levers'!$C$9="On",(('Net zero supporting data'!AA157*FracLEACH*'Net zero supporting data'!AA185)+('Net zero supporting data'!AA169*FracLEACH*MSLeachEF))*NtoN2O*kgtoGg,"ERROR"))</f>
        <v>2.2506816740169194E-4</v>
      </c>
      <c r="AK715" s="94">
        <f>IF('Net zero activities &amp; levers'!$C$9="Off",'Activity data'!BD47*FracLEACH*MSLeachEF*NtoN2O*kgtoGg,IF('Net zero activities &amp; levers'!$C$9="On",(('Net zero supporting data'!AB157*FracLEACH*'Net zero supporting data'!AB185)+('Net zero supporting data'!AB169*FracLEACH*MSLeachEF))*NtoN2O*kgtoGg,"ERROR"))</f>
        <v>2.3173915690967529E-4</v>
      </c>
      <c r="AL715" s="94">
        <f>IF('Net zero activities &amp; levers'!$C$9="Off",'Activity data'!BE47*FracLEACH*MSLeachEF*NtoN2O*kgtoGg,IF('Net zero activities &amp; levers'!$C$9="On",(('Net zero supporting data'!AC157*FracLEACH*'Net zero supporting data'!AC185)+('Net zero supporting data'!AC169*FracLEACH*MSLeachEF))*NtoN2O*kgtoGg,"ERROR"))</f>
        <v>2.3174481192650851E-4</v>
      </c>
      <c r="AM715" s="94">
        <f>IF('Net zero activities &amp; levers'!$C$9="Off",'Activity data'!BF47*FracLEACH*MSLeachEF*NtoN2O*kgtoGg,IF('Net zero activities &amp; levers'!$C$9="On",(('Net zero supporting data'!AD157*FracLEACH*'Net zero supporting data'!AD185)+('Net zero supporting data'!AD169*FracLEACH*MSLeachEF))*NtoN2O*kgtoGg,"ERROR"))</f>
        <v>2.3175033813840453E-4</v>
      </c>
      <c r="AN715" s="94">
        <f>IF('Net zero activities &amp; levers'!$C$9="Off",'Activity data'!BG47*FracLEACH*MSLeachEF*NtoN2O*kgtoGg,IF('Net zero activities &amp; levers'!$C$9="On",(('Net zero supporting data'!AE157*FracLEACH*'Net zero supporting data'!AE185)+('Net zero supporting data'!AE169*FracLEACH*MSLeachEF))*NtoN2O*kgtoGg,"ERROR"))</f>
        <v>2.317557430868665E-4</v>
      </c>
      <c r="AO715" s="94">
        <f>IF('Net zero activities &amp; levers'!$C$9="Off",'Activity data'!BH47*FracLEACH*MSLeachEF*NtoN2O*kgtoGg,IF('Net zero activities &amp; levers'!$C$9="On",(('Net zero supporting data'!AF157*FracLEACH*'Net zero supporting data'!AF185)+('Net zero supporting data'!AF169*FracLEACH*MSLeachEF))*NtoN2O*kgtoGg,"ERROR"))</f>
        <v>2.3176103567601125E-4</v>
      </c>
      <c r="AP715" s="94">
        <f>IF('Net zero activities &amp; levers'!$C$9="Off",'Activity data'!BI47*FracLEACH*MSLeachEF*NtoN2O*kgtoGg,IF('Net zero activities &amp; levers'!$C$9="On",(('Net zero supporting data'!AG157*FracLEACH*'Net zero supporting data'!AG185)+('Net zero supporting data'!AG169*FracLEACH*MSLeachEF))*NtoN2O*kgtoGg,"ERROR"))</f>
        <v>2.3176619339798155E-4</v>
      </c>
      <c r="AQ715" s="94">
        <f>IF('Net zero activities &amp; levers'!$C$9="Off",'Activity data'!BJ47*FracLEACH*MSLeachEF*NtoN2O*kgtoGg,IF('Net zero activities &amp; levers'!$C$9="On",(('Net zero supporting data'!AH157*FracLEACH*'Net zero supporting data'!AH185)+('Net zero supporting data'!AH169*FracLEACH*MSLeachEF))*NtoN2O*kgtoGg,"ERROR"))</f>
        <v>2.3177120105611021E-4</v>
      </c>
      <c r="AR715" s="94">
        <f>IF('Net zero activities &amp; levers'!$C$9="Off",'Activity data'!BK47*FracLEACH*MSLeachEF*NtoN2O*kgtoGg,IF('Net zero activities &amp; levers'!$C$9="On",(('Net zero supporting data'!AI157*FracLEACH*'Net zero supporting data'!AI185)+('Net zero supporting data'!AI169*FracLEACH*MSLeachEF))*NtoN2O*kgtoGg,"ERROR"))</f>
        <v>2.3177605672396827E-4</v>
      </c>
      <c r="AS715" s="94">
        <f>IF('Net zero activities &amp; levers'!$C$9="Off",'Activity data'!BL47*FracLEACH*MSLeachEF*NtoN2O*kgtoGg,IF('Net zero activities &amp; levers'!$C$9="On",(('Net zero supporting data'!AJ157*FracLEACH*'Net zero supporting data'!AJ185)+('Net zero supporting data'!AJ169*FracLEACH*MSLeachEF))*NtoN2O*kgtoGg,"ERROR"))</f>
        <v>2.3178074234897451E-4</v>
      </c>
      <c r="AT715" s="94">
        <f>IF('Net zero activities &amp; levers'!$C$9="Off",'Activity data'!BM47*FracLEACH*MSLeachEF*NtoN2O*kgtoGg,IF('Net zero activities &amp; levers'!$C$9="On",(('Net zero supporting data'!AK157*FracLEACH*'Net zero supporting data'!AK185)+('Net zero supporting data'!AK169*FracLEACH*MSLeachEF))*NtoN2O*kgtoGg,"ERROR"))</f>
        <v>2.3178523783429981E-4</v>
      </c>
      <c r="AU715" s="94">
        <f>IF('Net zero activities &amp; levers'!$C$9="Off",'Activity data'!BN47*FracLEACH*MSLeachEF*NtoN2O*kgtoGg,IF('Net zero activities &amp; levers'!$C$9="On",(('Net zero supporting data'!AL157*FracLEACH*'Net zero supporting data'!AL185)+('Net zero supporting data'!AL169*FracLEACH*MSLeachEF))*NtoN2O*kgtoGg,"ERROR"))</f>
        <v>2.3178954052551076E-4</v>
      </c>
      <c r="AV715" s="94">
        <f>IF('Net zero activities &amp; levers'!$C$9="Off",'Activity data'!BO47*FracLEACH*MSLeachEF*NtoN2O*kgtoGg,IF('Net zero activities &amp; levers'!$C$9="On",(('Net zero supporting data'!AM157*FracLEACH*'Net zero supporting data'!AM185)+('Net zero supporting data'!AM169*FracLEACH*MSLeachEF))*NtoN2O*kgtoGg,"ERROR"))</f>
        <v>2.3179365312611745E-4</v>
      </c>
      <c r="AW715" s="94">
        <f>IF('Net zero activities &amp; levers'!$C$9="Off",'Activity data'!BP47*FracLEACH*MSLeachEF*NtoN2O*kgtoGg,IF('Net zero activities &amp; levers'!$C$9="On",(('Net zero supporting data'!AN157*FracLEACH*'Net zero supporting data'!AN185)+('Net zero supporting data'!AN169*FracLEACH*MSLeachEF))*NtoN2O*kgtoGg,"ERROR"))</f>
        <v>2.3179757747457624E-4</v>
      </c>
      <c r="AY715" s="79"/>
      <c r="AZ715" s="79"/>
    </row>
    <row r="716" spans="1:52" x14ac:dyDescent="0.25">
      <c r="A716" s="95" t="str">
        <f t="shared" si="149"/>
        <v>NI Leaching</v>
      </c>
      <c r="B716" s="95" t="s">
        <v>969</v>
      </c>
      <c r="C716" s="95" t="s">
        <v>1190</v>
      </c>
      <c r="D716" t="s">
        <v>369</v>
      </c>
      <c r="E716" t="s">
        <v>61</v>
      </c>
      <c r="F716" t="s">
        <v>63</v>
      </c>
      <c r="G716" t="s">
        <v>436</v>
      </c>
      <c r="H716" t="s">
        <v>1188</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1.5036317830797959E-6</v>
      </c>
      <c r="U716" s="94">
        <f>IF('Net zero activities &amp; levers'!$C$9="Off",'Activity data'!AN48*FracLEACH*MSLeachEF*NtoN2O*kgtoGg,IF('Net zero activities &amp; levers'!$C$9="On",(('Net zero supporting data'!L158*FracLEACH*'Net zero supporting data'!L185)+('Net zero supporting data'!L170*FracLEACH*MSLeachEF))*NtoN2O*kgtoGg,"ERROR"))</f>
        <v>1.5030111538672925E-6</v>
      </c>
      <c r="V716" s="94">
        <f>IF('Net zero activities &amp; levers'!$C$9="Off",'Activity data'!AO48*FracLEACH*MSLeachEF*NtoN2O*kgtoGg,IF('Net zero activities &amp; levers'!$C$9="On",(('Net zero supporting data'!M158*FracLEACH*'Net zero supporting data'!M185)+('Net zero supporting data'!M170*FracLEACH*MSLeachEF))*NtoN2O*kgtoGg,"ERROR"))</f>
        <v>1.488116545060303E-6</v>
      </c>
      <c r="W716" s="94">
        <f>IF('Net zero activities &amp; levers'!$C$9="Off",'Activity data'!AP48*FracLEACH*MSLeachEF*NtoN2O*kgtoGg,IF('Net zero activities &amp; levers'!$C$9="On",(('Net zero supporting data'!N158*FracLEACH*'Net zero supporting data'!N185)+('Net zero supporting data'!N170*FracLEACH*MSLeachEF))*NtoN2O*kgtoGg,"ERROR"))</f>
        <v>1.487744445975823E-6</v>
      </c>
      <c r="X716" s="94">
        <f>IF('Net zero activities &amp; levers'!$C$9="Off",'Activity data'!AQ48*FracLEACH*MSLeachEF*NtoN2O*kgtoGg,IF('Net zero activities &amp; levers'!$C$9="On",(('Net zero supporting data'!O158*FracLEACH*'Net zero supporting data'!O185)+('Net zero supporting data'!O170*FracLEACH*MSLeachEF))*NtoN2O*kgtoGg,"ERROR"))</f>
        <v>1.4874000096368187E-6</v>
      </c>
      <c r="Y716" s="94">
        <f>IF('Net zero activities &amp; levers'!$C$9="Off",'Activity data'!AR48*FracLEACH*MSLeachEF*NtoN2O*kgtoGg,IF('Net zero activities &amp; levers'!$C$9="On",(('Net zero supporting data'!P158*FracLEACH*'Net zero supporting data'!P185)+('Net zero supporting data'!P170*FracLEACH*MSLeachEF))*NtoN2O*kgtoGg,"ERROR"))</f>
        <v>1.4870831988972194E-6</v>
      </c>
      <c r="Z716" s="94">
        <f>IF('Net zero activities &amp; levers'!$C$9="Off",'Activity data'!AS48*FracLEACH*MSLeachEF*NtoN2O*kgtoGg,IF('Net zero activities &amp; levers'!$C$9="On",(('Net zero supporting data'!Q158*FracLEACH*'Net zero supporting data'!Q185)+('Net zero supporting data'!Q170*FracLEACH*MSLeachEF))*NtoN2O*kgtoGg,"ERROR"))</f>
        <v>1.4867937733048578E-6</v>
      </c>
      <c r="AA716" s="94">
        <f>IF('Net zero activities &amp; levers'!$C$9="Off",'Activity data'!AT48*FracLEACH*MSLeachEF*NtoN2O*kgtoGg,IF('Net zero activities &amp; levers'!$C$9="On",(('Net zero supporting data'!R158*FracLEACH*'Net zero supporting data'!R185)+('Net zero supporting data'!R170*FracLEACH*MSLeachEF))*NtoN2O*kgtoGg,"ERROR"))</f>
        <v>1.4865319841445543E-6</v>
      </c>
      <c r="AB716" s="94">
        <f>IF('Net zero activities &amp; levers'!$C$9="Off",'Activity data'!AU48*FracLEACH*MSLeachEF*NtoN2O*kgtoGg,IF('Net zero activities &amp; levers'!$C$9="On",(('Net zero supporting data'!S158*FracLEACH*'Net zero supporting data'!S185)+('Net zero supporting data'!S170*FracLEACH*MSLeachEF))*NtoN2O*kgtoGg,"ERROR"))</f>
        <v>1.4862980415607246E-6</v>
      </c>
      <c r="AC716" s="94">
        <f>IF('Net zero activities &amp; levers'!$C$9="Off",'Activity data'!AV48*FracLEACH*MSLeachEF*NtoN2O*kgtoGg,IF('Net zero activities &amp; levers'!$C$9="On",(('Net zero supporting data'!T158*FracLEACH*'Net zero supporting data'!T185)+('Net zero supporting data'!T170*FracLEACH*MSLeachEF))*NtoN2O*kgtoGg,"ERROR"))</f>
        <v>1.4860921514229842E-6</v>
      </c>
      <c r="AD716" s="94">
        <f>IF('Net zero activities &amp; levers'!$C$9="Off",'Activity data'!AW48*FracLEACH*MSLeachEF*NtoN2O*kgtoGg,IF('Net zero activities &amp; levers'!$C$9="On",(('Net zero supporting data'!U158*FracLEACH*'Net zero supporting data'!U185)+('Net zero supporting data'!U170*FracLEACH*MSLeachEF))*NtoN2O*kgtoGg,"ERROR"))</f>
        <v>1.4859145063846736E-6</v>
      </c>
      <c r="AE716" s="94">
        <f>IF('Net zero activities &amp; levers'!$C$9="Off",'Activity data'!AX48*FracLEACH*MSLeachEF*NtoN2O*kgtoGg,IF('Net zero activities &amp; levers'!$C$9="On",(('Net zero supporting data'!V158*FracLEACH*'Net zero supporting data'!V185)+('Net zero supporting data'!V170*FracLEACH*MSLeachEF))*NtoN2O*kgtoGg,"ERROR"))</f>
        <v>1.4857652671579419E-6</v>
      </c>
      <c r="AF716" s="94">
        <f>IF('Net zero activities &amp; levers'!$C$9="Off",'Activity data'!AY48*FracLEACH*MSLeachEF*NtoN2O*kgtoGg,IF('Net zero activities &amp; levers'!$C$9="On",(('Net zero supporting data'!W158*FracLEACH*'Net zero supporting data'!W185)+('Net zero supporting data'!W170*FracLEACH*MSLeachEF))*NtoN2O*kgtoGg,"ERROR"))</f>
        <v>1.4856445920618978E-6</v>
      </c>
      <c r="AG716" s="94">
        <f>IF('Net zero activities &amp; levers'!$C$9="Off",'Activity data'!AZ48*FracLEACH*MSLeachEF*NtoN2O*kgtoGg,IF('Net zero activities &amp; levers'!$C$9="On",(('Net zero supporting data'!X158*FracLEACH*'Net zero supporting data'!X185)+('Net zero supporting data'!X170*FracLEACH*MSLeachEF))*NtoN2O*kgtoGg,"ERROR"))</f>
        <v>1.4855526130249004E-6</v>
      </c>
      <c r="AH716" s="94">
        <f>IF('Net zero activities &amp; levers'!$C$9="Off",'Activity data'!BA48*FracLEACH*MSLeachEF*NtoN2O*kgtoGg,IF('Net zero activities &amp; levers'!$C$9="On",(('Net zero supporting data'!Y158*FracLEACH*'Net zero supporting data'!Y185)+('Net zero supporting data'!Y170*FracLEACH*MSLeachEF))*NtoN2O*kgtoGg,"ERROR"))</f>
        <v>1.4854894356480966E-6</v>
      </c>
      <c r="AI716" s="94">
        <f>IF('Net zero activities &amp; levers'!$C$9="Off",'Activity data'!BB48*FracLEACH*MSLeachEF*NtoN2O*kgtoGg,IF('Net zero activities &amp; levers'!$C$9="On",(('Net zero supporting data'!Z158*FracLEACH*'Net zero supporting data'!Z185)+('Net zero supporting data'!Z170*FracLEACH*MSLeachEF))*NtoN2O*kgtoGg,"ERROR"))</f>
        <v>1.4854551671876988E-6</v>
      </c>
      <c r="AJ716" s="94">
        <f>IF('Net zero activities &amp; levers'!$C$9="Off",'Activity data'!BC48*FracLEACH*MSLeachEF*NtoN2O*kgtoGg,IF('Net zero activities &amp; levers'!$C$9="On",(('Net zero supporting data'!AA158*FracLEACH*'Net zero supporting data'!AA185)+('Net zero supporting data'!AA170*FracLEACH*MSLeachEF))*NtoN2O*kgtoGg,"ERROR"))</f>
        <v>1.4854499048511669E-6</v>
      </c>
      <c r="AK716" s="94">
        <f>IF('Net zero activities &amp; levers'!$C$9="Off",'Activity data'!BD48*FracLEACH*MSLeachEF*NtoN2O*kgtoGg,IF('Net zero activities &amp; levers'!$C$9="On",(('Net zero supporting data'!AB158*FracLEACH*'Net zero supporting data'!AB185)+('Net zero supporting data'!AB170*FracLEACH*MSLeachEF))*NtoN2O*kgtoGg,"ERROR"))</f>
        <v>1.5294784356038574E-6</v>
      </c>
      <c r="AL716" s="94">
        <f>IF('Net zero activities &amp; levers'!$C$9="Off",'Activity data'!BE48*FracLEACH*MSLeachEF*NtoN2O*kgtoGg,IF('Net zero activities &amp; levers'!$C$9="On",(('Net zero supporting data'!AC158*FracLEACH*'Net zero supporting data'!AC185)+('Net zero supporting data'!AC170*FracLEACH*MSLeachEF))*NtoN2O*kgtoGg,"ERROR"))</f>
        <v>1.5295157587149565E-6</v>
      </c>
      <c r="AM716" s="94">
        <f>IF('Net zero activities &amp; levers'!$C$9="Off",'Activity data'!BF48*FracLEACH*MSLeachEF*NtoN2O*kgtoGg,IF('Net zero activities &amp; levers'!$C$9="On",(('Net zero supporting data'!AD158*FracLEACH*'Net zero supporting data'!AD185)+('Net zero supporting data'!AD170*FracLEACH*MSLeachEF))*NtoN2O*kgtoGg,"ERROR"))</f>
        <v>1.5295522317134702E-6</v>
      </c>
      <c r="AN716" s="94">
        <f>IF('Net zero activities &amp; levers'!$C$9="Off",'Activity data'!BG48*FracLEACH*MSLeachEF*NtoN2O*kgtoGg,IF('Net zero activities &amp; levers'!$C$9="On",(('Net zero supporting data'!AE158*FracLEACH*'Net zero supporting data'!AE185)+('Net zero supporting data'!AE170*FracLEACH*MSLeachEF))*NtoN2O*kgtoGg,"ERROR"))</f>
        <v>1.5295879043733193E-6</v>
      </c>
      <c r="AO716" s="94">
        <f>IF('Net zero activities &amp; levers'!$C$9="Off",'Activity data'!BH48*FracLEACH*MSLeachEF*NtoN2O*kgtoGg,IF('Net zero activities &amp; levers'!$C$9="On",(('Net zero supporting data'!AF158*FracLEACH*'Net zero supporting data'!AF185)+('Net zero supporting data'!AF170*FracLEACH*MSLeachEF))*NtoN2O*kgtoGg,"ERROR"))</f>
        <v>1.5296228354616745E-6</v>
      </c>
      <c r="AP716" s="94">
        <f>IF('Net zero activities &amp; levers'!$C$9="Off",'Activity data'!BI48*FracLEACH*MSLeachEF*NtoN2O*kgtoGg,IF('Net zero activities &amp; levers'!$C$9="On",(('Net zero supporting data'!AG158*FracLEACH*'Net zero supporting data'!AG185)+('Net zero supporting data'!AG170*FracLEACH*MSLeachEF))*NtoN2O*kgtoGg,"ERROR"))</f>
        <v>1.5296568764266789E-6</v>
      </c>
      <c r="AQ716" s="94">
        <f>IF('Net zero activities &amp; levers'!$C$9="Off",'Activity data'!BJ48*FracLEACH*MSLeachEF*NtoN2O*kgtoGg,IF('Net zero activities &amp; levers'!$C$9="On",(('Net zero supporting data'!AH158*FracLEACH*'Net zero supporting data'!AH185)+('Net zero supporting data'!AH170*FracLEACH*MSLeachEF))*NtoN2O*kgtoGg,"ERROR"))</f>
        <v>1.5296899269703273E-6</v>
      </c>
      <c r="AR716" s="94">
        <f>IF('Net zero activities &amp; levers'!$C$9="Off",'Activity data'!BK48*FracLEACH*MSLeachEF*NtoN2O*kgtoGg,IF('Net zero activities &amp; levers'!$C$9="On",(('Net zero supporting data'!AI158*FracLEACH*'Net zero supporting data'!AI185)+('Net zero supporting data'!AI170*FracLEACH*MSLeachEF))*NtoN2O*kgtoGg,"ERROR"))</f>
        <v>1.5297219743781909E-6</v>
      </c>
      <c r="AS716" s="94">
        <f>IF('Net zero activities &amp; levers'!$C$9="Off",'Activity data'!BL48*FracLEACH*MSLeachEF*NtoN2O*kgtoGg,IF('Net zero activities &amp; levers'!$C$9="On",(('Net zero supporting data'!AJ158*FracLEACH*'Net zero supporting data'!AJ185)+('Net zero supporting data'!AJ170*FracLEACH*MSLeachEF))*NtoN2O*kgtoGg,"ERROR"))</f>
        <v>1.5297528995032323E-6</v>
      </c>
      <c r="AT716" s="94">
        <f>IF('Net zero activities &amp; levers'!$C$9="Off",'Activity data'!BM48*FracLEACH*MSLeachEF*NtoN2O*kgtoGg,IF('Net zero activities &amp; levers'!$C$9="On",(('Net zero supporting data'!AK158*FracLEACH*'Net zero supporting data'!AK185)+('Net zero supporting data'!AK170*FracLEACH*MSLeachEF))*NtoN2O*kgtoGg,"ERROR"))</f>
        <v>1.529782569706379E-6</v>
      </c>
      <c r="AU716" s="94">
        <f>IF('Net zero activities &amp; levers'!$C$9="Off",'Activity data'!BN48*FracLEACH*MSLeachEF*NtoN2O*kgtoGg,IF('Net zero activities &amp; levers'!$C$9="On",(('Net zero supporting data'!AL158*FracLEACH*'Net zero supporting data'!AL185)+('Net zero supporting data'!AL170*FracLEACH*MSLeachEF))*NtoN2O*kgtoGg,"ERROR"))</f>
        <v>1.5298109674683716E-6</v>
      </c>
      <c r="AV716" s="94">
        <f>IF('Net zero activities &amp; levers'!$C$9="Off",'Activity data'!BO48*FracLEACH*MSLeachEF*NtoN2O*kgtoGg,IF('Net zero activities &amp; levers'!$C$9="On",(('Net zero supporting data'!AM158*FracLEACH*'Net zero supporting data'!AM185)+('Net zero supporting data'!AM170*FracLEACH*MSLeachEF))*NtoN2O*kgtoGg,"ERROR"))</f>
        <v>1.5298381106323754E-6</v>
      </c>
      <c r="AW716" s="94">
        <f>IF('Net zero activities &amp; levers'!$C$9="Off",'Activity data'!BP48*FracLEACH*MSLeachEF*NtoN2O*kgtoGg,IF('Net zero activities &amp; levers'!$C$9="On",(('Net zero supporting data'!AN158*FracLEACH*'Net zero supporting data'!AN185)+('Net zero supporting data'!AN170*FracLEACH*MSLeachEF))*NtoN2O*kgtoGg,"ERROR"))</f>
        <v>1.5298640113322035E-6</v>
      </c>
      <c r="AY716" s="79"/>
      <c r="AZ716" s="79"/>
    </row>
    <row r="717" spans="1:52" x14ac:dyDescent="0.25">
      <c r="A717" s="95" t="str">
        <f t="shared" si="149"/>
        <v>NI Leaching</v>
      </c>
      <c r="B717" s="95" t="s">
        <v>969</v>
      </c>
      <c r="C717" s="95" t="s">
        <v>1190</v>
      </c>
      <c r="D717" t="s">
        <v>369</v>
      </c>
      <c r="E717" t="s">
        <v>61</v>
      </c>
      <c r="F717" t="s">
        <v>63</v>
      </c>
      <c r="G717" t="s">
        <v>437</v>
      </c>
      <c r="H717" t="s">
        <v>1189</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0.20732835560623103</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0.20795637847695569</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0.20354939622414611</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0.18369364043125816</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0.19074245801308834</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0.54709913085173534</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0.55300351928587688</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0.55807464420509822</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0.56229419622275822</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0.56565689030054322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0.56813718205802377</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0.56971515638742798</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0.57037496938758903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0.57010545707497351</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0.56676670518887351</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0.56250536936786533</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0.55733683429481795</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0.55128187856538813</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0.54436526977326183</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0.53661612965976202</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-1.3787440297582821E-2</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-1.3365724301233515E-2</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-1.2947271832122912E-2</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-1.2532155025223722E-2</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-1.2199737734429479E-2</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-1.1869291383315354E-2</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-1.1540487330895275E-2</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-1.1213279540447051E-2</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-1.0887330717202761E-2</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-1.0562298727174138E-2</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-1.0238184478362713E-2</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-9.9150869917118811E-3</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-9.5930871912063547E-3</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-9.27190554712015E-3</v>
      </c>
      <c r="AY717" s="79"/>
      <c r="AZ717" s="79"/>
    </row>
    <row r="718" spans="1:52" x14ac:dyDescent="0.25">
      <c r="A718" s="95" t="str">
        <f t="shared" si="149"/>
        <v>NI Leaching</v>
      </c>
      <c r="B718" s="95" t="s">
        <v>969</v>
      </c>
      <c r="C718" s="95" t="s">
        <v>1190</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25">
      <c r="A719" s="95" t="str">
        <f t="shared" si="149"/>
        <v>NI Leaching</v>
      </c>
      <c r="B719" s="95" t="s">
        <v>969</v>
      </c>
      <c r="C719" s="95" t="s">
        <v>1190</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0.10250223308080923</v>
      </c>
      <c r="U719" s="22">
        <f t="shared" si="167"/>
        <v>0.10320425755524179</v>
      </c>
      <c r="V719" s="22">
        <f t="shared" si="167"/>
        <v>0.12005228808448951</v>
      </c>
      <c r="W719" s="22">
        <f t="shared" si="167"/>
        <v>0.12047318780844027</v>
      </c>
      <c r="X719" s="22">
        <f t="shared" si="167"/>
        <v>0.12086279682940448</v>
      </c>
      <c r="Y719" s="22">
        <f t="shared" si="167"/>
        <v>0.12122115716514245</v>
      </c>
      <c r="Z719" s="22">
        <f t="shared" si="167"/>
        <v>0.12154854080302378</v>
      </c>
      <c r="AA719" s="22">
        <f t="shared" si="165"/>
        <v>0.12184466350232884</v>
      </c>
      <c r="AB719" s="22">
        <f t="shared" si="165"/>
        <v>0.1221092875582894</v>
      </c>
      <c r="AC719" s="22">
        <f t="shared" si="165"/>
        <v>0.12234218010157646</v>
      </c>
      <c r="AD719" s="22">
        <f t="shared" si="165"/>
        <v>0.12254312321244377</v>
      </c>
      <c r="AE719" s="22">
        <f t="shared" si="165"/>
        <v>0.12271193510141119</v>
      </c>
      <c r="AF719" s="22">
        <f t="shared" si="165"/>
        <v>0.12284843668588494</v>
      </c>
      <c r="AG719" s="22">
        <f t="shared" si="165"/>
        <v>0.12295247873515695</v>
      </c>
      <c r="AH719" s="22">
        <f t="shared" si="165"/>
        <v>0.12302394179853401</v>
      </c>
      <c r="AI719" s="22">
        <f t="shared" si="165"/>
        <v>0.12306270455319578</v>
      </c>
      <c r="AJ719" s="22">
        <f t="shared" si="165"/>
        <v>0.12306865704296534</v>
      </c>
      <c r="AK719" s="22">
        <f t="shared" si="165"/>
        <v>7.3265802876620559E-2</v>
      </c>
      <c r="AL719" s="22">
        <f t="shared" si="165"/>
        <v>7.322358485509374E-2</v>
      </c>
      <c r="AM719" s="22">
        <f t="shared" si="165"/>
        <v>7.3182328438063146E-2</v>
      </c>
      <c r="AN719" s="22">
        <f t="shared" si="165"/>
        <v>7.3141977323778182E-2</v>
      </c>
      <c r="AO719" s="22">
        <f t="shared" si="165"/>
        <v>7.3102465037779299E-2</v>
      </c>
      <c r="AP719" s="22">
        <f t="shared" si="165"/>
        <v>7.3063959614436361E-2</v>
      </c>
      <c r="AQ719" s="22">
        <f t="shared" si="165"/>
        <v>7.3026574505796304E-2</v>
      </c>
      <c r="AR719" s="22">
        <f t="shared" si="165"/>
        <v>7.299032409378052E-2</v>
      </c>
      <c r="AS719" s="22">
        <f t="shared" si="165"/>
        <v>7.2955343151510282E-2</v>
      </c>
      <c r="AT719" s="22">
        <f t="shared" si="165"/>
        <v>7.2921781713616574E-2</v>
      </c>
      <c r="AU719" s="22">
        <f t="shared" si="165"/>
        <v>7.2889659597002901E-2</v>
      </c>
      <c r="AV719" s="22">
        <f t="shared" si="165"/>
        <v>7.2858956618379891E-2</v>
      </c>
      <c r="AW719" s="22">
        <f t="shared" si="165"/>
        <v>7.282965905259077E-2</v>
      </c>
      <c r="AY719" s="79"/>
      <c r="AZ719" s="79"/>
    </row>
    <row r="720" spans="1:52" x14ac:dyDescent="0.25">
      <c r="A720" s="95" t="str">
        <f t="shared" si="149"/>
        <v>NI Leaching</v>
      </c>
      <c r="B720" s="95" t="s">
        <v>969</v>
      </c>
      <c r="C720" s="95" t="s">
        <v>1190</v>
      </c>
      <c r="D720" t="s">
        <v>369</v>
      </c>
      <c r="E720" t="s">
        <v>61</v>
      </c>
      <c r="F720" t="s">
        <v>63</v>
      </c>
      <c r="G720" t="s">
        <v>1193</v>
      </c>
      <c r="H720" t="s">
        <v>1194</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25">
      <c r="A721" s="95" t="str">
        <f t="shared" si="149"/>
        <v>NI Leaching</v>
      </c>
      <c r="B721" s="95" t="s">
        <v>969</v>
      </c>
      <c r="C721" s="95" t="s">
        <v>1190</v>
      </c>
      <c r="D721" t="s">
        <v>369</v>
      </c>
      <c r="E721" t="s">
        <v>61</v>
      </c>
      <c r="F721" t="s">
        <v>63</v>
      </c>
      <c r="G721" t="s">
        <v>1195</v>
      </c>
      <c r="H721" t="s">
        <v>1196</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25">
      <c r="A722" s="95" t="str">
        <f t="shared" si="149"/>
        <v>NI Leaching</v>
      </c>
      <c r="B722" s="95" t="s">
        <v>969</v>
      </c>
      <c r="C722" s="95" t="s">
        <v>1190</v>
      </c>
      <c r="D722" t="s">
        <v>369</v>
      </c>
      <c r="E722" t="s">
        <v>61</v>
      </c>
      <c r="F722" t="s">
        <v>63</v>
      </c>
      <c r="G722" t="s">
        <v>1197</v>
      </c>
      <c r="H722" t="s">
        <v>1198</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25">
      <c r="A723" s="95" t="str">
        <f t="shared" si="149"/>
        <v>NI Leaching</v>
      </c>
      <c r="B723" s="95" t="s">
        <v>969</v>
      </c>
      <c r="C723" s="95" t="s">
        <v>1190</v>
      </c>
      <c r="D723" t="s">
        <v>369</v>
      </c>
      <c r="E723" t="s">
        <v>61</v>
      </c>
      <c r="F723" t="s">
        <v>63</v>
      </c>
      <c r="G723" t="s">
        <v>1199</v>
      </c>
      <c r="H723" t="s">
        <v>1200</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25">
      <c r="A724" s="95" t="str">
        <f t="shared" si="149"/>
        <v>NI Leaching</v>
      </c>
      <c r="B724" s="95" t="s">
        <v>969</v>
      </c>
      <c r="C724" s="95" t="s">
        <v>1190</v>
      </c>
      <c r="D724" t="s">
        <v>369</v>
      </c>
      <c r="E724" t="s">
        <v>61</v>
      </c>
      <c r="F724" t="s">
        <v>63</v>
      </c>
      <c r="G724" t="s">
        <v>1201</v>
      </c>
      <c r="H724" t="s">
        <v>1202</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25">
      <c r="A725" s="95" t="str">
        <f t="shared" si="149"/>
        <v>NI Leaching</v>
      </c>
      <c r="B725" s="95" t="s">
        <v>969</v>
      </c>
      <c r="C725" s="95" t="s">
        <v>1190</v>
      </c>
      <c r="D725" t="s">
        <v>369</v>
      </c>
      <c r="E725" t="s">
        <v>61</v>
      </c>
      <c r="F725" t="s">
        <v>63</v>
      </c>
      <c r="G725" t="s">
        <v>1203</v>
      </c>
      <c r="H725" t="s">
        <v>1204</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25">
      <c r="A726" s="95" t="str">
        <f t="shared" si="149"/>
        <v>NI Leaching</v>
      </c>
      <c r="B726" s="95" t="s">
        <v>969</v>
      </c>
      <c r="C726" s="95" t="s">
        <v>1190</v>
      </c>
      <c r="D726" t="s">
        <v>369</v>
      </c>
      <c r="E726" t="s">
        <v>61</v>
      </c>
      <c r="F726" t="s">
        <v>63</v>
      </c>
      <c r="G726" t="s">
        <v>1205</v>
      </c>
      <c r="H726" t="s">
        <v>1206</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25">
      <c r="A727" s="95" t="str">
        <f t="shared" si="149"/>
        <v>NI Leaching</v>
      </c>
      <c r="B727" s="95" t="s">
        <v>969</v>
      </c>
      <c r="C727" s="95" t="s">
        <v>1190</v>
      </c>
      <c r="D727" t="s">
        <v>369</v>
      </c>
      <c r="E727" t="s">
        <v>61</v>
      </c>
      <c r="F727" t="s">
        <v>63</v>
      </c>
      <c r="G727" t="s">
        <v>1207</v>
      </c>
      <c r="H727" t="s">
        <v>1208</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25">
      <c r="A728" s="95" t="str">
        <f t="shared" si="149"/>
        <v>NI Leaching</v>
      </c>
      <c r="B728" s="95" t="s">
        <v>969</v>
      </c>
      <c r="C728" s="95" t="s">
        <v>1190</v>
      </c>
      <c r="D728" t="s">
        <v>369</v>
      </c>
      <c r="E728" t="s">
        <v>61</v>
      </c>
      <c r="F728" t="s">
        <v>63</v>
      </c>
      <c r="G728" t="s">
        <v>1209</v>
      </c>
      <c r="H728" t="s">
        <v>1210</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25">
      <c r="A729" s="95" t="str">
        <f t="shared" si="149"/>
        <v>NI Leaching</v>
      </c>
      <c r="B729" s="95" t="s">
        <v>969</v>
      </c>
      <c r="C729" s="95" t="s">
        <v>1190</v>
      </c>
      <c r="D729" t="s">
        <v>369</v>
      </c>
      <c r="E729" t="s">
        <v>61</v>
      </c>
      <c r="F729" t="s">
        <v>63</v>
      </c>
      <c r="G729" t="s">
        <v>1211</v>
      </c>
      <c r="H729" t="s">
        <v>1212</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25">
      <c r="A730" s="95" t="str">
        <f t="shared" si="149"/>
        <v>NI Leaching</v>
      </c>
      <c r="B730" s="95" t="s">
        <v>969</v>
      </c>
      <c r="C730" s="95" t="s">
        <v>1190</v>
      </c>
      <c r="D730" t="s">
        <v>369</v>
      </c>
      <c r="E730" t="s">
        <v>61</v>
      </c>
      <c r="F730" t="s">
        <v>63</v>
      </c>
      <c r="G730" t="s">
        <v>1213</v>
      </c>
      <c r="H730" t="s">
        <v>1214</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25">
      <c r="A731" s="95"/>
      <c r="B731" s="95" t="s">
        <v>969</v>
      </c>
      <c r="C731" s="95"/>
      <c r="D731" t="s">
        <v>369</v>
      </c>
      <c r="E731" t="s">
        <v>61</v>
      </c>
      <c r="F731" t="s">
        <v>63</v>
      </c>
      <c r="G731" t="s">
        <v>1215</v>
      </c>
      <c r="H731" t="s">
        <v>1216</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25">
      <c r="A732" s="95" t="str">
        <f t="shared" ref="A732:A795" si="176">B732&amp;" "&amp;C732</f>
        <v>NI MM Volatilisation</v>
      </c>
      <c r="B732" s="95" t="s">
        <v>969</v>
      </c>
      <c r="C732" s="95" t="s">
        <v>1332</v>
      </c>
      <c r="D732" t="s">
        <v>369</v>
      </c>
      <c r="E732" t="s">
        <v>64</v>
      </c>
      <c r="F732" t="s">
        <v>62</v>
      </c>
      <c r="G732" t="s">
        <v>1152</v>
      </c>
      <c r="H732" t="s">
        <v>1290</v>
      </c>
      <c r="I732" t="s">
        <v>139</v>
      </c>
      <c r="J732" t="s">
        <v>287</v>
      </c>
      <c r="K732" s="22">
        <f t="shared" ref="K732:AW732" si="177">K1531</f>
        <v>0.39609736661915962</v>
      </c>
      <c r="L732" s="22">
        <f t="shared" si="177"/>
        <v>0.39831175345583053</v>
      </c>
      <c r="M732" s="22">
        <f t="shared" si="177"/>
        <v>0.40145358914715529</v>
      </c>
      <c r="N732" s="22">
        <f t="shared" si="177"/>
        <v>0.40347255325329029</v>
      </c>
      <c r="O732" s="22">
        <f t="shared" si="177"/>
        <v>0.40481416413578281</v>
      </c>
      <c r="P732" s="22">
        <f t="shared" si="177"/>
        <v>0.40546521734783819</v>
      </c>
      <c r="Q732" s="22">
        <f t="shared" si="177"/>
        <v>0.40690363619044922</v>
      </c>
      <c r="R732" s="22">
        <f t="shared" si="177"/>
        <v>0.40855374420631202</v>
      </c>
      <c r="S732" s="22">
        <f t="shared" si="177"/>
        <v>0.39694485067455443</v>
      </c>
      <c r="T732" s="22">
        <f t="shared" si="177"/>
        <v>0.40377484899001992</v>
      </c>
      <c r="U732" s="22">
        <f t="shared" si="177"/>
        <v>0.69472691845052781</v>
      </c>
      <c r="V732" s="22">
        <f t="shared" si="177"/>
        <v>0.70310152718694741</v>
      </c>
      <c r="W732" s="22">
        <f t="shared" si="177"/>
        <v>0.71110880509409102</v>
      </c>
      <c r="X732" s="22">
        <f t="shared" si="177"/>
        <v>0.718612550142118</v>
      </c>
      <c r="Y732" s="22">
        <f t="shared" si="177"/>
        <v>0.7254123730618981</v>
      </c>
      <c r="Z732" s="22">
        <f t="shared" si="177"/>
        <v>0.73147651852735551</v>
      </c>
      <c r="AA732" s="22">
        <f t="shared" si="177"/>
        <v>0.73676965969026942</v>
      </c>
      <c r="AB732" s="22">
        <f t="shared" si="177"/>
        <v>0.74126505933946241</v>
      </c>
      <c r="AC732" s="22">
        <f t="shared" si="177"/>
        <v>0.74494151296918631</v>
      </c>
      <c r="AD732" s="22">
        <f t="shared" si="177"/>
        <v>0.74777672987859323</v>
      </c>
      <c r="AE732" s="22">
        <f t="shared" si="177"/>
        <v>0.7497573654957449</v>
      </c>
      <c r="AF732" s="22">
        <f t="shared" si="177"/>
        <v>0.75087061941702216</v>
      </c>
      <c r="AG732" s="22">
        <f t="shared" si="177"/>
        <v>0.75110412486622213</v>
      </c>
      <c r="AH732" s="22">
        <f t="shared" si="177"/>
        <v>0.75045562343243666</v>
      </c>
      <c r="AI732" s="22">
        <f t="shared" si="177"/>
        <v>0.74892880709192955</v>
      </c>
      <c r="AJ732" s="22">
        <f t="shared" si="177"/>
        <v>0.2369481237841857</v>
      </c>
      <c r="AK732" s="22">
        <f t="shared" si="177"/>
        <v>0.23712109193812289</v>
      </c>
      <c r="AL732" s="22">
        <f t="shared" si="177"/>
        <v>0.23728160870243259</v>
      </c>
      <c r="AM732" s="22">
        <f t="shared" si="177"/>
        <v>0.2374307599177384</v>
      </c>
      <c r="AN732" s="22">
        <f t="shared" si="177"/>
        <v>0.2375698831121214</v>
      </c>
      <c r="AO732" s="22">
        <f t="shared" si="177"/>
        <v>0.23769461188435137</v>
      </c>
      <c r="AP732" s="22">
        <f t="shared" si="177"/>
        <v>0.2378020140279184</v>
      </c>
      <c r="AQ732" s="22">
        <f t="shared" si="177"/>
        <v>0.23789161932894973</v>
      </c>
      <c r="AR732" s="22">
        <f t="shared" si="177"/>
        <v>0.23796010078507188</v>
      </c>
      <c r="AS732" s="22">
        <f t="shared" si="177"/>
        <v>0.2380038463120322</v>
      </c>
      <c r="AT732" s="22">
        <f t="shared" si="177"/>
        <v>0.23802240976704672</v>
      </c>
      <c r="AU732" s="22">
        <f t="shared" si="177"/>
        <v>0.23801630420250081</v>
      </c>
      <c r="AV732" s="22">
        <f t="shared" si="177"/>
        <v>0.23798588741324539</v>
      </c>
      <c r="AW732" s="22">
        <f t="shared" si="177"/>
        <v>0.23792776204046176</v>
      </c>
      <c r="AY732" s="79"/>
      <c r="AZ732" s="79"/>
    </row>
    <row r="733" spans="1:52" x14ac:dyDescent="0.25">
      <c r="A733" s="95" t="str">
        <f t="shared" si="176"/>
        <v>NI MM Volatilisation</v>
      </c>
      <c r="B733" s="95" t="s">
        <v>969</v>
      </c>
      <c r="C733" s="95" t="s">
        <v>1332</v>
      </c>
      <c r="D733" t="s">
        <v>369</v>
      </c>
      <c r="E733" t="s">
        <v>64</v>
      </c>
      <c r="F733" t="s">
        <v>62</v>
      </c>
      <c r="G733" t="s">
        <v>1154</v>
      </c>
      <c r="H733" t="s">
        <v>1291</v>
      </c>
      <c r="I733" t="s">
        <v>139</v>
      </c>
      <c r="J733" t="s">
        <v>287</v>
      </c>
      <c r="K733" s="22">
        <f t="shared" ref="K733:AW733" si="178">K1532</f>
        <v>3.1249813656142676E-2</v>
      </c>
      <c r="L733" s="22">
        <f t="shared" si="178"/>
        <v>3.1424516095088999E-2</v>
      </c>
      <c r="M733" s="22">
        <f t="shared" si="178"/>
        <v>3.1672388936885787E-2</v>
      </c>
      <c r="N733" s="22">
        <f t="shared" si="178"/>
        <v>3.1831673641638247E-2</v>
      </c>
      <c r="O733" s="22">
        <f t="shared" si="178"/>
        <v>3.1937519056453263E-2</v>
      </c>
      <c r="P733" s="22">
        <f t="shared" si="178"/>
        <v>3.1988883426104654E-2</v>
      </c>
      <c r="Q733" s="22">
        <f t="shared" si="178"/>
        <v>3.2102366434524382E-2</v>
      </c>
      <c r="R733" s="22">
        <f t="shared" si="178"/>
        <v>3.2232550506305399E-2</v>
      </c>
      <c r="S733" s="22">
        <f t="shared" si="178"/>
        <v>3.1316675294314346E-2</v>
      </c>
      <c r="T733" s="22">
        <f t="shared" si="178"/>
        <v>3.1855523043926581E-2</v>
      </c>
      <c r="U733" s="22">
        <f t="shared" si="178"/>
        <v>5.4809974953353012E-2</v>
      </c>
      <c r="V733" s="22">
        <f t="shared" si="178"/>
        <v>5.547068361872478E-2</v>
      </c>
      <c r="W733" s="22">
        <f t="shared" si="178"/>
        <v>5.6102411985482069E-2</v>
      </c>
      <c r="X733" s="22">
        <f t="shared" si="178"/>
        <v>5.6694414493540908E-2</v>
      </c>
      <c r="Y733" s="22">
        <f t="shared" si="178"/>
        <v>5.7230881577257239E-2</v>
      </c>
      <c r="Z733" s="22">
        <f t="shared" si="178"/>
        <v>5.7709307923276061E-2</v>
      </c>
      <c r="AA733" s="22">
        <f t="shared" si="178"/>
        <v>5.812690644560041E-2</v>
      </c>
      <c r="AB733" s="22">
        <f t="shared" si="178"/>
        <v>5.8481567731400452E-2</v>
      </c>
      <c r="AC733" s="22">
        <f t="shared" si="178"/>
        <v>5.8771618866617373E-2</v>
      </c>
      <c r="AD733" s="22">
        <f t="shared" si="178"/>
        <v>5.8995301242619896E-2</v>
      </c>
      <c r="AE733" s="22">
        <f t="shared" si="178"/>
        <v>5.9151562049110484E-2</v>
      </c>
      <c r="AF733" s="22">
        <f t="shared" si="178"/>
        <v>5.9239391407555408E-2</v>
      </c>
      <c r="AG733" s="22">
        <f t="shared" si="178"/>
        <v>5.9257813650140552E-2</v>
      </c>
      <c r="AH733" s="22">
        <f t="shared" si="178"/>
        <v>5.9206650601179869E-2</v>
      </c>
      <c r="AI733" s="22">
        <f t="shared" si="178"/>
        <v>5.9086193536455466E-2</v>
      </c>
      <c r="AJ733" s="22">
        <f t="shared" si="178"/>
        <v>1.8693849892589171E-2</v>
      </c>
      <c r="AK733" s="22">
        <f t="shared" si="178"/>
        <v>1.870749608929358E-2</v>
      </c>
      <c r="AL733" s="22">
        <f t="shared" si="178"/>
        <v>1.8720159942669283E-2</v>
      </c>
      <c r="AM733" s="22">
        <f t="shared" si="178"/>
        <v>1.873192711932253E-2</v>
      </c>
      <c r="AN733" s="22">
        <f t="shared" si="178"/>
        <v>1.8742903142558495E-2</v>
      </c>
      <c r="AO733" s="22">
        <f t="shared" si="178"/>
        <v>1.8752743528327825E-2</v>
      </c>
      <c r="AP733" s="22">
        <f t="shared" si="178"/>
        <v>1.8761216942330506E-2</v>
      </c>
      <c r="AQ733" s="22">
        <f t="shared" si="178"/>
        <v>1.8768286287385059E-2</v>
      </c>
      <c r="AR733" s="22">
        <f t="shared" si="178"/>
        <v>1.8773689082058967E-2</v>
      </c>
      <c r="AS733" s="22">
        <f t="shared" si="178"/>
        <v>1.8777140353592202E-2</v>
      </c>
      <c r="AT733" s="22">
        <f t="shared" si="178"/>
        <v>1.8778604903874292E-2</v>
      </c>
      <c r="AU733" s="22">
        <f t="shared" si="178"/>
        <v>1.877812320980005E-2</v>
      </c>
      <c r="AV733" s="22">
        <f t="shared" si="178"/>
        <v>1.8775723499333995E-2</v>
      </c>
      <c r="AW733" s="22">
        <f t="shared" si="178"/>
        <v>1.8771137740323057E-2</v>
      </c>
      <c r="AY733" s="79"/>
      <c r="AZ733" s="79"/>
    </row>
    <row r="734" spans="1:52" x14ac:dyDescent="0.25">
      <c r="A734" s="95" t="str">
        <f t="shared" si="176"/>
        <v>NI MM Volatilisation</v>
      </c>
      <c r="B734" s="95" t="s">
        <v>969</v>
      </c>
      <c r="C734" s="95" t="s">
        <v>1332</v>
      </c>
      <c r="D734" t="s">
        <v>369</v>
      </c>
      <c r="E734" t="s">
        <v>64</v>
      </c>
      <c r="F734" t="s">
        <v>62</v>
      </c>
      <c r="G734" t="s">
        <v>1156</v>
      </c>
      <c r="H734" t="s">
        <v>1292</v>
      </c>
      <c r="I734" t="s">
        <v>139</v>
      </c>
      <c r="J734" t="s">
        <v>287</v>
      </c>
      <c r="K734" s="22">
        <f t="shared" ref="K734:AW734" si="179">K1533</f>
        <v>2.8967336997006343E-4</v>
      </c>
      <c r="L734" s="22">
        <f t="shared" si="179"/>
        <v>2.9129279224209421E-4</v>
      </c>
      <c r="M734" s="22">
        <f t="shared" si="179"/>
        <v>2.9359047510821973E-4</v>
      </c>
      <c r="N734" s="22">
        <f t="shared" si="179"/>
        <v>2.9506698110336069E-4</v>
      </c>
      <c r="O734" s="22">
        <f t="shared" si="179"/>
        <v>2.960481260901027E-4</v>
      </c>
      <c r="P734" s="22">
        <f t="shared" si="179"/>
        <v>2.9652425341095731E-4</v>
      </c>
      <c r="Q734" s="22">
        <f t="shared" si="179"/>
        <v>2.9757619585915883E-4</v>
      </c>
      <c r="R734" s="22">
        <f t="shared" si="179"/>
        <v>2.9878295053629658E-4</v>
      </c>
      <c r="S734" s="22">
        <f t="shared" si="179"/>
        <v>2.9029315081944787E-4</v>
      </c>
      <c r="T734" s="22">
        <f t="shared" si="179"/>
        <v>2.9528805559707279E-4</v>
      </c>
      <c r="U734" s="22">
        <f t="shared" si="179"/>
        <v>5.0806671449036449E-4</v>
      </c>
      <c r="V734" s="22">
        <f t="shared" si="179"/>
        <v>5.1419122159215467E-4</v>
      </c>
      <c r="W734" s="22">
        <f t="shared" si="179"/>
        <v>5.200470928276717E-4</v>
      </c>
      <c r="X734" s="22">
        <f t="shared" si="179"/>
        <v>5.2553472111970217E-4</v>
      </c>
      <c r="Y734" s="22">
        <f t="shared" si="179"/>
        <v>5.3050755806932593E-4</v>
      </c>
      <c r="Z734" s="22">
        <f t="shared" si="179"/>
        <v>5.3494238041606622E-4</v>
      </c>
      <c r="AA734" s="22">
        <f t="shared" si="179"/>
        <v>5.3881335297888784E-4</v>
      </c>
      <c r="AB734" s="22">
        <f t="shared" si="179"/>
        <v>5.42100922338055E-4</v>
      </c>
      <c r="AC734" s="22">
        <f t="shared" si="179"/>
        <v>5.4478958124419888E-4</v>
      </c>
      <c r="AD734" s="22">
        <f t="shared" si="179"/>
        <v>5.4686302809327551E-4</v>
      </c>
      <c r="AE734" s="22">
        <f t="shared" si="179"/>
        <v>5.4831150375167243E-4</v>
      </c>
      <c r="AF734" s="22">
        <f t="shared" si="179"/>
        <v>5.4912564704618944E-4</v>
      </c>
      <c r="AG734" s="22">
        <f t="shared" si="179"/>
        <v>5.4929641392341823E-4</v>
      </c>
      <c r="AH734" s="22">
        <f t="shared" si="179"/>
        <v>5.4882215276546513E-4</v>
      </c>
      <c r="AI734" s="22">
        <f t="shared" si="179"/>
        <v>5.4770556358322664E-4</v>
      </c>
      <c r="AJ734" s="22">
        <f t="shared" si="179"/>
        <v>1.7328456917170714E-4</v>
      </c>
      <c r="AK734" s="22">
        <f t="shared" si="179"/>
        <v>1.7341106399916873E-4</v>
      </c>
      <c r="AL734" s="22">
        <f t="shared" si="179"/>
        <v>1.7352845289385181E-4</v>
      </c>
      <c r="AM734" s="22">
        <f t="shared" si="179"/>
        <v>1.7363752995119643E-4</v>
      </c>
      <c r="AN734" s="22">
        <f t="shared" si="179"/>
        <v>1.7373927333036077E-4</v>
      </c>
      <c r="AO734" s="22">
        <f t="shared" si="179"/>
        <v>1.7383048980092826E-4</v>
      </c>
      <c r="AP734" s="22">
        <f t="shared" si="179"/>
        <v>1.7390903498575136E-4</v>
      </c>
      <c r="AQ734" s="22">
        <f t="shared" si="179"/>
        <v>1.7397456500868103E-4</v>
      </c>
      <c r="AR734" s="22">
        <f t="shared" si="179"/>
        <v>1.7402464677101302E-4</v>
      </c>
      <c r="AS734" s="22">
        <f t="shared" si="179"/>
        <v>1.7405663868836374E-4</v>
      </c>
      <c r="AT734" s="22">
        <f t="shared" si="179"/>
        <v>1.7407021448821884E-4</v>
      </c>
      <c r="AU734" s="22">
        <f t="shared" si="179"/>
        <v>1.7406574937532841E-4</v>
      </c>
      <c r="AV734" s="22">
        <f t="shared" si="179"/>
        <v>1.7404350501172027E-4</v>
      </c>
      <c r="AW734" s="22">
        <f t="shared" si="179"/>
        <v>1.740009968457137E-4</v>
      </c>
      <c r="AY734" s="79"/>
      <c r="AZ734" s="79"/>
    </row>
    <row r="735" spans="1:52" x14ac:dyDescent="0.25">
      <c r="A735" s="95" t="str">
        <f t="shared" si="176"/>
        <v>NI MM Volatilisation</v>
      </c>
      <c r="B735" s="95" t="s">
        <v>969</v>
      </c>
      <c r="C735" s="95" t="s">
        <v>1332</v>
      </c>
      <c r="D735" t="s">
        <v>369</v>
      </c>
      <c r="E735" t="s">
        <v>64</v>
      </c>
      <c r="F735" t="s">
        <v>62</v>
      </c>
      <c r="G735" t="s">
        <v>1158</v>
      </c>
      <c r="H735" t="s">
        <v>1293</v>
      </c>
      <c r="I735" t="s">
        <v>139</v>
      </c>
      <c r="J735" t="s">
        <v>287</v>
      </c>
      <c r="K735" s="22">
        <f t="shared" ref="K735:AW735" si="180">K1534</f>
        <v>3.2323215352203878E-3</v>
      </c>
      <c r="L735" s="22">
        <f t="shared" si="180"/>
        <v>3.2042886428129457E-3</v>
      </c>
      <c r="M735" s="22">
        <f t="shared" si="180"/>
        <v>3.193617369300608E-3</v>
      </c>
      <c r="N735" s="22">
        <f t="shared" si="180"/>
        <v>3.1509707896886733E-3</v>
      </c>
      <c r="O735" s="22">
        <f t="shared" si="180"/>
        <v>3.0890682378804119E-3</v>
      </c>
      <c r="P735" s="22">
        <f t="shared" si="180"/>
        <v>3.0091897617382946E-3</v>
      </c>
      <c r="Q735" s="22">
        <f t="shared" si="180"/>
        <v>2.9461872714039491E-3</v>
      </c>
      <c r="R735" s="22">
        <f t="shared" si="180"/>
        <v>2.8865797531671873E-3</v>
      </c>
      <c r="S735" s="22">
        <f t="shared" si="180"/>
        <v>2.5815224060103171E-3</v>
      </c>
      <c r="T735" s="22">
        <f t="shared" si="180"/>
        <v>2.6809806193820299E-3</v>
      </c>
      <c r="U735" s="22">
        <f t="shared" si="180"/>
        <v>8.4496349357244746E-3</v>
      </c>
      <c r="V735" s="22">
        <f t="shared" si="180"/>
        <v>8.490390729273779E-3</v>
      </c>
      <c r="W735" s="22">
        <f t="shared" si="180"/>
        <v>8.5164743363873984E-3</v>
      </c>
      <c r="X735" s="22">
        <f t="shared" si="180"/>
        <v>8.5278804443353062E-3</v>
      </c>
      <c r="Y735" s="22">
        <f t="shared" si="180"/>
        <v>8.5248506776145015E-3</v>
      </c>
      <c r="Z735" s="22">
        <f t="shared" si="180"/>
        <v>8.5072398121281648E-3</v>
      </c>
      <c r="AA735" s="22">
        <f t="shared" si="180"/>
        <v>8.4750047085989932E-3</v>
      </c>
      <c r="AB735" s="22">
        <f t="shared" si="180"/>
        <v>8.4281720385821924E-3</v>
      </c>
      <c r="AC735" s="22">
        <f t="shared" si="180"/>
        <v>8.3668471101216637E-3</v>
      </c>
      <c r="AD735" s="22">
        <f t="shared" si="180"/>
        <v>8.2215560258446178E-3</v>
      </c>
      <c r="AE735" s="22">
        <f t="shared" si="180"/>
        <v>8.0625794404136485E-3</v>
      </c>
      <c r="AF735" s="22">
        <f t="shared" si="180"/>
        <v>7.8906316671852623E-3</v>
      </c>
      <c r="AG735" s="22">
        <f t="shared" si="180"/>
        <v>7.7065081858302149E-3</v>
      </c>
      <c r="AH735" s="22">
        <f t="shared" si="180"/>
        <v>7.5110558523361756E-3</v>
      </c>
      <c r="AI735" s="22">
        <f t="shared" si="180"/>
        <v>7.3051764470657117E-3</v>
      </c>
      <c r="AJ735" s="22">
        <f t="shared" si="180"/>
        <v>-5.6405599805615676E-4</v>
      </c>
      <c r="AK735" s="22">
        <f t="shared" si="180"/>
        <v>-5.5047515962352916E-4</v>
      </c>
      <c r="AL735" s="22">
        <f t="shared" si="180"/>
        <v>-5.3703562288424922E-4</v>
      </c>
      <c r="AM735" s="22">
        <f t="shared" si="180"/>
        <v>-5.2373599978206974E-4</v>
      </c>
      <c r="AN735" s="22">
        <f t="shared" si="180"/>
        <v>-5.1318044022279606E-4</v>
      </c>
      <c r="AO735" s="22">
        <f t="shared" si="180"/>
        <v>-5.0272501169057937E-4</v>
      </c>
      <c r="AP735" s="22">
        <f t="shared" si="180"/>
        <v>-4.9236193773087231E-4</v>
      </c>
      <c r="AQ735" s="22">
        <f t="shared" si="180"/>
        <v>-4.8208865134491532E-4</v>
      </c>
      <c r="AR735" s="22">
        <f t="shared" si="180"/>
        <v>-4.7189764173024049E-4</v>
      </c>
      <c r="AS735" s="22">
        <f t="shared" si="180"/>
        <v>-4.6178155356127546E-4</v>
      </c>
      <c r="AT735" s="22">
        <f t="shared" si="180"/>
        <v>-4.5173920552966836E-4</v>
      </c>
      <c r="AU735" s="22">
        <f t="shared" si="180"/>
        <v>-4.4177121806458731E-4</v>
      </c>
      <c r="AV735" s="22">
        <f t="shared" si="180"/>
        <v>-4.31877971766583E-4</v>
      </c>
      <c r="AW735" s="22">
        <f t="shared" si="180"/>
        <v>-4.220537843353357E-4</v>
      </c>
      <c r="AY735" s="79"/>
      <c r="AZ735" s="79"/>
    </row>
    <row r="736" spans="1:52" x14ac:dyDescent="0.25">
      <c r="A736" s="95" t="str">
        <f t="shared" si="176"/>
        <v>NI MM Volatilisation</v>
      </c>
      <c r="B736" s="95" t="s">
        <v>969</v>
      </c>
      <c r="C736" s="95" t="s">
        <v>1332</v>
      </c>
      <c r="D736" t="s">
        <v>369</v>
      </c>
      <c r="E736" t="s">
        <v>64</v>
      </c>
      <c r="F736" t="s">
        <v>62</v>
      </c>
      <c r="G736" t="s">
        <v>1160</v>
      </c>
      <c r="H736" t="s">
        <v>1294</v>
      </c>
      <c r="I736" t="s">
        <v>139</v>
      </c>
      <c r="J736" t="s">
        <v>287</v>
      </c>
      <c r="K736" s="22">
        <f t="shared" ref="K736:AW736" si="181">K1535</f>
        <v>1.6090517274103568E-2</v>
      </c>
      <c r="L736" s="22">
        <f t="shared" si="181"/>
        <v>1.5950969356419611E-2</v>
      </c>
      <c r="M736" s="22">
        <f t="shared" si="181"/>
        <v>1.5897847688628834E-2</v>
      </c>
      <c r="N736" s="22">
        <f t="shared" si="181"/>
        <v>1.5685552742581491E-2</v>
      </c>
      <c r="O736" s="22">
        <f t="shared" si="181"/>
        <v>1.5377401443792458E-2</v>
      </c>
      <c r="P736" s="22">
        <f t="shared" si="181"/>
        <v>1.4979765878707448E-2</v>
      </c>
      <c r="Q736" s="22">
        <f t="shared" si="181"/>
        <v>1.4666139078901096E-2</v>
      </c>
      <c r="R736" s="22">
        <f t="shared" si="181"/>
        <v>1.4369412471908493E-2</v>
      </c>
      <c r="S736" s="22">
        <f t="shared" si="181"/>
        <v>1.2850835046817909E-2</v>
      </c>
      <c r="T736" s="22">
        <f t="shared" si="181"/>
        <v>1.3345938669050808E-2</v>
      </c>
      <c r="U736" s="22">
        <f t="shared" si="181"/>
        <v>4.2062336748275767E-2</v>
      </c>
      <c r="V736" s="22">
        <f t="shared" si="181"/>
        <v>4.2265219349211125E-2</v>
      </c>
      <c r="W736" s="22">
        <f t="shared" si="181"/>
        <v>4.2395063712236107E-2</v>
      </c>
      <c r="X736" s="22">
        <f t="shared" si="181"/>
        <v>4.2451843390546674E-2</v>
      </c>
      <c r="Y736" s="22">
        <f t="shared" si="181"/>
        <v>4.2436761192434141E-2</v>
      </c>
      <c r="Z736" s="22">
        <f t="shared" si="181"/>
        <v>4.234909419141579E-2</v>
      </c>
      <c r="AA736" s="22">
        <f t="shared" si="181"/>
        <v>4.2188627639893318E-2</v>
      </c>
      <c r="AB736" s="22">
        <f t="shared" si="181"/>
        <v>4.195549430903911E-2</v>
      </c>
      <c r="AC736" s="22">
        <f t="shared" si="181"/>
        <v>4.1650218422969176E-2</v>
      </c>
      <c r="AD736" s="22">
        <f t="shared" si="181"/>
        <v>4.0926958476252988E-2</v>
      </c>
      <c r="AE736" s="22">
        <f t="shared" si="181"/>
        <v>4.0135572017269229E-2</v>
      </c>
      <c r="AF736" s="22">
        <f t="shared" si="181"/>
        <v>3.9279614902474849E-2</v>
      </c>
      <c r="AG736" s="22">
        <f t="shared" si="181"/>
        <v>3.8363047034758228E-2</v>
      </c>
      <c r="AH736" s="22">
        <f t="shared" si="181"/>
        <v>3.7390084068641902E-2</v>
      </c>
      <c r="AI736" s="22">
        <f t="shared" si="181"/>
        <v>3.6365215072537933E-2</v>
      </c>
      <c r="AJ736" s="22">
        <f t="shared" si="181"/>
        <v>-2.8078743656501674E-3</v>
      </c>
      <c r="AK736" s="22">
        <f t="shared" si="181"/>
        <v>-2.7402688650785463E-3</v>
      </c>
      <c r="AL736" s="22">
        <f t="shared" si="181"/>
        <v>-2.6733667652400826E-3</v>
      </c>
      <c r="AM736" s="22">
        <f t="shared" si="181"/>
        <v>-2.6071611563818981E-3</v>
      </c>
      <c r="AN736" s="22">
        <f t="shared" si="181"/>
        <v>-2.554615513389502E-3</v>
      </c>
      <c r="AO736" s="22">
        <f t="shared" si="181"/>
        <v>-2.5025683232901678E-3</v>
      </c>
      <c r="AP736" s="22">
        <f t="shared" si="181"/>
        <v>-2.4509808748434249E-3</v>
      </c>
      <c r="AQ736" s="22">
        <f t="shared" si="181"/>
        <v>-2.3998403895130306E-3</v>
      </c>
      <c r="AR736" s="22">
        <f t="shared" si="181"/>
        <v>-2.3491094784762676E-3</v>
      </c>
      <c r="AS736" s="22">
        <f t="shared" si="181"/>
        <v>-2.2987515268753948E-3</v>
      </c>
      <c r="AT736" s="22">
        <f t="shared" si="181"/>
        <v>-2.2487606541498821E-3</v>
      </c>
      <c r="AU736" s="22">
        <f t="shared" si="181"/>
        <v>-2.1991399488000989E-3</v>
      </c>
      <c r="AV736" s="22">
        <f t="shared" si="181"/>
        <v>-2.1498913054580166E-3</v>
      </c>
      <c r="AW736" s="22">
        <f t="shared" si="181"/>
        <v>-2.1009864375963051E-3</v>
      </c>
      <c r="AY736" s="79"/>
      <c r="AZ736" s="79"/>
    </row>
    <row r="737" spans="1:52" x14ac:dyDescent="0.25">
      <c r="A737" s="95" t="str">
        <f t="shared" si="176"/>
        <v>NI MM Volatilisation</v>
      </c>
      <c r="B737" s="95" t="s">
        <v>969</v>
      </c>
      <c r="C737" s="95" t="s">
        <v>1332</v>
      </c>
      <c r="D737" t="s">
        <v>369</v>
      </c>
      <c r="E737" t="s">
        <v>64</v>
      </c>
      <c r="F737" t="s">
        <v>62</v>
      </c>
      <c r="G737" t="s">
        <v>1162</v>
      </c>
      <c r="H737" t="s">
        <v>1295</v>
      </c>
      <c r="I737" t="s">
        <v>139</v>
      </c>
      <c r="J737" t="s">
        <v>287</v>
      </c>
      <c r="K737" s="22">
        <f t="shared" ref="K737:AW737" si="182">K1536</f>
        <v>0.15836052531214873</v>
      </c>
      <c r="L737" s="22">
        <f t="shared" si="182"/>
        <v>0.16370016056893644</v>
      </c>
      <c r="M737" s="22">
        <f t="shared" si="182"/>
        <v>0.17003774892948584</v>
      </c>
      <c r="N737" s="22">
        <f t="shared" si="182"/>
        <v>0.17476418316081979</v>
      </c>
      <c r="O737" s="22">
        <f t="shared" si="182"/>
        <v>0.1784091501709566</v>
      </c>
      <c r="P737" s="22">
        <f t="shared" si="182"/>
        <v>0.18092055691117109</v>
      </c>
      <c r="Q737" s="22">
        <f t="shared" si="182"/>
        <v>0.18434967364231722</v>
      </c>
      <c r="R737" s="22">
        <f t="shared" si="182"/>
        <v>0.18794438918293385</v>
      </c>
      <c r="S737" s="22">
        <f t="shared" si="182"/>
        <v>0.17487533171838066</v>
      </c>
      <c r="T737" s="22">
        <f t="shared" si="182"/>
        <v>0.18598828710895501</v>
      </c>
      <c r="U737" s="22">
        <f t="shared" si="182"/>
        <v>0.60010716171461598</v>
      </c>
      <c r="V737" s="22">
        <f t="shared" si="182"/>
        <v>0.61714803501653059</v>
      </c>
      <c r="W737" s="22">
        <f t="shared" si="182"/>
        <v>0.63339573291461304</v>
      </c>
      <c r="X737" s="22">
        <f t="shared" si="182"/>
        <v>0.64878782379484634</v>
      </c>
      <c r="Y737" s="22">
        <f t="shared" si="182"/>
        <v>0.6632790614565599</v>
      </c>
      <c r="Z737" s="22">
        <f t="shared" si="182"/>
        <v>0.67679301375274348</v>
      </c>
      <c r="AA737" s="22">
        <f t="shared" si="182"/>
        <v>0.68925834109941053</v>
      </c>
      <c r="AB737" s="22">
        <f t="shared" si="182"/>
        <v>0.70060688133816351</v>
      </c>
      <c r="AC737" s="22">
        <f t="shared" si="182"/>
        <v>0.71077490529773002</v>
      </c>
      <c r="AD737" s="22">
        <f t="shared" si="182"/>
        <v>0.72159413752844115</v>
      </c>
      <c r="AE737" s="22">
        <f t="shared" si="182"/>
        <v>0.73115327204335434</v>
      </c>
      <c r="AF737" s="22">
        <f t="shared" si="182"/>
        <v>0.7393963545283444</v>
      </c>
      <c r="AG737" s="22">
        <f t="shared" si="182"/>
        <v>0.74627481362949688</v>
      </c>
      <c r="AH737" s="22">
        <f t="shared" si="182"/>
        <v>0.75174577116771069</v>
      </c>
      <c r="AI737" s="22">
        <f t="shared" si="182"/>
        <v>0.75577335036803739</v>
      </c>
      <c r="AJ737" s="22">
        <f t="shared" si="182"/>
        <v>-6.0331583230930269E-2</v>
      </c>
      <c r="AK737" s="22">
        <f t="shared" si="182"/>
        <v>-6.0883763489548361E-2</v>
      </c>
      <c r="AL737" s="22">
        <f t="shared" si="182"/>
        <v>-6.1432292472249253E-2</v>
      </c>
      <c r="AM737" s="22">
        <f t="shared" si="182"/>
        <v>-6.1977443387012172E-2</v>
      </c>
      <c r="AN737" s="22">
        <f t="shared" si="182"/>
        <v>-6.2441792261108069E-2</v>
      </c>
      <c r="AO737" s="22">
        <f t="shared" si="182"/>
        <v>-6.2901498019431304E-2</v>
      </c>
      <c r="AP737" s="22">
        <f t="shared" si="182"/>
        <v>-6.3355857064212845E-2</v>
      </c>
      <c r="AQ737" s="22">
        <f t="shared" si="182"/>
        <v>-6.3804744436236446E-2</v>
      </c>
      <c r="AR737" s="22">
        <f t="shared" si="182"/>
        <v>-6.4247322567233908E-2</v>
      </c>
      <c r="AS737" s="22">
        <f t="shared" si="182"/>
        <v>-6.4682656506044156E-2</v>
      </c>
      <c r="AT737" s="22">
        <f t="shared" si="182"/>
        <v>-6.5110575477313207E-2</v>
      </c>
      <c r="AU737" s="22">
        <f t="shared" si="182"/>
        <v>-6.5531144171927541E-2</v>
      </c>
      <c r="AV737" s="22">
        <f t="shared" si="182"/>
        <v>-6.5944388466371143E-2</v>
      </c>
      <c r="AW737" s="22">
        <f t="shared" si="182"/>
        <v>-6.6349375385408998E-2</v>
      </c>
      <c r="AY737" s="79"/>
      <c r="AZ737" s="79"/>
    </row>
    <row r="738" spans="1:52" x14ac:dyDescent="0.25">
      <c r="A738" s="95" t="str">
        <f t="shared" si="176"/>
        <v>NI MM Volatilisation</v>
      </c>
      <c r="B738" s="95" t="s">
        <v>969</v>
      </c>
      <c r="C738" s="95" t="s">
        <v>1332</v>
      </c>
      <c r="D738" t="s">
        <v>369</v>
      </c>
      <c r="E738" t="s">
        <v>64</v>
      </c>
      <c r="F738" t="s">
        <v>62</v>
      </c>
      <c r="G738" t="s">
        <v>1164</v>
      </c>
      <c r="H738" t="s">
        <v>1296</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1.188899025036581E-4</v>
      </c>
      <c r="T738" s="22">
        <f t="shared" si="183"/>
        <v>1.189690287837306E-4</v>
      </c>
      <c r="U738" s="22">
        <f t="shared" si="183"/>
        <v>1.205186108228768E-4</v>
      </c>
      <c r="V738" s="22">
        <f t="shared" si="183"/>
        <v>1.2055641166730559E-4</v>
      </c>
      <c r="W738" s="22">
        <f t="shared" si="183"/>
        <v>1.2071810381709918E-4</v>
      </c>
      <c r="X738" s="22">
        <f t="shared" si="183"/>
        <v>1.2095183374420191E-4</v>
      </c>
      <c r="Y738" s="22">
        <f t="shared" si="183"/>
        <v>1.2116896083678348E-4</v>
      </c>
      <c r="Z738" s="22">
        <f t="shared" si="183"/>
        <v>1.2137217342001694E-4</v>
      </c>
      <c r="AA738" s="22">
        <f t="shared" si="183"/>
        <v>1.2156038787143942E-4</v>
      </c>
      <c r="AB738" s="22">
        <f t="shared" si="183"/>
        <v>1.2173530001872475E-4</v>
      </c>
      <c r="AC738" s="22">
        <f t="shared" si="183"/>
        <v>1.2189956310100272E-4</v>
      </c>
      <c r="AD738" s="22">
        <f t="shared" si="183"/>
        <v>1.2205302234453671E-4</v>
      </c>
      <c r="AE738" s="22">
        <f t="shared" si="183"/>
        <v>1.2219813225383718E-4</v>
      </c>
      <c r="AF738" s="22">
        <f t="shared" si="183"/>
        <v>1.2233524409037175E-4</v>
      </c>
      <c r="AG738" s="22">
        <f t="shared" si="183"/>
        <v>1.2246247857835598E-4</v>
      </c>
      <c r="AH738" s="22">
        <f t="shared" si="183"/>
        <v>1.2258099962950754E-4</v>
      </c>
      <c r="AI738" s="22">
        <f t="shared" si="183"/>
        <v>1.226926980528978E-4</v>
      </c>
      <c r="AJ738" s="22">
        <f t="shared" si="183"/>
        <v>1.2000006421083369E-4</v>
      </c>
      <c r="AK738" s="22">
        <f t="shared" si="183"/>
        <v>1.2011041514130369E-4</v>
      </c>
      <c r="AL738" s="22">
        <f t="shared" si="183"/>
        <v>1.2021334415571778E-4</v>
      </c>
      <c r="AM738" s="22">
        <f t="shared" si="183"/>
        <v>1.2030948030331916E-4</v>
      </c>
      <c r="AN738" s="22">
        <f t="shared" si="183"/>
        <v>1.2039958826810335E-4</v>
      </c>
      <c r="AO738" s="22">
        <f t="shared" si="183"/>
        <v>1.2048129784431056E-4</v>
      </c>
      <c r="AP738" s="22">
        <f t="shared" si="183"/>
        <v>1.2055302618273209E-4</v>
      </c>
      <c r="AQ738" s="22">
        <f t="shared" si="183"/>
        <v>1.2061454144456668E-4</v>
      </c>
      <c r="AR738" s="22">
        <f t="shared" si="183"/>
        <v>1.2066404237348151E-4</v>
      </c>
      <c r="AS738" s="22">
        <f t="shared" si="183"/>
        <v>1.206995710531147E-4</v>
      </c>
      <c r="AT738" s="22">
        <f t="shared" si="183"/>
        <v>1.2072090668873017E-4</v>
      </c>
      <c r="AU738" s="22">
        <f t="shared" si="183"/>
        <v>1.2072835361242823E-4</v>
      </c>
      <c r="AV738" s="22">
        <f t="shared" si="183"/>
        <v>1.2072212964886386E-4</v>
      </c>
      <c r="AW738" s="22">
        <f t="shared" si="183"/>
        <v>1.2070039195556491E-4</v>
      </c>
      <c r="AY738" s="79"/>
      <c r="AZ738" s="79"/>
    </row>
    <row r="739" spans="1:52" x14ac:dyDescent="0.25">
      <c r="A739" s="95" t="str">
        <f t="shared" si="176"/>
        <v>NI MM Volatilisation</v>
      </c>
      <c r="B739" s="95" t="s">
        <v>969</v>
      </c>
      <c r="C739" s="95" t="s">
        <v>1332</v>
      </c>
      <c r="D739" t="s">
        <v>369</v>
      </c>
      <c r="E739" t="s">
        <v>64</v>
      </c>
      <c r="F739" t="s">
        <v>62</v>
      </c>
      <c r="G739" t="s">
        <v>1166</v>
      </c>
      <c r="H739" t="s">
        <v>1297</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8.1588376197320827E-4</v>
      </c>
      <c r="T739" s="22">
        <f t="shared" si="184"/>
        <v>8.1642676727220354E-4</v>
      </c>
      <c r="U739" s="22">
        <f t="shared" si="184"/>
        <v>8.2706079755535391E-4</v>
      </c>
      <c r="V739" s="22">
        <f t="shared" si="184"/>
        <v>8.2732020642447472E-4</v>
      </c>
      <c r="W739" s="22">
        <f t="shared" si="184"/>
        <v>8.2842982125867857E-4</v>
      </c>
      <c r="X739" s="22">
        <f t="shared" si="184"/>
        <v>8.3003379643398353E-4</v>
      </c>
      <c r="Y739" s="22">
        <f t="shared" si="184"/>
        <v>8.3152383440517541E-4</v>
      </c>
      <c r="Z739" s="22">
        <f t="shared" si="184"/>
        <v>8.3291838384459249E-4</v>
      </c>
      <c r="AA739" s="22">
        <f t="shared" si="184"/>
        <v>8.342100083766216E-4</v>
      </c>
      <c r="AB739" s="22">
        <f t="shared" si="184"/>
        <v>8.3541034564443633E-4</v>
      </c>
      <c r="AC739" s="22">
        <f t="shared" si="184"/>
        <v>8.3653760354186898E-4</v>
      </c>
      <c r="AD739" s="22">
        <f t="shared" si="184"/>
        <v>8.3759071993180138E-4</v>
      </c>
      <c r="AE739" s="22">
        <f t="shared" si="184"/>
        <v>8.385865388887226E-4</v>
      </c>
      <c r="AF739" s="22">
        <f t="shared" si="184"/>
        <v>8.3952747094978998E-4</v>
      </c>
      <c r="AG739" s="22">
        <f t="shared" si="184"/>
        <v>8.404006195563853E-4</v>
      </c>
      <c r="AH739" s="22">
        <f t="shared" si="184"/>
        <v>8.4121397207035167E-4</v>
      </c>
      <c r="AI739" s="22">
        <f t="shared" si="184"/>
        <v>8.4198050419766407E-4</v>
      </c>
      <c r="AJ739" s="22">
        <f t="shared" si="184"/>
        <v>8.2350226355303057E-4</v>
      </c>
      <c r="AK739" s="22">
        <f t="shared" si="184"/>
        <v>8.2425954848970833E-4</v>
      </c>
      <c r="AL739" s="22">
        <f t="shared" si="184"/>
        <v>8.2496590041470697E-4</v>
      </c>
      <c r="AM739" s="22">
        <f t="shared" si="184"/>
        <v>8.256256361880137E-4</v>
      </c>
      <c r="AN739" s="22">
        <f t="shared" si="184"/>
        <v>8.2624400346516431E-4</v>
      </c>
      <c r="AO739" s="22">
        <f t="shared" si="184"/>
        <v>8.2680473667312636E-4</v>
      </c>
      <c r="AP739" s="22">
        <f t="shared" si="184"/>
        <v>8.2729697348516047E-4</v>
      </c>
      <c r="AQ739" s="22">
        <f t="shared" si="184"/>
        <v>8.2771912290397116E-4</v>
      </c>
      <c r="AR739" s="22">
        <f t="shared" si="184"/>
        <v>8.2805882378061209E-4</v>
      </c>
      <c r="AS739" s="22">
        <f t="shared" si="184"/>
        <v>8.2830263988430608E-4</v>
      </c>
      <c r="AT739" s="22">
        <f t="shared" si="184"/>
        <v>8.2844905600782401E-4</v>
      </c>
      <c r="AU739" s="22">
        <f t="shared" si="184"/>
        <v>8.2850016063482762E-4</v>
      </c>
      <c r="AV739" s="22">
        <f t="shared" si="184"/>
        <v>8.2845744859031962E-4</v>
      </c>
      <c r="AW739" s="22">
        <f t="shared" si="184"/>
        <v>8.2830827333984093E-4</v>
      </c>
      <c r="AY739" s="79"/>
      <c r="AZ739" s="79"/>
    </row>
    <row r="740" spans="1:52" x14ac:dyDescent="0.25">
      <c r="A740" s="95" t="str">
        <f t="shared" si="176"/>
        <v>NI MM Volatilisation</v>
      </c>
      <c r="B740" s="95" t="s">
        <v>969</v>
      </c>
      <c r="C740" s="95" t="s">
        <v>1332</v>
      </c>
      <c r="D740" t="s">
        <v>369</v>
      </c>
      <c r="E740" t="s">
        <v>64</v>
      </c>
      <c r="F740" t="s">
        <v>62</v>
      </c>
      <c r="G740" t="s">
        <v>1168</v>
      </c>
      <c r="H740" t="s">
        <v>1298</v>
      </c>
      <c r="I740" t="s">
        <v>139</v>
      </c>
      <c r="J740" t="s">
        <v>287</v>
      </c>
      <c r="K740" s="22">
        <f t="shared" ref="K740:AW740" si="185">K1539</f>
        <v>1.4486129996083085E-5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1.489070601115726E-5</v>
      </c>
      <c r="R740" s="22">
        <f t="shared" si="185"/>
        <v>1.4988675221399694E-5</v>
      </c>
      <c r="S740" s="22">
        <f t="shared" si="185"/>
        <v>1.4952125307683929E-5</v>
      </c>
      <c r="T740" s="22">
        <f t="shared" si="185"/>
        <v>1.497659485650934E-5</v>
      </c>
      <c r="U740" s="22">
        <f t="shared" si="185"/>
        <v>1.5280249217669806E-5</v>
      </c>
      <c r="V740" s="22">
        <f t="shared" si="185"/>
        <v>1.5293967954982136E-5</v>
      </c>
      <c r="W740" s="22">
        <f t="shared" si="185"/>
        <v>1.5330288500558316E-5</v>
      </c>
      <c r="X740" s="22">
        <f t="shared" si="185"/>
        <v>1.5379307775042966E-5</v>
      </c>
      <c r="Y740" s="22">
        <f t="shared" si="185"/>
        <v>1.5424265287422665E-5</v>
      </c>
      <c r="Z740" s="22">
        <f t="shared" si="185"/>
        <v>1.5465755297522265E-5</v>
      </c>
      <c r="AA740" s="22">
        <f t="shared" si="185"/>
        <v>1.5503650543984476E-5</v>
      </c>
      <c r="AB740" s="22">
        <f t="shared" si="185"/>
        <v>1.5538340165319424E-5</v>
      </c>
      <c r="AC740" s="22">
        <f t="shared" si="185"/>
        <v>1.5570383853796525E-5</v>
      </c>
      <c r="AD740" s="22">
        <f t="shared" si="185"/>
        <v>1.5599807426957594E-5</v>
      </c>
      <c r="AE740" s="22">
        <f t="shared" si="185"/>
        <v>1.5627118939580073E-5</v>
      </c>
      <c r="AF740" s="22">
        <f t="shared" si="185"/>
        <v>1.5652427506297688E-5</v>
      </c>
      <c r="AG740" s="22">
        <f t="shared" si="185"/>
        <v>1.56754241207766E-5</v>
      </c>
      <c r="AH740" s="22">
        <f t="shared" si="185"/>
        <v>1.5696363462061687E-5</v>
      </c>
      <c r="AI740" s="22">
        <f t="shared" si="185"/>
        <v>1.5715630256505464E-5</v>
      </c>
      <c r="AJ740" s="22">
        <f t="shared" si="185"/>
        <v>1.5216731234132435E-5</v>
      </c>
      <c r="AK740" s="22">
        <f t="shared" si="185"/>
        <v>1.5235961154748287E-5</v>
      </c>
      <c r="AL740" s="22">
        <f t="shared" si="185"/>
        <v>1.525346973608994E-5</v>
      </c>
      <c r="AM740" s="22">
        <f t="shared" si="185"/>
        <v>1.5269398678749372E-5</v>
      </c>
      <c r="AN740" s="22">
        <f t="shared" si="185"/>
        <v>1.528391208207959E-5</v>
      </c>
      <c r="AO740" s="22">
        <f t="shared" si="185"/>
        <v>1.5296597939016457E-5</v>
      </c>
      <c r="AP740" s="22">
        <f t="shared" si="185"/>
        <v>1.5307189728189323E-5</v>
      </c>
      <c r="AQ740" s="22">
        <f t="shared" si="185"/>
        <v>1.5315667991874673E-5</v>
      </c>
      <c r="AR740" s="22">
        <f t="shared" si="185"/>
        <v>1.5321726619352006E-5</v>
      </c>
      <c r="AS740" s="22">
        <f t="shared" si="185"/>
        <v>1.5325032079315766E-5</v>
      </c>
      <c r="AT740" s="22">
        <f t="shared" si="185"/>
        <v>1.5325567315367108E-5</v>
      </c>
      <c r="AU740" s="22">
        <f t="shared" si="185"/>
        <v>1.532340963092266E-5</v>
      </c>
      <c r="AV740" s="22">
        <f t="shared" si="185"/>
        <v>1.5318619367085747E-5</v>
      </c>
      <c r="AW740" s="22">
        <f t="shared" si="185"/>
        <v>1.5310883587655619E-5</v>
      </c>
      <c r="AY740" s="79"/>
      <c r="AZ740" s="79"/>
    </row>
    <row r="741" spans="1:52" x14ac:dyDescent="0.25">
      <c r="A741" s="95" t="str">
        <f t="shared" si="176"/>
        <v>NI MM Volatilisation</v>
      </c>
      <c r="B741" s="95" t="s">
        <v>969</v>
      </c>
      <c r="C741" s="95" t="s">
        <v>1332</v>
      </c>
      <c r="D741" t="s">
        <v>369</v>
      </c>
      <c r="E741" t="s">
        <v>64</v>
      </c>
      <c r="F741" t="s">
        <v>62</v>
      </c>
      <c r="G741" t="s">
        <v>1170</v>
      </c>
      <c r="H741" t="s">
        <v>1299</v>
      </c>
      <c r="I741" t="s">
        <v>139</v>
      </c>
      <c r="J741" t="s">
        <v>287</v>
      </c>
      <c r="K741" s="22">
        <f t="shared" ref="K741:AW741" si="186">K1540</f>
        <v>1.4738364076719787E-3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1.5149984613639169E-3</v>
      </c>
      <c r="R741" s="22">
        <f t="shared" si="186"/>
        <v>1.5249659674490626E-3</v>
      </c>
      <c r="S741" s="22">
        <f t="shared" si="186"/>
        <v>1.5212473349677769E-3</v>
      </c>
      <c r="T741" s="22">
        <f t="shared" si="186"/>
        <v>1.5237368964964909E-3</v>
      </c>
      <c r="U741" s="22">
        <f t="shared" si="186"/>
        <v>1.5546310589089282E-3</v>
      </c>
      <c r="V741" s="22">
        <f t="shared" si="186"/>
        <v>1.5560268198556864E-3</v>
      </c>
      <c r="W741" s="22">
        <f t="shared" si="186"/>
        <v>1.5597221161446995E-3</v>
      </c>
      <c r="X741" s="22">
        <f t="shared" si="186"/>
        <v>1.5647093964902903E-3</v>
      </c>
      <c r="Y741" s="22">
        <f t="shared" si="186"/>
        <v>1.5692834282407637E-3</v>
      </c>
      <c r="Z741" s="22">
        <f t="shared" si="186"/>
        <v>1.5735046721103132E-3</v>
      </c>
      <c r="AA741" s="22">
        <f t="shared" si="186"/>
        <v>1.5773601803743434E-3</v>
      </c>
      <c r="AB741" s="22">
        <f t="shared" si="186"/>
        <v>1.5808895444560981E-3</v>
      </c>
      <c r="AC741" s="22">
        <f t="shared" si="186"/>
        <v>1.5841497081248222E-3</v>
      </c>
      <c r="AD741" s="22">
        <f t="shared" si="186"/>
        <v>1.5871432980884847E-3</v>
      </c>
      <c r="AE741" s="22">
        <f t="shared" si="186"/>
        <v>1.5899220044553674E-3</v>
      </c>
      <c r="AF741" s="22">
        <f t="shared" si="186"/>
        <v>1.5924969286804358E-3</v>
      </c>
      <c r="AG741" s="22">
        <f t="shared" si="186"/>
        <v>1.5948366320850983E-3</v>
      </c>
      <c r="AH741" s="22">
        <f t="shared" si="186"/>
        <v>1.5969670260237814E-3</v>
      </c>
      <c r="AI741" s="22">
        <f t="shared" si="186"/>
        <v>1.5989272530214718E-3</v>
      </c>
      <c r="AJ741" s="22">
        <f t="shared" si="186"/>
        <v>1.54816866234721E-3</v>
      </c>
      <c r="AK741" s="22">
        <f t="shared" si="186"/>
        <v>1.5501251377569953E-3</v>
      </c>
      <c r="AL741" s="22">
        <f t="shared" si="186"/>
        <v>1.5519064820245804E-3</v>
      </c>
      <c r="AM741" s="22">
        <f t="shared" si="186"/>
        <v>1.5535271119397841E-3</v>
      </c>
      <c r="AN741" s="22">
        <f t="shared" si="186"/>
        <v>1.5550037231694973E-3</v>
      </c>
      <c r="AO741" s="22">
        <f t="shared" si="186"/>
        <v>1.5562943976160978E-3</v>
      </c>
      <c r="AP741" s="22">
        <f t="shared" si="186"/>
        <v>1.5573720190725925E-3</v>
      </c>
      <c r="AQ741" s="22">
        <f t="shared" si="186"/>
        <v>1.5582346078866301E-3</v>
      </c>
      <c r="AR741" s="22">
        <f t="shared" si="186"/>
        <v>1.5588510199828238E-3</v>
      </c>
      <c r="AS741" s="22">
        <f t="shared" si="186"/>
        <v>1.5591873214822584E-3</v>
      </c>
      <c r="AT741" s="22">
        <f t="shared" si="186"/>
        <v>1.5592417770462618E-3</v>
      </c>
      <c r="AU741" s="22">
        <f t="shared" si="186"/>
        <v>1.5590222516180525E-3</v>
      </c>
      <c r="AV741" s="22">
        <f t="shared" si="186"/>
        <v>1.5585348843745505E-3</v>
      </c>
      <c r="AW741" s="22">
        <f t="shared" si="186"/>
        <v>1.5577478368077457E-3</v>
      </c>
      <c r="AY741" s="79"/>
      <c r="AZ741" s="79"/>
    </row>
    <row r="742" spans="1:52" x14ac:dyDescent="0.25">
      <c r="A742" s="95" t="str">
        <f t="shared" si="176"/>
        <v>NI MM Volatilisation</v>
      </c>
      <c r="B742" s="95" t="s">
        <v>969</v>
      </c>
      <c r="C742" s="95" t="s">
        <v>1332</v>
      </c>
      <c r="D742" t="s">
        <v>369</v>
      </c>
      <c r="E742" t="s">
        <v>64</v>
      </c>
      <c r="F742" t="s">
        <v>62</v>
      </c>
      <c r="G742" t="s">
        <v>1172</v>
      </c>
      <c r="H742" t="s">
        <v>1300</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25">
      <c r="A743" s="95" t="str">
        <f t="shared" si="176"/>
        <v>NI MM Volatilisation</v>
      </c>
      <c r="B743" s="95" t="s">
        <v>969</v>
      </c>
      <c r="C743" s="95" t="s">
        <v>1332</v>
      </c>
      <c r="D743" t="s">
        <v>369</v>
      </c>
      <c r="E743" t="s">
        <v>64</v>
      </c>
      <c r="F743" t="s">
        <v>62</v>
      </c>
      <c r="G743" t="s">
        <v>1174</v>
      </c>
      <c r="H743" t="s">
        <v>1301</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25">
      <c r="A744" s="95" t="str">
        <f t="shared" si="176"/>
        <v>NI MM Volatilisation</v>
      </c>
      <c r="B744" s="95" t="s">
        <v>969</v>
      </c>
      <c r="C744" s="95" t="s">
        <v>1332</v>
      </c>
      <c r="D744" t="s">
        <v>369</v>
      </c>
      <c r="E744" t="s">
        <v>64</v>
      </c>
      <c r="F744" t="s">
        <v>62</v>
      </c>
      <c r="G744" t="s">
        <v>1176</v>
      </c>
      <c r="H744" t="s">
        <v>1302</v>
      </c>
      <c r="I744" t="s">
        <v>139</v>
      </c>
      <c r="J744" t="s">
        <v>287</v>
      </c>
      <c r="K744" s="22">
        <f t="shared" ref="K744:AW744" si="189">K1543</f>
        <v>0.13075625264316332</v>
      </c>
      <c r="L744" s="22">
        <f t="shared" si="189"/>
        <v>0.13004550543955865</v>
      </c>
      <c r="M744" s="22">
        <f t="shared" si="189"/>
        <v>0.13010384136507711</v>
      </c>
      <c r="N744" s="22">
        <f t="shared" si="189"/>
        <v>0.1289093884029483</v>
      </c>
      <c r="O744" s="22">
        <f t="shared" si="189"/>
        <v>0.12695857121838472</v>
      </c>
      <c r="P744" s="22">
        <f t="shared" si="189"/>
        <v>0.12428257569245393</v>
      </c>
      <c r="Q744" s="22">
        <f t="shared" si="189"/>
        <v>0.12233950618032063</v>
      </c>
      <c r="R744" s="22">
        <f t="shared" si="189"/>
        <v>0.1205683722616282</v>
      </c>
      <c r="S744" s="22">
        <f t="shared" si="189"/>
        <v>0.10847829407061217</v>
      </c>
      <c r="T744" s="22">
        <f t="shared" si="189"/>
        <v>0.1123518575177655</v>
      </c>
      <c r="U744" s="22">
        <f t="shared" si="189"/>
        <v>0.35913477358816853</v>
      </c>
      <c r="V744" s="22">
        <f t="shared" si="189"/>
        <v>0.36011925097262676</v>
      </c>
      <c r="W744" s="22">
        <f t="shared" si="189"/>
        <v>0.36048284734734032</v>
      </c>
      <c r="X744" s="22">
        <f t="shared" si="189"/>
        <v>0.36024196834078215</v>
      </c>
      <c r="Y744" s="22">
        <f t="shared" si="189"/>
        <v>0.35943295375101947</v>
      </c>
      <c r="Z744" s="22">
        <f t="shared" si="189"/>
        <v>0.35804837226792258</v>
      </c>
      <c r="AA744" s="22">
        <f t="shared" si="189"/>
        <v>0.35608623415272644</v>
      </c>
      <c r="AB744" s="22">
        <f t="shared" si="189"/>
        <v>0.35354672339575033</v>
      </c>
      <c r="AC744" s="22">
        <f t="shared" si="189"/>
        <v>0.350433097152205</v>
      </c>
      <c r="AD744" s="22">
        <f t="shared" si="189"/>
        <v>0.34675336928081568</v>
      </c>
      <c r="AE744" s="22">
        <f t="shared" si="189"/>
        <v>0.34251767477610762</v>
      </c>
      <c r="AF744" s="22">
        <f t="shared" si="189"/>
        <v>0.33774033524299119</v>
      </c>
      <c r="AG744" s="22">
        <f t="shared" si="189"/>
        <v>0.33243970303339465</v>
      </c>
      <c r="AH744" s="22">
        <f t="shared" si="189"/>
        <v>0.32663565742792322</v>
      </c>
      <c r="AI744" s="22">
        <f t="shared" si="189"/>
        <v>0.32035050647820129</v>
      </c>
      <c r="AJ744" s="22">
        <f t="shared" si="189"/>
        <v>-2.9850992029554574E-2</v>
      </c>
      <c r="AK744" s="22">
        <f t="shared" si="189"/>
        <v>-2.9527827789556205E-2</v>
      </c>
      <c r="AL744" s="22">
        <f t="shared" si="189"/>
        <v>-2.9203518600220937E-2</v>
      </c>
      <c r="AM744" s="22">
        <f t="shared" si="189"/>
        <v>-2.8878400916482732E-2</v>
      </c>
      <c r="AN744" s="22">
        <f t="shared" si="189"/>
        <v>-2.8552846585961845E-2</v>
      </c>
      <c r="AO744" s="22">
        <f t="shared" si="189"/>
        <v>-2.8225992627032188E-2</v>
      </c>
      <c r="AP744" s="22">
        <f t="shared" si="189"/>
        <v>-2.7897329553488923E-2</v>
      </c>
      <c r="AQ744" s="22">
        <f t="shared" si="189"/>
        <v>-2.756688911429131E-2</v>
      </c>
      <c r="AR744" s="22">
        <f t="shared" si="189"/>
        <v>-2.7234123713642547E-2</v>
      </c>
      <c r="AS744" s="22">
        <f t="shared" si="189"/>
        <v>-2.6898465289903917E-2</v>
      </c>
      <c r="AT744" s="22">
        <f t="shared" si="189"/>
        <v>-2.6560009108900318E-2</v>
      </c>
      <c r="AU744" s="22">
        <f t="shared" si="189"/>
        <v>-2.6219036811035483E-2</v>
      </c>
      <c r="AV744" s="22">
        <f t="shared" si="189"/>
        <v>-2.5875789307707536E-2</v>
      </c>
      <c r="AW744" s="22">
        <f t="shared" si="189"/>
        <v>-2.5529791390037318E-2</v>
      </c>
      <c r="AY744" s="79"/>
      <c r="AZ744" s="79"/>
    </row>
    <row r="745" spans="1:52" x14ac:dyDescent="0.25">
      <c r="A745" s="95" t="str">
        <f t="shared" si="176"/>
        <v>NI MM Volatilisation</v>
      </c>
      <c r="B745" s="95" t="s">
        <v>969</v>
      </c>
      <c r="C745" s="95" t="s">
        <v>1332</v>
      </c>
      <c r="D745" t="s">
        <v>369</v>
      </c>
      <c r="E745" t="s">
        <v>64</v>
      </c>
      <c r="F745" t="s">
        <v>62</v>
      </c>
      <c r="G745" t="s">
        <v>1178</v>
      </c>
      <c r="H745" t="s">
        <v>1303</v>
      </c>
      <c r="I745" t="s">
        <v>139</v>
      </c>
      <c r="J745" t="s">
        <v>287</v>
      </c>
      <c r="K745" s="22">
        <f t="shared" ref="K745:AW745" si="190">K1544</f>
        <v>1.2724633182830876E-2</v>
      </c>
      <c r="L745" s="22">
        <f t="shared" si="190"/>
        <v>1.2655466337890211E-2</v>
      </c>
      <c r="M745" s="22">
        <f t="shared" si="190"/>
        <v>1.2661143337946407E-2</v>
      </c>
      <c r="N745" s="22">
        <f t="shared" si="190"/>
        <v>1.2544904339887072E-2</v>
      </c>
      <c r="O745" s="22">
        <f t="shared" si="190"/>
        <v>1.2355059245839611E-2</v>
      </c>
      <c r="P745" s="22">
        <f t="shared" si="190"/>
        <v>1.2094642930917438E-2</v>
      </c>
      <c r="Q745" s="22">
        <f t="shared" si="190"/>
        <v>1.1905551806853844E-2</v>
      </c>
      <c r="R745" s="22">
        <f t="shared" si="190"/>
        <v>1.1733192711380723E-2</v>
      </c>
      <c r="S745" s="22">
        <f t="shared" si="190"/>
        <v>1.0556638573260382E-2</v>
      </c>
      <c r="T745" s="22">
        <f t="shared" si="190"/>
        <v>1.0933597020593381E-2</v>
      </c>
      <c r="U745" s="22">
        <f t="shared" si="190"/>
        <v>3.4949443447111525E-2</v>
      </c>
      <c r="V745" s="22">
        <f t="shared" si="190"/>
        <v>3.504524852978097E-2</v>
      </c>
      <c r="W745" s="22">
        <f t="shared" si="190"/>
        <v>3.5080632156959869E-2</v>
      </c>
      <c r="X745" s="22">
        <f t="shared" si="190"/>
        <v>3.5057190853481544E-2</v>
      </c>
      <c r="Y745" s="22">
        <f t="shared" si="190"/>
        <v>3.4978461051378834E-2</v>
      </c>
      <c r="Z745" s="22">
        <f t="shared" si="190"/>
        <v>3.484371956767917E-2</v>
      </c>
      <c r="AA745" s="22">
        <f t="shared" si="190"/>
        <v>3.465277276960857E-2</v>
      </c>
      <c r="AB745" s="22">
        <f t="shared" si="190"/>
        <v>3.4405638562309424E-2</v>
      </c>
      <c r="AC745" s="22">
        <f t="shared" si="190"/>
        <v>3.4102633918044564E-2</v>
      </c>
      <c r="AD745" s="22">
        <f t="shared" si="190"/>
        <v>3.3744538710897186E-2</v>
      </c>
      <c r="AE745" s="22">
        <f t="shared" si="190"/>
        <v>3.3332339234715881E-2</v>
      </c>
      <c r="AF745" s="22">
        <f t="shared" si="190"/>
        <v>3.2867429206171077E-2</v>
      </c>
      <c r="AG745" s="22">
        <f t="shared" si="190"/>
        <v>3.2351594596806102E-2</v>
      </c>
      <c r="AH745" s="22">
        <f t="shared" si="190"/>
        <v>3.1786769972261424E-2</v>
      </c>
      <c r="AI745" s="22">
        <f t="shared" si="190"/>
        <v>3.117512625567229E-2</v>
      </c>
      <c r="AJ745" s="22">
        <f t="shared" si="190"/>
        <v>-2.9049694836107746E-3</v>
      </c>
      <c r="AK745" s="22">
        <f t="shared" si="190"/>
        <v>-2.8735205369740911E-3</v>
      </c>
      <c r="AL745" s="22">
        <f t="shared" si="190"/>
        <v>-2.8419601688181263E-3</v>
      </c>
      <c r="AM745" s="22">
        <f t="shared" si="190"/>
        <v>-2.8103211214823929E-3</v>
      </c>
      <c r="AN745" s="22">
        <f t="shared" si="190"/>
        <v>-2.7786395815696092E-3</v>
      </c>
      <c r="AO745" s="22">
        <f t="shared" si="190"/>
        <v>-2.7468315674390254E-3</v>
      </c>
      <c r="AP745" s="22">
        <f t="shared" si="190"/>
        <v>-2.714847498095948E-3</v>
      </c>
      <c r="AQ745" s="22">
        <f t="shared" si="190"/>
        <v>-2.6826904632118271E-3</v>
      </c>
      <c r="AR745" s="22">
        <f t="shared" si="190"/>
        <v>-2.6503071731312461E-3</v>
      </c>
      <c r="AS745" s="22">
        <f t="shared" si="190"/>
        <v>-2.61764234655154E-3</v>
      </c>
      <c r="AT745" s="22">
        <f t="shared" si="190"/>
        <v>-2.5847052543309036E-3</v>
      </c>
      <c r="AU745" s="22">
        <f t="shared" si="190"/>
        <v>-2.5515233044957585E-3</v>
      </c>
      <c r="AV745" s="22">
        <f t="shared" si="190"/>
        <v>-2.5181199415017898E-3</v>
      </c>
      <c r="AW745" s="22">
        <f t="shared" si="190"/>
        <v>-2.4844489200754436E-3</v>
      </c>
      <c r="AY745" s="79"/>
      <c r="AZ745" s="79"/>
    </row>
    <row r="746" spans="1:52" x14ac:dyDescent="0.25">
      <c r="A746" s="95" t="str">
        <f t="shared" si="176"/>
        <v>NI MM Volatilisation</v>
      </c>
      <c r="B746" s="95" t="s">
        <v>969</v>
      </c>
      <c r="C746" s="95" t="s">
        <v>1332</v>
      </c>
      <c r="D746" t="s">
        <v>369</v>
      </c>
      <c r="E746" t="s">
        <v>64</v>
      </c>
      <c r="F746" t="s">
        <v>62</v>
      </c>
      <c r="G746" t="s">
        <v>1180</v>
      </c>
      <c r="H746" t="s">
        <v>1304</v>
      </c>
      <c r="I746" t="s">
        <v>139</v>
      </c>
      <c r="J746" t="s">
        <v>287</v>
      </c>
      <c r="K746" s="22">
        <f t="shared" ref="K746:AW746" si="191">K1545</f>
        <v>6.4453339767617121E-2</v>
      </c>
      <c r="L746" s="22">
        <f t="shared" si="191"/>
        <v>6.5763803942104557E-2</v>
      </c>
      <c r="M746" s="22">
        <f t="shared" si="191"/>
        <v>6.7295612361813625E-2</v>
      </c>
      <c r="N746" s="22">
        <f t="shared" si="191"/>
        <v>6.8471619369899747E-2</v>
      </c>
      <c r="O746" s="22">
        <f t="shared" si="191"/>
        <v>6.94156577655035E-2</v>
      </c>
      <c r="P746" s="22">
        <f t="shared" si="191"/>
        <v>7.0122113289878357E-2</v>
      </c>
      <c r="Q746" s="22">
        <f t="shared" si="191"/>
        <v>7.1027984276732931E-2</v>
      </c>
      <c r="R746" s="22">
        <f t="shared" si="191"/>
        <v>7.1969839340941866E-2</v>
      </c>
      <c r="S746" s="22">
        <f t="shared" si="191"/>
        <v>6.9132641817907584E-2</v>
      </c>
      <c r="T746" s="22">
        <f t="shared" si="191"/>
        <v>7.1668538235416565E-2</v>
      </c>
      <c r="U746" s="22">
        <f t="shared" si="191"/>
        <v>0.15927878056001546</v>
      </c>
      <c r="V746" s="22">
        <f t="shared" si="191"/>
        <v>0.16278043280676852</v>
      </c>
      <c r="W746" s="22">
        <f t="shared" si="191"/>
        <v>0.1661384841502746</v>
      </c>
      <c r="X746" s="22">
        <f t="shared" si="191"/>
        <v>0.16932327786154089</v>
      </c>
      <c r="Y746" s="22">
        <f t="shared" si="191"/>
        <v>0.17229459764803176</v>
      </c>
      <c r="Z746" s="22">
        <f t="shared" si="191"/>
        <v>0.17503945749810612</v>
      </c>
      <c r="AA746" s="22">
        <f t="shared" si="191"/>
        <v>0.17754464171079537</v>
      </c>
      <c r="AB746" s="22">
        <f t="shared" si="191"/>
        <v>0.17979875003476928</v>
      </c>
      <c r="AC746" s="22">
        <f t="shared" si="191"/>
        <v>0.18179177836428806</v>
      </c>
      <c r="AD746" s="22">
        <f t="shared" si="191"/>
        <v>0.18351408832752805</v>
      </c>
      <c r="AE746" s="22">
        <f t="shared" si="191"/>
        <v>0.18495811914653704</v>
      </c>
      <c r="AF746" s="22">
        <f t="shared" si="191"/>
        <v>0.18611704996451123</v>
      </c>
      <c r="AG746" s="22">
        <f t="shared" si="191"/>
        <v>0.18698481434150752</v>
      </c>
      <c r="AH746" s="22">
        <f t="shared" si="191"/>
        <v>0.18755776005425462</v>
      </c>
      <c r="AI746" s="22">
        <f t="shared" si="191"/>
        <v>0.18783399692655736</v>
      </c>
      <c r="AJ746" s="22">
        <f t="shared" si="191"/>
        <v>2.4486671101770791E-2</v>
      </c>
      <c r="AK746" s="22">
        <f t="shared" si="191"/>
        <v>2.4666387221284058E-2</v>
      </c>
      <c r="AL746" s="22">
        <f t="shared" si="191"/>
        <v>2.4841648409900843E-2</v>
      </c>
      <c r="AM746" s="22">
        <f t="shared" si="191"/>
        <v>2.5012718687706617E-2</v>
      </c>
      <c r="AN746" s="22">
        <f t="shared" si="191"/>
        <v>2.5179902406593305E-2</v>
      </c>
      <c r="AO746" s="22">
        <f t="shared" si="191"/>
        <v>2.5342514084649829E-2</v>
      </c>
      <c r="AP746" s="22">
        <f t="shared" si="191"/>
        <v>2.5500102306234843E-2</v>
      </c>
      <c r="AQ746" s="22">
        <f t="shared" si="191"/>
        <v>2.5652633826306989E-2</v>
      </c>
      <c r="AR746" s="22">
        <f t="shared" si="191"/>
        <v>2.5799570928013445E-2</v>
      </c>
      <c r="AS746" s="22">
        <f t="shared" si="191"/>
        <v>2.5940314994938186E-2</v>
      </c>
      <c r="AT746" s="22">
        <f t="shared" si="191"/>
        <v>2.6074813676088864E-2</v>
      </c>
      <c r="AU746" s="22">
        <f t="shared" si="191"/>
        <v>2.6203180413111957E-2</v>
      </c>
      <c r="AV746" s="22">
        <f t="shared" si="191"/>
        <v>2.6325499899042631E-2</v>
      </c>
      <c r="AW746" s="22">
        <f t="shared" si="191"/>
        <v>2.6441188397219272E-2</v>
      </c>
      <c r="AY746" s="79"/>
      <c r="AZ746" s="79"/>
    </row>
    <row r="747" spans="1:52" x14ac:dyDescent="0.25">
      <c r="A747" s="95" t="str">
        <f t="shared" si="176"/>
        <v>NI MM Volatilisation</v>
      </c>
      <c r="B747" s="95" t="s">
        <v>969</v>
      </c>
      <c r="C747" s="95" t="s">
        <v>1332</v>
      </c>
      <c r="D747" t="s">
        <v>369</v>
      </c>
      <c r="E747" t="s">
        <v>64</v>
      </c>
      <c r="F747" t="s">
        <v>62</v>
      </c>
      <c r="G747" t="s">
        <v>1182</v>
      </c>
      <c r="H747" t="s">
        <v>1305</v>
      </c>
      <c r="I747" t="s">
        <v>139</v>
      </c>
      <c r="J747" t="s">
        <v>287</v>
      </c>
      <c r="K747" s="22">
        <f t="shared" ref="K747:AW747" si="192">K1546</f>
        <v>0.31034319165291735</v>
      </c>
      <c r="L747" s="22">
        <f t="shared" si="192"/>
        <v>0.31442985679016994</v>
      </c>
      <c r="M747" s="22">
        <f t="shared" si="192"/>
        <v>0.32099421325528482</v>
      </c>
      <c r="N747" s="22">
        <f t="shared" si="192"/>
        <v>0.32287903178152921</v>
      </c>
      <c r="O747" s="22">
        <f t="shared" si="192"/>
        <v>0.32172327535887091</v>
      </c>
      <c r="P747" s="22">
        <f t="shared" si="192"/>
        <v>0.31753924052538912</v>
      </c>
      <c r="Q747" s="22">
        <f t="shared" si="192"/>
        <v>0.31577785743754255</v>
      </c>
      <c r="R747" s="22">
        <f t="shared" si="192"/>
        <v>0.31441607582114939</v>
      </c>
      <c r="S747" s="22">
        <f t="shared" si="192"/>
        <v>0.27420619396536416</v>
      </c>
      <c r="T747" s="22">
        <f t="shared" si="192"/>
        <v>0.29495818532939488</v>
      </c>
      <c r="U747" s="22">
        <f t="shared" si="192"/>
        <v>1.2825520746937493</v>
      </c>
      <c r="V747" s="22">
        <f t="shared" si="192"/>
        <v>1.3055461044676304</v>
      </c>
      <c r="W747" s="22">
        <f t="shared" si="192"/>
        <v>1.3259738285316456</v>
      </c>
      <c r="X747" s="22">
        <f t="shared" si="192"/>
        <v>1.3439224713343889</v>
      </c>
      <c r="Y747" s="22">
        <f t="shared" si="192"/>
        <v>1.3596359578831905</v>
      </c>
      <c r="Z747" s="22">
        <f t="shared" si="192"/>
        <v>1.3729964225138076</v>
      </c>
      <c r="AA747" s="22">
        <f t="shared" si="192"/>
        <v>1.3839133762561158</v>
      </c>
      <c r="AB747" s="22">
        <f t="shared" si="192"/>
        <v>1.392297876830487</v>
      </c>
      <c r="AC747" s="22">
        <f t="shared" si="192"/>
        <v>1.3980705991762232</v>
      </c>
      <c r="AD747" s="22">
        <f t="shared" si="192"/>
        <v>1.4011774518837516</v>
      </c>
      <c r="AE747" s="22">
        <f t="shared" si="192"/>
        <v>1.4015682854114344</v>
      </c>
      <c r="AF747" s="22">
        <f t="shared" si="192"/>
        <v>1.3992160776881843</v>
      </c>
      <c r="AG747" s="22">
        <f t="shared" si="192"/>
        <v>1.3941175452078094</v>
      </c>
      <c r="AH747" s="22">
        <f t="shared" si="192"/>
        <v>1.3862722906542229</v>
      </c>
      <c r="AI747" s="22">
        <f t="shared" si="192"/>
        <v>1.3756920657497529</v>
      </c>
      <c r="AJ747" s="22">
        <f t="shared" si="192"/>
        <v>-0.29376675967597721</v>
      </c>
      <c r="AK747" s="22">
        <f t="shared" si="192"/>
        <v>-0.29418248669382474</v>
      </c>
      <c r="AL747" s="22">
        <f t="shared" si="192"/>
        <v>-0.29455892044172599</v>
      </c>
      <c r="AM747" s="22">
        <f t="shared" si="192"/>
        <v>-0.29489926202307742</v>
      </c>
      <c r="AN747" s="22">
        <f t="shared" si="192"/>
        <v>-0.2952071711728716</v>
      </c>
      <c r="AO747" s="22">
        <f t="shared" si="192"/>
        <v>-0.29547405449445624</v>
      </c>
      <c r="AP747" s="22">
        <f t="shared" si="192"/>
        <v>-0.29569441698810944</v>
      </c>
      <c r="AQ747" s="22">
        <f t="shared" si="192"/>
        <v>-0.29586800918156786</v>
      </c>
      <c r="AR747" s="22">
        <f t="shared" si="192"/>
        <v>-0.29598849617700645</v>
      </c>
      <c r="AS747" s="22">
        <f t="shared" si="192"/>
        <v>-0.29604896826052718</v>
      </c>
      <c r="AT747" s="22">
        <f t="shared" si="192"/>
        <v>-0.29604922742667927</v>
      </c>
      <c r="AU747" s="22">
        <f t="shared" si="192"/>
        <v>-0.29599106772821226</v>
      </c>
      <c r="AV747" s="22">
        <f t="shared" si="192"/>
        <v>-0.29587591492784127</v>
      </c>
      <c r="AW747" s="22">
        <f t="shared" si="192"/>
        <v>-0.29569729144234697</v>
      </c>
      <c r="AY747" s="79"/>
      <c r="AZ747" s="79"/>
    </row>
    <row r="748" spans="1:52" x14ac:dyDescent="0.25">
      <c r="A748" s="95" t="str">
        <f t="shared" si="176"/>
        <v>NI MM Leaching</v>
      </c>
      <c r="B748" s="95" t="s">
        <v>969</v>
      </c>
      <c r="C748" s="95" t="s">
        <v>1333</v>
      </c>
      <c r="D748" t="s">
        <v>369</v>
      </c>
      <c r="E748" t="s">
        <v>64</v>
      </c>
      <c r="F748" t="s">
        <v>63</v>
      </c>
      <c r="G748" t="s">
        <v>1152</v>
      </c>
      <c r="H748" t="s">
        <v>1306</v>
      </c>
      <c r="I748" t="s">
        <v>139</v>
      </c>
      <c r="J748" t="s">
        <v>287</v>
      </c>
      <c r="K748" s="22">
        <f t="shared" ref="K748:AW748" si="193">K1547</f>
        <v>8.9211118607918846E-2</v>
      </c>
      <c r="L748" s="22">
        <f t="shared" si="193"/>
        <v>8.9709854381943815E-2</v>
      </c>
      <c r="M748" s="22">
        <f t="shared" si="193"/>
        <v>9.0417475033143083E-2</v>
      </c>
      <c r="N748" s="22">
        <f t="shared" si="193"/>
        <v>9.0872196678668984E-2</v>
      </c>
      <c r="O748" s="22">
        <f t="shared" si="193"/>
        <v>9.1174361291842948E-2</v>
      </c>
      <c r="P748" s="22">
        <f t="shared" si="193"/>
        <v>9.1320994898161756E-2</v>
      </c>
      <c r="Q748" s="22">
        <f t="shared" si="193"/>
        <v>9.1644963105957017E-2</v>
      </c>
      <c r="R748" s="22">
        <f t="shared" si="193"/>
        <v>9.2016609055475665E-2</v>
      </c>
      <c r="S748" s="22">
        <f t="shared" si="193"/>
        <v>8.940199339516991E-2</v>
      </c>
      <c r="T748" s="22">
        <f t="shared" si="193"/>
        <v>9.0940281304058526E-2</v>
      </c>
      <c r="U748" s="22">
        <f t="shared" si="193"/>
        <v>0.1564700266780468</v>
      </c>
      <c r="V748" s="22">
        <f t="shared" si="193"/>
        <v>0.15835619981688001</v>
      </c>
      <c r="W748" s="22">
        <f t="shared" si="193"/>
        <v>0.16015964078695746</v>
      </c>
      <c r="X748" s="22">
        <f t="shared" si="193"/>
        <v>0.161849673455432</v>
      </c>
      <c r="Y748" s="22">
        <f t="shared" si="193"/>
        <v>0.16338116510403111</v>
      </c>
      <c r="Z748" s="22">
        <f t="shared" si="193"/>
        <v>0.16474696363228722</v>
      </c>
      <c r="AA748" s="22">
        <f t="shared" si="193"/>
        <v>0.16593911254285348</v>
      </c>
      <c r="AB748" s="22">
        <f t="shared" si="193"/>
        <v>0.16695158994132034</v>
      </c>
      <c r="AC748" s="22">
        <f t="shared" si="193"/>
        <v>0.16777962003810495</v>
      </c>
      <c r="AD748" s="22">
        <f t="shared" si="193"/>
        <v>0.16841818240508855</v>
      </c>
      <c r="AE748" s="22">
        <f t="shared" si="193"/>
        <v>0.16886427150805067</v>
      </c>
      <c r="AF748" s="22">
        <f t="shared" si="193"/>
        <v>0.1691150043732032</v>
      </c>
      <c r="AG748" s="22">
        <f t="shared" si="193"/>
        <v>0.16916759569059056</v>
      </c>
      <c r="AH748" s="22">
        <f t="shared" si="193"/>
        <v>0.16902153680910736</v>
      </c>
      <c r="AI748" s="22">
        <f t="shared" si="193"/>
        <v>0.16867765925493905</v>
      </c>
      <c r="AJ748" s="22">
        <f t="shared" si="193"/>
        <v>5.3366694545987768E-2</v>
      </c>
      <c r="AK748" s="22">
        <f t="shared" si="193"/>
        <v>5.3405651337415067E-2</v>
      </c>
      <c r="AL748" s="22">
        <f t="shared" si="193"/>
        <v>5.344180376180914E-2</v>
      </c>
      <c r="AM748" s="22">
        <f t="shared" si="193"/>
        <v>5.3475396377869022E-2</v>
      </c>
      <c r="AN748" s="22">
        <f t="shared" si="193"/>
        <v>5.3506730430657977E-2</v>
      </c>
      <c r="AO748" s="22">
        <f t="shared" si="193"/>
        <v>5.353482249647553E-2</v>
      </c>
      <c r="AP748" s="22">
        <f t="shared" si="193"/>
        <v>5.3559012168450083E-2</v>
      </c>
      <c r="AQ748" s="22">
        <f t="shared" si="193"/>
        <v>5.3579193542556233E-2</v>
      </c>
      <c r="AR748" s="22">
        <f t="shared" si="193"/>
        <v>5.3594617293935103E-2</v>
      </c>
      <c r="AS748" s="22">
        <f t="shared" si="193"/>
        <v>5.3604469890097345E-2</v>
      </c>
      <c r="AT748" s="22">
        <f t="shared" si="193"/>
        <v>5.3608650848433942E-2</v>
      </c>
      <c r="AU748" s="22">
        <f t="shared" si="193"/>
        <v>5.3607275721283966E-2</v>
      </c>
      <c r="AV748" s="22">
        <f t="shared" si="193"/>
        <v>5.3600425093073278E-2</v>
      </c>
      <c r="AW748" s="22">
        <f t="shared" si="193"/>
        <v>5.3587333792896791E-2</v>
      </c>
      <c r="AY748" s="79"/>
      <c r="AZ748" s="79"/>
    </row>
    <row r="749" spans="1:52" x14ac:dyDescent="0.25">
      <c r="A749" s="95" t="str">
        <f t="shared" si="176"/>
        <v>NI MM Leaching</v>
      </c>
      <c r="B749" s="95" t="s">
        <v>969</v>
      </c>
      <c r="C749" s="95" t="s">
        <v>1333</v>
      </c>
      <c r="D749" t="s">
        <v>369</v>
      </c>
      <c r="E749" t="s">
        <v>64</v>
      </c>
      <c r="F749" t="s">
        <v>63</v>
      </c>
      <c r="G749" t="s">
        <v>1154</v>
      </c>
      <c r="H749" t="s">
        <v>1307</v>
      </c>
      <c r="I749" t="s">
        <v>139</v>
      </c>
      <c r="J749" t="s">
        <v>287</v>
      </c>
      <c r="K749" s="22">
        <f t="shared" ref="K749:AW749" si="194">K1548</f>
        <v>2.6939494531157477E-2</v>
      </c>
      <c r="L749" s="22">
        <f t="shared" si="194"/>
        <v>2.7090100081973278E-2</v>
      </c>
      <c r="M749" s="22">
        <f t="shared" si="194"/>
        <v>2.730378356628085E-2</v>
      </c>
      <c r="N749" s="22">
        <f t="shared" si="194"/>
        <v>2.7441097966929517E-2</v>
      </c>
      <c r="O749" s="22">
        <f t="shared" si="194"/>
        <v>2.7532344014183842E-2</v>
      </c>
      <c r="P749" s="22">
        <f t="shared" si="194"/>
        <v>2.757662364319367E-2</v>
      </c>
      <c r="Q749" s="22">
        <f t="shared" si="194"/>
        <v>2.7674453822865853E-2</v>
      </c>
      <c r="R749" s="22">
        <f t="shared" si="194"/>
        <v>2.7786681470952937E-2</v>
      </c>
      <c r="S749" s="22">
        <f t="shared" si="194"/>
        <v>2.699713387440892E-2</v>
      </c>
      <c r="T749" s="22">
        <f t="shared" si="194"/>
        <v>2.7461657796488435E-2</v>
      </c>
      <c r="U749" s="22">
        <f t="shared" si="194"/>
        <v>4.7249978408062936E-2</v>
      </c>
      <c r="V749" s="22">
        <f t="shared" si="194"/>
        <v>4.7819554843728261E-2</v>
      </c>
      <c r="W749" s="22">
        <f t="shared" si="194"/>
        <v>4.8364148263346618E-2</v>
      </c>
      <c r="X749" s="22">
        <f t="shared" si="194"/>
        <v>4.8874495253052513E-2</v>
      </c>
      <c r="Y749" s="22">
        <f t="shared" si="194"/>
        <v>4.9336966876945901E-2</v>
      </c>
      <c r="Z749" s="22">
        <f t="shared" si="194"/>
        <v>4.9749403382134544E-2</v>
      </c>
      <c r="AA749" s="22">
        <f t="shared" si="194"/>
        <v>5.0109402108276212E-2</v>
      </c>
      <c r="AB749" s="22">
        <f t="shared" si="194"/>
        <v>5.0415144596034883E-2</v>
      </c>
      <c r="AC749" s="22">
        <f t="shared" si="194"/>
        <v>5.0665188678118429E-2</v>
      </c>
      <c r="AD749" s="22">
        <f t="shared" si="194"/>
        <v>5.0858018312603365E-2</v>
      </c>
      <c r="AE749" s="22">
        <f t="shared" si="194"/>
        <v>5.0992725904405595E-2</v>
      </c>
      <c r="AF749" s="22">
        <f t="shared" si="194"/>
        <v>5.1068440868582254E-2</v>
      </c>
      <c r="AG749" s="22">
        <f t="shared" si="194"/>
        <v>5.1084322112190127E-2</v>
      </c>
      <c r="AH749" s="22">
        <f t="shared" si="194"/>
        <v>5.104021603549988E-2</v>
      </c>
      <c r="AI749" s="22">
        <f t="shared" si="194"/>
        <v>5.0936373738323673E-2</v>
      </c>
      <c r="AJ749" s="22">
        <f t="shared" si="194"/>
        <v>1.6115387838438942E-2</v>
      </c>
      <c r="AK749" s="22">
        <f t="shared" si="194"/>
        <v>1.6127151801115156E-2</v>
      </c>
      <c r="AL749" s="22">
        <f t="shared" si="194"/>
        <v>1.6138068916094209E-2</v>
      </c>
      <c r="AM749" s="22">
        <f t="shared" si="194"/>
        <v>1.6148213033898736E-2</v>
      </c>
      <c r="AN749" s="22">
        <f t="shared" si="194"/>
        <v>1.6157675122895256E-2</v>
      </c>
      <c r="AO749" s="22">
        <f t="shared" si="194"/>
        <v>1.6166158214075712E-2</v>
      </c>
      <c r="AP749" s="22">
        <f t="shared" si="194"/>
        <v>1.6173462881319406E-2</v>
      </c>
      <c r="AQ749" s="22">
        <f t="shared" si="194"/>
        <v>1.617955714429747E-2</v>
      </c>
      <c r="AR749" s="22">
        <f t="shared" si="194"/>
        <v>1.6184214725912905E-2</v>
      </c>
      <c r="AS749" s="22">
        <f t="shared" si="194"/>
        <v>1.618718995999328E-2</v>
      </c>
      <c r="AT749" s="22">
        <f t="shared" si="194"/>
        <v>1.618845250333991E-2</v>
      </c>
      <c r="AU749" s="22">
        <f t="shared" si="194"/>
        <v>1.6188037249827626E-2</v>
      </c>
      <c r="AV749" s="22">
        <f t="shared" si="194"/>
        <v>1.6185968533908621E-2</v>
      </c>
      <c r="AW749" s="22">
        <f t="shared" si="194"/>
        <v>1.6182015293381945E-2</v>
      </c>
      <c r="AY749" s="79"/>
      <c r="AZ749" s="79"/>
    </row>
    <row r="750" spans="1:52" x14ac:dyDescent="0.25">
      <c r="A750" s="95" t="str">
        <f t="shared" si="176"/>
        <v>NI MM Leaching</v>
      </c>
      <c r="B750" s="95" t="s">
        <v>969</v>
      </c>
      <c r="C750" s="95" t="s">
        <v>1333</v>
      </c>
      <c r="D750" t="s">
        <v>369</v>
      </c>
      <c r="E750" t="s">
        <v>64</v>
      </c>
      <c r="F750" t="s">
        <v>63</v>
      </c>
      <c r="G750" t="s">
        <v>1156</v>
      </c>
      <c r="H750" t="s">
        <v>1308</v>
      </c>
      <c r="I750" t="s">
        <v>139</v>
      </c>
      <c r="J750" t="s">
        <v>287</v>
      </c>
      <c r="K750" s="22">
        <f t="shared" ref="K750:AW750" si="195">K1549</f>
        <v>1.4483668498503175E-3</v>
      </c>
      <c r="L750" s="22">
        <f t="shared" si="195"/>
        <v>1.4564639612104711E-3</v>
      </c>
      <c r="M750" s="22">
        <f t="shared" si="195"/>
        <v>1.4679523755410987E-3</v>
      </c>
      <c r="N750" s="22">
        <f t="shared" si="195"/>
        <v>1.4753349055168039E-3</v>
      </c>
      <c r="O750" s="22">
        <f t="shared" si="195"/>
        <v>1.4802406304505133E-3</v>
      </c>
      <c r="P750" s="22">
        <f t="shared" si="195"/>
        <v>1.4826212670547866E-3</v>
      </c>
      <c r="Q750" s="22">
        <f t="shared" si="195"/>
        <v>1.4878809792957942E-3</v>
      </c>
      <c r="R750" s="22">
        <f t="shared" si="195"/>
        <v>1.4939147526814829E-3</v>
      </c>
      <c r="S750" s="22">
        <f t="shared" si="195"/>
        <v>1.4514657540972396E-3</v>
      </c>
      <c r="T750" s="22">
        <f t="shared" si="195"/>
        <v>1.476440277985364E-3</v>
      </c>
      <c r="U750" s="22">
        <f t="shared" si="195"/>
        <v>2.5403335724518226E-3</v>
      </c>
      <c r="V750" s="22">
        <f t="shared" si="195"/>
        <v>2.5709561079607732E-3</v>
      </c>
      <c r="W750" s="22">
        <f t="shared" si="195"/>
        <v>2.6002354641383586E-3</v>
      </c>
      <c r="X750" s="22">
        <f t="shared" si="195"/>
        <v>2.6276736055985106E-3</v>
      </c>
      <c r="Y750" s="22">
        <f t="shared" si="195"/>
        <v>2.6525377903466292E-3</v>
      </c>
      <c r="Z750" s="22">
        <f t="shared" si="195"/>
        <v>2.6747119020803316E-3</v>
      </c>
      <c r="AA750" s="22">
        <f t="shared" si="195"/>
        <v>2.6940667648944388E-3</v>
      </c>
      <c r="AB750" s="22">
        <f t="shared" si="195"/>
        <v>2.7105046116902751E-3</v>
      </c>
      <c r="AC750" s="22">
        <f t="shared" si="195"/>
        <v>2.7239479062209941E-3</v>
      </c>
      <c r="AD750" s="22">
        <f t="shared" si="195"/>
        <v>2.7343151404663774E-3</v>
      </c>
      <c r="AE750" s="22">
        <f t="shared" si="195"/>
        <v>2.741557518758363E-3</v>
      </c>
      <c r="AF750" s="22">
        <f t="shared" si="195"/>
        <v>2.7456282352309475E-3</v>
      </c>
      <c r="AG750" s="22">
        <f t="shared" si="195"/>
        <v>2.7464820696170918E-3</v>
      </c>
      <c r="AH750" s="22">
        <f t="shared" si="195"/>
        <v>2.7441107638273262E-3</v>
      </c>
      <c r="AI750" s="22">
        <f t="shared" si="195"/>
        <v>2.738527817916133E-3</v>
      </c>
      <c r="AJ750" s="22">
        <f t="shared" si="195"/>
        <v>8.664228458585355E-4</v>
      </c>
      <c r="AK750" s="22">
        <f t="shared" si="195"/>
        <v>8.6705531999584366E-4</v>
      </c>
      <c r="AL750" s="22">
        <f t="shared" si="195"/>
        <v>8.6764226446925895E-4</v>
      </c>
      <c r="AM750" s="22">
        <f t="shared" si="195"/>
        <v>8.6818764975598228E-4</v>
      </c>
      <c r="AN750" s="22">
        <f t="shared" si="195"/>
        <v>8.6869636665180383E-4</v>
      </c>
      <c r="AO750" s="22">
        <f t="shared" si="195"/>
        <v>8.691524490046414E-4</v>
      </c>
      <c r="AP750" s="22">
        <f t="shared" si="195"/>
        <v>8.6954517492875681E-4</v>
      </c>
      <c r="AQ750" s="22">
        <f t="shared" si="195"/>
        <v>8.6987282504340517E-4</v>
      </c>
      <c r="AR750" s="22">
        <f t="shared" si="195"/>
        <v>8.7012323385506529E-4</v>
      </c>
      <c r="AS750" s="22">
        <f t="shared" si="195"/>
        <v>8.7028319344181889E-4</v>
      </c>
      <c r="AT750" s="22">
        <f t="shared" si="195"/>
        <v>8.7035107244109425E-4</v>
      </c>
      <c r="AU750" s="22">
        <f t="shared" si="195"/>
        <v>8.7032874687664199E-4</v>
      </c>
      <c r="AV750" s="22">
        <f t="shared" si="195"/>
        <v>8.7021752505860126E-4</v>
      </c>
      <c r="AW750" s="22">
        <f t="shared" si="195"/>
        <v>8.7000498422856851E-4</v>
      </c>
      <c r="AY750" s="79"/>
      <c r="AZ750" s="79"/>
    </row>
    <row r="751" spans="1:52" x14ac:dyDescent="0.25">
      <c r="A751" s="95" t="str">
        <f t="shared" si="176"/>
        <v>NI MM Leaching</v>
      </c>
      <c r="B751" s="95" t="s">
        <v>969</v>
      </c>
      <c r="C751" s="95" t="s">
        <v>1333</v>
      </c>
      <c r="D751" t="s">
        <v>369</v>
      </c>
      <c r="E751" t="s">
        <v>64</v>
      </c>
      <c r="F751" t="s">
        <v>63</v>
      </c>
      <c r="G751" t="s">
        <v>1158</v>
      </c>
      <c r="H751" t="s">
        <v>1309</v>
      </c>
      <c r="I751" t="s">
        <v>139</v>
      </c>
      <c r="J751" t="s">
        <v>287</v>
      </c>
      <c r="K751" s="22">
        <f t="shared" ref="K751:AW751" si="196">K1550</f>
        <v>3.0303014392691133E-2</v>
      </c>
      <c r="L751" s="22">
        <f t="shared" si="196"/>
        <v>3.0040206026371367E-2</v>
      </c>
      <c r="M751" s="22">
        <f t="shared" si="196"/>
        <v>2.9940162837193193E-2</v>
      </c>
      <c r="N751" s="22">
        <f t="shared" si="196"/>
        <v>2.9540351153331305E-2</v>
      </c>
      <c r="O751" s="22">
        <f t="shared" si="196"/>
        <v>2.8960014730128859E-2</v>
      </c>
      <c r="P751" s="22">
        <f t="shared" si="196"/>
        <v>2.8211154016296508E-2</v>
      </c>
      <c r="Q751" s="22">
        <f t="shared" si="196"/>
        <v>2.7620505669412019E-2</v>
      </c>
      <c r="R751" s="22">
        <f t="shared" si="196"/>
        <v>2.7061685185942382E-2</v>
      </c>
      <c r="S751" s="22">
        <f t="shared" si="196"/>
        <v>2.4201772556346722E-2</v>
      </c>
      <c r="T751" s="22">
        <f t="shared" si="196"/>
        <v>2.5134193306706524E-2</v>
      </c>
      <c r="U751" s="22">
        <f t="shared" si="196"/>
        <v>7.9215327522416931E-2</v>
      </c>
      <c r="V751" s="22">
        <f t="shared" si="196"/>
        <v>7.9597413086941654E-2</v>
      </c>
      <c r="W751" s="22">
        <f t="shared" si="196"/>
        <v>7.9841946903631861E-2</v>
      </c>
      <c r="X751" s="22">
        <f t="shared" si="196"/>
        <v>7.9948879165643486E-2</v>
      </c>
      <c r="Y751" s="22">
        <f t="shared" si="196"/>
        <v>7.992047510263596E-2</v>
      </c>
      <c r="Z751" s="22">
        <f t="shared" si="196"/>
        <v>7.9755373238701549E-2</v>
      </c>
      <c r="AA751" s="22">
        <f t="shared" si="196"/>
        <v>7.9453169143115579E-2</v>
      </c>
      <c r="AB751" s="22">
        <f t="shared" si="196"/>
        <v>7.9014112861708063E-2</v>
      </c>
      <c r="AC751" s="22">
        <f t="shared" si="196"/>
        <v>7.8439191657390592E-2</v>
      </c>
      <c r="AD751" s="22">
        <f t="shared" si="196"/>
        <v>7.7077087742293285E-2</v>
      </c>
      <c r="AE751" s="22">
        <f t="shared" si="196"/>
        <v>7.5586682253877949E-2</v>
      </c>
      <c r="AF751" s="22">
        <f t="shared" si="196"/>
        <v>7.3974671879861814E-2</v>
      </c>
      <c r="AG751" s="22">
        <f t="shared" si="196"/>
        <v>7.2248514242158265E-2</v>
      </c>
      <c r="AH751" s="22">
        <f t="shared" si="196"/>
        <v>7.0416148615651625E-2</v>
      </c>
      <c r="AI751" s="22">
        <f t="shared" si="196"/>
        <v>6.8486029191241041E-2</v>
      </c>
      <c r="AJ751" s="22">
        <f t="shared" si="196"/>
        <v>-5.2880249817764688E-3</v>
      </c>
      <c r="AK751" s="22">
        <f t="shared" si="196"/>
        <v>-5.1607046214705845E-3</v>
      </c>
      <c r="AL751" s="22">
        <f t="shared" si="196"/>
        <v>-5.0347089645398375E-3</v>
      </c>
      <c r="AM751" s="22">
        <f t="shared" si="196"/>
        <v>-4.9100249979569036E-3</v>
      </c>
      <c r="AN751" s="22">
        <f t="shared" si="196"/>
        <v>-4.8110666270887118E-3</v>
      </c>
      <c r="AO751" s="22">
        <f t="shared" si="196"/>
        <v>-4.7130469845991819E-3</v>
      </c>
      <c r="AP751" s="22">
        <f t="shared" si="196"/>
        <v>-4.6158931662269266E-3</v>
      </c>
      <c r="AQ751" s="22">
        <f t="shared" si="196"/>
        <v>-4.5195811063585816E-3</v>
      </c>
      <c r="AR751" s="22">
        <f t="shared" si="196"/>
        <v>-4.424040391221005E-3</v>
      </c>
      <c r="AS751" s="22">
        <f t="shared" si="196"/>
        <v>-4.3292020646369571E-3</v>
      </c>
      <c r="AT751" s="22">
        <f t="shared" si="196"/>
        <v>-4.2350550518406409E-3</v>
      </c>
      <c r="AU751" s="22">
        <f t="shared" si="196"/>
        <v>-4.1416051693555066E-3</v>
      </c>
      <c r="AV751" s="22">
        <f t="shared" si="196"/>
        <v>-4.0488559853117164E-3</v>
      </c>
      <c r="AW751" s="22">
        <f t="shared" si="196"/>
        <v>-3.9567542281437719E-3</v>
      </c>
      <c r="AY751" s="79"/>
      <c r="AZ751" s="79"/>
    </row>
    <row r="752" spans="1:52" x14ac:dyDescent="0.25">
      <c r="A752" s="95" t="str">
        <f t="shared" si="176"/>
        <v>NI MM Leaching</v>
      </c>
      <c r="B752" s="95" t="s">
        <v>969</v>
      </c>
      <c r="C752" s="95" t="s">
        <v>1333</v>
      </c>
      <c r="D752" t="s">
        <v>369</v>
      </c>
      <c r="E752" t="s">
        <v>64</v>
      </c>
      <c r="F752" t="s">
        <v>63</v>
      </c>
      <c r="G752" t="s">
        <v>1160</v>
      </c>
      <c r="H752" t="s">
        <v>1310</v>
      </c>
      <c r="I752" t="s">
        <v>139</v>
      </c>
      <c r="J752" t="s">
        <v>287</v>
      </c>
      <c r="K752" s="22">
        <f t="shared" ref="K752:AW752" si="197">K1551</f>
        <v>4.0226293185258929E-2</v>
      </c>
      <c r="L752" s="22">
        <f t="shared" si="197"/>
        <v>3.9877423391049029E-2</v>
      </c>
      <c r="M752" s="22">
        <f t="shared" si="197"/>
        <v>3.9744619221572089E-2</v>
      </c>
      <c r="N752" s="22">
        <f t="shared" si="197"/>
        <v>3.9213881856453726E-2</v>
      </c>
      <c r="O752" s="22">
        <f t="shared" si="197"/>
        <v>3.8443503609481157E-2</v>
      </c>
      <c r="P752" s="22">
        <f t="shared" si="197"/>
        <v>3.7449414696768615E-2</v>
      </c>
      <c r="Q752" s="22">
        <f t="shared" si="197"/>
        <v>3.6665347697252743E-2</v>
      </c>
      <c r="R752" s="22">
        <f t="shared" si="197"/>
        <v>3.5923531179771234E-2</v>
      </c>
      <c r="S752" s="22">
        <f t="shared" si="197"/>
        <v>3.2127087617044768E-2</v>
      </c>
      <c r="T752" s="22">
        <f t="shared" si="197"/>
        <v>3.336484667262702E-2</v>
      </c>
      <c r="U752" s="22">
        <f t="shared" si="197"/>
        <v>0.10515584187068941</v>
      </c>
      <c r="V752" s="22">
        <f t="shared" si="197"/>
        <v>0.1056630483730278</v>
      </c>
      <c r="W752" s="22">
        <f t="shared" si="197"/>
        <v>0.10598765928059027</v>
      </c>
      <c r="X752" s="22">
        <f t="shared" si="197"/>
        <v>0.10612960847636668</v>
      </c>
      <c r="Y752" s="22">
        <f t="shared" si="197"/>
        <v>0.10609190298108537</v>
      </c>
      <c r="Z752" s="22">
        <f t="shared" si="197"/>
        <v>0.10587273547853948</v>
      </c>
      <c r="AA752" s="22">
        <f t="shared" si="197"/>
        <v>0.10547156909973328</v>
      </c>
      <c r="AB752" s="22">
        <f t="shared" si="197"/>
        <v>0.10488873577259779</v>
      </c>
      <c r="AC752" s="22">
        <f t="shared" si="197"/>
        <v>0.10412554605742294</v>
      </c>
      <c r="AD752" s="22">
        <f t="shared" si="197"/>
        <v>0.10231739619063251</v>
      </c>
      <c r="AE752" s="22">
        <f t="shared" si="197"/>
        <v>0.10033893004317308</v>
      </c>
      <c r="AF752" s="22">
        <f t="shared" si="197"/>
        <v>9.8199037256187116E-2</v>
      </c>
      <c r="AG752" s="22">
        <f t="shared" si="197"/>
        <v>9.5907617586895574E-2</v>
      </c>
      <c r="AH752" s="22">
        <f t="shared" si="197"/>
        <v>9.3475210171604761E-2</v>
      </c>
      <c r="AI752" s="22">
        <f t="shared" si="197"/>
        <v>9.091303768134483E-2</v>
      </c>
      <c r="AJ752" s="22">
        <f t="shared" si="197"/>
        <v>-7.0196859141254189E-3</v>
      </c>
      <c r="AK752" s="22">
        <f t="shared" si="197"/>
        <v>-6.8506721626963654E-3</v>
      </c>
      <c r="AL752" s="22">
        <f t="shared" si="197"/>
        <v>-6.6834169131002059E-3</v>
      </c>
      <c r="AM752" s="22">
        <f t="shared" si="197"/>
        <v>-6.5179028909547456E-3</v>
      </c>
      <c r="AN752" s="22">
        <f t="shared" si="197"/>
        <v>-6.3865387834737544E-3</v>
      </c>
      <c r="AO752" s="22">
        <f t="shared" si="197"/>
        <v>-6.2564208082254193E-3</v>
      </c>
      <c r="AP752" s="22">
        <f t="shared" si="197"/>
        <v>-6.1274521871085615E-3</v>
      </c>
      <c r="AQ752" s="22">
        <f t="shared" si="197"/>
        <v>-5.9996009737825779E-3</v>
      </c>
      <c r="AR752" s="22">
        <f t="shared" si="197"/>
        <v>-5.872773696190668E-3</v>
      </c>
      <c r="AS752" s="22">
        <f t="shared" si="197"/>
        <v>-5.7468788171884874E-3</v>
      </c>
      <c r="AT752" s="22">
        <f t="shared" si="197"/>
        <v>-5.6219016353747063E-3</v>
      </c>
      <c r="AU752" s="22">
        <f t="shared" si="197"/>
        <v>-5.4978498720002471E-3</v>
      </c>
      <c r="AV752" s="22">
        <f t="shared" si="197"/>
        <v>-5.3747282636450412E-3</v>
      </c>
      <c r="AW752" s="22">
        <f t="shared" si="197"/>
        <v>-5.2524660939907621E-3</v>
      </c>
      <c r="AY752" s="79"/>
      <c r="AZ752" s="79"/>
    </row>
    <row r="753" spans="1:52" x14ac:dyDescent="0.25">
      <c r="A753" s="95" t="str">
        <f t="shared" si="176"/>
        <v>NI MM Leaching</v>
      </c>
      <c r="B753" s="95" t="s">
        <v>969</v>
      </c>
      <c r="C753" s="95" t="s">
        <v>1333</v>
      </c>
      <c r="D753" t="s">
        <v>369</v>
      </c>
      <c r="E753" t="s">
        <v>64</v>
      </c>
      <c r="F753" t="s">
        <v>63</v>
      </c>
      <c r="G753" t="s">
        <v>1162</v>
      </c>
      <c r="H753" t="s">
        <v>1311</v>
      </c>
      <c r="I753" t="s">
        <v>139</v>
      </c>
      <c r="J753" t="s">
        <v>287</v>
      </c>
      <c r="K753" s="22">
        <f t="shared" ref="K753:AW753" si="198">K1552</f>
        <v>4.1968337096859203E-2</v>
      </c>
      <c r="L753" s="22">
        <f t="shared" si="198"/>
        <v>4.3383434779753476E-2</v>
      </c>
      <c r="M753" s="22">
        <f t="shared" si="198"/>
        <v>4.5063007666824861E-2</v>
      </c>
      <c r="N753" s="22">
        <f t="shared" si="198"/>
        <v>4.6315596244033509E-2</v>
      </c>
      <c r="O753" s="22">
        <f t="shared" si="198"/>
        <v>4.7281576900430194E-2</v>
      </c>
      <c r="P753" s="22">
        <f t="shared" si="198"/>
        <v>4.7947144057730852E-2</v>
      </c>
      <c r="Q753" s="22">
        <f t="shared" si="198"/>
        <v>4.8855920576585839E-2</v>
      </c>
      <c r="R753" s="22">
        <f t="shared" si="198"/>
        <v>4.9808583705724517E-2</v>
      </c>
      <c r="S753" s="22">
        <f t="shared" si="198"/>
        <v>4.6345052575542584E-2</v>
      </c>
      <c r="T753" s="22">
        <f t="shared" si="198"/>
        <v>4.9290182096012818E-2</v>
      </c>
      <c r="U753" s="22">
        <f t="shared" si="198"/>
        <v>0.1590390004544035</v>
      </c>
      <c r="V753" s="22">
        <f t="shared" si="198"/>
        <v>0.16355513295491098</v>
      </c>
      <c r="W753" s="22">
        <f t="shared" si="198"/>
        <v>0.16786105995970313</v>
      </c>
      <c r="X753" s="22">
        <f t="shared" si="198"/>
        <v>0.17194023598803351</v>
      </c>
      <c r="Y753" s="22">
        <f t="shared" si="198"/>
        <v>0.17578066999732156</v>
      </c>
      <c r="Z753" s="22">
        <f t="shared" si="198"/>
        <v>0.17936210611821823</v>
      </c>
      <c r="AA753" s="22">
        <f t="shared" si="198"/>
        <v>0.1826656381005505</v>
      </c>
      <c r="AB753" s="22">
        <f t="shared" si="198"/>
        <v>0.18567320176806454</v>
      </c>
      <c r="AC753" s="22">
        <f t="shared" si="198"/>
        <v>0.18836790776441609</v>
      </c>
      <c r="AD753" s="22">
        <f t="shared" si="198"/>
        <v>0.19123519545806747</v>
      </c>
      <c r="AE753" s="22">
        <f t="shared" si="198"/>
        <v>0.19376853499382182</v>
      </c>
      <c r="AF753" s="22">
        <f t="shared" si="198"/>
        <v>0.19595309748984396</v>
      </c>
      <c r="AG753" s="22">
        <f t="shared" si="198"/>
        <v>0.19777601067919534</v>
      </c>
      <c r="AH753" s="22">
        <f t="shared" si="198"/>
        <v>0.19922591108684914</v>
      </c>
      <c r="AI753" s="22">
        <f t="shared" si="198"/>
        <v>0.20029329073357882</v>
      </c>
      <c r="AJ753" s="22">
        <f t="shared" si="198"/>
        <v>-1.5988935485228874E-2</v>
      </c>
      <c r="AK753" s="22">
        <f t="shared" si="198"/>
        <v>-1.6135273009597623E-2</v>
      </c>
      <c r="AL753" s="22">
        <f t="shared" si="198"/>
        <v>-1.6280642881338143E-2</v>
      </c>
      <c r="AM753" s="22">
        <f t="shared" si="198"/>
        <v>-1.6425117505391919E-2</v>
      </c>
      <c r="AN753" s="22">
        <f t="shared" si="198"/>
        <v>-1.6548178161071046E-2</v>
      </c>
      <c r="AO753" s="22">
        <f t="shared" si="198"/>
        <v>-1.6670008309036564E-2</v>
      </c>
      <c r="AP753" s="22">
        <f t="shared" si="198"/>
        <v>-1.6790421483448635E-2</v>
      </c>
      <c r="AQ753" s="22">
        <f t="shared" si="198"/>
        <v>-1.6909384567907186E-2</v>
      </c>
      <c r="AR753" s="22">
        <f t="shared" si="198"/>
        <v>-1.7026675592023126E-2</v>
      </c>
      <c r="AS753" s="22">
        <f t="shared" si="198"/>
        <v>-1.7142046777220185E-2</v>
      </c>
      <c r="AT753" s="22">
        <f t="shared" si="198"/>
        <v>-1.725545286501233E-2</v>
      </c>
      <c r="AU753" s="22">
        <f t="shared" si="198"/>
        <v>-1.7366910999627443E-2</v>
      </c>
      <c r="AV753" s="22">
        <f t="shared" si="198"/>
        <v>-1.7476428038790941E-2</v>
      </c>
      <c r="AW753" s="22">
        <f t="shared" si="198"/>
        <v>-1.7583756727581886E-2</v>
      </c>
      <c r="AY753" s="79"/>
      <c r="AZ753" s="79"/>
    </row>
    <row r="754" spans="1:52" x14ac:dyDescent="0.25">
      <c r="A754" s="95" t="str">
        <f t="shared" si="176"/>
        <v>NI MM Leaching</v>
      </c>
      <c r="B754" s="95" t="s">
        <v>969</v>
      </c>
      <c r="C754" s="95" t="s">
        <v>1333</v>
      </c>
      <c r="D754" t="s">
        <v>369</v>
      </c>
      <c r="E754" t="s">
        <v>64</v>
      </c>
      <c r="F754" t="s">
        <v>63</v>
      </c>
      <c r="G754" t="s">
        <v>1164</v>
      </c>
      <c r="H754" t="s">
        <v>1312</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4.4583713438871775E-3</v>
      </c>
      <c r="T754" s="22">
        <f t="shared" si="199"/>
        <v>4.4613385793898985E-3</v>
      </c>
      <c r="U754" s="22">
        <f t="shared" si="199"/>
        <v>4.5194479058578802E-3</v>
      </c>
      <c r="V754" s="22">
        <f t="shared" si="199"/>
        <v>4.5208654375239604E-3</v>
      </c>
      <c r="W754" s="22">
        <f t="shared" si="199"/>
        <v>4.5269288931412202E-3</v>
      </c>
      <c r="X754" s="22">
        <f t="shared" si="199"/>
        <v>4.5356937654075719E-3</v>
      </c>
      <c r="Y754" s="22">
        <f t="shared" si="199"/>
        <v>4.5438360313793799E-3</v>
      </c>
      <c r="Z754" s="22">
        <f t="shared" si="199"/>
        <v>4.5514565032506353E-3</v>
      </c>
      <c r="AA754" s="22">
        <f t="shared" si="199"/>
        <v>4.5585145451789771E-3</v>
      </c>
      <c r="AB754" s="22">
        <f t="shared" si="199"/>
        <v>4.5650737507021777E-3</v>
      </c>
      <c r="AC754" s="22">
        <f t="shared" si="199"/>
        <v>4.5712336162876026E-3</v>
      </c>
      <c r="AD754" s="22">
        <f t="shared" si="199"/>
        <v>4.5769883379201265E-3</v>
      </c>
      <c r="AE754" s="22">
        <f t="shared" si="199"/>
        <v>4.5824299595188939E-3</v>
      </c>
      <c r="AF754" s="22">
        <f t="shared" si="199"/>
        <v>4.5875716533889405E-3</v>
      </c>
      <c r="AG754" s="22">
        <f t="shared" si="199"/>
        <v>4.5923429466883485E-3</v>
      </c>
      <c r="AH754" s="22">
        <f t="shared" si="199"/>
        <v>4.5967874861065324E-3</v>
      </c>
      <c r="AI754" s="22">
        <f t="shared" si="199"/>
        <v>4.6009761769836678E-3</v>
      </c>
      <c r="AJ754" s="22">
        <f t="shared" si="199"/>
        <v>4.5000024079062629E-3</v>
      </c>
      <c r="AK754" s="22">
        <f t="shared" si="199"/>
        <v>4.504140567798888E-3</v>
      </c>
      <c r="AL754" s="22">
        <f t="shared" si="199"/>
        <v>4.5080004058394166E-3</v>
      </c>
      <c r="AM754" s="22">
        <f t="shared" si="199"/>
        <v>4.5116055113744672E-3</v>
      </c>
      <c r="AN754" s="22">
        <f t="shared" si="199"/>
        <v>4.5149845600538762E-3</v>
      </c>
      <c r="AO754" s="22">
        <f t="shared" si="199"/>
        <v>4.5180486691616456E-3</v>
      </c>
      <c r="AP754" s="22">
        <f t="shared" si="199"/>
        <v>4.5207384818524527E-3</v>
      </c>
      <c r="AQ754" s="22">
        <f t="shared" si="199"/>
        <v>4.5230453041712505E-3</v>
      </c>
      <c r="AR754" s="22">
        <f t="shared" si="199"/>
        <v>4.5249015890055574E-3</v>
      </c>
      <c r="AS754" s="22">
        <f t="shared" si="199"/>
        <v>4.526233914491801E-3</v>
      </c>
      <c r="AT754" s="22">
        <f t="shared" si="199"/>
        <v>4.5270340008273808E-3</v>
      </c>
      <c r="AU754" s="22">
        <f t="shared" si="199"/>
        <v>4.5273132604660591E-3</v>
      </c>
      <c r="AV754" s="22">
        <f t="shared" si="199"/>
        <v>4.5270798618323943E-3</v>
      </c>
      <c r="AW754" s="22">
        <f t="shared" si="199"/>
        <v>4.5262646983336846E-3</v>
      </c>
      <c r="AY754" s="79"/>
      <c r="AZ754" s="79"/>
    </row>
    <row r="755" spans="1:52" x14ac:dyDescent="0.25">
      <c r="A755" s="95" t="str">
        <f t="shared" si="176"/>
        <v>NI MM Leaching</v>
      </c>
      <c r="B755" s="95" t="s">
        <v>969</v>
      </c>
      <c r="C755" s="95" t="s">
        <v>1333</v>
      </c>
      <c r="D755" t="s">
        <v>369</v>
      </c>
      <c r="E755" t="s">
        <v>64</v>
      </c>
      <c r="F755" t="s">
        <v>63</v>
      </c>
      <c r="G755" t="s">
        <v>1166</v>
      </c>
      <c r="H755" t="s">
        <v>1313</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3.7085625544236744E-3</v>
      </c>
      <c r="T755" s="22">
        <f t="shared" si="200"/>
        <v>3.7110307603281981E-3</v>
      </c>
      <c r="U755" s="22">
        <f t="shared" si="200"/>
        <v>3.7593672616152451E-3</v>
      </c>
      <c r="V755" s="22">
        <f t="shared" si="200"/>
        <v>3.7605463928385213E-3</v>
      </c>
      <c r="W755" s="22">
        <f t="shared" si="200"/>
        <v>3.7655900966303579E-3</v>
      </c>
      <c r="X755" s="22">
        <f t="shared" si="200"/>
        <v>3.7728808928817431E-3</v>
      </c>
      <c r="Y755" s="22">
        <f t="shared" si="200"/>
        <v>3.7796537927507973E-3</v>
      </c>
      <c r="Z755" s="22">
        <f t="shared" si="200"/>
        <v>3.7859926538390569E-3</v>
      </c>
      <c r="AA755" s="22">
        <f t="shared" si="200"/>
        <v>3.7918636744391884E-3</v>
      </c>
      <c r="AB755" s="22">
        <f t="shared" si="200"/>
        <v>3.7973197529292549E-3</v>
      </c>
      <c r="AC755" s="22">
        <f t="shared" si="200"/>
        <v>3.8024436524630406E-3</v>
      </c>
      <c r="AD755" s="22">
        <f t="shared" si="200"/>
        <v>3.8072305451445519E-3</v>
      </c>
      <c r="AE755" s="22">
        <f t="shared" si="200"/>
        <v>3.8117569949487401E-3</v>
      </c>
      <c r="AF755" s="22">
        <f t="shared" si="200"/>
        <v>3.8160339588626819E-3</v>
      </c>
      <c r="AG755" s="22">
        <f t="shared" si="200"/>
        <v>3.8200028161653869E-3</v>
      </c>
      <c r="AH755" s="22">
        <f t="shared" si="200"/>
        <v>3.8236998730470525E-3</v>
      </c>
      <c r="AI755" s="22">
        <f t="shared" si="200"/>
        <v>3.8271841099893822E-3</v>
      </c>
      <c r="AJ755" s="22">
        <f t="shared" si="200"/>
        <v>3.7431921070592298E-3</v>
      </c>
      <c r="AK755" s="22">
        <f t="shared" si="200"/>
        <v>3.7466343113168547E-3</v>
      </c>
      <c r="AL755" s="22">
        <f t="shared" si="200"/>
        <v>3.7498450018850307E-3</v>
      </c>
      <c r="AM755" s="22">
        <f t="shared" si="200"/>
        <v>3.7528438008546071E-3</v>
      </c>
      <c r="AN755" s="22">
        <f t="shared" si="200"/>
        <v>3.7556545612052921E-3</v>
      </c>
      <c r="AO755" s="22">
        <f t="shared" si="200"/>
        <v>3.7582033485142104E-3</v>
      </c>
      <c r="AP755" s="22">
        <f t="shared" si="200"/>
        <v>3.760440788568911E-3</v>
      </c>
      <c r="AQ755" s="22">
        <f t="shared" si="200"/>
        <v>3.7623596495635048E-3</v>
      </c>
      <c r="AR755" s="22">
        <f t="shared" si="200"/>
        <v>3.7639037444573268E-3</v>
      </c>
      <c r="AS755" s="22">
        <f t="shared" si="200"/>
        <v>3.7650119994741185E-3</v>
      </c>
      <c r="AT755" s="22">
        <f t="shared" si="200"/>
        <v>3.7656775273082915E-3</v>
      </c>
      <c r="AU755" s="22">
        <f t="shared" si="200"/>
        <v>3.7659098210673977E-3</v>
      </c>
      <c r="AV755" s="22">
        <f t="shared" si="200"/>
        <v>3.7657156754105432E-3</v>
      </c>
      <c r="AW755" s="22">
        <f t="shared" si="200"/>
        <v>3.7650376060901856E-3</v>
      </c>
      <c r="AY755" s="79"/>
      <c r="AZ755" s="79"/>
    </row>
    <row r="756" spans="1:52" x14ac:dyDescent="0.25">
      <c r="A756" s="95" t="str">
        <f t="shared" si="176"/>
        <v>NI MM Leaching</v>
      </c>
      <c r="B756" s="95" t="s">
        <v>969</v>
      </c>
      <c r="C756" s="95" t="s">
        <v>1333</v>
      </c>
      <c r="D756" t="s">
        <v>369</v>
      </c>
      <c r="E756" t="s">
        <v>64</v>
      </c>
      <c r="F756" t="s">
        <v>63</v>
      </c>
      <c r="G756" t="s">
        <v>1168</v>
      </c>
      <c r="H756" t="s">
        <v>1314</v>
      </c>
      <c r="I756" t="s">
        <v>139</v>
      </c>
      <c r="J756" t="s">
        <v>287</v>
      </c>
      <c r="K756" s="22">
        <f t="shared" ref="K756:AW756" si="201">K1555</f>
        <v>5.4322987485311562E-4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5.5840147541839718E-4</v>
      </c>
      <c r="R756" s="22">
        <f t="shared" si="201"/>
        <v>5.620753208024884E-4</v>
      </c>
      <c r="S756" s="22">
        <f t="shared" si="201"/>
        <v>5.6070469903814733E-4</v>
      </c>
      <c r="T756" s="22">
        <f t="shared" si="201"/>
        <v>5.6162230711910024E-4</v>
      </c>
      <c r="U756" s="22">
        <f t="shared" si="201"/>
        <v>5.7300934566261764E-4</v>
      </c>
      <c r="V756" s="22">
        <f t="shared" si="201"/>
        <v>5.735237983118301E-4</v>
      </c>
      <c r="W756" s="22">
        <f t="shared" si="201"/>
        <v>5.7488581877093682E-4</v>
      </c>
      <c r="X756" s="22">
        <f t="shared" si="201"/>
        <v>5.7672404156411123E-4</v>
      </c>
      <c r="Y756" s="22">
        <f t="shared" si="201"/>
        <v>5.7840994827834994E-4</v>
      </c>
      <c r="Z756" s="22">
        <f t="shared" si="201"/>
        <v>5.7996582365708491E-4</v>
      </c>
      <c r="AA756" s="22">
        <f t="shared" si="201"/>
        <v>5.8138689539941784E-4</v>
      </c>
      <c r="AB756" s="22">
        <f t="shared" si="201"/>
        <v>5.8268775619947839E-4</v>
      </c>
      <c r="AC756" s="22">
        <f t="shared" si="201"/>
        <v>5.838893945173696E-4</v>
      </c>
      <c r="AD756" s="22">
        <f t="shared" si="201"/>
        <v>5.8499277851090971E-4</v>
      </c>
      <c r="AE756" s="22">
        <f t="shared" si="201"/>
        <v>5.8601696023425276E-4</v>
      </c>
      <c r="AF756" s="22">
        <f t="shared" si="201"/>
        <v>5.8696603148616325E-4</v>
      </c>
      <c r="AG756" s="22">
        <f t="shared" si="201"/>
        <v>5.8782840452912231E-4</v>
      </c>
      <c r="AH756" s="22">
        <f t="shared" si="201"/>
        <v>5.8861362982731312E-4</v>
      </c>
      <c r="AI756" s="22">
        <f t="shared" si="201"/>
        <v>5.8933613461895486E-4</v>
      </c>
      <c r="AJ756" s="22">
        <f t="shared" si="201"/>
        <v>5.706274212799663E-4</v>
      </c>
      <c r="AK756" s="22">
        <f t="shared" si="201"/>
        <v>5.7134854330306069E-4</v>
      </c>
      <c r="AL756" s="22">
        <f t="shared" si="201"/>
        <v>5.7200511510337268E-4</v>
      </c>
      <c r="AM756" s="22">
        <f t="shared" si="201"/>
        <v>5.7260245045310132E-4</v>
      </c>
      <c r="AN756" s="22">
        <f t="shared" si="201"/>
        <v>5.7314670307798447E-4</v>
      </c>
      <c r="AO756" s="22">
        <f t="shared" si="201"/>
        <v>5.7362242271311709E-4</v>
      </c>
      <c r="AP756" s="22">
        <f t="shared" si="201"/>
        <v>5.7401961480709959E-4</v>
      </c>
      <c r="AQ756" s="22">
        <f t="shared" si="201"/>
        <v>5.743375496953002E-4</v>
      </c>
      <c r="AR756" s="22">
        <f t="shared" si="201"/>
        <v>5.7456474822570021E-4</v>
      </c>
      <c r="AS756" s="22">
        <f t="shared" si="201"/>
        <v>5.7468870297434124E-4</v>
      </c>
      <c r="AT756" s="22">
        <f t="shared" si="201"/>
        <v>5.7470877432626657E-4</v>
      </c>
      <c r="AU756" s="22">
        <f t="shared" si="201"/>
        <v>5.7462786115959977E-4</v>
      </c>
      <c r="AV756" s="22">
        <f t="shared" si="201"/>
        <v>5.7444822626571555E-4</v>
      </c>
      <c r="AW756" s="22">
        <f t="shared" si="201"/>
        <v>5.7415813453708586E-4</v>
      </c>
      <c r="AY756" s="79"/>
      <c r="AZ756" s="79"/>
    </row>
    <row r="757" spans="1:52" x14ac:dyDescent="0.25">
      <c r="A757" s="95" t="str">
        <f t="shared" si="176"/>
        <v>NI MM Leaching</v>
      </c>
      <c r="B757" s="95" t="s">
        <v>969</v>
      </c>
      <c r="C757" s="95" t="s">
        <v>1333</v>
      </c>
      <c r="D757" t="s">
        <v>369</v>
      </c>
      <c r="E757" t="s">
        <v>64</v>
      </c>
      <c r="F757" t="s">
        <v>63</v>
      </c>
      <c r="G757" t="s">
        <v>1170</v>
      </c>
      <c r="H757" t="s">
        <v>1315</v>
      </c>
      <c r="I757" t="s">
        <v>139</v>
      </c>
      <c r="J757" t="s">
        <v>287</v>
      </c>
      <c r="K757" s="22">
        <f t="shared" ref="K757:AW757" si="202">K1556</f>
        <v>6.6992563985089947E-3</v>
      </c>
      <c r="L757" s="22">
        <f t="shared" si="202"/>
        <v>6.716671231449923E-3</v>
      </c>
      <c r="M757" s="22">
        <f t="shared" si="202"/>
        <v>6.7406943780734313E-3</v>
      </c>
      <c r="N757" s="22">
        <f t="shared" si="202"/>
        <v>6.769960915195136E-3</v>
      </c>
      <c r="O757" s="22">
        <f t="shared" si="202"/>
        <v>6.8044291009834836E-3</v>
      </c>
      <c r="P757" s="22">
        <f t="shared" si="202"/>
        <v>6.8438891439814974E-3</v>
      </c>
      <c r="Q757" s="22">
        <f t="shared" si="202"/>
        <v>6.8863566425632575E-3</v>
      </c>
      <c r="R757" s="22">
        <f t="shared" si="202"/>
        <v>6.9316634884048298E-3</v>
      </c>
      <c r="S757" s="22">
        <f t="shared" si="202"/>
        <v>6.914760613489895E-3</v>
      </c>
      <c r="T757" s="22">
        <f t="shared" si="202"/>
        <v>6.9260768022567764E-3</v>
      </c>
      <c r="U757" s="22">
        <f t="shared" si="202"/>
        <v>7.0665048132223995E-3</v>
      </c>
      <c r="V757" s="22">
        <f t="shared" si="202"/>
        <v>7.0728491811622093E-3</v>
      </c>
      <c r="W757" s="22">
        <f t="shared" si="202"/>
        <v>7.0896459824759074E-3</v>
      </c>
      <c r="X757" s="22">
        <f t="shared" si="202"/>
        <v>7.1123154385922269E-3</v>
      </c>
      <c r="Y757" s="22">
        <f t="shared" si="202"/>
        <v>7.1331064920034711E-3</v>
      </c>
      <c r="Z757" s="22">
        <f t="shared" si="202"/>
        <v>7.1522939641377866E-3</v>
      </c>
      <c r="AA757" s="22">
        <f t="shared" si="202"/>
        <v>7.1698190017015617E-3</v>
      </c>
      <c r="AB757" s="22">
        <f t="shared" si="202"/>
        <v>7.1858615657095356E-3</v>
      </c>
      <c r="AC757" s="22">
        <f t="shared" si="202"/>
        <v>7.2006804914764638E-3</v>
      </c>
      <c r="AD757" s="22">
        <f t="shared" si="202"/>
        <v>7.2142877185840219E-3</v>
      </c>
      <c r="AE757" s="22">
        <f t="shared" si="202"/>
        <v>7.226918202069851E-3</v>
      </c>
      <c r="AF757" s="22">
        <f t="shared" si="202"/>
        <v>7.238622403092889E-3</v>
      </c>
      <c r="AG757" s="22">
        <f t="shared" si="202"/>
        <v>7.2492574185686288E-3</v>
      </c>
      <c r="AH757" s="22">
        <f t="shared" si="202"/>
        <v>7.2589410273808247E-3</v>
      </c>
      <c r="AI757" s="22">
        <f t="shared" si="202"/>
        <v>7.2678511500975998E-3</v>
      </c>
      <c r="AJ757" s="22">
        <f t="shared" si="202"/>
        <v>7.0371302833964079E-3</v>
      </c>
      <c r="AK757" s="22">
        <f t="shared" si="202"/>
        <v>7.046023353440887E-3</v>
      </c>
      <c r="AL757" s="22">
        <f t="shared" si="202"/>
        <v>7.0541203728390007E-3</v>
      </c>
      <c r="AM757" s="22">
        <f t="shared" si="202"/>
        <v>7.0614868724535639E-3</v>
      </c>
      <c r="AN757" s="22">
        <f t="shared" si="202"/>
        <v>7.0681987416795341E-3</v>
      </c>
      <c r="AO757" s="22">
        <f t="shared" si="202"/>
        <v>7.0740654437095336E-3</v>
      </c>
      <c r="AP757" s="22">
        <f t="shared" si="202"/>
        <v>7.0789637230572406E-3</v>
      </c>
      <c r="AQ757" s="22">
        <f t="shared" si="202"/>
        <v>7.0828845813028637E-3</v>
      </c>
      <c r="AR757" s="22">
        <f t="shared" si="202"/>
        <v>7.0856864544673794E-3</v>
      </c>
      <c r="AS757" s="22">
        <f t="shared" si="202"/>
        <v>7.0872150976466278E-3</v>
      </c>
      <c r="AT757" s="22">
        <f t="shared" si="202"/>
        <v>7.0874626229375523E-3</v>
      </c>
      <c r="AU757" s="22">
        <f t="shared" si="202"/>
        <v>7.0864647800820552E-3</v>
      </c>
      <c r="AV757" s="22">
        <f t="shared" si="202"/>
        <v>7.084249474429774E-3</v>
      </c>
      <c r="AW757" s="22">
        <f t="shared" si="202"/>
        <v>7.0806719854897525E-3</v>
      </c>
      <c r="AY757" s="79"/>
      <c r="AZ757" s="79"/>
    </row>
    <row r="758" spans="1:52" x14ac:dyDescent="0.25">
      <c r="A758" s="95" t="str">
        <f t="shared" si="176"/>
        <v>NI MM Leaching</v>
      </c>
      <c r="B758" s="95" t="s">
        <v>969</v>
      </c>
      <c r="C758" s="95" t="s">
        <v>1333</v>
      </c>
      <c r="D758" t="s">
        <v>369</v>
      </c>
      <c r="E758" t="s">
        <v>64</v>
      </c>
      <c r="F758" t="s">
        <v>63</v>
      </c>
      <c r="G758" t="s">
        <v>1172</v>
      </c>
      <c r="H758" t="s">
        <v>1316</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25">
      <c r="A759" s="95" t="str">
        <f t="shared" si="176"/>
        <v>NI MM Leaching</v>
      </c>
      <c r="B759" s="95" t="s">
        <v>969</v>
      </c>
      <c r="C759" s="95" t="s">
        <v>1333</v>
      </c>
      <c r="D759" t="s">
        <v>369</v>
      </c>
      <c r="E759" t="s">
        <v>64</v>
      </c>
      <c r="F759" t="s">
        <v>63</v>
      </c>
      <c r="G759" t="s">
        <v>1174</v>
      </c>
      <c r="H759" t="s">
        <v>1317</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25">
      <c r="A760" s="95" t="str">
        <f t="shared" si="176"/>
        <v>NI MM Leaching</v>
      </c>
      <c r="B760" s="95" t="s">
        <v>969</v>
      </c>
      <c r="C760" s="95" t="s">
        <v>1333</v>
      </c>
      <c r="D760" t="s">
        <v>369</v>
      </c>
      <c r="E760" t="s">
        <v>64</v>
      </c>
      <c r="F760" t="s">
        <v>63</v>
      </c>
      <c r="G760" t="s">
        <v>1176</v>
      </c>
      <c r="H760" t="s">
        <v>1318</v>
      </c>
      <c r="I760" t="s">
        <v>139</v>
      </c>
      <c r="J760" t="s">
        <v>287</v>
      </c>
      <c r="K760" s="22">
        <f t="shared" ref="K760:AW760" si="205">K1559</f>
        <v>2.6875086183165937E-2</v>
      </c>
      <c r="L760" s="22">
        <f t="shared" si="205"/>
        <v>2.6729002214214575E-2</v>
      </c>
      <c r="M760" s="22">
        <f t="shared" si="205"/>
        <v>2.6740992333189318E-2</v>
      </c>
      <c r="N760" s="22">
        <f t="shared" si="205"/>
        <v>2.6495489531984443E-2</v>
      </c>
      <c r="O760" s="22">
        <f t="shared" si="205"/>
        <v>2.609452683304701E-2</v>
      </c>
      <c r="P760" s="22">
        <f t="shared" si="205"/>
        <v>2.5544514050244028E-2</v>
      </c>
      <c r="Q760" s="22">
        <f t="shared" si="205"/>
        <v>2.5145143775072754E-2</v>
      </c>
      <c r="R760" s="22">
        <f t="shared" si="205"/>
        <v>2.4781112413324514E-2</v>
      </c>
      <c r="S760" s="22">
        <f t="shared" si="205"/>
        <v>2.2296168964910698E-2</v>
      </c>
      <c r="T760" s="22">
        <f t="shared" si="205"/>
        <v>2.3092324784413296E-2</v>
      </c>
      <c r="U760" s="22">
        <f t="shared" si="205"/>
        <v>7.381503978929195E-2</v>
      </c>
      <c r="V760" s="22">
        <f t="shared" si="205"/>
        <v>7.4017385099882177E-2</v>
      </c>
      <c r="W760" s="22">
        <f t="shared" si="205"/>
        <v>7.4092117158263957E-2</v>
      </c>
      <c r="X760" s="22">
        <f t="shared" si="205"/>
        <v>7.4042607907806673E-2</v>
      </c>
      <c r="Y760" s="22">
        <f t="shared" si="205"/>
        <v>7.3876326476641427E-2</v>
      </c>
      <c r="Z760" s="22">
        <f t="shared" si="205"/>
        <v>7.3591745464768973E-2</v>
      </c>
      <c r="AA760" s="22">
        <f t="shared" si="205"/>
        <v>7.3188455909713582E-2</v>
      </c>
      <c r="AB760" s="22">
        <f t="shared" si="205"/>
        <v>7.2666495628065958E-2</v>
      </c>
      <c r="AC760" s="22">
        <f t="shared" si="205"/>
        <v>7.2026534081708352E-2</v>
      </c>
      <c r="AD760" s="22">
        <f t="shared" si="205"/>
        <v>7.127021840521014E-2</v>
      </c>
      <c r="AE760" s="22">
        <f t="shared" si="205"/>
        <v>7.0399631702406332E-2</v>
      </c>
      <c r="AF760" s="22">
        <f t="shared" si="205"/>
        <v>6.9417717575292789E-2</v>
      </c>
      <c r="AG760" s="22">
        <f t="shared" si="205"/>
        <v>6.8328248088529983E-2</v>
      </c>
      <c r="AH760" s="22">
        <f t="shared" si="205"/>
        <v>6.7135309145229499E-2</v>
      </c>
      <c r="AI760" s="22">
        <f t="shared" si="205"/>
        <v>6.58434858478079E-2</v>
      </c>
      <c r="AJ760" s="22">
        <f t="shared" si="205"/>
        <v>-6.1354464297522409E-3</v>
      </c>
      <c r="AK760" s="22">
        <f t="shared" si="205"/>
        <v>-6.0690246210378601E-3</v>
      </c>
      <c r="AL760" s="22">
        <f t="shared" si="205"/>
        <v>-6.0023674842876688E-3</v>
      </c>
      <c r="AM760" s="22">
        <f t="shared" si="205"/>
        <v>-5.9355441730233076E-3</v>
      </c>
      <c r="AN760" s="22">
        <f t="shared" si="205"/>
        <v>-5.868631115229209E-3</v>
      </c>
      <c r="AO760" s="22">
        <f t="shared" si="205"/>
        <v>-5.801450937318208E-3</v>
      </c>
      <c r="AP760" s="22">
        <f t="shared" si="205"/>
        <v>-5.7338989216543417E-3</v>
      </c>
      <c r="AQ760" s="22">
        <f t="shared" si="205"/>
        <v>-5.665981593784182E-3</v>
      </c>
      <c r="AR760" s="22">
        <f t="shared" si="205"/>
        <v>-5.5975864031876984E-3</v>
      </c>
      <c r="AS760" s="22">
        <f t="shared" si="205"/>
        <v>-5.528596592882417E-3</v>
      </c>
      <c r="AT760" s="22">
        <f t="shared" si="205"/>
        <v>-5.459031743402367E-3</v>
      </c>
      <c r="AU760" s="22">
        <f t="shared" si="205"/>
        <v>-5.3889497419228856E-3</v>
      </c>
      <c r="AV760" s="22">
        <f t="shared" si="205"/>
        <v>-5.3184001043520557E-3</v>
      </c>
      <c r="AW760" s="22">
        <f t="shared" si="205"/>
        <v>-5.2472851582702085E-3</v>
      </c>
      <c r="AY760" s="79"/>
      <c r="AZ760" s="79"/>
    </row>
    <row r="761" spans="1:52" x14ac:dyDescent="0.25">
      <c r="A761" s="95" t="str">
        <f t="shared" si="176"/>
        <v>NI MM Leaching</v>
      </c>
      <c r="B761" s="95" t="s">
        <v>969</v>
      </c>
      <c r="C761" s="95" t="s">
        <v>1333</v>
      </c>
      <c r="D761" t="s">
        <v>369</v>
      </c>
      <c r="E761" t="s">
        <v>64</v>
      </c>
      <c r="F761" t="s">
        <v>63</v>
      </c>
      <c r="G761" t="s">
        <v>1178</v>
      </c>
      <c r="H761" t="s">
        <v>1319</v>
      </c>
      <c r="I761" t="s">
        <v>139</v>
      </c>
      <c r="J761" t="s">
        <v>287</v>
      </c>
      <c r="K761" s="22">
        <f t="shared" ref="K761:AW761" si="206">K1560</f>
        <v>4.0166140097319695E-3</v>
      </c>
      <c r="L761" s="22">
        <f t="shared" si="206"/>
        <v>3.9947810410006978E-3</v>
      </c>
      <c r="M761" s="22">
        <f t="shared" si="206"/>
        <v>3.9965730233416695E-3</v>
      </c>
      <c r="N761" s="22">
        <f t="shared" si="206"/>
        <v>3.9598814204188995E-3</v>
      </c>
      <c r="O761" s="22">
        <f t="shared" si="206"/>
        <v>3.8999555700251301E-3</v>
      </c>
      <c r="P761" s="22">
        <f t="shared" si="206"/>
        <v>3.8177534504158584E-3</v>
      </c>
      <c r="Q761" s="22">
        <f t="shared" si="206"/>
        <v>3.7580655955978047E-3</v>
      </c>
      <c r="R761" s="22">
        <f t="shared" si="206"/>
        <v>3.7036593154610871E-3</v>
      </c>
      <c r="S761" s="22">
        <f t="shared" si="206"/>
        <v>3.3322722769129989E-3</v>
      </c>
      <c r="T761" s="22">
        <f t="shared" si="206"/>
        <v>3.4512616857933645E-3</v>
      </c>
      <c r="U761" s="22">
        <f t="shared" si="206"/>
        <v>1.1032021290123588E-2</v>
      </c>
      <c r="V761" s="22">
        <f t="shared" si="206"/>
        <v>1.1062262793491467E-2</v>
      </c>
      <c r="W761" s="22">
        <f t="shared" si="206"/>
        <v>1.1073431867727232E-2</v>
      </c>
      <c r="X761" s="22">
        <f t="shared" si="206"/>
        <v>1.106603246637675E-2</v>
      </c>
      <c r="Y761" s="22">
        <f t="shared" si="206"/>
        <v>1.1041180887430186E-2</v>
      </c>
      <c r="Z761" s="22">
        <f t="shared" si="206"/>
        <v>1.0998648853434082E-2</v>
      </c>
      <c r="AA761" s="22">
        <f t="shared" si="206"/>
        <v>1.0938375242931999E-2</v>
      </c>
      <c r="AB761" s="22">
        <f t="shared" si="206"/>
        <v>1.0860365707799692E-2</v>
      </c>
      <c r="AC761" s="22">
        <f t="shared" si="206"/>
        <v>1.0764720302413055E-2</v>
      </c>
      <c r="AD761" s="22">
        <f t="shared" si="206"/>
        <v>1.0651685199146835E-2</v>
      </c>
      <c r="AE761" s="22">
        <f t="shared" si="206"/>
        <v>1.0521571728130012E-2</v>
      </c>
      <c r="AF761" s="22">
        <f t="shared" si="206"/>
        <v>1.0374819825180263E-2</v>
      </c>
      <c r="AG761" s="22">
        <f t="shared" si="206"/>
        <v>1.0211993243941318E-2</v>
      </c>
      <c r="AH761" s="22">
        <f t="shared" si="206"/>
        <v>1.0033702642759285E-2</v>
      </c>
      <c r="AI761" s="22">
        <f t="shared" si="206"/>
        <v>9.8406332877753449E-3</v>
      </c>
      <c r="AJ761" s="22">
        <f t="shared" si="206"/>
        <v>-9.1697269053370395E-4</v>
      </c>
      <c r="AK761" s="22">
        <f t="shared" si="206"/>
        <v>-9.0704562404485191E-4</v>
      </c>
      <c r="AL761" s="22">
        <f t="shared" si="206"/>
        <v>-8.970833866218835E-4</v>
      </c>
      <c r="AM761" s="22">
        <f t="shared" si="206"/>
        <v>-8.870963135992402E-4</v>
      </c>
      <c r="AN761" s="22">
        <f t="shared" si="206"/>
        <v>-8.7709582751565934E-4</v>
      </c>
      <c r="AO761" s="22">
        <f t="shared" si="206"/>
        <v>-8.6705541901484369E-4</v>
      </c>
      <c r="AP761" s="22">
        <f t="shared" si="206"/>
        <v>-8.5695943753028676E-4</v>
      </c>
      <c r="AQ761" s="22">
        <f t="shared" si="206"/>
        <v>-8.4680885833706668E-4</v>
      </c>
      <c r="AR761" s="22">
        <f t="shared" si="206"/>
        <v>-8.3658686020557013E-4</v>
      </c>
      <c r="AS761" s="22">
        <f t="shared" si="206"/>
        <v>-8.2627599322965283E-4</v>
      </c>
      <c r="AT761" s="22">
        <f t="shared" si="206"/>
        <v>-8.1587918381657311E-4</v>
      </c>
      <c r="AU761" s="22">
        <f t="shared" si="206"/>
        <v>-8.0540508348982262E-4</v>
      </c>
      <c r="AV761" s="22">
        <f t="shared" si="206"/>
        <v>-7.9486109264576715E-4</v>
      </c>
      <c r="AW761" s="22">
        <f t="shared" si="206"/>
        <v>-7.8423261366017795E-4</v>
      </c>
      <c r="AY761" s="79"/>
      <c r="AZ761" s="79"/>
    </row>
    <row r="762" spans="1:52" x14ac:dyDescent="0.25">
      <c r="A762" s="95" t="str">
        <f t="shared" si="176"/>
        <v>NI MM Leaching</v>
      </c>
      <c r="B762" s="95" t="s">
        <v>969</v>
      </c>
      <c r="C762" s="95" t="s">
        <v>1333</v>
      </c>
      <c r="D762" t="s">
        <v>369</v>
      </c>
      <c r="E762" t="s">
        <v>64</v>
      </c>
      <c r="F762" t="s">
        <v>63</v>
      </c>
      <c r="G762" t="s">
        <v>1180</v>
      </c>
      <c r="H762" t="s">
        <v>1320</v>
      </c>
      <c r="I762" t="s">
        <v>139</v>
      </c>
      <c r="J762" t="s">
        <v>287</v>
      </c>
      <c r="K762" s="22">
        <f t="shared" ref="K762:AW762" si="207">K1561</f>
        <v>1.6726645268412749E-2</v>
      </c>
      <c r="L762" s="22">
        <f t="shared" si="207"/>
        <v>1.7066731126843742E-2</v>
      </c>
      <c r="M762" s="22">
        <f t="shared" si="207"/>
        <v>1.7464259263446445E-2</v>
      </c>
      <c r="N762" s="22">
        <f t="shared" si="207"/>
        <v>1.77694513935726E-2</v>
      </c>
      <c r="O762" s="22">
        <f t="shared" si="207"/>
        <v>1.8014444056791569E-2</v>
      </c>
      <c r="P762" s="22">
        <f t="shared" si="207"/>
        <v>1.8197780265539368E-2</v>
      </c>
      <c r="Q762" s="22">
        <f t="shared" si="207"/>
        <v>1.8432867891885713E-2</v>
      </c>
      <c r="R762" s="22">
        <f t="shared" si="207"/>
        <v>1.8677293946611211E-2</v>
      </c>
      <c r="S762" s="22">
        <f t="shared" si="207"/>
        <v>1.7940997011567712E-2</v>
      </c>
      <c r="T762" s="22">
        <f t="shared" si="207"/>
        <v>1.8599101618187692E-2</v>
      </c>
      <c r="U762" s="22">
        <f t="shared" si="207"/>
        <v>4.1335323674744497E-2</v>
      </c>
      <c r="V762" s="22">
        <f t="shared" si="207"/>
        <v>4.2244056956773843E-2</v>
      </c>
      <c r="W762" s="22">
        <f t="shared" si="207"/>
        <v>4.3115523568410363E-2</v>
      </c>
      <c r="X762" s="22">
        <f t="shared" si="207"/>
        <v>4.3942027126697474E-2</v>
      </c>
      <c r="Y762" s="22">
        <f t="shared" si="207"/>
        <v>4.4713130877516903E-2</v>
      </c>
      <c r="Z762" s="22">
        <f t="shared" si="207"/>
        <v>4.5425464748643458E-2</v>
      </c>
      <c r="AA762" s="22">
        <f t="shared" si="207"/>
        <v>4.6075599059895E-2</v>
      </c>
      <c r="AB762" s="22">
        <f t="shared" si="207"/>
        <v>4.666057526853875E-2</v>
      </c>
      <c r="AC762" s="22">
        <f t="shared" si="207"/>
        <v>4.7177797153361963E-2</v>
      </c>
      <c r="AD762" s="22">
        <f t="shared" si="207"/>
        <v>4.762476340679795E-2</v>
      </c>
      <c r="AE762" s="22">
        <f t="shared" si="207"/>
        <v>4.7999511889239711E-2</v>
      </c>
      <c r="AF762" s="22">
        <f t="shared" si="207"/>
        <v>4.8300272482139597E-2</v>
      </c>
      <c r="AG762" s="22">
        <f t="shared" si="207"/>
        <v>4.8525470849872195E-2</v>
      </c>
      <c r="AH762" s="22">
        <f t="shared" si="207"/>
        <v>4.8674159183630092E-2</v>
      </c>
      <c r="AI762" s="22">
        <f t="shared" si="207"/>
        <v>4.8745846953258828E-2</v>
      </c>
      <c r="AJ762" s="22">
        <f t="shared" si="207"/>
        <v>6.3546724312553964E-3</v>
      </c>
      <c r="AK762" s="22">
        <f t="shared" si="207"/>
        <v>6.4013115626169702E-3</v>
      </c>
      <c r="AL762" s="22">
        <f t="shared" si="207"/>
        <v>6.446794570043473E-3</v>
      </c>
      <c r="AM762" s="22">
        <f t="shared" si="207"/>
        <v>6.4911899708581184E-3</v>
      </c>
      <c r="AN762" s="22">
        <f t="shared" si="207"/>
        <v>6.5345767491159093E-3</v>
      </c>
      <c r="AO762" s="22">
        <f t="shared" si="207"/>
        <v>6.5767770115873272E-3</v>
      </c>
      <c r="AP762" s="22">
        <f t="shared" si="207"/>
        <v>6.6176736088844742E-3</v>
      </c>
      <c r="AQ762" s="22">
        <f t="shared" si="207"/>
        <v>6.6572579134014679E-3</v>
      </c>
      <c r="AR762" s="22">
        <f t="shared" si="207"/>
        <v>6.6953903792422425E-3</v>
      </c>
      <c r="AS762" s="22">
        <f t="shared" si="207"/>
        <v>6.7319156561258262E-3</v>
      </c>
      <c r="AT762" s="22">
        <f t="shared" si="207"/>
        <v>6.7668201581545509E-3</v>
      </c>
      <c r="AU762" s="22">
        <f t="shared" si="207"/>
        <v>6.8001333252020657E-3</v>
      </c>
      <c r="AV762" s="22">
        <f t="shared" si="207"/>
        <v>6.8318771364297487E-3</v>
      </c>
      <c r="AW762" s="22">
        <f t="shared" si="207"/>
        <v>6.8619001030845884E-3</v>
      </c>
      <c r="AY762" s="79"/>
      <c r="AZ762" s="79"/>
    </row>
    <row r="763" spans="1:52" x14ac:dyDescent="0.25">
      <c r="A763" s="95" t="str">
        <f t="shared" si="176"/>
        <v>NI MM Leaching</v>
      </c>
      <c r="B763" s="95" t="s">
        <v>969</v>
      </c>
      <c r="C763" s="95" t="s">
        <v>1333</v>
      </c>
      <c r="D763" t="s">
        <v>369</v>
      </c>
      <c r="E763" t="s">
        <v>64</v>
      </c>
      <c r="F763" t="s">
        <v>63</v>
      </c>
      <c r="G763" t="s">
        <v>1182</v>
      </c>
      <c r="H763" t="s">
        <v>1321</v>
      </c>
      <c r="I763" t="s">
        <v>139</v>
      </c>
      <c r="J763" t="s">
        <v>287</v>
      </c>
      <c r="K763" s="22">
        <f t="shared" ref="K763:AW763" si="208">K1562</f>
        <v>7.7585797913229351E-2</v>
      </c>
      <c r="L763" s="22">
        <f t="shared" si="208"/>
        <v>7.8607464197542484E-2</v>
      </c>
      <c r="M763" s="22">
        <f t="shared" si="208"/>
        <v>8.0248553313821205E-2</v>
      </c>
      <c r="N763" s="22">
        <f t="shared" si="208"/>
        <v>8.0719757945382303E-2</v>
      </c>
      <c r="O763" s="22">
        <f t="shared" si="208"/>
        <v>8.0430818839717741E-2</v>
      </c>
      <c r="P763" s="22">
        <f t="shared" si="208"/>
        <v>7.938481013134728E-2</v>
      </c>
      <c r="Q763" s="22">
        <f t="shared" si="208"/>
        <v>7.8944464359385638E-2</v>
      </c>
      <c r="R763" s="22">
        <f t="shared" si="208"/>
        <v>7.8604018955287347E-2</v>
      </c>
      <c r="S763" s="22">
        <f t="shared" si="208"/>
        <v>6.8551548491341041E-2</v>
      </c>
      <c r="T763" s="22">
        <f t="shared" si="208"/>
        <v>7.3739546332348721E-2</v>
      </c>
      <c r="U763" s="22">
        <f t="shared" si="208"/>
        <v>0.32063801867343739</v>
      </c>
      <c r="V763" s="22">
        <f t="shared" si="208"/>
        <v>0.3263865261169076</v>
      </c>
      <c r="W763" s="22">
        <f t="shared" si="208"/>
        <v>0.3314934571329114</v>
      </c>
      <c r="X763" s="22">
        <f t="shared" si="208"/>
        <v>0.33598061783359728</v>
      </c>
      <c r="Y763" s="22">
        <f t="shared" si="208"/>
        <v>0.33990898947079762</v>
      </c>
      <c r="Z763" s="22">
        <f t="shared" si="208"/>
        <v>0.3432491056284519</v>
      </c>
      <c r="AA763" s="22">
        <f t="shared" si="208"/>
        <v>0.345978344064029</v>
      </c>
      <c r="AB763" s="22">
        <f t="shared" si="208"/>
        <v>0.34807446920762175</v>
      </c>
      <c r="AC763" s="22">
        <f t="shared" si="208"/>
        <v>0.34951764979405581</v>
      </c>
      <c r="AD763" s="22">
        <f t="shared" si="208"/>
        <v>0.35029436297093797</v>
      </c>
      <c r="AE763" s="22">
        <f t="shared" si="208"/>
        <v>0.3503920713528586</v>
      </c>
      <c r="AF763" s="22">
        <f t="shared" si="208"/>
        <v>0.34980401942204614</v>
      </c>
      <c r="AG763" s="22">
        <f t="shared" si="208"/>
        <v>0.34852938630195235</v>
      </c>
      <c r="AH763" s="22">
        <f t="shared" si="208"/>
        <v>0.34656807266355577</v>
      </c>
      <c r="AI763" s="22">
        <f t="shared" si="208"/>
        <v>0.34392301643743828</v>
      </c>
      <c r="AJ763" s="22">
        <f t="shared" si="208"/>
        <v>-7.3441689918994316E-2</v>
      </c>
      <c r="AK763" s="22">
        <f t="shared" si="208"/>
        <v>-7.3545621673456185E-2</v>
      </c>
      <c r="AL763" s="22">
        <f t="shared" si="208"/>
        <v>-7.3639730110431498E-2</v>
      </c>
      <c r="AM763" s="22">
        <f t="shared" si="208"/>
        <v>-7.3724815505769356E-2</v>
      </c>
      <c r="AN763" s="22">
        <f t="shared" si="208"/>
        <v>-7.3801792793217899E-2</v>
      </c>
      <c r="AO763" s="22">
        <f t="shared" si="208"/>
        <v>-7.386851362361406E-2</v>
      </c>
      <c r="AP763" s="22">
        <f t="shared" si="208"/>
        <v>-7.3923604247027361E-2</v>
      </c>
      <c r="AQ763" s="22">
        <f t="shared" si="208"/>
        <v>-7.3967002295391979E-2</v>
      </c>
      <c r="AR763" s="22">
        <f t="shared" si="208"/>
        <v>-7.3997124044251614E-2</v>
      </c>
      <c r="AS763" s="22">
        <f t="shared" si="208"/>
        <v>-7.4012242065131795E-2</v>
      </c>
      <c r="AT763" s="22">
        <f t="shared" si="208"/>
        <v>-7.4012306856669818E-2</v>
      </c>
      <c r="AU763" s="22">
        <f t="shared" si="208"/>
        <v>-7.3997766932053066E-2</v>
      </c>
      <c r="AV763" s="22">
        <f t="shared" si="208"/>
        <v>-7.3968978731960316E-2</v>
      </c>
      <c r="AW763" s="22">
        <f t="shared" si="208"/>
        <v>-7.3924322860586755E-2</v>
      </c>
      <c r="AY763" s="79"/>
      <c r="AZ763" s="79"/>
    </row>
    <row r="764" spans="1:52" x14ac:dyDescent="0.25">
      <c r="A764" s="95"/>
      <c r="B764" s="95"/>
      <c r="C764" s="95"/>
    </row>
    <row r="765" spans="1:52" x14ac:dyDescent="0.25">
      <c r="A765" s="95" t="str">
        <f t="shared" si="176"/>
        <v>BD Cattle</v>
      </c>
      <c r="B765" s="95" t="s">
        <v>1228</v>
      </c>
      <c r="C765" s="95" t="s">
        <v>1108</v>
      </c>
      <c r="D765" t="s">
        <v>15</v>
      </c>
      <c r="E765" t="s">
        <v>16</v>
      </c>
      <c r="F765" t="s">
        <v>6</v>
      </c>
      <c r="G765" t="s">
        <v>136</v>
      </c>
      <c r="H765" t="s">
        <v>1020</v>
      </c>
      <c r="I765" t="s">
        <v>121</v>
      </c>
      <c r="J765" t="s">
        <v>286</v>
      </c>
      <c r="K765" s="27">
        <f>K1379</f>
        <v>72.246065125367707</v>
      </c>
      <c r="L765" s="27">
        <f t="shared" ref="L765:AW772" si="209">L1379</f>
        <v>72.649957574793405</v>
      </c>
      <c r="M765" s="27">
        <f t="shared" si="209"/>
        <v>73.223011790998029</v>
      </c>
      <c r="N765" s="27">
        <f t="shared" si="209"/>
        <v>73.591260167761035</v>
      </c>
      <c r="O765" s="27">
        <f t="shared" si="209"/>
        <v>73.83596289834658</v>
      </c>
      <c r="P765" s="27">
        <f t="shared" si="209"/>
        <v>73.954711561483919</v>
      </c>
      <c r="Q765" s="27">
        <f t="shared" si="209"/>
        <v>74.217071552078707</v>
      </c>
      <c r="R765" s="27">
        <f t="shared" si="209"/>
        <v>74.518042528471327</v>
      </c>
      <c r="S765" s="27">
        <f t="shared" si="209"/>
        <v>72.400641735612226</v>
      </c>
      <c r="T765" s="27">
        <f t="shared" si="209"/>
        <v>73.646397311613569</v>
      </c>
      <c r="U765" s="27">
        <f t="shared" si="209"/>
        <v>126.71451623908638</v>
      </c>
      <c r="V765" s="27">
        <f t="shared" si="209"/>
        <v>128.24200058803578</v>
      </c>
      <c r="W765" s="27">
        <f t="shared" si="209"/>
        <v>129.70248573615504</v>
      </c>
      <c r="X765" s="27">
        <f t="shared" si="209"/>
        <v>131.07112915343163</v>
      </c>
      <c r="Y765" s="27">
        <f t="shared" si="209"/>
        <v>132.31138089682617</v>
      </c>
      <c r="Z765" s="27">
        <f t="shared" si="209"/>
        <v>133.41744896278323</v>
      </c>
      <c r="AA765" s="27">
        <f t="shared" si="209"/>
        <v>134.38288992099422</v>
      </c>
      <c r="AB765" s="27">
        <f t="shared" si="209"/>
        <v>135.20282704552554</v>
      </c>
      <c r="AC765" s="27">
        <f t="shared" si="209"/>
        <v>135.87339274665732</v>
      </c>
      <c r="AD765" s="27">
        <f t="shared" si="209"/>
        <v>136.39052131842715</v>
      </c>
      <c r="AE765" s="27">
        <f t="shared" si="209"/>
        <v>136.75177878147903</v>
      </c>
      <c r="AF765" s="27">
        <f t="shared" si="209"/>
        <v>136.95483040988077</v>
      </c>
      <c r="AG765" s="27">
        <f t="shared" si="209"/>
        <v>136.99742056904799</v>
      </c>
      <c r="AH765" s="27">
        <f t="shared" si="209"/>
        <v>136.87913733677345</v>
      </c>
      <c r="AI765" s="27">
        <f t="shared" si="209"/>
        <v>136.60065411000454</v>
      </c>
      <c r="AJ765" s="27">
        <f t="shared" si="209"/>
        <v>43.218084806671186</v>
      </c>
      <c r="AK765" s="27">
        <f t="shared" si="209"/>
        <v>43.249633283301115</v>
      </c>
      <c r="AL765" s="27">
        <f t="shared" si="209"/>
        <v>43.278910692305409</v>
      </c>
      <c r="AM765" s="27">
        <f t="shared" si="209"/>
        <v>43.306115085271941</v>
      </c>
      <c r="AN765" s="27">
        <f t="shared" si="209"/>
        <v>43.331490420249878</v>
      </c>
      <c r="AO765" s="27">
        <f t="shared" si="209"/>
        <v>43.354240288744201</v>
      </c>
      <c r="AP765" s="27">
        <f t="shared" si="209"/>
        <v>43.373829871792871</v>
      </c>
      <c r="AQ765" s="27">
        <f t="shared" si="209"/>
        <v>43.390173404871973</v>
      </c>
      <c r="AR765" s="27">
        <f t="shared" si="209"/>
        <v>43.402664060341642</v>
      </c>
      <c r="AS765" s="27">
        <f t="shared" si="209"/>
        <v>43.410643013134724</v>
      </c>
      <c r="AT765" s="27">
        <f t="shared" si="209"/>
        <v>43.414028889166616</v>
      </c>
      <c r="AU765" s="27">
        <f t="shared" si="209"/>
        <v>43.412915266479416</v>
      </c>
      <c r="AV765" s="27">
        <f t="shared" si="209"/>
        <v>43.407367404961896</v>
      </c>
      <c r="AW765" s="27">
        <f t="shared" si="209"/>
        <v>43.396765644330657</v>
      </c>
      <c r="AY765" s="79"/>
      <c r="AZ765" s="79"/>
    </row>
    <row r="766" spans="1:52" x14ac:dyDescent="0.25">
      <c r="A766" s="95" t="str">
        <f t="shared" si="176"/>
        <v>BD Cattle</v>
      </c>
      <c r="B766" s="95" t="s">
        <v>1228</v>
      </c>
      <c r="C766" s="95" t="s">
        <v>1108</v>
      </c>
      <c r="D766" t="s">
        <v>15</v>
      </c>
      <c r="E766" t="s">
        <v>16</v>
      </c>
      <c r="F766" t="s">
        <v>6</v>
      </c>
      <c r="G766" t="s">
        <v>137</v>
      </c>
      <c r="H766" t="s">
        <v>1020</v>
      </c>
      <c r="I766" t="s">
        <v>121</v>
      </c>
      <c r="J766" t="s">
        <v>286</v>
      </c>
      <c r="K766" s="27">
        <f t="shared" ref="K766:Z778" si="210">K1380</f>
        <v>57.783598896292567</v>
      </c>
      <c r="L766" s="27">
        <f t="shared" si="210"/>
        <v>58.1066387636453</v>
      </c>
      <c r="M766" s="27">
        <f t="shared" si="210"/>
        <v>58.564977012483297</v>
      </c>
      <c r="N766" s="27">
        <f t="shared" si="210"/>
        <v>58.859508160444918</v>
      </c>
      <c r="O766" s="27">
        <f t="shared" si="210"/>
        <v>59.055225455337663</v>
      </c>
      <c r="P766" s="27">
        <f t="shared" si="210"/>
        <v>59.150202601958618</v>
      </c>
      <c r="Q766" s="27">
        <f t="shared" si="210"/>
        <v>59.360042465716688</v>
      </c>
      <c r="R766" s="27">
        <f t="shared" si="210"/>
        <v>59.600764035107616</v>
      </c>
      <c r="S766" s="27">
        <f t="shared" si="210"/>
        <v>57.907231828129312</v>
      </c>
      <c r="T766" s="27">
        <f t="shared" si="210"/>
        <v>58.903607760874827</v>
      </c>
      <c r="U766" s="27">
        <f t="shared" si="210"/>
        <v>101.34836780371782</v>
      </c>
      <c r="V766" s="27">
        <f t="shared" si="210"/>
        <v>102.57007507299116</v>
      </c>
      <c r="W766" s="27">
        <f t="shared" si="210"/>
        <v>103.73819527229158</v>
      </c>
      <c r="X766" s="27">
        <f t="shared" si="210"/>
        <v>104.83285893485541</v>
      </c>
      <c r="Y766" s="27">
        <f t="shared" si="210"/>
        <v>105.82483281116795</v>
      </c>
      <c r="Z766" s="27">
        <f t="shared" si="210"/>
        <v>106.70948436090084</v>
      </c>
      <c r="AA766" s="27">
        <f t="shared" si="209"/>
        <v>107.48166002182452</v>
      </c>
      <c r="AB766" s="27">
        <f t="shared" si="209"/>
        <v>108.13745930780478</v>
      </c>
      <c r="AC766" s="27">
        <f t="shared" si="209"/>
        <v>108.67378885655694</v>
      </c>
      <c r="AD766" s="27">
        <f t="shared" si="209"/>
        <v>109.087396849146</v>
      </c>
      <c r="AE766" s="27">
        <f t="shared" si="209"/>
        <v>109.37633654858924</v>
      </c>
      <c r="AF766" s="27">
        <f t="shared" si="209"/>
        <v>109.5387406024356</v>
      </c>
      <c r="AG766" s="27">
        <f t="shared" si="209"/>
        <v>109.57280491680314</v>
      </c>
      <c r="AH766" s="27">
        <f t="shared" si="209"/>
        <v>109.47820002949129</v>
      </c>
      <c r="AI766" s="27">
        <f t="shared" si="209"/>
        <v>109.25546453452645</v>
      </c>
      <c r="AJ766" s="27">
        <f t="shared" si="209"/>
        <v>34.566539689062871</v>
      </c>
      <c r="AK766" s="27">
        <f t="shared" si="209"/>
        <v>34.591772682945773</v>
      </c>
      <c r="AL766" s="27">
        <f t="shared" si="209"/>
        <v>34.61518923934495</v>
      </c>
      <c r="AM766" s="27">
        <f t="shared" si="209"/>
        <v>34.636947763199053</v>
      </c>
      <c r="AN766" s="27">
        <f t="shared" si="209"/>
        <v>34.657243376194444</v>
      </c>
      <c r="AO766" s="27">
        <f t="shared" si="209"/>
        <v>34.675439097632541</v>
      </c>
      <c r="AP766" s="27">
        <f t="shared" si="209"/>
        <v>34.691107170453741</v>
      </c>
      <c r="AQ766" s="27">
        <f t="shared" si="209"/>
        <v>34.704178998772043</v>
      </c>
      <c r="AR766" s="27">
        <f t="shared" si="209"/>
        <v>34.714169231795225</v>
      </c>
      <c r="AS766" s="27">
        <f t="shared" si="209"/>
        <v>34.720550930327988</v>
      </c>
      <c r="AT766" s="27">
        <f t="shared" si="209"/>
        <v>34.723259010030318</v>
      </c>
      <c r="AU766" s="27">
        <f t="shared" si="209"/>
        <v>34.722368316169444</v>
      </c>
      <c r="AV766" s="27">
        <f t="shared" si="209"/>
        <v>34.717931044684789</v>
      </c>
      <c r="AW766" s="27">
        <f t="shared" si="209"/>
        <v>34.709451581023373</v>
      </c>
      <c r="AY766" s="79"/>
      <c r="AZ766" s="79"/>
    </row>
    <row r="767" spans="1:52" x14ac:dyDescent="0.25">
      <c r="A767" s="95" t="str">
        <f t="shared" si="176"/>
        <v>BD Cattle</v>
      </c>
      <c r="B767" s="95" t="s">
        <v>1228</v>
      </c>
      <c r="C767" s="95" t="s">
        <v>1108</v>
      </c>
      <c r="D767" t="s">
        <v>15</v>
      </c>
      <c r="E767" t="s">
        <v>16</v>
      </c>
      <c r="F767" t="s">
        <v>67</v>
      </c>
      <c r="G767" t="s">
        <v>307</v>
      </c>
      <c r="H767" t="s">
        <v>1020</v>
      </c>
      <c r="I767" t="s">
        <v>121</v>
      </c>
      <c r="J767" t="s">
        <v>286</v>
      </c>
      <c r="K767" s="27">
        <f t="shared" si="210"/>
        <v>26.126191807126649</v>
      </c>
      <c r="L767" s="27">
        <f t="shared" si="209"/>
        <v>26.272250579806308</v>
      </c>
      <c r="M767" s="27">
        <f t="shared" si="209"/>
        <v>26.479482964607669</v>
      </c>
      <c r="N767" s="27">
        <f t="shared" si="209"/>
        <v>26.61265184663991</v>
      </c>
      <c r="O767" s="27">
        <f t="shared" si="209"/>
        <v>26.701143177813606</v>
      </c>
      <c r="P767" s="27">
        <f t="shared" si="209"/>
        <v>26.744086005835896</v>
      </c>
      <c r="Q767" s="27">
        <f t="shared" si="209"/>
        <v>26.838962694620271</v>
      </c>
      <c r="R767" s="27">
        <f t="shared" si="209"/>
        <v>26.947802192577253</v>
      </c>
      <c r="S767" s="27">
        <f t="shared" si="209"/>
        <v>26.182091019923025</v>
      </c>
      <c r="T767" s="27">
        <f t="shared" si="209"/>
        <v>26.632590975414445</v>
      </c>
      <c r="U767" s="27">
        <f t="shared" si="209"/>
        <v>45.823502640107073</v>
      </c>
      <c r="V767" s="27">
        <f t="shared" si="209"/>
        <v>46.375883576200764</v>
      </c>
      <c r="W767" s="27">
        <f t="shared" si="209"/>
        <v>46.904035732930822</v>
      </c>
      <c r="X767" s="27">
        <f t="shared" si="209"/>
        <v>47.398975358684552</v>
      </c>
      <c r="Y767" s="27">
        <f t="shared" si="209"/>
        <v>47.847484974825178</v>
      </c>
      <c r="Z767" s="27">
        <f t="shared" si="209"/>
        <v>48.2474700313509</v>
      </c>
      <c r="AA767" s="27">
        <f t="shared" si="209"/>
        <v>48.5966004041803</v>
      </c>
      <c r="AB767" s="27">
        <f t="shared" si="209"/>
        <v>48.893112533223132</v>
      </c>
      <c r="AC767" s="27">
        <f t="shared" si="209"/>
        <v>49.135607790184835</v>
      </c>
      <c r="AD767" s="27">
        <f t="shared" si="209"/>
        <v>49.322615902412963</v>
      </c>
      <c r="AE767" s="27">
        <f t="shared" si="209"/>
        <v>49.453256675098231</v>
      </c>
      <c r="AF767" s="27">
        <f t="shared" si="209"/>
        <v>49.526685806237325</v>
      </c>
      <c r="AG767" s="27">
        <f t="shared" si="209"/>
        <v>49.542087595463748</v>
      </c>
      <c r="AH767" s="27">
        <f t="shared" si="209"/>
        <v>49.499313080220467</v>
      </c>
      <c r="AI767" s="27">
        <f t="shared" si="209"/>
        <v>49.398605779622059</v>
      </c>
      <c r="AJ767" s="27">
        <f t="shared" si="209"/>
        <v>15.628864648010964</v>
      </c>
      <c r="AK767" s="27">
        <f t="shared" si="209"/>
        <v>15.640273456922923</v>
      </c>
      <c r="AL767" s="27">
        <f t="shared" si="209"/>
        <v>15.650860984450333</v>
      </c>
      <c r="AM767" s="27">
        <f t="shared" si="209"/>
        <v>15.660698851570245</v>
      </c>
      <c r="AN767" s="27">
        <f t="shared" si="209"/>
        <v>15.669875280316276</v>
      </c>
      <c r="AO767" s="27">
        <f t="shared" si="209"/>
        <v>15.678102267167921</v>
      </c>
      <c r="AP767" s="27">
        <f t="shared" si="209"/>
        <v>15.685186406674521</v>
      </c>
      <c r="AQ767" s="27">
        <f t="shared" si="209"/>
        <v>15.691096683992601</v>
      </c>
      <c r="AR767" s="27">
        <f t="shared" si="209"/>
        <v>15.695613653325545</v>
      </c>
      <c r="AS767" s="27">
        <f t="shared" si="209"/>
        <v>15.698499065157048</v>
      </c>
      <c r="AT767" s="27">
        <f t="shared" si="209"/>
        <v>15.699723492348907</v>
      </c>
      <c r="AU767" s="27">
        <f t="shared" si="209"/>
        <v>15.699320775330669</v>
      </c>
      <c r="AV767" s="27">
        <f t="shared" si="209"/>
        <v>15.697314513897963</v>
      </c>
      <c r="AW767" s="27">
        <f t="shared" si="209"/>
        <v>15.693480621612418</v>
      </c>
      <c r="AY767" s="79"/>
      <c r="AZ767" s="79"/>
    </row>
    <row r="768" spans="1:52" x14ac:dyDescent="0.25">
      <c r="A768" s="95" t="str">
        <f t="shared" si="176"/>
        <v>BD Cattle</v>
      </c>
      <c r="B768" s="95" t="s">
        <v>1228</v>
      </c>
      <c r="C768" s="95" t="s">
        <v>1108</v>
      </c>
      <c r="D768" t="s">
        <v>15</v>
      </c>
      <c r="E768" t="s">
        <v>16</v>
      </c>
      <c r="F768" t="s">
        <v>67</v>
      </c>
      <c r="G768" t="s">
        <v>122</v>
      </c>
      <c r="H768" t="s">
        <v>1020</v>
      </c>
      <c r="I768" t="s">
        <v>121</v>
      </c>
      <c r="J768" t="s">
        <v>286</v>
      </c>
      <c r="K768" s="27">
        <f t="shared" si="210"/>
        <v>463.23498593143177</v>
      </c>
      <c r="L768" s="27">
        <f t="shared" si="209"/>
        <v>459.21749683621613</v>
      </c>
      <c r="M768" s="27">
        <f t="shared" si="209"/>
        <v>457.68816035731243</v>
      </c>
      <c r="N768" s="27">
        <f t="shared" si="209"/>
        <v>451.57633407663542</v>
      </c>
      <c r="O768" s="27">
        <f t="shared" si="209"/>
        <v>442.70486896910717</v>
      </c>
      <c r="P768" s="27">
        <f t="shared" si="209"/>
        <v>431.25721304480419</v>
      </c>
      <c r="Q768" s="27">
        <f t="shared" si="209"/>
        <v>422.22811200839209</v>
      </c>
      <c r="R768" s="27">
        <f t="shared" si="209"/>
        <v>413.6855559628558</v>
      </c>
      <c r="S768" s="27">
        <f t="shared" si="209"/>
        <v>369.96675064639845</v>
      </c>
      <c r="T768" s="27">
        <f t="shared" si="209"/>
        <v>384.22044526495358</v>
      </c>
      <c r="U768" s="27">
        <f t="shared" si="209"/>
        <v>1210.9459030996998</v>
      </c>
      <c r="V768" s="27">
        <f t="shared" si="209"/>
        <v>1216.7867544029255</v>
      </c>
      <c r="W768" s="27">
        <f t="shared" si="209"/>
        <v>1220.5248847970281</v>
      </c>
      <c r="X768" s="27">
        <f t="shared" si="209"/>
        <v>1222.1595328966084</v>
      </c>
      <c r="Y768" s="27">
        <f t="shared" si="209"/>
        <v>1221.7253267296187</v>
      </c>
      <c r="Z768" s="27">
        <f t="shared" si="209"/>
        <v>1219.2014537371233</v>
      </c>
      <c r="AA768" s="27">
        <f t="shared" si="209"/>
        <v>1214.5817314826613</v>
      </c>
      <c r="AB768" s="27">
        <f t="shared" si="209"/>
        <v>1207.8699823574666</v>
      </c>
      <c r="AC768" s="27">
        <f t="shared" si="209"/>
        <v>1199.081298415254</v>
      </c>
      <c r="AD768" s="27">
        <f t="shared" si="209"/>
        <v>1178.2591392805034</v>
      </c>
      <c r="AE768" s="27">
        <f t="shared" si="209"/>
        <v>1155.4756644581196</v>
      </c>
      <c r="AF768" s="27">
        <f t="shared" si="209"/>
        <v>1130.8332446231877</v>
      </c>
      <c r="AG768" s="27">
        <f t="shared" si="209"/>
        <v>1104.4458826711734</v>
      </c>
      <c r="AH768" s="27">
        <f t="shared" si="209"/>
        <v>1076.4349444121476</v>
      </c>
      <c r="AI768" s="27">
        <f t="shared" si="209"/>
        <v>1046.9296670550386</v>
      </c>
      <c r="AJ768" s="27">
        <f t="shared" si="209"/>
        <v>-80.836782317903939</v>
      </c>
      <c r="AK768" s="27">
        <f t="shared" si="209"/>
        <v>-78.890466200610106</v>
      </c>
      <c r="AL768" s="27">
        <f t="shared" si="209"/>
        <v>-76.96440050927697</v>
      </c>
      <c r="AM768" s="27">
        <f t="shared" si="209"/>
        <v>-75.058386316845628</v>
      </c>
      <c r="AN768" s="27">
        <f t="shared" si="209"/>
        <v>-73.545633197869449</v>
      </c>
      <c r="AO768" s="27">
        <f t="shared" si="209"/>
        <v>-72.047230196727966</v>
      </c>
      <c r="AP768" s="27">
        <f t="shared" si="209"/>
        <v>-70.562062843287677</v>
      </c>
      <c r="AQ768" s="27">
        <f t="shared" si="209"/>
        <v>-69.089763252231094</v>
      </c>
      <c r="AR768" s="27">
        <f t="shared" si="209"/>
        <v>-67.629255024927176</v>
      </c>
      <c r="AS768" s="27">
        <f t="shared" si="209"/>
        <v>-66.179484044667291</v>
      </c>
      <c r="AT768" s="27">
        <f t="shared" si="209"/>
        <v>-64.740281014136201</v>
      </c>
      <c r="AU768" s="27">
        <f t="shared" si="209"/>
        <v>-63.311734849146887</v>
      </c>
      <c r="AV768" s="27">
        <f t="shared" si="209"/>
        <v>-61.893900094857884</v>
      </c>
      <c r="AW768" s="27">
        <f t="shared" si="209"/>
        <v>-60.485962401496174</v>
      </c>
      <c r="AY768" s="79"/>
      <c r="AZ768" s="79"/>
    </row>
    <row r="769" spans="1:52" x14ac:dyDescent="0.25">
      <c r="A769" s="95" t="str">
        <f t="shared" si="176"/>
        <v>BD Cattle</v>
      </c>
      <c r="B769" s="95" t="s">
        <v>1228</v>
      </c>
      <c r="C769" s="95" t="s">
        <v>1108</v>
      </c>
      <c r="D769" t="s">
        <v>15</v>
      </c>
      <c r="E769" t="s">
        <v>16</v>
      </c>
      <c r="F769" t="s">
        <v>67</v>
      </c>
      <c r="G769" t="s">
        <v>123</v>
      </c>
      <c r="H769" t="s">
        <v>1020</v>
      </c>
      <c r="I769" t="s">
        <v>121</v>
      </c>
      <c r="J769" t="s">
        <v>286</v>
      </c>
      <c r="K769" s="27">
        <f t="shared" si="210"/>
        <v>326.20040935577731</v>
      </c>
      <c r="L769" s="27">
        <f t="shared" si="209"/>
        <v>323.37137738012325</v>
      </c>
      <c r="M769" s="27">
        <f t="shared" si="209"/>
        <v>322.29445054900742</v>
      </c>
      <c r="N769" s="27">
        <f t="shared" si="209"/>
        <v>317.99063003627231</v>
      </c>
      <c r="O769" s="27">
        <f t="shared" si="209"/>
        <v>311.74352945546792</v>
      </c>
      <c r="P769" s="27">
        <f t="shared" si="209"/>
        <v>303.68232906672068</v>
      </c>
      <c r="Q769" s="27">
        <f t="shared" si="209"/>
        <v>297.32422455466593</v>
      </c>
      <c r="R769" s="27">
        <f t="shared" si="209"/>
        <v>291.30873487096767</v>
      </c>
      <c r="S769" s="27">
        <f t="shared" si="209"/>
        <v>260.52286458075423</v>
      </c>
      <c r="T769" s="27">
        <f t="shared" si="209"/>
        <v>270.56001885582697</v>
      </c>
      <c r="U769" s="27">
        <f t="shared" si="209"/>
        <v>852.72283246173731</v>
      </c>
      <c r="V769" s="27">
        <f t="shared" si="209"/>
        <v>856.83583805061244</v>
      </c>
      <c r="W769" s="27">
        <f t="shared" si="209"/>
        <v>859.46815145917253</v>
      </c>
      <c r="X769" s="27">
        <f t="shared" si="209"/>
        <v>860.61923653571034</v>
      </c>
      <c r="Y769" s="27">
        <f t="shared" si="209"/>
        <v>860.31347761482039</v>
      </c>
      <c r="Z769" s="27">
        <f t="shared" si="209"/>
        <v>858.53621892685965</v>
      </c>
      <c r="AA769" s="27">
        <f t="shared" si="209"/>
        <v>855.28310692910031</v>
      </c>
      <c r="AB769" s="27">
        <f t="shared" si="209"/>
        <v>850.55683326967551</v>
      </c>
      <c r="AC769" s="27">
        <f t="shared" si="209"/>
        <v>844.36802545783894</v>
      </c>
      <c r="AD769" s="27">
        <f t="shared" si="209"/>
        <v>829.70549555464197</v>
      </c>
      <c r="AE769" s="27">
        <f t="shared" si="209"/>
        <v>813.66184807696902</v>
      </c>
      <c r="AF769" s="27">
        <f t="shared" si="209"/>
        <v>796.30917031773436</v>
      </c>
      <c r="AG769" s="27">
        <f t="shared" si="209"/>
        <v>777.72774073667881</v>
      </c>
      <c r="AH769" s="27">
        <f t="shared" si="209"/>
        <v>758.0030226043441</v>
      </c>
      <c r="AI769" s="27">
        <f t="shared" si="209"/>
        <v>737.22602206606996</v>
      </c>
      <c r="AJ769" s="27">
        <f t="shared" si="209"/>
        <v>-56.923575040610757</v>
      </c>
      <c r="AK769" s="27">
        <f t="shared" si="209"/>
        <v>-55.553019850526375</v>
      </c>
      <c r="AL769" s="27">
        <f t="shared" si="209"/>
        <v>-54.19672458777611</v>
      </c>
      <c r="AM769" s="27">
        <f t="shared" si="209"/>
        <v>-52.854549172076716</v>
      </c>
      <c r="AN769" s="27">
        <f t="shared" si="209"/>
        <v>-51.78929999692631</v>
      </c>
      <c r="AO769" s="27">
        <f t="shared" si="209"/>
        <v>-50.734155875267454</v>
      </c>
      <c r="AP769" s="27">
        <f t="shared" si="209"/>
        <v>-49.688332020491153</v>
      </c>
      <c r="AQ769" s="27">
        <f t="shared" si="209"/>
        <v>-48.651569375434605</v>
      </c>
      <c r="AR769" s="27">
        <f t="shared" si="209"/>
        <v>-47.623109962646353</v>
      </c>
      <c r="AS769" s="27">
        <f t="shared" si="209"/>
        <v>-46.60221149513962</v>
      </c>
      <c r="AT769" s="27">
        <f t="shared" si="209"/>
        <v>-45.588754757278259</v>
      </c>
      <c r="AU769" s="27">
        <f t="shared" si="209"/>
        <v>-44.582802361722123</v>
      </c>
      <c r="AV769" s="27">
        <f t="shared" si="209"/>
        <v>-43.584392718033477</v>
      </c>
      <c r="AW769" s="27">
        <f t="shared" si="209"/>
        <v>-42.59295237809765</v>
      </c>
      <c r="AY769" s="79"/>
      <c r="AZ769" s="79"/>
    </row>
    <row r="770" spans="1:52" x14ac:dyDescent="0.25">
      <c r="A770" s="95" t="str">
        <f t="shared" si="176"/>
        <v>BD Cattle</v>
      </c>
      <c r="B770" s="95" t="s">
        <v>1228</v>
      </c>
      <c r="C770" s="95" t="s">
        <v>1108</v>
      </c>
      <c r="D770" t="s">
        <v>15</v>
      </c>
      <c r="E770" t="s">
        <v>16</v>
      </c>
      <c r="F770" t="s">
        <v>67</v>
      </c>
      <c r="G770" t="s">
        <v>135</v>
      </c>
      <c r="H770" t="s">
        <v>1020</v>
      </c>
      <c r="I770" t="s">
        <v>121</v>
      </c>
      <c r="J770" t="s">
        <v>286</v>
      </c>
      <c r="K770" s="27">
        <f t="shared" si="210"/>
        <v>31.891995988947272</v>
      </c>
      <c r="L770" s="27">
        <f t="shared" si="209"/>
        <v>32.967337371253549</v>
      </c>
      <c r="M770" s="27">
        <f t="shared" si="209"/>
        <v>34.243655078433662</v>
      </c>
      <c r="N770" s="27">
        <f t="shared" si="209"/>
        <v>35.195504797614667</v>
      </c>
      <c r="O770" s="27">
        <f t="shared" si="209"/>
        <v>35.929559405213332</v>
      </c>
      <c r="P770" s="27">
        <f t="shared" si="209"/>
        <v>36.435327957872921</v>
      </c>
      <c r="Q770" s="27">
        <f t="shared" si="209"/>
        <v>37.125912791560353</v>
      </c>
      <c r="R770" s="27">
        <f t="shared" si="209"/>
        <v>37.849847328761314</v>
      </c>
      <c r="S770" s="27">
        <f t="shared" si="209"/>
        <v>35.21788884404873</v>
      </c>
      <c r="T770" s="27">
        <f t="shared" si="209"/>
        <v>37.455910775606171</v>
      </c>
      <c r="U770" s="27">
        <f t="shared" si="209"/>
        <v>120.85470894098397</v>
      </c>
      <c r="V770" s="27">
        <f t="shared" si="209"/>
        <v>124.28654564348025</v>
      </c>
      <c r="W770" s="27">
        <f t="shared" si="209"/>
        <v>127.55864590441264</v>
      </c>
      <c r="X770" s="27">
        <f t="shared" si="209"/>
        <v>130.65843671178916</v>
      </c>
      <c r="Y770" s="27">
        <f t="shared" si="209"/>
        <v>133.57680599902966</v>
      </c>
      <c r="Z770" s="27">
        <f t="shared" si="209"/>
        <v>136.29836120715478</v>
      </c>
      <c r="AA770" s="27">
        <f t="shared" si="209"/>
        <v>138.8087353610496</v>
      </c>
      <c r="AB770" s="27">
        <f t="shared" si="209"/>
        <v>141.09420138271955</v>
      </c>
      <c r="AC770" s="27">
        <f t="shared" si="209"/>
        <v>143.14192494700313</v>
      </c>
      <c r="AD770" s="27">
        <f t="shared" si="209"/>
        <v>145.32079439837173</v>
      </c>
      <c r="AE770" s="27">
        <f t="shared" si="209"/>
        <v>147.24589460251983</v>
      </c>
      <c r="AF770" s="27">
        <f t="shared" si="209"/>
        <v>148.90595700146477</v>
      </c>
      <c r="AG770" s="27">
        <f t="shared" si="209"/>
        <v>150.29119988084832</v>
      </c>
      <c r="AH770" s="27">
        <f t="shared" si="209"/>
        <v>151.39298806651198</v>
      </c>
      <c r="AI770" s="27">
        <f t="shared" si="209"/>
        <v>152.2040963869018</v>
      </c>
      <c r="AJ770" s="27">
        <f t="shared" si="209"/>
        <v>-12.150089844770541</v>
      </c>
      <c r="AK770" s="27">
        <f t="shared" si="209"/>
        <v>-12.261292624366734</v>
      </c>
      <c r="AL770" s="27">
        <f t="shared" si="209"/>
        <v>-12.371760078813706</v>
      </c>
      <c r="AM770" s="27">
        <f t="shared" si="209"/>
        <v>-12.481547229069234</v>
      </c>
      <c r="AN770" s="27">
        <f t="shared" si="209"/>
        <v>-12.575061773814197</v>
      </c>
      <c r="AO770" s="27">
        <f t="shared" si="209"/>
        <v>-12.667641248223251</v>
      </c>
      <c r="AP770" s="27">
        <f t="shared" si="209"/>
        <v>-12.759143955764493</v>
      </c>
      <c r="AQ770" s="27">
        <f t="shared" si="209"/>
        <v>-12.849544731083009</v>
      </c>
      <c r="AR770" s="27">
        <f t="shared" si="209"/>
        <v>-12.938674897522816</v>
      </c>
      <c r="AS770" s="27">
        <f t="shared" si="209"/>
        <v>-13.02634616662869</v>
      </c>
      <c r="AT770" s="27">
        <f t="shared" si="209"/>
        <v>-13.112524146200343</v>
      </c>
      <c r="AU770" s="27">
        <f t="shared" si="209"/>
        <v>-13.197221864241371</v>
      </c>
      <c r="AV770" s="27">
        <f t="shared" si="209"/>
        <v>-13.28044453197926</v>
      </c>
      <c r="AW770" s="27">
        <f t="shared" si="209"/>
        <v>-13.362004258887673</v>
      </c>
      <c r="AY770" s="79"/>
      <c r="AZ770" s="79"/>
    </row>
    <row r="771" spans="1:52" x14ac:dyDescent="0.25">
      <c r="A771" s="95" t="str">
        <f t="shared" si="176"/>
        <v>BD Sheep</v>
      </c>
      <c r="B771" s="95" t="s">
        <v>1228</v>
      </c>
      <c r="C771" s="95" t="s">
        <v>152</v>
      </c>
      <c r="D771" t="s">
        <v>15</v>
      </c>
      <c r="E771" t="s">
        <v>16</v>
      </c>
      <c r="F771" t="s">
        <v>18</v>
      </c>
      <c r="G771" t="s">
        <v>122</v>
      </c>
      <c r="H771" t="s">
        <v>1020</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134.51556530099631</v>
      </c>
      <c r="T771" s="27">
        <f t="shared" si="209"/>
        <v>134.60509112337468</v>
      </c>
      <c r="U771" s="27">
        <f t="shared" si="209"/>
        <v>136.35833424652054</v>
      </c>
      <c r="V771" s="27">
        <f t="shared" si="209"/>
        <v>136.40110324414033</v>
      </c>
      <c r="W771" s="27">
        <f t="shared" si="209"/>
        <v>136.58404654274005</v>
      </c>
      <c r="X771" s="27">
        <f t="shared" si="209"/>
        <v>136.84849552124783</v>
      </c>
      <c r="Y771" s="27">
        <f t="shared" si="209"/>
        <v>137.09415955987274</v>
      </c>
      <c r="Z771" s="27">
        <f t="shared" si="209"/>
        <v>137.32408030952666</v>
      </c>
      <c r="AA771" s="27">
        <f t="shared" si="209"/>
        <v>137.53703172758449</v>
      </c>
      <c r="AB771" s="27">
        <f t="shared" si="209"/>
        <v>137.73493252382224</v>
      </c>
      <c r="AC771" s="27">
        <f t="shared" si="209"/>
        <v>137.92078465176073</v>
      </c>
      <c r="AD771" s="27">
        <f t="shared" si="209"/>
        <v>138.09441299579947</v>
      </c>
      <c r="AE771" s="27">
        <f t="shared" si="209"/>
        <v>138.25859465521103</v>
      </c>
      <c r="AF771" s="27">
        <f t="shared" si="209"/>
        <v>138.41372705764812</v>
      </c>
      <c r="AG771" s="27">
        <f t="shared" si="209"/>
        <v>138.55768393469623</v>
      </c>
      <c r="AH771" s="27">
        <f t="shared" si="209"/>
        <v>138.69178217062699</v>
      </c>
      <c r="AI771" s="27">
        <f t="shared" si="209"/>
        <v>138.81816108295814</v>
      </c>
      <c r="AJ771" s="27">
        <f t="shared" si="209"/>
        <v>135.77163521502163</v>
      </c>
      <c r="AK771" s="27">
        <f t="shared" si="209"/>
        <v>135.89648953385836</v>
      </c>
      <c r="AL771" s="27">
        <f t="shared" si="209"/>
        <v>136.01294647652736</v>
      </c>
      <c r="AM771" s="27">
        <f t="shared" si="209"/>
        <v>136.12171776801748</v>
      </c>
      <c r="AN771" s="27">
        <f t="shared" si="209"/>
        <v>136.22366859450332</v>
      </c>
      <c r="AO771" s="27">
        <f t="shared" si="209"/>
        <v>136.31611723482146</v>
      </c>
      <c r="AP771" s="27">
        <f t="shared" si="209"/>
        <v>136.39727280638544</v>
      </c>
      <c r="AQ771" s="27">
        <f t="shared" si="209"/>
        <v>136.46687299989276</v>
      </c>
      <c r="AR771" s="27">
        <f t="shared" si="209"/>
        <v>136.52287982045266</v>
      </c>
      <c r="AS771" s="27">
        <f t="shared" si="209"/>
        <v>136.56307802336653</v>
      </c>
      <c r="AT771" s="27">
        <f t="shared" si="209"/>
        <v>136.58721779491506</v>
      </c>
      <c r="AU771" s="27">
        <f t="shared" si="209"/>
        <v>136.59564346547165</v>
      </c>
      <c r="AV771" s="27">
        <f t="shared" si="209"/>
        <v>136.58860148831764</v>
      </c>
      <c r="AW771" s="27">
        <f t="shared" si="209"/>
        <v>136.56400681676968</v>
      </c>
      <c r="AY771" s="79"/>
      <c r="AZ771" s="79"/>
    </row>
    <row r="772" spans="1:52" x14ac:dyDescent="0.25">
      <c r="A772" s="95" t="str">
        <f t="shared" si="176"/>
        <v>BD Sheep</v>
      </c>
      <c r="B772" s="95" t="s">
        <v>1228</v>
      </c>
      <c r="C772" s="95" t="s">
        <v>152</v>
      </c>
      <c r="D772" t="s">
        <v>15</v>
      </c>
      <c r="E772" t="s">
        <v>16</v>
      </c>
      <c r="F772" t="s">
        <v>18</v>
      </c>
      <c r="G772" t="s">
        <v>123</v>
      </c>
      <c r="H772" t="s">
        <v>1020</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14.577965145623706</v>
      </c>
      <c r="T772" s="27">
        <f t="shared" si="211"/>
        <v>14.587667400640397</v>
      </c>
      <c r="U772" s="27">
        <f t="shared" si="211"/>
        <v>14.777673048565481</v>
      </c>
      <c r="V772" s="27">
        <f t="shared" si="211"/>
        <v>14.782308088051206</v>
      </c>
      <c r="W772" s="27">
        <f t="shared" si="211"/>
        <v>14.802134351462762</v>
      </c>
      <c r="X772" s="27">
        <f t="shared" si="211"/>
        <v>14.830793696445298</v>
      </c>
      <c r="Y772" s="27">
        <f t="shared" si="211"/>
        <v>14.857417245806248</v>
      </c>
      <c r="Z772" s="27">
        <f t="shared" si="211"/>
        <v>14.882334634862383</v>
      </c>
      <c r="AA772" s="27">
        <f t="shared" si="211"/>
        <v>14.905412992695631</v>
      </c>
      <c r="AB772" s="27">
        <f t="shared" si="211"/>
        <v>14.926860257206538</v>
      </c>
      <c r="AC772" s="27">
        <f t="shared" si="211"/>
        <v>14.947001761554121</v>
      </c>
      <c r="AD772" s="27">
        <f t="shared" si="211"/>
        <v>14.965818527792479</v>
      </c>
      <c r="AE772" s="27">
        <f t="shared" si="211"/>
        <v>14.983611520767653</v>
      </c>
      <c r="AF772" s="27">
        <f t="shared" si="211"/>
        <v>15.000423811231022</v>
      </c>
      <c r="AG772" s="27">
        <f t="shared" si="211"/>
        <v>15.016024967360309</v>
      </c>
      <c r="AH772" s="27">
        <f t="shared" si="211"/>
        <v>15.030557704929484</v>
      </c>
      <c r="AI772" s="27">
        <f t="shared" si="211"/>
        <v>15.044253869941933</v>
      </c>
      <c r="AJ772" s="27">
        <f t="shared" si="211"/>
        <v>14.714090235580054</v>
      </c>
      <c r="AK772" s="27">
        <f t="shared" si="211"/>
        <v>14.727621174577411</v>
      </c>
      <c r="AL772" s="27">
        <f t="shared" si="211"/>
        <v>14.740242057873667</v>
      </c>
      <c r="AM772" s="27">
        <f t="shared" si="211"/>
        <v>14.752030017821943</v>
      </c>
      <c r="AN772" s="27">
        <f t="shared" si="211"/>
        <v>14.763078817949665</v>
      </c>
      <c r="AO772" s="27">
        <f t="shared" si="211"/>
        <v>14.773097829900454</v>
      </c>
      <c r="AP772" s="27">
        <f t="shared" si="211"/>
        <v>14.781892968894116</v>
      </c>
      <c r="AQ772" s="27">
        <f t="shared" si="211"/>
        <v>14.789435807470511</v>
      </c>
      <c r="AR772" s="27">
        <f t="shared" si="211"/>
        <v>14.795505480346009</v>
      </c>
      <c r="AS772" s="27">
        <f t="shared" si="211"/>
        <v>14.799861912998866</v>
      </c>
      <c r="AT772" s="27">
        <f t="shared" si="211"/>
        <v>14.802478032162998</v>
      </c>
      <c r="AU772" s="27">
        <f t="shared" si="211"/>
        <v>14.803391154234989</v>
      </c>
      <c r="AV772" s="27">
        <f t="shared" si="211"/>
        <v>14.802627988297443</v>
      </c>
      <c r="AW772" s="27">
        <f t="shared" si="211"/>
        <v>14.799962569884396</v>
      </c>
      <c r="AY772" s="79"/>
      <c r="AZ772" s="79"/>
    </row>
    <row r="773" spans="1:52" x14ac:dyDescent="0.25">
      <c r="A773" s="95" t="str">
        <f t="shared" si="176"/>
        <v>BD Goats</v>
      </c>
      <c r="B773" s="95" t="s">
        <v>1228</v>
      </c>
      <c r="C773" s="95" t="s">
        <v>153</v>
      </c>
      <c r="D773" t="s">
        <v>15</v>
      </c>
      <c r="E773" t="s">
        <v>16</v>
      </c>
      <c r="F773" t="s">
        <v>19</v>
      </c>
      <c r="G773" t="s">
        <v>122</v>
      </c>
      <c r="H773" t="s">
        <v>1020</v>
      </c>
      <c r="I773" t="s">
        <v>121</v>
      </c>
      <c r="J773" t="s">
        <v>286</v>
      </c>
      <c r="K773" s="27">
        <f t="shared" si="210"/>
        <v>15.123414197798359</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15.545788610572222</v>
      </c>
      <c r="R773" s="27">
        <f t="shared" si="211"/>
        <v>15.648067752449878</v>
      </c>
      <c r="S773" s="27">
        <f t="shared" si="211"/>
        <v>15.609909908763072</v>
      </c>
      <c r="T773" s="27">
        <f t="shared" si="211"/>
        <v>15.635455939498677</v>
      </c>
      <c r="U773" s="27">
        <f t="shared" si="211"/>
        <v>15.95246888070791</v>
      </c>
      <c r="V773" s="27">
        <f t="shared" si="211"/>
        <v>15.966791142533616</v>
      </c>
      <c r="W773" s="27">
        <f t="shared" si="211"/>
        <v>16.004709527553434</v>
      </c>
      <c r="X773" s="27">
        <f t="shared" si="211"/>
        <v>16.055885293055152</v>
      </c>
      <c r="Y773" s="27">
        <f t="shared" si="211"/>
        <v>16.102820608505493</v>
      </c>
      <c r="Z773" s="27">
        <f t="shared" si="211"/>
        <v>16.146135876832972</v>
      </c>
      <c r="AA773" s="27">
        <f t="shared" si="211"/>
        <v>16.185698238107559</v>
      </c>
      <c r="AB773" s="27">
        <f t="shared" si="211"/>
        <v>16.22191395009931</v>
      </c>
      <c r="AC773" s="27">
        <f t="shared" si="211"/>
        <v>16.25536732746065</v>
      </c>
      <c r="AD773" s="27">
        <f t="shared" si="211"/>
        <v>16.286085323517181</v>
      </c>
      <c r="AE773" s="27">
        <f t="shared" si="211"/>
        <v>16.31459834375584</v>
      </c>
      <c r="AF773" s="27">
        <f t="shared" si="211"/>
        <v>16.341020303059434</v>
      </c>
      <c r="AG773" s="27">
        <f t="shared" si="211"/>
        <v>16.365028601066268</v>
      </c>
      <c r="AH773" s="27">
        <f t="shared" si="211"/>
        <v>16.386889120844085</v>
      </c>
      <c r="AI773" s="27">
        <f t="shared" si="211"/>
        <v>16.407003513902541</v>
      </c>
      <c r="AJ773" s="27">
        <f t="shared" si="211"/>
        <v>15.886156568564889</v>
      </c>
      <c r="AK773" s="27">
        <f t="shared" si="211"/>
        <v>15.906232465615583</v>
      </c>
      <c r="AL773" s="27">
        <f t="shared" si="211"/>
        <v>15.924511297002383</v>
      </c>
      <c r="AM773" s="27">
        <f t="shared" si="211"/>
        <v>15.941140997111155</v>
      </c>
      <c r="AN773" s="27">
        <f t="shared" si="211"/>
        <v>15.956292884471127</v>
      </c>
      <c r="AO773" s="27">
        <f t="shared" si="211"/>
        <v>15.969536826708435</v>
      </c>
      <c r="AP773" s="27">
        <f t="shared" si="211"/>
        <v>15.980594577453482</v>
      </c>
      <c r="AQ773" s="27">
        <f t="shared" si="211"/>
        <v>15.989445822984647</v>
      </c>
      <c r="AR773" s="27">
        <f t="shared" si="211"/>
        <v>15.995770985939464</v>
      </c>
      <c r="AS773" s="27">
        <f t="shared" si="211"/>
        <v>15.999221862064399</v>
      </c>
      <c r="AT773" s="27">
        <f t="shared" si="211"/>
        <v>15.999780644603296</v>
      </c>
      <c r="AU773" s="27">
        <f t="shared" si="211"/>
        <v>15.99752803776004</v>
      </c>
      <c r="AV773" s="27">
        <f t="shared" si="211"/>
        <v>15.992527037206958</v>
      </c>
      <c r="AW773" s="27">
        <f t="shared" si="211"/>
        <v>15.984450939829935</v>
      </c>
      <c r="AY773" s="79"/>
      <c r="AZ773" s="79"/>
    </row>
    <row r="774" spans="1:52" x14ac:dyDescent="0.25">
      <c r="A774" s="95" t="str">
        <f t="shared" si="176"/>
        <v>BD Goats</v>
      </c>
      <c r="B774" s="95" t="s">
        <v>1228</v>
      </c>
      <c r="C774" s="95" t="s">
        <v>153</v>
      </c>
      <c r="D774" t="s">
        <v>15</v>
      </c>
      <c r="E774" t="s">
        <v>16</v>
      </c>
      <c r="F774" t="s">
        <v>19</v>
      </c>
      <c r="G774" t="s">
        <v>123</v>
      </c>
      <c r="H774" t="s">
        <v>1020</v>
      </c>
      <c r="I774" t="s">
        <v>121</v>
      </c>
      <c r="J774" t="s">
        <v>286</v>
      </c>
      <c r="K774" s="27">
        <f t="shared" si="210"/>
        <v>22.381101687842744</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23.101065436464115</v>
      </c>
      <c r="T774" s="27">
        <f t="shared" si="211"/>
        <v>23.138870941499981</v>
      </c>
      <c r="U774" s="27">
        <f t="shared" si="211"/>
        <v>23.608017576034321</v>
      </c>
      <c r="V774" s="27">
        <f t="shared" si="211"/>
        <v>23.62921305439183</v>
      </c>
      <c r="W774" s="27">
        <f t="shared" si="211"/>
        <v>23.685328374640804</v>
      </c>
      <c r="X774" s="27">
        <f t="shared" si="211"/>
        <v>23.761063258091507</v>
      </c>
      <c r="Y774" s="27">
        <f t="shared" si="211"/>
        <v>23.830522710441766</v>
      </c>
      <c r="Z774" s="27">
        <f t="shared" si="211"/>
        <v>23.894624864386248</v>
      </c>
      <c r="AA774" s="27">
        <f t="shared" si="211"/>
        <v>23.953173100856997</v>
      </c>
      <c r="AB774" s="27">
        <f t="shared" si="211"/>
        <v>24.006768639680701</v>
      </c>
      <c r="AC774" s="27">
        <f t="shared" si="211"/>
        <v>24.0562762066053</v>
      </c>
      <c r="AD774" s="27">
        <f t="shared" si="211"/>
        <v>24.101735689787876</v>
      </c>
      <c r="AE774" s="27">
        <f t="shared" si="211"/>
        <v>24.143932034941329</v>
      </c>
      <c r="AF774" s="27">
        <f t="shared" si="211"/>
        <v>24.183033824407083</v>
      </c>
      <c r="AG774" s="27">
        <f t="shared" si="211"/>
        <v>24.218563642741437</v>
      </c>
      <c r="AH774" s="27">
        <f t="shared" si="211"/>
        <v>24.250914969610982</v>
      </c>
      <c r="AI774" s="27">
        <f t="shared" si="211"/>
        <v>24.280682208049512</v>
      </c>
      <c r="AJ774" s="27">
        <f t="shared" si="211"/>
        <v>23.509882156226475</v>
      </c>
      <c r="AK774" s="27">
        <f t="shared" si="211"/>
        <v>23.53959242452235</v>
      </c>
      <c r="AL774" s="27">
        <f t="shared" si="211"/>
        <v>23.566643219974505</v>
      </c>
      <c r="AM774" s="27">
        <f t="shared" si="211"/>
        <v>23.591253470299264</v>
      </c>
      <c r="AN774" s="27">
        <f t="shared" si="211"/>
        <v>23.613676709346407</v>
      </c>
      <c r="AO774" s="27">
        <f t="shared" si="211"/>
        <v>23.633276385324617</v>
      </c>
      <c r="AP774" s="27">
        <f t="shared" si="211"/>
        <v>23.649640722148757</v>
      </c>
      <c r="AQ774" s="27">
        <f t="shared" si="211"/>
        <v>23.662739657594557</v>
      </c>
      <c r="AR774" s="27">
        <f t="shared" si="211"/>
        <v>23.672100249947082</v>
      </c>
      <c r="AS774" s="27">
        <f t="shared" si="211"/>
        <v>23.67720719262908</v>
      </c>
      <c r="AT774" s="27">
        <f t="shared" si="211"/>
        <v>23.678034133468028</v>
      </c>
      <c r="AU774" s="27">
        <f t="shared" si="211"/>
        <v>23.674700506407216</v>
      </c>
      <c r="AV774" s="27">
        <f t="shared" si="211"/>
        <v>23.667299538579741</v>
      </c>
      <c r="AW774" s="27">
        <f t="shared" si="211"/>
        <v>23.655347742889163</v>
      </c>
      <c r="AY774" s="79"/>
      <c r="AZ774" s="79"/>
    </row>
    <row r="775" spans="1:52" x14ac:dyDescent="0.25">
      <c r="A775" s="95" t="str">
        <f t="shared" si="176"/>
        <v>BD Horses</v>
      </c>
      <c r="B775" s="95" t="s">
        <v>1228</v>
      </c>
      <c r="C775" s="95" t="s">
        <v>3</v>
      </c>
      <c r="D775" t="s">
        <v>15</v>
      </c>
      <c r="E775" t="s">
        <v>16</v>
      </c>
      <c r="F775" t="s">
        <v>20</v>
      </c>
      <c r="G775" t="s">
        <v>3</v>
      </c>
      <c r="H775" t="s">
        <v>1020</v>
      </c>
      <c r="I775" t="s">
        <v>121</v>
      </c>
      <c r="J775" t="s">
        <v>286</v>
      </c>
      <c r="K775" s="27">
        <f t="shared" si="210"/>
        <v>5.5526214800767901</v>
      </c>
      <c r="L775" s="27">
        <f t="shared" si="211"/>
        <v>5.5795235710196529</v>
      </c>
      <c r="M775" s="27">
        <f t="shared" si="211"/>
        <v>5.6203482259438022</v>
      </c>
      <c r="N775" s="27">
        <f t="shared" si="211"/>
        <v>5.6290756550083767</v>
      </c>
      <c r="O775" s="27">
        <f t="shared" si="211"/>
        <v>5.6165815405282284</v>
      </c>
      <c r="P775" s="27">
        <f t="shared" si="211"/>
        <v>5.5833231296706112</v>
      </c>
      <c r="Q775" s="27">
        <f t="shared" si="211"/>
        <v>5.5648827699457364</v>
      </c>
      <c r="R775" s="27">
        <f t="shared" si="211"/>
        <v>5.5483103177944031</v>
      </c>
      <c r="S775" s="27">
        <f t="shared" si="211"/>
        <v>5.301317756839599</v>
      </c>
      <c r="T775" s="27">
        <f t="shared" si="211"/>
        <v>5.4334519326298842</v>
      </c>
      <c r="U775" s="27">
        <f t="shared" si="211"/>
        <v>11.663279711908721</v>
      </c>
      <c r="V775" s="27">
        <f t="shared" si="211"/>
        <v>11.812653235838557</v>
      </c>
      <c r="W775" s="27">
        <f t="shared" si="211"/>
        <v>11.932954790442608</v>
      </c>
      <c r="X775" s="27">
        <f t="shared" si="211"/>
        <v>12.029772886609605</v>
      </c>
      <c r="Y775" s="27">
        <f t="shared" si="211"/>
        <v>12.113873667726716</v>
      </c>
      <c r="Z775" s="27">
        <f t="shared" si="211"/>
        <v>12.184301808011908</v>
      </c>
      <c r="AA775" s="27">
        <f t="shared" si="211"/>
        <v>12.240662308750712</v>
      </c>
      <c r="AB775" s="27">
        <f t="shared" si="211"/>
        <v>12.282268429354316</v>
      </c>
      <c r="AC775" s="27">
        <f t="shared" si="211"/>
        <v>12.308384588149881</v>
      </c>
      <c r="AD775" s="27">
        <f t="shared" si="211"/>
        <v>12.31872545788376</v>
      </c>
      <c r="AE775" s="27">
        <f t="shared" si="211"/>
        <v>12.312750989800492</v>
      </c>
      <c r="AF775" s="27">
        <f t="shared" si="211"/>
        <v>12.290286651516004</v>
      </c>
      <c r="AG775" s="27">
        <f t="shared" si="211"/>
        <v>12.251535501678408</v>
      </c>
      <c r="AH775" s="27">
        <f t="shared" si="211"/>
        <v>12.196396092630039</v>
      </c>
      <c r="AI775" s="27">
        <f t="shared" si="211"/>
        <v>12.124769930026071</v>
      </c>
      <c r="AJ775" s="27">
        <f t="shared" si="211"/>
        <v>1.7851056965565462</v>
      </c>
      <c r="AK775" s="27">
        <f t="shared" si="211"/>
        <v>1.7851056965565462</v>
      </c>
      <c r="AL775" s="27">
        <f t="shared" si="211"/>
        <v>1.7851056965565462</v>
      </c>
      <c r="AM775" s="27">
        <f t="shared" si="211"/>
        <v>1.7851056965565462</v>
      </c>
      <c r="AN775" s="27">
        <f t="shared" si="211"/>
        <v>1.7851056965565462</v>
      </c>
      <c r="AO775" s="27">
        <f t="shared" si="211"/>
        <v>1.7851056965565462</v>
      </c>
      <c r="AP775" s="27">
        <f t="shared" si="211"/>
        <v>1.7851056965565462</v>
      </c>
      <c r="AQ775" s="27">
        <f t="shared" si="211"/>
        <v>1.7851056965565462</v>
      </c>
      <c r="AR775" s="27">
        <f t="shared" si="211"/>
        <v>1.7851056965565462</v>
      </c>
      <c r="AS775" s="27">
        <f t="shared" si="211"/>
        <v>1.7851056965565462</v>
      </c>
      <c r="AT775" s="27">
        <f t="shared" si="211"/>
        <v>1.7851056965565462</v>
      </c>
      <c r="AU775" s="27">
        <f t="shared" si="211"/>
        <v>1.7851056965565462</v>
      </c>
      <c r="AV775" s="27">
        <f t="shared" si="211"/>
        <v>1.7851056965565462</v>
      </c>
      <c r="AW775" s="27">
        <f t="shared" si="211"/>
        <v>1.7851056965565462</v>
      </c>
      <c r="AY775" s="79"/>
      <c r="AZ775" s="79"/>
    </row>
    <row r="776" spans="1:52" x14ac:dyDescent="0.25">
      <c r="A776" s="95" t="str">
        <f t="shared" si="176"/>
        <v>BD Mules&amp;Asses</v>
      </c>
      <c r="B776" s="95" t="s">
        <v>1228</v>
      </c>
      <c r="C776" s="95" t="s">
        <v>1323</v>
      </c>
      <c r="D776" t="s">
        <v>15</v>
      </c>
      <c r="E776" t="s">
        <v>16</v>
      </c>
      <c r="F776" t="s">
        <v>140</v>
      </c>
      <c r="G776" t="s">
        <v>124</v>
      </c>
      <c r="H776" t="s">
        <v>1020</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25">
      <c r="A777" s="95" t="str">
        <f t="shared" si="176"/>
        <v>BD Swine</v>
      </c>
      <c r="B777" s="95" t="s">
        <v>1228</v>
      </c>
      <c r="C777" s="95" t="s">
        <v>155</v>
      </c>
      <c r="D777" t="s">
        <v>15</v>
      </c>
      <c r="E777" t="s">
        <v>16</v>
      </c>
      <c r="F777" t="s">
        <v>21</v>
      </c>
      <c r="G777" t="s">
        <v>122</v>
      </c>
      <c r="H777" t="s">
        <v>1020</v>
      </c>
      <c r="I777" t="s">
        <v>121</v>
      </c>
      <c r="J777" t="s">
        <v>286</v>
      </c>
      <c r="K777" s="27">
        <f t="shared" si="210"/>
        <v>1.8400999552016302</v>
      </c>
      <c r="L777" s="27">
        <f t="shared" si="211"/>
        <v>1.8300977880312248</v>
      </c>
      <c r="M777" s="27">
        <f t="shared" si="211"/>
        <v>1.8309187348828151</v>
      </c>
      <c r="N777" s="27">
        <f t="shared" si="211"/>
        <v>1.8141094978660448</v>
      </c>
      <c r="O777" s="27">
        <f t="shared" si="211"/>
        <v>1.7866561368117295</v>
      </c>
      <c r="P777" s="27">
        <f t="shared" si="211"/>
        <v>1.7489975228040082</v>
      </c>
      <c r="Q777" s="27">
        <f t="shared" si="211"/>
        <v>1.721653192801009</v>
      </c>
      <c r="R777" s="27">
        <f t="shared" si="211"/>
        <v>1.6967284692901872</v>
      </c>
      <c r="S777" s="27">
        <f t="shared" si="211"/>
        <v>1.5265878305982445</v>
      </c>
      <c r="T777" s="27">
        <f t="shared" si="211"/>
        <v>1.5810995176609606</v>
      </c>
      <c r="U777" s="27">
        <f t="shared" si="211"/>
        <v>5.0540136125986557</v>
      </c>
      <c r="V777" s="27">
        <f t="shared" si="211"/>
        <v>5.0678679159640359</v>
      </c>
      <c r="W777" s="27">
        <f t="shared" si="211"/>
        <v>5.0729847165704873</v>
      </c>
      <c r="X777" s="27">
        <f t="shared" si="211"/>
        <v>5.0695948867136602</v>
      </c>
      <c r="Y777" s="27">
        <f t="shared" si="211"/>
        <v>5.0582098272592386</v>
      </c>
      <c r="Z777" s="27">
        <f t="shared" si="211"/>
        <v>5.0387249592432335</v>
      </c>
      <c r="AA777" s="27">
        <f t="shared" si="211"/>
        <v>5.0111122815709459</v>
      </c>
      <c r="AB777" s="27">
        <f t="shared" si="211"/>
        <v>4.9753743834920021</v>
      </c>
      <c r="AC777" s="27">
        <f t="shared" si="211"/>
        <v>4.9315571021349269</v>
      </c>
      <c r="AD777" s="27">
        <f t="shared" si="211"/>
        <v>4.8797732145240138</v>
      </c>
      <c r="AE777" s="27">
        <f t="shared" si="211"/>
        <v>4.8201653478957827</v>
      </c>
      <c r="AF777" s="27">
        <f t="shared" si="211"/>
        <v>4.7529350466048701</v>
      </c>
      <c r="AG777" s="27">
        <f t="shared" si="211"/>
        <v>4.6783405786979539</v>
      </c>
      <c r="AH777" s="27">
        <f t="shared" si="211"/>
        <v>4.5966617003060959</v>
      </c>
      <c r="AI777" s="27">
        <f t="shared" si="211"/>
        <v>4.5082123470458679</v>
      </c>
      <c r="AJ777" s="27">
        <f t="shared" si="211"/>
        <v>-0.42008552544106242</v>
      </c>
      <c r="AK777" s="27">
        <f t="shared" si="211"/>
        <v>-0.41553771612775497</v>
      </c>
      <c r="AL777" s="27">
        <f t="shared" si="211"/>
        <v>-0.41097379422953517</v>
      </c>
      <c r="AM777" s="27">
        <f t="shared" si="211"/>
        <v>-0.40639849459231969</v>
      </c>
      <c r="AN777" s="27">
        <f t="shared" si="211"/>
        <v>-0.40181705013442426</v>
      </c>
      <c r="AO777" s="27">
        <f t="shared" si="211"/>
        <v>-0.39721731633182522</v>
      </c>
      <c r="AP777" s="27">
        <f t="shared" si="211"/>
        <v>-0.39259212331291987</v>
      </c>
      <c r="AQ777" s="27">
        <f t="shared" si="211"/>
        <v>-0.38794191787285037</v>
      </c>
      <c r="AR777" s="27">
        <f t="shared" si="211"/>
        <v>-0.38325899383328277</v>
      </c>
      <c r="AS777" s="27">
        <f t="shared" si="211"/>
        <v>-0.37853535700522173</v>
      </c>
      <c r="AT777" s="27">
        <f t="shared" si="211"/>
        <v>-0.37377234804073223</v>
      </c>
      <c r="AU777" s="27">
        <f t="shared" si="211"/>
        <v>-0.36897393039459231</v>
      </c>
      <c r="AV777" s="27">
        <f t="shared" si="211"/>
        <v>-0.36414349435249727</v>
      </c>
      <c r="AW777" s="27">
        <f t="shared" si="211"/>
        <v>-0.35927435241905337</v>
      </c>
      <c r="AY777" s="79"/>
      <c r="AZ777" s="79"/>
    </row>
    <row r="778" spans="1:52" x14ac:dyDescent="0.25">
      <c r="A778" s="95" t="str">
        <f t="shared" si="176"/>
        <v>BD Swine</v>
      </c>
      <c r="B778" s="95" t="s">
        <v>1228</v>
      </c>
      <c r="C778" s="95" t="s">
        <v>155</v>
      </c>
      <c r="D778" t="s">
        <v>15</v>
      </c>
      <c r="E778" t="s">
        <v>16</v>
      </c>
      <c r="F778" t="s">
        <v>21</v>
      </c>
      <c r="G778" t="s">
        <v>123</v>
      </c>
      <c r="H778" t="s">
        <v>1020</v>
      </c>
      <c r="I778" t="s">
        <v>121</v>
      </c>
      <c r="J778" t="s">
        <v>286</v>
      </c>
      <c r="K778" s="27">
        <f t="shared" si="210"/>
        <v>0.25496723934882604</v>
      </c>
      <c r="L778" s="27">
        <f t="shared" si="211"/>
        <v>0.25358132281546891</v>
      </c>
      <c r="M778" s="27">
        <f t="shared" si="211"/>
        <v>0.25369507454499335</v>
      </c>
      <c r="N778" s="27">
        <f t="shared" si="211"/>
        <v>0.25136595935447842</v>
      </c>
      <c r="O778" s="27">
        <f t="shared" si="211"/>
        <v>0.247561977044127</v>
      </c>
      <c r="P778" s="27">
        <f t="shared" si="211"/>
        <v>0.24234393830437845</v>
      </c>
      <c r="Q778" s="27">
        <f t="shared" si="211"/>
        <v>0.23855506351363695</v>
      </c>
      <c r="R778" s="27">
        <f t="shared" si="211"/>
        <v>0.23510145332951485</v>
      </c>
      <c r="S778" s="27">
        <f t="shared" si="211"/>
        <v>0.21152649000988519</v>
      </c>
      <c r="T778" s="27">
        <f t="shared" si="211"/>
        <v>0.21907971793282416</v>
      </c>
      <c r="U778" s="27">
        <f t="shared" si="211"/>
        <v>0.70029233726842122</v>
      </c>
      <c r="V778" s="27">
        <f t="shared" si="211"/>
        <v>0.70221201205140604</v>
      </c>
      <c r="W778" s="27">
        <f t="shared" si="211"/>
        <v>0.7029210042565508</v>
      </c>
      <c r="X778" s="27">
        <f t="shared" si="211"/>
        <v>0.70245130392423227</v>
      </c>
      <c r="Y778" s="27">
        <f t="shared" si="211"/>
        <v>0.70087377158925745</v>
      </c>
      <c r="Z778" s="27">
        <f t="shared" si="211"/>
        <v>0.6981739166204699</v>
      </c>
      <c r="AA778" s="27">
        <f t="shared" si="211"/>
        <v>0.69434785914069519</v>
      </c>
      <c r="AB778" s="27">
        <f t="shared" si="211"/>
        <v>0.68939595792056851</v>
      </c>
      <c r="AC778" s="27">
        <f t="shared" si="211"/>
        <v>0.68332456422708854</v>
      </c>
      <c r="AD778" s="27">
        <f t="shared" si="211"/>
        <v>0.67614930462796652</v>
      </c>
      <c r="AE778" s="27">
        <f t="shared" si="211"/>
        <v>0.66788994178481698</v>
      </c>
      <c r="AF778" s="27">
        <f t="shared" si="211"/>
        <v>0.65857440201086193</v>
      </c>
      <c r="AG778" s="27">
        <f t="shared" si="211"/>
        <v>0.64823847134624946</v>
      </c>
      <c r="AH778" s="27">
        <f t="shared" si="211"/>
        <v>0.63692091325501032</v>
      </c>
      <c r="AI778" s="27">
        <f t="shared" si="211"/>
        <v>0.62466522716621964</v>
      </c>
      <c r="AJ778" s="27">
        <f t="shared" si="211"/>
        <v>-5.8207732905668316E-2</v>
      </c>
      <c r="AK778" s="27">
        <f t="shared" si="211"/>
        <v>-5.7577581058524868E-2</v>
      </c>
      <c r="AL778" s="27">
        <f t="shared" si="211"/>
        <v>-5.6945196625438323E-2</v>
      </c>
      <c r="AM778" s="27">
        <f t="shared" si="211"/>
        <v>-5.6311235674351458E-2</v>
      </c>
      <c r="AN778" s="27">
        <f t="shared" si="211"/>
        <v>-5.5676423286927873E-2</v>
      </c>
      <c r="AO778" s="27">
        <f t="shared" si="211"/>
        <v>-5.5039076698188007E-2</v>
      </c>
      <c r="AP778" s="27">
        <f t="shared" si="211"/>
        <v>-5.4398202439073888E-2</v>
      </c>
      <c r="AQ778" s="27">
        <f t="shared" ref="AQ778:AW778" si="212">AQ1392</f>
        <v>-5.3753862418246326E-2</v>
      </c>
      <c r="AR778" s="27">
        <f t="shared" si="212"/>
        <v>-5.3104988855115366E-2</v>
      </c>
      <c r="AS778" s="27">
        <f t="shared" si="212"/>
        <v>-5.2450474061865898E-2</v>
      </c>
      <c r="AT778" s="27">
        <f t="shared" si="212"/>
        <v>-5.1790503801426135E-2</v>
      </c>
      <c r="AU778" s="27">
        <f t="shared" si="212"/>
        <v>-5.1125627256529457E-2</v>
      </c>
      <c r="AV778" s="27">
        <f t="shared" si="212"/>
        <v>-5.0456314190669899E-2</v>
      </c>
      <c r="AW778" s="27">
        <f t="shared" si="212"/>
        <v>-4.9781637973620729E-2</v>
      </c>
      <c r="AY778" s="79"/>
      <c r="AZ778" s="79"/>
    </row>
    <row r="779" spans="1:52" x14ac:dyDescent="0.25">
      <c r="A779" s="95" t="str">
        <f t="shared" si="176"/>
        <v>BD Cattle MMCH4</v>
      </c>
      <c r="B779" s="95" t="s">
        <v>1228</v>
      </c>
      <c r="C779" s="95" t="s">
        <v>1229</v>
      </c>
      <c r="D779" t="s">
        <v>15</v>
      </c>
      <c r="E779" t="s">
        <v>22</v>
      </c>
      <c r="F779" t="s">
        <v>6</v>
      </c>
      <c r="G779" t="s">
        <v>136</v>
      </c>
      <c r="H779" t="s">
        <v>1227</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7.4507389435191715</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7.5131092090175455</v>
      </c>
      <c r="P779" s="93">
        <f>IF('Net zero activities &amp; levers'!$C$10="Off",'Activity data'!AI5*EF!$H18*kgtoGg,IF('Net zero activities &amp; levers'!$C$10="On",'Net zero Activity data'!AI5*'Net zero supporting data'!G190*kgtoGg,"ERROR"))</f>
        <v>7.5251923679492423</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7.5825135825669054</v>
      </c>
      <c r="S779" s="93">
        <f>IF('Net zero activities &amp; levers'!$C$10="Off",'Activity data'!AL5*EF!$H18*kgtoGg,IF('Net zero activities &amp; levers'!$C$10="On",'Net zero Activity data'!AL5*'Net zero supporting data'!J190*kgtoGg,"ERROR"))</f>
        <v>7.3670594492211752</v>
      </c>
      <c r="T779" s="93">
        <f>IF('Net zero activities &amp; levers'!$C$10="Off",'Activity data'!AM5*EF!$H18*kgtoGg,IF('Net zero activities &amp; levers'!$C$10="On",'Net zero Activity data'!AM5*'Net zero supporting data'!K190*kgtoGg,"ERROR"))</f>
        <v>7.4938201403917679</v>
      </c>
      <c r="U779" s="93">
        <f>IF('Net zero activities &amp; levers'!$C$10="Off",'Activity data'!AN5*EF!$H18*kgtoGg,IF('Net zero activities &amp; levers'!$C$10="On",'Net zero Activity data'!AN5*'Net zero supporting data'!L190*kgtoGg,"ERROR"))</f>
        <v>12.893716848831154</v>
      </c>
      <c r="V779" s="93">
        <f>IF('Net zero activities &amp; levers'!$C$10="Off",'Activity data'!AO5*EF!$H18*kgtoGg,IF('Net zero activities &amp; levers'!$C$10="On",'Net zero Activity data'!AO5*'Net zero supporting data'!M190*kgtoGg,"ERROR"))</f>
        <v>13.049144587269693</v>
      </c>
      <c r="W779" s="93">
        <f>IF('Net zero activities &amp; levers'!$C$10="Off",'Activity data'!AP5*EF!$H18*kgtoGg,IF('Net zero activities &amp; levers'!$C$10="On",'Net zero Activity data'!AP5*'Net zero supporting data'!N190*kgtoGg,"ERROR"))</f>
        <v>13.19775488481636</v>
      </c>
      <c r="X779" s="93">
        <f>IF('Net zero activities &amp; levers'!$C$10="Off",'Activity data'!AQ5*EF!$H18*kgtoGg,IF('Net zero activities &amp; levers'!$C$10="On",'Net zero Activity data'!AQ5*'Net zero supporting data'!O190*kgtoGg,"ERROR"))</f>
        <v>13.337019913111025</v>
      </c>
      <c r="Y779" s="93">
        <f>IF('Net zero activities &amp; levers'!$C$10="Off",'Activity data'!AR5*EF!$H18*kgtoGg,IF('Net zero activities &amp; levers'!$C$10="On",'Net zero Activity data'!AR5*'Net zero supporting data'!P190*kgtoGg,"ERROR"))</f>
        <v>13.463220566952655</v>
      </c>
      <c r="Z779" s="93">
        <f>IF('Net zero activities &amp; levers'!$C$10="Off",'Activity data'!AS5*EF!$H18*kgtoGg,IF('Net zero activities &amp; levers'!$C$10="On",'Net zero Activity data'!AS5*'Net zero supporting data'!Q190*kgtoGg,"ERROR"))</f>
        <v>13.575767486447466</v>
      </c>
      <c r="AA779" s="93">
        <f>IF('Net zero activities &amp; levers'!$C$10="Off",'Activity data'!AT5*EF!$H18*kgtoGg,IF('Net zero activities &amp; levers'!$C$10="On",'Net zero Activity data'!AT5*'Net zero supporting data'!R190*kgtoGg,"ERROR"))</f>
        <v>13.674005026382902</v>
      </c>
      <c r="AB779" s="93">
        <f>IF('Net zero activities &amp; levers'!$C$10="Off",'Activity data'!AU5*EF!$H18*kgtoGg,IF('Net zero activities &amp; levers'!$C$10="On",'Net zero Activity data'!AU5*'Net zero supporting data'!S190*kgtoGg,"ERROR"))</f>
        <v>13.757436960081838</v>
      </c>
      <c r="AC779" s="93">
        <f>IF('Net zero activities &amp; levers'!$C$10="Off",'Activity data'!AV5*EF!$H18*kgtoGg,IF('Net zero activities &amp; levers'!$C$10="On",'Net zero Activity data'!AV5*'Net zero supporting data'!T190*kgtoGg,"ERROR"))</f>
        <v>13.825669744576842</v>
      </c>
      <c r="AD779" s="93">
        <f>IF('Net zero activities &amp; levers'!$C$10="Off",'Activity data'!AW5*EF!$H18*kgtoGg,IF('Net zero activities &amp; levers'!$C$10="On",'Net zero Activity data'!AW5*'Net zero supporting data'!U190*kgtoGg,"ERROR"))</f>
        <v>13.878289677767924</v>
      </c>
      <c r="AE779" s="93">
        <f>IF('Net zero activities &amp; levers'!$C$10="Off",'Activity data'!AX5*EF!$H18*kgtoGg,IF('Net zero activities &amp; levers'!$C$10="On",'Net zero Activity data'!AX5*'Net zero supporting data'!V190*kgtoGg,"ERROR"))</f>
        <v>13.915049092366717</v>
      </c>
      <c r="AF779" s="93">
        <f>IF('Net zero activities &amp; levers'!$C$10="Off",'Activity data'!AY5*EF!$H18*kgtoGg,IF('Net zero activities &amp; levers'!$C$10="On",'Net zero Activity data'!AY5*'Net zero supporting data'!W190*kgtoGg,"ERROR"))</f>
        <v>13.935710420523995</v>
      </c>
      <c r="AG779" s="93">
        <f>IF('Net zero activities &amp; levers'!$C$10="Off",'Activity data'!AZ5*EF!$H18*kgtoGg,IF('Net zero activities &amp; levers'!$C$10="On",'Net zero Activity data'!AZ5*'Net zero supporting data'!X190*kgtoGg,"ERROR"))</f>
        <v>13.940044142256493</v>
      </c>
      <c r="AH779" s="93">
        <f>IF('Net zero activities &amp; levers'!$C$10="Off",'Activity data'!BA5*EF!$H18*kgtoGg,IF('Net zero activities &amp; levers'!$C$10="On",'Net zero Activity data'!BA5*'Net zero supporting data'!Y190*kgtoGg,"ERROR"))</f>
        <v>13.928008342806061</v>
      </c>
      <c r="AI779" s="93">
        <f>IF('Net zero activities &amp; levers'!$C$10="Off",'Activity data'!BB5*EF!$H18*kgtoGg,IF('Net zero activities &amp; levers'!$C$10="On",'Net zero Activity data'!BB5*'Net zero supporting data'!Z190*kgtoGg,"ERROR"))</f>
        <v>13.899671543047996</v>
      </c>
      <c r="AJ779" s="93">
        <f>IF('Net zero activities &amp; levers'!$C$10="Off",'Activity data'!BC5*EF!$H18*kgtoGg,IF('Net zero activities &amp; levers'!$C$10="On",'Net zero Activity data'!BC5*'Net zero supporting data'!AA190*kgtoGg,"ERROR"))</f>
        <v>4.3976157174808597</v>
      </c>
      <c r="AK779" s="93">
        <f>IF('Net zero activities &amp; levers'!$C$10="Off",'Activity data'!BD5*EF!$H18*kgtoGg,IF('Net zero activities &amp; levers'!$C$10="On",'Net zero Activity data'!BD5*'Net zero supporting data'!AB190*kgtoGg,"ERROR"))</f>
        <v>4.4008259031545416</v>
      </c>
      <c r="AL779" s="93">
        <f>IF('Net zero activities &amp; levers'!$C$10="Off",'Activity data'!BE5*EF!$H18*kgtoGg,IF('Net zero activities &amp; levers'!$C$10="On",'Net zero Activity data'!BE5*'Net zero supporting data'!AC190*kgtoGg,"ERROR"))</f>
        <v>4.403804998470318</v>
      </c>
      <c r="AM779" s="93">
        <f>IF('Net zero activities &amp; levers'!$C$10="Off",'Activity data'!BF5*EF!$H18*kgtoGg,IF('Net zero activities &amp; levers'!$C$10="On",'Net zero Activity data'!BF5*'Net zero supporting data'!AD190*kgtoGg,"ERROR"))</f>
        <v>4.4065731559819081</v>
      </c>
      <c r="AN779" s="93">
        <f>IF('Net zero activities &amp; levers'!$C$10="Off",'Activity data'!BG5*EF!$H18*kgtoGg,IF('Net zero activities &amp; levers'!$C$10="On",'Net zero Activity data'!BG5*'Net zero supporting data'!AE190*kgtoGg,"ERROR"))</f>
        <v>4.4091551994119804</v>
      </c>
      <c r="AO779" s="93">
        <f>IF('Net zero activities &amp; levers'!$C$10="Off",'Activity data'!BH5*EF!$H18*kgtoGg,IF('Net zero activities &amp; levers'!$C$10="On",'Net zero Activity data'!BH5*'Net zero supporting data'!AF190*kgtoGg,"ERROR"))</f>
        <v>4.4114700909604787</v>
      </c>
      <c r="AP779" s="93">
        <f>IF('Net zero activities &amp; levers'!$C$10="Off",'Activity data'!BI5*EF!$H18*kgtoGg,IF('Net zero activities &amp; levers'!$C$10="On",'Net zero Activity data'!BI5*'Net zero supporting data'!AG190*kgtoGg,"ERROR"))</f>
        <v>4.4134634106251305</v>
      </c>
      <c r="AQ779" s="93">
        <f>IF('Net zero activities &amp; levers'!$C$10="Off",'Activity data'!BJ5*EF!$H18*kgtoGg,IF('Net zero activities &amp; levers'!$C$10="On",'Net zero Activity data'!BJ5*'Net zero supporting data'!AH190*kgtoGg,"ERROR"))</f>
        <v>4.4151264315171801</v>
      </c>
      <c r="AR779" s="93">
        <f>IF('Net zero activities &amp; levers'!$C$10="Off",'Activity data'!BK5*EF!$H18*kgtoGg,IF('Net zero activities &amp; levers'!$C$10="On",'Net zero Activity data'!BK5*'Net zero supporting data'!AI190*kgtoGg,"ERROR"))</f>
        <v>4.4163974064588221</v>
      </c>
      <c r="AS779" s="93">
        <f>IF('Net zero activities &amp; levers'!$C$10="Off",'Activity data'!BL5*EF!$H18*kgtoGg,IF('Net zero activities &amp; levers'!$C$10="On",'Net zero Activity data'!BL5*'Net zero supporting data'!AJ190*kgtoGg,"ERROR"))</f>
        <v>4.4172092973227706</v>
      </c>
      <c r="AT779" s="93">
        <f>IF('Net zero activities &amp; levers'!$C$10="Off",'Activity data'!BM5*EF!$H18*kgtoGg,IF('Net zero activities &amp; levers'!$C$10="On",'Net zero Activity data'!BM5*'Net zero supporting data'!AK190*kgtoGg,"ERROR"))</f>
        <v>4.4175538239653074</v>
      </c>
      <c r="AU779" s="93">
        <f>IF('Net zero activities &amp; levers'!$C$10="Off",'Activity data'!BN5*EF!$H18*kgtoGg,IF('Net zero activities &amp; levers'!$C$10="On",'Net zero Activity data'!BN5*'Net zero supporting data'!AL190*kgtoGg,"ERROR"))</f>
        <v>4.4174405083324073</v>
      </c>
      <c r="AV779" s="93">
        <f>IF('Net zero activities &amp; levers'!$C$10="Off",'Activity data'!BO5*EF!$H18*kgtoGg,IF('Net zero activities &amp; levers'!$C$10="On",'Net zero Activity data'!BO5*'Net zero supporting data'!AM190*kgtoGg,"ERROR"))</f>
        <v>4.4168759908828958</v>
      </c>
      <c r="AW779" s="93">
        <f>IF('Net zero activities &amp; levers'!$C$10="Off",'Activity data'!BP5*EF!$H18*kgtoGg,IF('Net zero activities &amp; levers'!$C$10="On",'Net zero Activity data'!BP5*'Net zero supporting data'!AN190*kgtoGg,"ERROR"))</f>
        <v>4.4157972186653511</v>
      </c>
      <c r="AY779" s="79"/>
      <c r="AZ779" s="79"/>
    </row>
    <row r="780" spans="1:52" x14ac:dyDescent="0.25">
      <c r="A780" s="95" t="str">
        <f t="shared" si="176"/>
        <v>BD Cattle MMCH4</v>
      </c>
      <c r="B780" s="95" t="s">
        <v>1228</v>
      </c>
      <c r="C780" s="95" t="s">
        <v>1229</v>
      </c>
      <c r="D780" t="s">
        <v>15</v>
      </c>
      <c r="E780" t="s">
        <v>22</v>
      </c>
      <c r="F780" t="s">
        <v>6</v>
      </c>
      <c r="G780" t="s">
        <v>137</v>
      </c>
      <c r="H780" t="s">
        <v>1227</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2.1227712545548472</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2.1405410097083362</v>
      </c>
      <c r="P780" s="93">
        <f>IF('Net zero activities &amp; levers'!$C$10="Off",'Activity data'!AI6*EF!$H19*kgtoGg,IF('Net zero activities &amp; levers'!$C$10="On",'Net zero Activity data'!AI6*'Net zero supporting data'!G191*kgtoGg,"ERROR"))</f>
        <v>2.1439835920667925</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2.1603148348588097</v>
      </c>
      <c r="S780" s="93">
        <f>IF('Net zero activities &amp; levers'!$C$10="Off",'Activity data'!AL6*EF!$H19*kgtoGg,IF('Net zero activities &amp; levers'!$C$10="On",'Net zero Activity data'!AL6*'Net zero supporting data'!J191*kgtoGg,"ERROR"))</f>
        <v>2.0989303407289799</v>
      </c>
      <c r="T780" s="93">
        <f>IF('Net zero activities &amp; levers'!$C$10="Off",'Activity data'!AM6*EF!$H19*kgtoGg,IF('Net zero activities &amp; levers'!$C$10="On",'Net zero Activity data'!AM6*'Net zero supporting data'!K191*kgtoGg,"ERROR"))</f>
        <v>2.1350454097797478</v>
      </c>
      <c r="U780" s="93">
        <f>IF('Net zero activities &amp; levers'!$C$10="Off",'Activity data'!AN6*EF!$H19*kgtoGg,IF('Net zero activities &amp; levers'!$C$10="On",'Net zero Activity data'!AN6*'Net zero supporting data'!L191*kgtoGg,"ERROR"))</f>
        <v>3.6735163718057389</v>
      </c>
      <c r="V780" s="93">
        <f>IF('Net zero activities &amp; levers'!$C$10="Off",'Activity data'!AO6*EF!$H19*kgtoGg,IF('Net zero activities &amp; levers'!$C$10="On",'Net zero Activity data'!AO6*'Net zero supporting data'!M191*kgtoGg,"ERROR"))</f>
        <v>3.7177988970450366</v>
      </c>
      <c r="W780" s="93">
        <f>IF('Net zero activities &amp; levers'!$C$10="Off",'Activity data'!AP6*EF!$H19*kgtoGg,IF('Net zero activities &amp; levers'!$C$10="On",'Net zero Activity data'!AP6*'Net zero supporting data'!N191*kgtoGg,"ERROR"))</f>
        <v>3.7601390823815941</v>
      </c>
      <c r="X780" s="93">
        <f>IF('Net zero activities &amp; levers'!$C$10="Off",'Activity data'!AQ6*EF!$H19*kgtoGg,IF('Net zero activities &amp; levers'!$C$10="On",'Net zero Activity data'!AQ6*'Net zero supporting data'!O191*kgtoGg,"ERROR"))</f>
        <v>3.7998167306081263</v>
      </c>
      <c r="Y780" s="93">
        <f>IF('Net zero activities &amp; levers'!$C$10="Off",'Activity data'!AR6*EF!$H19*kgtoGg,IF('Net zero activities &amp; levers'!$C$10="On",'Net zero Activity data'!AR6*'Net zero supporting data'!P191*kgtoGg,"ERROR"))</f>
        <v>3.8357722408349422</v>
      </c>
      <c r="Z780" s="93">
        <f>IF('Net zero activities &amp; levers'!$C$10="Off",'Activity data'!AS6*EF!$H19*kgtoGg,IF('Net zero activities &amp; levers'!$C$10="On",'Net zero Activity data'!AS6*'Net zero supporting data'!Q191*kgtoGg,"ERROR"))</f>
        <v>3.8678377000200475</v>
      </c>
      <c r="AA780" s="93">
        <f>IF('Net zero activities &amp; levers'!$C$10="Off",'Activity data'!AT6*EF!$H19*kgtoGg,IF('Net zero activities &amp; levers'!$C$10="On",'Net zero Activity data'!AT6*'Net zero supporting data'!R191*kgtoGg,"ERROR"))</f>
        <v>3.8958263099383315</v>
      </c>
      <c r="AB780" s="93">
        <f>IF('Net zero activities &amp; levers'!$C$10="Off",'Activity data'!AU6*EF!$H19*kgtoGg,IF('Net zero activities &amp; levers'!$C$10="On",'Net zero Activity data'!AU6*'Net zero supporting data'!S191*kgtoGg,"ERROR"))</f>
        <v>3.919596691897838</v>
      </c>
      <c r="AC780" s="93">
        <f>IF('Net zero activities &amp; levers'!$C$10="Off",'Activity data'!AV6*EF!$H19*kgtoGg,IF('Net zero activities &amp; levers'!$C$10="On",'Net zero Activity data'!AV6*'Net zero supporting data'!T191*kgtoGg,"ERROR"))</f>
        <v>3.9390367225635514</v>
      </c>
      <c r="AD780" s="93">
        <f>IF('Net zero activities &amp; levers'!$C$10="Off",'Activity data'!AW6*EF!$H19*kgtoGg,IF('Net zero activities &amp; levers'!$C$10="On",'Net zero Activity data'!AW6*'Net zero supporting data'!U191*kgtoGg,"ERROR"))</f>
        <v>3.9540285351128004</v>
      </c>
      <c r="AE780" s="93">
        <f>IF('Net zero activities &amp; levers'!$C$10="Off",'Activity data'!AX6*EF!$H19*kgtoGg,IF('Net zero activities &amp; levers'!$C$10="On",'Net zero Activity data'!AX6*'Net zero supporting data'!V191*kgtoGg,"ERROR"))</f>
        <v>3.9645015672826429</v>
      </c>
      <c r="AF780" s="93">
        <f>IF('Net zero activities &amp; levers'!$C$10="Off",'Activity data'!AY6*EF!$H19*kgtoGg,IF('Net zero activities &amp; levers'!$C$10="On",'Net zero Activity data'!AY6*'Net zero supporting data'!W191*kgtoGg,"ERROR"))</f>
        <v>3.9703881342158924</v>
      </c>
      <c r="AG780" s="93">
        <f>IF('Net zero activities &amp; levers'!$C$10="Off",'Activity data'!AZ6*EF!$H19*kgtoGg,IF('Net zero activities &amp; levers'!$C$10="On",'Net zero Activity data'!AZ6*'Net zero supporting data'!X191*kgtoGg,"ERROR"))</f>
        <v>3.9716228439525687</v>
      </c>
      <c r="AH780" s="93">
        <f>IF('Net zero activities &amp; levers'!$C$10="Off",'Activity data'!BA6*EF!$H19*kgtoGg,IF('Net zero activities &amp; levers'!$C$10="On",'Net zero Activity data'!BA6*'Net zero supporting data'!Y191*kgtoGg,"ERROR"))</f>
        <v>3.9681937546645596</v>
      </c>
      <c r="AI780" s="93">
        <f>IF('Net zero activities &amp; levers'!$C$10="Off",'Activity data'!BB6*EF!$H19*kgtoGg,IF('Net zero activities &amp; levers'!$C$10="On",'Net zero Activity data'!BB6*'Net zero supporting data'!Z191*kgtoGg,"ERROR"))</f>
        <v>3.9601203884617591</v>
      </c>
      <c r="AJ780" s="93">
        <f>IF('Net zero activities &amp; levers'!$C$10="Off",'Activity data'!BC6*EF!$H19*kgtoGg,IF('Net zero activities &amp; levers'!$C$10="On",'Net zero Activity data'!BC6*'Net zero supporting data'!AA191*kgtoGg,"ERROR"))</f>
        <v>1.2529136109065901</v>
      </c>
      <c r="AK780" s="93">
        <f>IF('Net zero activities &amp; levers'!$C$10="Off",'Activity data'!BD6*EF!$H19*kgtoGg,IF('Net zero activities &amp; levers'!$C$10="On",'Net zero Activity data'!BD6*'Net zero supporting data'!AB191*kgtoGg,"ERROR"))</f>
        <v>1.2538282168163573</v>
      </c>
      <c r="AL780" s="93">
        <f>IF('Net zero activities &amp; levers'!$C$10="Off",'Activity data'!BE6*EF!$H19*kgtoGg,IF('Net zero activities &amp; levers'!$C$10="On",'Net zero Activity data'!BE6*'Net zero supporting data'!AC191*kgtoGg,"ERROR"))</f>
        <v>1.2546769833546632</v>
      </c>
      <c r="AM780" s="93">
        <f>IF('Net zero activities &amp; levers'!$C$10="Off",'Activity data'!BF6*EF!$H19*kgtoGg,IF('Net zero activities &amp; levers'!$C$10="On",'Net zero Activity data'!BF6*'Net zero supporting data'!AD191*kgtoGg,"ERROR"))</f>
        <v>1.2554656521347973</v>
      </c>
      <c r="AN780" s="93">
        <f>IF('Net zero activities &amp; levers'!$C$10="Off",'Activity data'!BG6*EF!$H19*kgtoGg,IF('Net zero activities &amp; levers'!$C$10="On",'Net zero Activity data'!BG6*'Net zero supporting data'!AE191*kgtoGg,"ERROR"))</f>
        <v>1.2562012956210231</v>
      </c>
      <c r="AO780" s="93">
        <f>IF('Net zero activities &amp; levers'!$C$10="Off",'Activity data'!BH6*EF!$H19*kgtoGg,IF('Net zero activities &amp; levers'!$C$10="On",'Net zero Activity data'!BH6*'Net zero supporting data'!AF191*kgtoGg,"ERROR"))</f>
        <v>1.2568608255379636</v>
      </c>
      <c r="AP780" s="93">
        <f>IF('Net zero activities &amp; levers'!$C$10="Off",'Activity data'!BI6*EF!$H19*kgtoGg,IF('Net zero activities &amp; levers'!$C$10="On",'Net zero Activity data'!BI6*'Net zero supporting data'!AG191*kgtoGg,"ERROR"))</f>
        <v>1.2574287372199238</v>
      </c>
      <c r="AQ780" s="93">
        <f>IF('Net zero activities &amp; levers'!$C$10="Off",'Activity data'!BJ6*EF!$H19*kgtoGg,IF('Net zero activities &amp; levers'!$C$10="On",'Net zero Activity data'!BJ6*'Net zero supporting data'!AH191*kgtoGg,"ERROR"))</f>
        <v>1.257902544311023</v>
      </c>
      <c r="AR780" s="93">
        <f>IF('Net zero activities &amp; levers'!$C$10="Off",'Activity data'!BK6*EF!$H19*kgtoGg,IF('Net zero activities &amp; levers'!$C$10="On",'Net zero Activity data'!BK6*'Net zero supporting data'!AI191*kgtoGg,"ERROR"))</f>
        <v>1.2582646545784513</v>
      </c>
      <c r="AS780" s="93">
        <f>IF('Net zero activities &amp; levers'!$C$10="Off",'Activity data'!BL6*EF!$H19*kgtoGg,IF('Net zero activities &amp; levers'!$C$10="On",'Net zero Activity data'!BL6*'Net zero supporting data'!AJ191*kgtoGg,"ERROR"))</f>
        <v>1.2584959683583183</v>
      </c>
      <c r="AT780" s="93">
        <f>IF('Net zero activities &amp; levers'!$C$10="Off",'Activity data'!BM6*EF!$H19*kgtoGg,IF('Net zero activities &amp; levers'!$C$10="On",'Net zero Activity data'!BM6*'Net zero supporting data'!AK191*kgtoGg,"ERROR"))</f>
        <v>1.2585941265757443</v>
      </c>
      <c r="AU780" s="93">
        <f>IF('Net zero activities &amp; levers'!$C$10="Off",'Activity data'!BN6*EF!$H19*kgtoGg,IF('Net zero activities &amp; levers'!$C$10="On",'Net zero Activity data'!BN6*'Net zero supporting data'!AL191*kgtoGg,"ERROR"))</f>
        <v>1.2585618421043605</v>
      </c>
      <c r="AV780" s="93">
        <f>IF('Net zero activities &amp; levers'!$C$10="Off",'Activity data'!BO6*EF!$H19*kgtoGg,IF('Net zero activities &amp; levers'!$C$10="On",'Net zero Activity data'!BO6*'Net zero supporting data'!AM191*kgtoGg,"ERROR"))</f>
        <v>1.2584010068605544</v>
      </c>
      <c r="AW780" s="93">
        <f>IF('Net zero activities &amp; levers'!$C$10="Off",'Activity data'!BP6*EF!$H19*kgtoGg,IF('Net zero activities &amp; levers'!$C$10="On",'Net zero Activity data'!BP6*'Net zero supporting data'!AN191*kgtoGg,"ERROR"))</f>
        <v>1.2580936565868464</v>
      </c>
      <c r="AY780" s="79"/>
      <c r="AZ780" s="79"/>
    </row>
    <row r="781" spans="1:52" x14ac:dyDescent="0.25">
      <c r="A781" s="95" t="str">
        <f t="shared" si="176"/>
        <v>BD Cattle MMCH4</v>
      </c>
      <c r="B781" s="95" t="s">
        <v>1228</v>
      </c>
      <c r="C781" s="95" t="s">
        <v>1229</v>
      </c>
      <c r="D781" t="s">
        <v>15</v>
      </c>
      <c r="E781" t="s">
        <v>22</v>
      </c>
      <c r="F781" t="s">
        <v>67</v>
      </c>
      <c r="G781" t="s">
        <v>307</v>
      </c>
      <c r="H781" t="s">
        <v>1227</v>
      </c>
      <c r="I781" t="s">
        <v>121</v>
      </c>
      <c r="J781" t="s">
        <v>286</v>
      </c>
      <c r="K781" s="27">
        <f t="shared" ref="K781:AW781" si="213">K1395</f>
        <v>0.43258377187145641</v>
      </c>
      <c r="L781" s="27">
        <f t="shared" si="213"/>
        <v>0.43500213637199753</v>
      </c>
      <c r="M781" s="27">
        <f t="shared" si="213"/>
        <v>0.43843338143569016</v>
      </c>
      <c r="N781" s="27">
        <f t="shared" si="213"/>
        <v>0.44063832189202168</v>
      </c>
      <c r="O781" s="27">
        <f t="shared" si="213"/>
        <v>0.44210351490980404</v>
      </c>
      <c r="P781" s="27">
        <f t="shared" si="213"/>
        <v>0.44281453971808249</v>
      </c>
      <c r="Q781" s="27">
        <f t="shared" si="213"/>
        <v>0.44438545813589125</v>
      </c>
      <c r="R781" s="27">
        <f t="shared" si="213"/>
        <v>0.44618756541973903</v>
      </c>
      <c r="S781" s="27">
        <f t="shared" si="213"/>
        <v>0.43350932169879508</v>
      </c>
      <c r="T781" s="27">
        <f t="shared" si="213"/>
        <v>0.44096846352141772</v>
      </c>
      <c r="U781" s="27">
        <f t="shared" si="213"/>
        <v>0.75872150670699801</v>
      </c>
      <c r="V781" s="27">
        <f t="shared" si="213"/>
        <v>0.76786754033521754</v>
      </c>
      <c r="W781" s="27">
        <f t="shared" si="213"/>
        <v>0.77661240655096708</v>
      </c>
      <c r="X781" s="27">
        <f t="shared" si="213"/>
        <v>0.78480735711007588</v>
      </c>
      <c r="Y781" s="27">
        <f t="shared" si="213"/>
        <v>0.79223354393833789</v>
      </c>
      <c r="Z781" s="27">
        <f t="shared" si="213"/>
        <v>0.79885628657612706</v>
      </c>
      <c r="AA781" s="27">
        <f t="shared" si="213"/>
        <v>0.80463700405184546</v>
      </c>
      <c r="AB781" s="27">
        <f t="shared" si="213"/>
        <v>0.80954649626310582</v>
      </c>
      <c r="AC781" s="27">
        <f t="shared" si="213"/>
        <v>0.81356160545666301</v>
      </c>
      <c r="AD781" s="27">
        <f t="shared" si="213"/>
        <v>0.81665798762959563</v>
      </c>
      <c r="AE781" s="27">
        <f t="shared" si="213"/>
        <v>0.81882106897821283</v>
      </c>
      <c r="AF781" s="27">
        <f t="shared" si="213"/>
        <v>0.82003686999306757</v>
      </c>
      <c r="AG781" s="27">
        <f t="shared" si="213"/>
        <v>0.82029188473560344</v>
      </c>
      <c r="AH781" s="27">
        <f t="shared" si="213"/>
        <v>0.81958364676198259</v>
      </c>
      <c r="AI781" s="27">
        <f t="shared" si="213"/>
        <v>0.81791618813389544</v>
      </c>
      <c r="AJ781" s="27">
        <f t="shared" si="213"/>
        <v>0.2587745381881813</v>
      </c>
      <c r="AK781" s="27">
        <f t="shared" si="213"/>
        <v>0.25896343925834608</v>
      </c>
      <c r="AL781" s="27">
        <f t="shared" si="213"/>
        <v>0.25913874198238679</v>
      </c>
      <c r="AM781" s="27">
        <f t="shared" si="213"/>
        <v>0.25930163222285196</v>
      </c>
      <c r="AN781" s="27">
        <f t="shared" si="213"/>
        <v>0.25945357071387171</v>
      </c>
      <c r="AO781" s="27">
        <f t="shared" si="213"/>
        <v>0.25958978884430933</v>
      </c>
      <c r="AP781" s="27">
        <f t="shared" si="213"/>
        <v>0.25970708430821976</v>
      </c>
      <c r="AQ781" s="27">
        <f t="shared" si="213"/>
        <v>0.25980494357810247</v>
      </c>
      <c r="AR781" s="27">
        <f t="shared" si="213"/>
        <v>0.25987973318563101</v>
      </c>
      <c r="AS781" s="27">
        <f t="shared" si="213"/>
        <v>0.25992750832035744</v>
      </c>
      <c r="AT781" s="27">
        <f t="shared" si="213"/>
        <v>0.2599477817431719</v>
      </c>
      <c r="AU781" s="27">
        <f t="shared" si="213"/>
        <v>0.25994111376614593</v>
      </c>
      <c r="AV781" s="27">
        <f t="shared" si="213"/>
        <v>0.25990789514230944</v>
      </c>
      <c r="AW781" s="27">
        <f t="shared" si="213"/>
        <v>0.2598444155660255</v>
      </c>
      <c r="AY781" s="79"/>
      <c r="AZ781" s="79"/>
    </row>
    <row r="782" spans="1:52" x14ac:dyDescent="0.25">
      <c r="A782" s="95" t="str">
        <f t="shared" si="176"/>
        <v>BD Cattle MMCH4</v>
      </c>
      <c r="B782" s="95" t="s">
        <v>1228</v>
      </c>
      <c r="C782" s="95" t="s">
        <v>1229</v>
      </c>
      <c r="D782" t="s">
        <v>15</v>
      </c>
      <c r="E782" t="s">
        <v>22</v>
      </c>
      <c r="F782" t="s">
        <v>67</v>
      </c>
      <c r="G782" t="s">
        <v>122</v>
      </c>
      <c r="H782" t="s">
        <v>1227</v>
      </c>
      <c r="I782" t="s">
        <v>121</v>
      </c>
      <c r="J782" t="s">
        <v>286</v>
      </c>
      <c r="K782" s="27">
        <f t="shared" ref="K782:AW782" si="214">K1396</f>
        <v>9.4871637196006525E-2</v>
      </c>
      <c r="L782" s="27">
        <f t="shared" si="214"/>
        <v>9.4048845784615531E-2</v>
      </c>
      <c r="M782" s="27">
        <f t="shared" si="214"/>
        <v>9.3735634002294232E-2</v>
      </c>
      <c r="N782" s="27">
        <f t="shared" si="214"/>
        <v>9.2483917307495112E-2</v>
      </c>
      <c r="O782" s="27">
        <f t="shared" si="214"/>
        <v>9.0667019955957343E-2</v>
      </c>
      <c r="P782" s="27">
        <f t="shared" si="214"/>
        <v>8.8322512540543879E-2</v>
      </c>
      <c r="Q782" s="27">
        <f t="shared" si="214"/>
        <v>8.6473330972337878E-2</v>
      </c>
      <c r="R782" s="27">
        <f t="shared" si="214"/>
        <v>8.4723794986300269E-2</v>
      </c>
      <c r="S782" s="27">
        <f t="shared" si="214"/>
        <v>7.5770078702790261E-2</v>
      </c>
      <c r="T782" s="27">
        <f t="shared" si="214"/>
        <v>7.8689269579177143E-2</v>
      </c>
      <c r="U782" s="27">
        <f t="shared" si="214"/>
        <v>0.24800462804394147</v>
      </c>
      <c r="V782" s="27">
        <f t="shared" si="214"/>
        <v>0.24920084841283532</v>
      </c>
      <c r="W782" s="27">
        <f t="shared" si="214"/>
        <v>0.24996642649158854</v>
      </c>
      <c r="X782" s="27">
        <f t="shared" si="214"/>
        <v>0.2503012063466436</v>
      </c>
      <c r="Y782" s="27">
        <f t="shared" si="214"/>
        <v>0.25021227988125561</v>
      </c>
      <c r="Z782" s="27">
        <f t="shared" si="214"/>
        <v>0.2496953846333905</v>
      </c>
      <c r="AA782" s="27">
        <f t="shared" si="214"/>
        <v>0.24874925442521903</v>
      </c>
      <c r="AB782" s="27">
        <f t="shared" si="214"/>
        <v>0.24737467209164213</v>
      </c>
      <c r="AC782" s="27">
        <f t="shared" si="214"/>
        <v>0.24557472852149176</v>
      </c>
      <c r="AD782" s="27">
        <f t="shared" si="214"/>
        <v>0.24131030034343104</v>
      </c>
      <c r="AE782" s="27">
        <f t="shared" si="214"/>
        <v>0.23664419000405892</v>
      </c>
      <c r="AF782" s="27">
        <f t="shared" si="214"/>
        <v>0.23159736326339173</v>
      </c>
      <c r="AG782" s="27">
        <f t="shared" si="214"/>
        <v>0.22619316818810492</v>
      </c>
      <c r="AH782" s="27">
        <f t="shared" si="214"/>
        <v>0.22045646078746098</v>
      </c>
      <c r="AI782" s="27">
        <f t="shared" si="214"/>
        <v>0.21441370915210514</v>
      </c>
      <c r="AJ782" s="27">
        <f t="shared" si="214"/>
        <v>-1.6555567081653722E-2</v>
      </c>
      <c r="AK782" s="27">
        <f t="shared" si="214"/>
        <v>-1.6156956868356984E-2</v>
      </c>
      <c r="AL782" s="27">
        <f t="shared" si="214"/>
        <v>-1.5762493990911713E-2</v>
      </c>
      <c r="AM782" s="27">
        <f t="shared" si="214"/>
        <v>-1.5372137708578686E-2</v>
      </c>
      <c r="AN782" s="27">
        <f t="shared" si="214"/>
        <v>-1.5062322238181812E-2</v>
      </c>
      <c r="AO782" s="27">
        <f t="shared" si="214"/>
        <v>-1.4755445706367474E-2</v>
      </c>
      <c r="AP782" s="27">
        <f t="shared" si="214"/>
        <v>-1.4451279866976845E-2</v>
      </c>
      <c r="AQ782" s="27">
        <f t="shared" si="214"/>
        <v>-1.4149749376213728E-2</v>
      </c>
      <c r="AR782" s="27">
        <f t="shared" si="214"/>
        <v>-1.3850633785054411E-2</v>
      </c>
      <c r="AS782" s="27">
        <f t="shared" si="214"/>
        <v>-1.3553717207866358E-2</v>
      </c>
      <c r="AT782" s="27">
        <f t="shared" si="214"/>
        <v>-1.3258964972152997E-2</v>
      </c>
      <c r="AU782" s="27">
        <f t="shared" si="214"/>
        <v>-1.296639528808627E-2</v>
      </c>
      <c r="AV782" s="27">
        <f t="shared" si="214"/>
        <v>-1.26760193266456E-2</v>
      </c>
      <c r="AW782" s="27">
        <f t="shared" si="214"/>
        <v>-1.2387670307042478E-2</v>
      </c>
      <c r="AY782" s="79"/>
      <c r="AZ782" s="79"/>
    </row>
    <row r="783" spans="1:52" x14ac:dyDescent="0.25">
      <c r="A783" s="95" t="str">
        <f t="shared" si="176"/>
        <v>BD Cattle MMCH4</v>
      </c>
      <c r="B783" s="95" t="s">
        <v>1228</v>
      </c>
      <c r="C783" s="95" t="s">
        <v>1229</v>
      </c>
      <c r="D783" t="s">
        <v>15</v>
      </c>
      <c r="E783" t="s">
        <v>22</v>
      </c>
      <c r="F783" t="s">
        <v>67</v>
      </c>
      <c r="G783" t="s">
        <v>123</v>
      </c>
      <c r="H783" t="s">
        <v>1227</v>
      </c>
      <c r="I783" t="s">
        <v>121</v>
      </c>
      <c r="J783" t="s">
        <v>286</v>
      </c>
      <c r="K783" s="27">
        <f t="shared" ref="K783:AW783" si="215">K1397</f>
        <v>6.968944973410629E-2</v>
      </c>
      <c r="L783" s="27">
        <f t="shared" si="215"/>
        <v>6.908505539244103E-2</v>
      </c>
      <c r="M783" s="27">
        <f t="shared" si="215"/>
        <v>6.8854980763127779E-2</v>
      </c>
      <c r="N783" s="27">
        <f t="shared" si="215"/>
        <v>6.7935512624264296E-2</v>
      </c>
      <c r="O783" s="27">
        <f t="shared" si="215"/>
        <v>6.660088216573827E-2</v>
      </c>
      <c r="P783" s="27">
        <f t="shared" si="215"/>
        <v>6.487868745605771E-2</v>
      </c>
      <c r="Q783" s="27">
        <f t="shared" si="215"/>
        <v>6.3520342119606055E-2</v>
      </c>
      <c r="R783" s="27">
        <f t="shared" si="215"/>
        <v>6.2235193009075984E-2</v>
      </c>
      <c r="S783" s="27">
        <f t="shared" si="215"/>
        <v>5.5658100220174651E-2</v>
      </c>
      <c r="T783" s="27">
        <f t="shared" si="215"/>
        <v>5.7802437683476982E-2</v>
      </c>
      <c r="U783" s="27">
        <f t="shared" si="215"/>
        <v>0.182175690972702</v>
      </c>
      <c r="V783" s="27">
        <f t="shared" si="215"/>
        <v>0.18305439341457844</v>
      </c>
      <c r="W783" s="27">
        <f t="shared" si="215"/>
        <v>0.18361676080501965</v>
      </c>
      <c r="X783" s="27">
        <f t="shared" si="215"/>
        <v>0.18386267860058431</v>
      </c>
      <c r="Y783" s="27">
        <f t="shared" si="215"/>
        <v>0.18379735627008756</v>
      </c>
      <c r="Z783" s="27">
        <f t="shared" si="215"/>
        <v>0.18341766275515989</v>
      </c>
      <c r="AA783" s="27">
        <f t="shared" si="215"/>
        <v>0.18272266796500922</v>
      </c>
      <c r="AB783" s="27">
        <f t="shared" si="215"/>
        <v>0.18171294694329559</v>
      </c>
      <c r="AC783" s="27">
        <f t="shared" si="215"/>
        <v>0.1803907701509096</v>
      </c>
      <c r="AD783" s="27">
        <f t="shared" si="215"/>
        <v>0.17725826751953122</v>
      </c>
      <c r="AE783" s="27">
        <f t="shared" si="215"/>
        <v>0.17383070295376282</v>
      </c>
      <c r="AF783" s="27">
        <f t="shared" si="215"/>
        <v>0.17012347718159837</v>
      </c>
      <c r="AG783" s="27">
        <f t="shared" si="215"/>
        <v>0.16615374089176904</v>
      </c>
      <c r="AH783" s="27">
        <f t="shared" si="215"/>
        <v>0.16193975245589462</v>
      </c>
      <c r="AI783" s="27">
        <f t="shared" si="215"/>
        <v>0.1575009544252694</v>
      </c>
      <c r="AJ783" s="27">
        <f t="shared" si="215"/>
        <v>-1.2161151573392443E-2</v>
      </c>
      <c r="AK783" s="27">
        <f t="shared" si="215"/>
        <v>-1.1868346186618603E-2</v>
      </c>
      <c r="AL783" s="27">
        <f t="shared" si="215"/>
        <v>-1.1578587290470338E-2</v>
      </c>
      <c r="AM783" s="27">
        <f t="shared" si="215"/>
        <v>-1.1291844958198401E-2</v>
      </c>
      <c r="AN783" s="27">
        <f t="shared" si="215"/>
        <v>-1.1064265143100825E-2</v>
      </c>
      <c r="AO783" s="27">
        <f t="shared" si="215"/>
        <v>-1.0838844171453966E-2</v>
      </c>
      <c r="AP783" s="27">
        <f t="shared" si="215"/>
        <v>-1.0615414381460443E-2</v>
      </c>
      <c r="AQ783" s="27">
        <f t="shared" si="215"/>
        <v>-1.039392042815254E-2</v>
      </c>
      <c r="AR783" s="27">
        <f t="shared" si="215"/>
        <v>-1.017420037724082E-2</v>
      </c>
      <c r="AS783" s="27">
        <f t="shared" si="215"/>
        <v>-9.956095646546443E-3</v>
      </c>
      <c r="AT783" s="27">
        <f t="shared" si="215"/>
        <v>-9.739580766843E-3</v>
      </c>
      <c r="AU783" s="27">
        <f t="shared" si="215"/>
        <v>-9.5246691146980388E-3</v>
      </c>
      <c r="AV783" s="27">
        <f t="shared" si="215"/>
        <v>-9.3113688959297666E-3</v>
      </c>
      <c r="AW783" s="27">
        <f t="shared" si="215"/>
        <v>-9.0995575990930264E-3</v>
      </c>
      <c r="AY783" s="79"/>
      <c r="AZ783" s="79"/>
    </row>
    <row r="784" spans="1:52" x14ac:dyDescent="0.25">
      <c r="A784" s="95" t="str">
        <f t="shared" si="176"/>
        <v>BD Cattle MMCH4</v>
      </c>
      <c r="B784" s="95" t="s">
        <v>1228</v>
      </c>
      <c r="C784" s="95" t="s">
        <v>1229</v>
      </c>
      <c r="D784" t="s">
        <v>15</v>
      </c>
      <c r="E784" t="s">
        <v>22</v>
      </c>
      <c r="F784" t="s">
        <v>67</v>
      </c>
      <c r="G784" t="s">
        <v>135</v>
      </c>
      <c r="H784" t="s">
        <v>1227</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0.48695387967725956</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0.51986569055899423</v>
      </c>
      <c r="O784" s="93">
        <f>IF('Net zero activities &amp; levers'!$C$10="Off",'Activity data'!AH10*EF!$H23*kgtoGg,IF('Net zero activities &amp; levers'!$C$10="On",'Net zero Activity data'!AH10*'Net zero supporting data'!F192*kgtoGg,"ERROR"))</f>
        <v>0.5307082628613855</v>
      </c>
      <c r="P784" s="93">
        <f>IF('Net zero activities &amp; levers'!$C$10="Off",'Activity data'!AI10*EF!$H23*kgtoGg,IF('Net zero activities &amp; levers'!$C$10="On",'Net zero Activity data'!AI10*'Net zero supporting data'!G192*kgtoGg,"ERROR"))</f>
        <v>0.53817886796858139</v>
      </c>
      <c r="Q784" s="93">
        <f>IF('Net zero activities &amp; levers'!$C$10="Off",'Activity data'!AJ10*EF!$H23*kgtoGg,IF('Net zero activities &amp; levers'!$C$10="On",'Net zero Activity data'!AJ10*'Net zero supporting data'!H192*kgtoGg,"ERROR"))</f>
        <v>0.54837935702304763</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0.52019632078645839</v>
      </c>
      <c r="T784" s="93">
        <f>IF('Net zero activities &amp; levers'!$C$10="Off",'Activity data'!AM10*EF!$H23*kgtoGg,IF('Net zero activities &amp; levers'!$C$10="On",'Net zero Activity data'!AM10*'Net zero supporting data'!K192*kgtoGg,"ERROR"))</f>
        <v>0.55325369057346974</v>
      </c>
      <c r="U784" s="93">
        <f>IF('Net zero activities &amp; levers'!$C$10="Off",'Activity data'!AN10*EF!$H23*kgtoGg,IF('Net zero activities &amp; levers'!$C$10="On",'Net zero Activity data'!AN10*'Net zero supporting data'!L192*kgtoGg,"ERROR"))</f>
        <v>1.7851204886019707</v>
      </c>
      <c r="V784" s="93">
        <f>IF('Net zero activities &amp; levers'!$C$10="Off",'Activity data'!AO10*EF!$H23*kgtoGg,IF('Net zero activities &amp; levers'!$C$10="On",'Net zero Activity data'!AO10*'Net zero supporting data'!M192*kgtoGg,"ERROR"))</f>
        <v>1.8358114551753451</v>
      </c>
      <c r="W784" s="93">
        <f>IF('Net zero activities &amp; levers'!$C$10="Off",'Activity data'!AP10*EF!$H23*kgtoGg,IF('Net zero activities &amp; levers'!$C$10="On",'Net zero Activity data'!AP10*'Net zero supporting data'!N192*kgtoGg,"ERROR"))</f>
        <v>1.8841429870431068</v>
      </c>
      <c r="X784" s="93">
        <f>IF('Net zero activities &amp; levers'!$C$10="Off",'Activity data'!AQ10*EF!$H23*kgtoGg,IF('Net zero activities &amp; levers'!$C$10="On",'Net zero Activity data'!AQ10*'Net zero supporting data'!O192*kgtoGg,"ERROR"))</f>
        <v>1.9299293707853407</v>
      </c>
      <c r="Y784" s="93">
        <f>IF('Net zero activities &amp; levers'!$C$10="Off",'Activity data'!AR10*EF!$H23*kgtoGg,IF('Net zero activities &amp; levers'!$C$10="On",'Net zero Activity data'!AR10*'Net zero supporting data'!P192*kgtoGg,"ERROR"))</f>
        <v>1.9730360139075687</v>
      </c>
      <c r="Z784" s="93">
        <f>IF('Net zero activities &amp; levers'!$C$10="Off",'Activity data'!AS10*EF!$H23*kgtoGg,IF('Net zero activities &amp; levers'!$C$10="On",'Net zero Activity data'!AS10*'Net zero supporting data'!Q192*kgtoGg,"ERROR"))</f>
        <v>2.0132355560309785</v>
      </c>
      <c r="AA784" s="93">
        <f>IF('Net zero activities &amp; levers'!$C$10="Off",'Activity data'!AT10*EF!$H23*kgtoGg,IF('Net zero activities &amp; levers'!$C$10="On",'Net zero Activity data'!AT10*'Net zero supporting data'!R192*kgtoGg,"ERROR"))</f>
        <v>2.0503157854688139</v>
      </c>
      <c r="AB784" s="93">
        <f>IF('Net zero activities &amp; levers'!$C$10="Off",'Activity data'!AU10*EF!$H23*kgtoGg,IF('Net zero activities &amp; levers'!$C$10="On",'Net zero Activity data'!AU10*'Net zero supporting data'!S192*kgtoGg,"ERROR"))</f>
        <v>2.0840739423253991</v>
      </c>
      <c r="AC784" s="93">
        <f>IF('Net zero activities &amp; levers'!$C$10="Off",'Activity data'!AV10*EF!$H23*kgtoGg,IF('Net zero activities &amp; levers'!$C$10="On",'Net zero Activity data'!AV10*'Net zero supporting data'!T192*kgtoGg,"ERROR"))</f>
        <v>2.1143204533767861</v>
      </c>
      <c r="AD784" s="93">
        <f>IF('Net zero activities &amp; levers'!$C$10="Off",'Activity data'!AW10*EF!$H23*kgtoGg,IF('Net zero activities &amp; levers'!$C$10="On",'Net zero Activity data'!AW10*'Net zero supporting data'!U192*kgtoGg,"ERROR"))</f>
        <v>2.1465040938299391</v>
      </c>
      <c r="AE784" s="93">
        <f>IF('Net zero activities &amp; levers'!$C$10="Off",'Activity data'!AX10*EF!$H23*kgtoGg,IF('Net zero activities &amp; levers'!$C$10="On",'Net zero Activity data'!AX10*'Net zero supporting data'!V192*kgtoGg,"ERROR"))</f>
        <v>2.1749393600032643</v>
      </c>
      <c r="AF784" s="93">
        <f>IF('Net zero activities &amp; levers'!$C$10="Off",'Activity data'!AY10*EF!$H23*kgtoGg,IF('Net zero activities &amp; levers'!$C$10="On",'Net zero Activity data'!AY10*'Net zero supporting data'!W192*kgtoGg,"ERROR"))</f>
        <v>2.1994598063034698</v>
      </c>
      <c r="AG784" s="93">
        <f>IF('Net zero activities &amp; levers'!$C$10="Off",'Activity data'!AZ10*EF!$H23*kgtoGg,IF('Net zero activities &amp; levers'!$C$10="On",'Net zero Activity data'!AZ10*'Net zero supporting data'!X192*kgtoGg,"ERROR"))</f>
        <v>2.2199209490040412</v>
      </c>
      <c r="AH784" s="93">
        <f>IF('Net zero activities &amp; levers'!$C$10="Off",'Activity data'!BA10*EF!$H23*kgtoGg,IF('Net zero activities &amp; levers'!$C$10="On",'Net zero Activity data'!BA10*'Net zero supporting data'!Y192*kgtoGg,"ERROR"))</f>
        <v>2.2361952396921123</v>
      </c>
      <c r="AI784" s="93">
        <f>IF('Net zero activities &amp; levers'!$C$10="Off",'Activity data'!BB10*EF!$H23*kgtoGg,IF('Net zero activities &amp; levers'!$C$10="On",'Net zero Activity data'!BB10*'Net zero supporting data'!Z192*kgtoGg,"ERROR"))</f>
        <v>2.2481759568184136</v>
      </c>
      <c r="AJ784" s="93">
        <f>IF('Net zero activities &amp; levers'!$C$10="Off",'Activity data'!BC10*EF!$H23*kgtoGg,IF('Net zero activities &amp; levers'!$C$10="On",'Net zero Activity data'!BC10*'Net zero supporting data'!AA192*kgtoGg,"ERROR"))</f>
        <v>-0.17946652232513363</v>
      </c>
      <c r="AK784" s="93">
        <f>IF('Net zero activities &amp; levers'!$C$10="Off",'Activity data'!BD10*EF!$H23*kgtoGg,IF('Net zero activities &amp; levers'!$C$10="On",'Net zero Activity data'!BD10*'Net zero supporting data'!AB192*kgtoGg,"ERROR"))</f>
        <v>-0.18110907611543389</v>
      </c>
      <c r="AL784" s="93">
        <f>IF('Net zero activities &amp; levers'!$C$10="Off",'Activity data'!BE10*EF!$H23*kgtoGg,IF('Net zero activities &amp; levers'!$C$10="On",'Net zero Activity data'!BE10*'Net zero supporting data'!AC192*kgtoGg,"ERROR"))</f>
        <v>-0.18274076856651822</v>
      </c>
      <c r="AM784" s="93">
        <f>IF('Net zero activities &amp; levers'!$C$10="Off",'Activity data'!BF10*EF!$H23*kgtoGg,IF('Net zero activities &amp; levers'!$C$10="On",'Net zero Activity data'!BF10*'Net zero supporting data'!AD192*kgtoGg,"ERROR"))</f>
        <v>-0.18436241238183759</v>
      </c>
      <c r="AN784" s="93">
        <f>IF('Net zero activities &amp; levers'!$C$10="Off",'Activity data'!BG10*EF!$H23*kgtoGg,IF('Net zero activities &amp; levers'!$C$10="On",'Net zero Activity data'!BG10*'Net zero supporting data'!AE192*kgtoGg,"ERROR"))</f>
        <v>-0.18574369682883446</v>
      </c>
      <c r="AO784" s="93">
        <f>IF('Net zero activities &amp; levers'!$C$10="Off",'Activity data'!BH10*EF!$H23*kgtoGg,IF('Net zero activities &amp; levers'!$C$10="On",'Net zero Activity data'!BH10*'Net zero supporting data'!AF192*kgtoGg,"ERROR"))</f>
        <v>-0.18711116954081883</v>
      </c>
      <c r="AP784" s="93">
        <f>IF('Net zero activities &amp; levers'!$C$10="Off",'Activity data'!BI10*EF!$H23*kgtoGg,IF('Net zero activities &amp; levers'!$C$10="On",'Net zero Activity data'!BI10*'Net zero supporting data'!AG192*kgtoGg,"ERROR"))</f>
        <v>-0.18846273754694579</v>
      </c>
      <c r="AQ784" s="93">
        <f>IF('Net zero activities &amp; levers'!$C$10="Off",'Activity data'!BJ10*EF!$H23*kgtoGg,IF('Net zero activities &amp; levers'!$C$10="On",'Net zero Activity data'!BJ10*'Net zero supporting data'!AH192*kgtoGg,"ERROR"))</f>
        <v>-0.18979802913484242</v>
      </c>
      <c r="AR784" s="93">
        <f>IF('Net zero activities &amp; levers'!$C$10="Off",'Activity data'!BK10*EF!$H23*kgtoGg,IF('Net zero activities &amp; levers'!$C$10="On",'Net zero Activity data'!BK10*'Net zero supporting data'!AI192*kgtoGg,"ERROR"))</f>
        <v>-0.19111455281570203</v>
      </c>
      <c r="AS784" s="93">
        <f>IF('Net zero activities &amp; levers'!$C$10="Off",'Activity data'!BL10*EF!$H23*kgtoGg,IF('Net zero activities &amp; levers'!$C$10="On",'Net zero Activity data'!BL10*'Net zero supporting data'!AJ192*kgtoGg,"ERROR"))</f>
        <v>-0.19240952741879389</v>
      </c>
      <c r="AT784" s="93">
        <f>IF('Net zero activities &amp; levers'!$C$10="Off",'Activity data'!BM10*EF!$H23*kgtoGg,IF('Net zero activities &amp; levers'!$C$10="On",'Net zero Activity data'!BM10*'Net zero supporting data'!AK192*kgtoGg,"ERROR"))</f>
        <v>-0.19368244494387601</v>
      </c>
      <c r="AU784" s="93">
        <f>IF('Net zero activities &amp; levers'!$C$10="Off",'Activity data'!BN10*EF!$H23*kgtoGg,IF('Net zero activities &amp; levers'!$C$10="On",'Net zero Activity data'!BN10*'Net zero supporting data'!AL192*kgtoGg,"ERROR"))</f>
        <v>-0.19493349782495742</v>
      </c>
      <c r="AV784" s="93">
        <f>IF('Net zero activities &amp; levers'!$C$10="Off",'Activity data'!BO10*EF!$H23*kgtoGg,IF('Net zero activities &amp; levers'!$C$10="On",'Net zero Activity data'!BO10*'Net zero supporting data'!AM192*kgtoGg,"ERROR"))</f>
        <v>-0.19616276303602645</v>
      </c>
      <c r="AW784" s="93">
        <f>IF('Net zero activities &amp; levers'!$C$10="Off",'Activity data'!BP10*EF!$H23*kgtoGg,IF('Net zero activities &amp; levers'!$C$10="On",'Net zero Activity data'!BP10*'Net zero supporting data'!AN192*kgtoGg,"ERROR"))</f>
        <v>-0.19736746528407936</v>
      </c>
      <c r="AY784" s="79"/>
      <c r="AZ784" s="79"/>
    </row>
    <row r="785" spans="1:52" x14ac:dyDescent="0.25">
      <c r="A785" s="95" t="str">
        <f t="shared" si="176"/>
        <v>BD Sheep MMCH4</v>
      </c>
      <c r="B785" s="95" t="s">
        <v>1228</v>
      </c>
      <c r="C785" s="95" t="s">
        <v>1324</v>
      </c>
      <c r="D785" t="s">
        <v>15</v>
      </c>
      <c r="E785" t="s">
        <v>22</v>
      </c>
      <c r="F785" t="s">
        <v>18</v>
      </c>
      <c r="G785" t="s">
        <v>122</v>
      </c>
      <c r="H785" t="s">
        <v>1227</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3.6578192116978575E-2</v>
      </c>
      <c r="T785" s="27">
        <f t="shared" si="216"/>
        <v>3.6602536457524273E-2</v>
      </c>
      <c r="U785" s="27">
        <f t="shared" si="216"/>
        <v>3.7079287706665597E-2</v>
      </c>
      <c r="V785" s="27">
        <f t="shared" si="216"/>
        <v>3.7090917681294085E-2</v>
      </c>
      <c r="W785" s="27">
        <f t="shared" si="216"/>
        <v>3.7140664601717173E-2</v>
      </c>
      <c r="X785" s="27">
        <f t="shared" si="216"/>
        <v>3.7212574982641126E-2</v>
      </c>
      <c r="Y785" s="27">
        <f t="shared" si="216"/>
        <v>3.7279377262220796E-2</v>
      </c>
      <c r="Z785" s="27">
        <f t="shared" si="216"/>
        <v>3.7341898542443672E-2</v>
      </c>
      <c r="AA785" s="27">
        <f t="shared" si="216"/>
        <v>3.7399805431240309E-2</v>
      </c>
      <c r="AB785" s="27">
        <f t="shared" si="216"/>
        <v>3.7453619674437284E-2</v>
      </c>
      <c r="AC785" s="27">
        <f t="shared" si="216"/>
        <v>3.7504157579295157E-2</v>
      </c>
      <c r="AD785" s="27">
        <f t="shared" si="216"/>
        <v>3.755137152744302E-2</v>
      </c>
      <c r="AE785" s="27">
        <f t="shared" si="216"/>
        <v>3.7596016682571363E-2</v>
      </c>
      <c r="AF785" s="27">
        <f t="shared" si="216"/>
        <v>3.7638201115333593E-2</v>
      </c>
      <c r="AG785" s="27">
        <f t="shared" si="216"/>
        <v>3.7677346639447794E-2</v>
      </c>
      <c r="AH785" s="27">
        <f t="shared" si="216"/>
        <v>3.7713811349129885E-2</v>
      </c>
      <c r="AI785" s="27">
        <f t="shared" si="216"/>
        <v>3.7748176979043722E-2</v>
      </c>
      <c r="AJ785" s="27">
        <f t="shared" si="216"/>
        <v>3.6919749367433322E-2</v>
      </c>
      <c r="AK785" s="27">
        <f t="shared" si="216"/>
        <v>3.6953700421728228E-2</v>
      </c>
      <c r="AL785" s="27">
        <f t="shared" si="216"/>
        <v>3.6985368016573254E-2</v>
      </c>
      <c r="AM785" s="27">
        <f t="shared" si="216"/>
        <v>3.7014945688034803E-2</v>
      </c>
      <c r="AN785" s="27">
        <f t="shared" si="216"/>
        <v>3.7042668702165847E-2</v>
      </c>
      <c r="AO785" s="27">
        <f t="shared" si="216"/>
        <v>3.7067807831001554E-2</v>
      </c>
      <c r="AP785" s="27">
        <f t="shared" si="216"/>
        <v>3.7089876088168584E-2</v>
      </c>
      <c r="AQ785" s="27">
        <f t="shared" si="216"/>
        <v>3.710880214511815E-2</v>
      </c>
      <c r="AR785" s="27">
        <f t="shared" si="216"/>
        <v>3.7124031819377158E-2</v>
      </c>
      <c r="AS785" s="27">
        <f t="shared" si="216"/>
        <v>3.7134962729756575E-2</v>
      </c>
      <c r="AT785" s="27">
        <f t="shared" si="216"/>
        <v>3.7141526945573433E-2</v>
      </c>
      <c r="AU785" s="27">
        <f t="shared" si="216"/>
        <v>3.7143818098984892E-2</v>
      </c>
      <c r="AV785" s="27">
        <f t="shared" si="216"/>
        <v>3.7141903206885624E-2</v>
      </c>
      <c r="AW785" s="27">
        <f t="shared" si="216"/>
        <v>3.7135215292227401E-2</v>
      </c>
      <c r="AY785" s="79"/>
      <c r="AZ785" s="79"/>
    </row>
    <row r="786" spans="1:52" x14ac:dyDescent="0.25">
      <c r="A786" s="95" t="str">
        <f t="shared" si="176"/>
        <v>BD Sheep MMCH4</v>
      </c>
      <c r="B786" s="95" t="s">
        <v>1228</v>
      </c>
      <c r="C786" s="95" t="s">
        <v>1324</v>
      </c>
      <c r="D786" t="s">
        <v>15</v>
      </c>
      <c r="E786" t="s">
        <v>22</v>
      </c>
      <c r="F786" t="s">
        <v>18</v>
      </c>
      <c r="G786" t="s">
        <v>123</v>
      </c>
      <c r="H786" t="s">
        <v>1227</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4.1774038907199012E-3</v>
      </c>
      <c r="T786" s="27">
        <f t="shared" si="217"/>
        <v>4.1801841304481904E-3</v>
      </c>
      <c r="U786" s="27">
        <f t="shared" si="217"/>
        <v>4.2346313955480986E-3</v>
      </c>
      <c r="V786" s="27">
        <f t="shared" si="217"/>
        <v>4.2359595940852672E-3</v>
      </c>
      <c r="W786" s="27">
        <f t="shared" si="217"/>
        <v>4.24164092951765E-3</v>
      </c>
      <c r="X786" s="27">
        <f t="shared" si="217"/>
        <v>4.2498534377819787E-3</v>
      </c>
      <c r="Y786" s="27">
        <f t="shared" si="217"/>
        <v>4.2574825765248842E-3</v>
      </c>
      <c r="Z786" s="27">
        <f t="shared" si="217"/>
        <v>4.2646228047357425E-3</v>
      </c>
      <c r="AA786" s="27">
        <f t="shared" si="217"/>
        <v>4.2712360474510998E-3</v>
      </c>
      <c r="AB786" s="27">
        <f t="shared" si="217"/>
        <v>4.2773818905312679E-3</v>
      </c>
      <c r="AC786" s="27">
        <f t="shared" si="217"/>
        <v>4.2831535601563532E-3</v>
      </c>
      <c r="AD786" s="27">
        <f t="shared" si="217"/>
        <v>4.2885456180814241E-3</v>
      </c>
      <c r="AE786" s="27">
        <f t="shared" si="217"/>
        <v>4.2936443075994434E-3</v>
      </c>
      <c r="AF786" s="27">
        <f t="shared" si="217"/>
        <v>4.2984619708941515E-3</v>
      </c>
      <c r="AG786" s="27">
        <f t="shared" si="217"/>
        <v>4.3029325763362138E-3</v>
      </c>
      <c r="AH786" s="27">
        <f t="shared" si="217"/>
        <v>4.3070970199919519E-3</v>
      </c>
      <c r="AI786" s="27">
        <f t="shared" si="217"/>
        <v>4.3110217387328335E-3</v>
      </c>
      <c r="AJ786" s="27">
        <f t="shared" si="217"/>
        <v>4.2164113567638812E-3</v>
      </c>
      <c r="AK786" s="27">
        <f t="shared" si="217"/>
        <v>4.2202887289929962E-3</v>
      </c>
      <c r="AL786" s="27">
        <f t="shared" si="217"/>
        <v>4.2239053192687616E-3</v>
      </c>
      <c r="AM786" s="27">
        <f t="shared" si="217"/>
        <v>4.2272832303324572E-3</v>
      </c>
      <c r="AN786" s="27">
        <f t="shared" si="217"/>
        <v>4.2304493306887332E-3</v>
      </c>
      <c r="AO786" s="27">
        <f t="shared" si="217"/>
        <v>4.2333203390281212E-3</v>
      </c>
      <c r="AP786" s="27">
        <f t="shared" si="217"/>
        <v>4.235840639185552E-3</v>
      </c>
      <c r="AQ786" s="27">
        <f t="shared" si="217"/>
        <v>4.2380020851007644E-3</v>
      </c>
      <c r="AR786" s="27">
        <f t="shared" si="217"/>
        <v>4.2397413864938057E-3</v>
      </c>
      <c r="AS786" s="27">
        <f t="shared" si="217"/>
        <v>4.2409897485616204E-3</v>
      </c>
      <c r="AT786" s="27">
        <f t="shared" si="217"/>
        <v>4.241739413296421E-3</v>
      </c>
      <c r="AU786" s="27">
        <f t="shared" si="217"/>
        <v>4.2420010739368554E-3</v>
      </c>
      <c r="AV786" s="27">
        <f t="shared" si="217"/>
        <v>4.2417823841317337E-3</v>
      </c>
      <c r="AW786" s="27">
        <f t="shared" si="217"/>
        <v>4.2410185923996346E-3</v>
      </c>
      <c r="AY786" s="79"/>
      <c r="AZ786" s="79"/>
    </row>
    <row r="787" spans="1:52" x14ac:dyDescent="0.25">
      <c r="A787" s="95" t="str">
        <f t="shared" si="176"/>
        <v>BD Goats MMCH4</v>
      </c>
      <c r="B787" s="95" t="s">
        <v>1228</v>
      </c>
      <c r="C787" s="95" t="s">
        <v>1325</v>
      </c>
      <c r="D787" t="s">
        <v>15</v>
      </c>
      <c r="E787" t="s">
        <v>22</v>
      </c>
      <c r="F787" t="s">
        <v>19</v>
      </c>
      <c r="G787" t="s">
        <v>122</v>
      </c>
      <c r="H787" t="s">
        <v>1227</v>
      </c>
      <c r="I787" t="s">
        <v>121</v>
      </c>
      <c r="J787" t="s">
        <v>286</v>
      </c>
      <c r="K787" s="27">
        <f t="shared" ref="K787:AW787" si="218">K1401</f>
        <v>1.5789672763163301E-2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1.6230654784419023E-2</v>
      </c>
      <c r="R787" s="27">
        <f t="shared" si="218"/>
        <v>1.6337439810579345E-2</v>
      </c>
      <c r="S787" s="27">
        <f t="shared" si="218"/>
        <v>1.6297600931786334E-2</v>
      </c>
      <c r="T787" s="27">
        <f t="shared" si="218"/>
        <v>1.6324272387083224E-2</v>
      </c>
      <c r="U787" s="27">
        <f t="shared" si="218"/>
        <v>1.6655251261159847E-2</v>
      </c>
      <c r="V787" s="27">
        <f t="shared" si="218"/>
        <v>1.6670204486965774E-2</v>
      </c>
      <c r="W787" s="27">
        <f t="shared" si="218"/>
        <v>1.6709793357794805E-2</v>
      </c>
      <c r="X787" s="27">
        <f t="shared" si="218"/>
        <v>1.6763223659981074E-2</v>
      </c>
      <c r="Y787" s="27">
        <f t="shared" si="218"/>
        <v>1.6812226700055496E-2</v>
      </c>
      <c r="Z787" s="27">
        <f t="shared" si="218"/>
        <v>1.6857450212656173E-2</v>
      </c>
      <c r="AA787" s="27">
        <f t="shared" si="218"/>
        <v>1.6898755484739163E-2</v>
      </c>
      <c r="AB787" s="27">
        <f t="shared" si="218"/>
        <v>1.6936566671667971E-2</v>
      </c>
      <c r="AC787" s="27">
        <f t="shared" si="218"/>
        <v>1.697149382994385E-2</v>
      </c>
      <c r="AD787" s="27">
        <f t="shared" si="218"/>
        <v>1.7003565100315018E-2</v>
      </c>
      <c r="AE787" s="27">
        <f t="shared" si="218"/>
        <v>1.7033334255161247E-2</v>
      </c>
      <c r="AF787" s="27">
        <f t="shared" si="218"/>
        <v>1.7060920227859537E-2</v>
      </c>
      <c r="AG787" s="27">
        <f t="shared" si="218"/>
        <v>1.7085986205962782E-2</v>
      </c>
      <c r="AH787" s="27">
        <f t="shared" si="218"/>
        <v>1.7108809785956688E-2</v>
      </c>
      <c r="AI787" s="27">
        <f t="shared" si="218"/>
        <v>1.712981031401661E-2</v>
      </c>
      <c r="AJ787" s="27">
        <f t="shared" si="218"/>
        <v>1.6586017575220102E-2</v>
      </c>
      <c r="AK787" s="27">
        <f t="shared" si="218"/>
        <v>1.6606977911339412E-2</v>
      </c>
      <c r="AL787" s="27">
        <f t="shared" si="218"/>
        <v>1.6626062012476617E-2</v>
      </c>
      <c r="AM787" s="27">
        <f t="shared" si="218"/>
        <v>1.664342433023323E-2</v>
      </c>
      <c r="AN787" s="27">
        <f t="shared" si="218"/>
        <v>1.6659243730537236E-2</v>
      </c>
      <c r="AO787" s="27">
        <f t="shared" si="218"/>
        <v>1.6673071131631082E-2</v>
      </c>
      <c r="AP787" s="27">
        <f t="shared" si="218"/>
        <v>1.6684616029064781E-2</v>
      </c>
      <c r="AQ787" s="27">
        <f t="shared" si="218"/>
        <v>1.6693857214200334E-2</v>
      </c>
      <c r="AR787" s="27">
        <f t="shared" si="218"/>
        <v>1.6700461030767416E-2</v>
      </c>
      <c r="AS787" s="27">
        <f t="shared" si="218"/>
        <v>1.6704063934453468E-2</v>
      </c>
      <c r="AT787" s="27">
        <f t="shared" si="218"/>
        <v>1.6704647334029751E-2</v>
      </c>
      <c r="AU787" s="27">
        <f t="shared" si="218"/>
        <v>1.6702295489105456E-2</v>
      </c>
      <c r="AV787" s="27">
        <f t="shared" si="218"/>
        <v>1.6697074170612902E-2</v>
      </c>
      <c r="AW787" s="27">
        <f t="shared" si="218"/>
        <v>1.668864228260674E-2</v>
      </c>
      <c r="AY787" s="79"/>
      <c r="AZ787" s="79"/>
    </row>
    <row r="788" spans="1:52" x14ac:dyDescent="0.25">
      <c r="A788" s="95" t="str">
        <f t="shared" si="176"/>
        <v>BD Goats MMCH4</v>
      </c>
      <c r="B788" s="95" t="s">
        <v>1228</v>
      </c>
      <c r="C788" s="95" t="s">
        <v>1325</v>
      </c>
      <c r="D788" t="s">
        <v>15</v>
      </c>
      <c r="E788" t="s">
        <v>22</v>
      </c>
      <c r="F788" t="s">
        <v>19</v>
      </c>
      <c r="G788" t="s">
        <v>123</v>
      </c>
      <c r="H788" t="s">
        <v>1227</v>
      </c>
      <c r="I788" t="s">
        <v>121</v>
      </c>
      <c r="J788" t="s">
        <v>286</v>
      </c>
      <c r="K788" s="27">
        <f t="shared" ref="K788:AW788" si="219">K1402</f>
        <v>2.6592218800664803E-2</v>
      </c>
      <c r="L788" s="27">
        <f t="shared" si="219"/>
        <v>2.6661345733624896E-2</v>
      </c>
      <c r="M788" s="27">
        <f t="shared" si="219"/>
        <v>2.6756703894783639E-2</v>
      </c>
      <c r="N788" s="27">
        <f t="shared" si="219"/>
        <v>2.6872875319249701E-2</v>
      </c>
      <c r="O788" s="27">
        <f t="shared" si="219"/>
        <v>2.7009694315810229E-2</v>
      </c>
      <c r="P788" s="27">
        <f t="shared" si="219"/>
        <v>2.7166328132291764E-2</v>
      </c>
      <c r="Q788" s="27">
        <f t="shared" si="219"/>
        <v>2.7334899828466052E-2</v>
      </c>
      <c r="R788" s="27">
        <f t="shared" si="219"/>
        <v>2.7514742110372921E-2</v>
      </c>
      <c r="S788" s="27">
        <f t="shared" si="219"/>
        <v>2.7447647358155608E-2</v>
      </c>
      <c r="T788" s="27">
        <f t="shared" si="219"/>
        <v>2.7492566159553547E-2</v>
      </c>
      <c r="U788" s="27">
        <f t="shared" si="219"/>
        <v>2.8049985098492974E-2</v>
      </c>
      <c r="V788" s="27">
        <f t="shared" si="219"/>
        <v>2.80751686129566E-2</v>
      </c>
      <c r="W788" s="27">
        <f t="shared" si="219"/>
        <v>2.81418423136056E-2</v>
      </c>
      <c r="X788" s="27">
        <f t="shared" si="219"/>
        <v>2.8231827097181202E-2</v>
      </c>
      <c r="Y788" s="27">
        <f t="shared" si="219"/>
        <v>2.8314355695658353E-2</v>
      </c>
      <c r="Z788" s="27">
        <f t="shared" si="219"/>
        <v>2.8390518993026845E-2</v>
      </c>
      <c r="AA788" s="27">
        <f t="shared" si="219"/>
        <v>2.8460083375349849E-2</v>
      </c>
      <c r="AB788" s="27">
        <f t="shared" si="219"/>
        <v>2.8523763184995402E-2</v>
      </c>
      <c r="AC788" s="27">
        <f t="shared" si="219"/>
        <v>2.8582585850220259E-2</v>
      </c>
      <c r="AD788" s="27">
        <f t="shared" si="219"/>
        <v>2.8636598764339351E-2</v>
      </c>
      <c r="AE788" s="27">
        <f t="shared" si="219"/>
        <v>2.8686734564558631E-2</v>
      </c>
      <c r="AF788" s="27">
        <f t="shared" si="219"/>
        <v>2.873319355283693E-2</v>
      </c>
      <c r="AG788" s="27">
        <f t="shared" si="219"/>
        <v>2.8775408485608011E-2</v>
      </c>
      <c r="AH788" s="27">
        <f t="shared" si="219"/>
        <v>2.8813846877721389E-2</v>
      </c>
      <c r="AI788" s="27">
        <f t="shared" si="219"/>
        <v>2.884921497213825E-2</v>
      </c>
      <c r="AJ788" s="27">
        <f t="shared" si="219"/>
        <v>2.7933385004716402E-2</v>
      </c>
      <c r="AK788" s="27">
        <f t="shared" si="219"/>
        <v>2.7968685409771071E-2</v>
      </c>
      <c r="AL788" s="27">
        <f t="shared" si="219"/>
        <v>2.8000825948759214E-2</v>
      </c>
      <c r="AM788" s="27">
        <f t="shared" si="219"/>
        <v>2.8030066741750678E-2</v>
      </c>
      <c r="AN788" s="27">
        <f t="shared" si="219"/>
        <v>2.8056709026267227E-2</v>
      </c>
      <c r="AO788" s="27">
        <f t="shared" si="219"/>
        <v>2.8079996480088933E-2</v>
      </c>
      <c r="AP788" s="27">
        <f t="shared" si="219"/>
        <v>2.8099439849384365E-2</v>
      </c>
      <c r="AQ788" s="27">
        <f t="shared" si="219"/>
        <v>2.8115003415570192E-2</v>
      </c>
      <c r="AR788" s="27">
        <f t="shared" si="219"/>
        <v>2.8126125250563565E-2</v>
      </c>
      <c r="AS788" s="27">
        <f t="shared" si="219"/>
        <v>2.8132193090256906E-2</v>
      </c>
      <c r="AT788" s="27">
        <f t="shared" si="219"/>
        <v>2.8133175624183573E-2</v>
      </c>
      <c r="AU788" s="27">
        <f t="shared" si="219"/>
        <v>2.8129214758385396E-2</v>
      </c>
      <c r="AV788" s="27">
        <f t="shared" si="219"/>
        <v>2.8120421261150549E-2</v>
      </c>
      <c r="AW788" s="27">
        <f t="shared" si="219"/>
        <v>2.8106220674847984E-2</v>
      </c>
      <c r="AY788" s="79"/>
      <c r="AZ788" s="79"/>
    </row>
    <row r="789" spans="1:52" x14ac:dyDescent="0.25">
      <c r="A789" s="95" t="str">
        <f t="shared" si="176"/>
        <v>BD Horses MMCH4</v>
      </c>
      <c r="B789" s="95" t="s">
        <v>1228</v>
      </c>
      <c r="C789" s="95" t="s">
        <v>1326</v>
      </c>
      <c r="D789" t="s">
        <v>15</v>
      </c>
      <c r="E789" t="s">
        <v>22</v>
      </c>
      <c r="F789" t="s">
        <v>20</v>
      </c>
      <c r="G789" t="s">
        <v>3</v>
      </c>
      <c r="H789" t="s">
        <v>1227</v>
      </c>
      <c r="I789" t="s">
        <v>121</v>
      </c>
      <c r="J789" t="s">
        <v>286</v>
      </c>
      <c r="K789" s="27">
        <f t="shared" ref="K789:AW789" si="220">K1403</f>
        <v>4.1336182129460552E-3</v>
      </c>
      <c r="L789" s="27">
        <f t="shared" si="220"/>
        <v>4.1536453250924088E-3</v>
      </c>
      <c r="M789" s="27">
        <f t="shared" si="220"/>
        <v>4.1840370126470534E-3</v>
      </c>
      <c r="N789" s="27">
        <f t="shared" si="220"/>
        <v>4.1905340987284578E-3</v>
      </c>
      <c r="O789" s="27">
        <f t="shared" si="220"/>
        <v>4.1812329246154597E-3</v>
      </c>
      <c r="P789" s="27">
        <f t="shared" si="220"/>
        <v>4.1564738854214557E-3</v>
      </c>
      <c r="Q789" s="27">
        <f t="shared" si="220"/>
        <v>4.142746062070715E-3</v>
      </c>
      <c r="R789" s="27">
        <f t="shared" si="220"/>
        <v>4.130408792135833E-3</v>
      </c>
      <c r="S789" s="27">
        <f t="shared" si="220"/>
        <v>3.9465365523139234E-3</v>
      </c>
      <c r="T789" s="27">
        <f t="shared" si="220"/>
        <v>4.0449031054022467E-3</v>
      </c>
      <c r="U789" s="27">
        <f t="shared" si="220"/>
        <v>8.6826637855320493E-3</v>
      </c>
      <c r="V789" s="27">
        <f t="shared" si="220"/>
        <v>8.7938640755687025E-3</v>
      </c>
      <c r="W789" s="27">
        <f t="shared" si="220"/>
        <v>8.8834218995517203E-3</v>
      </c>
      <c r="X789" s="27">
        <f t="shared" si="220"/>
        <v>8.9554975933649264E-3</v>
      </c>
      <c r="Y789" s="27">
        <f t="shared" si="220"/>
        <v>9.018105952641001E-3</v>
      </c>
      <c r="Z789" s="27">
        <f t="shared" si="220"/>
        <v>9.0705357904088645E-3</v>
      </c>
      <c r="AA789" s="27">
        <f t="shared" si="220"/>
        <v>9.1124930520699761E-3</v>
      </c>
      <c r="AB789" s="27">
        <f t="shared" si="220"/>
        <v>9.143466497408213E-3</v>
      </c>
      <c r="AC789" s="27">
        <f t="shared" si="220"/>
        <v>9.1629085267338015E-3</v>
      </c>
      <c r="AD789" s="27">
        <f t="shared" si="220"/>
        <v>9.1706067297579116E-3</v>
      </c>
      <c r="AE789" s="27">
        <f t="shared" si="220"/>
        <v>9.1661590701848112E-3</v>
      </c>
      <c r="AF789" s="27">
        <f t="shared" si="220"/>
        <v>9.149435618350802E-3</v>
      </c>
      <c r="AG789" s="27">
        <f t="shared" si="220"/>
        <v>9.120587540138371E-3</v>
      </c>
      <c r="AH789" s="27">
        <f t="shared" si="220"/>
        <v>9.0795393134023624E-3</v>
      </c>
      <c r="AI789" s="27">
        <f t="shared" si="220"/>
        <v>9.0262176145749634E-3</v>
      </c>
      <c r="AJ789" s="27">
        <f t="shared" si="220"/>
        <v>1.3289120185476511E-3</v>
      </c>
      <c r="AK789" s="27">
        <f t="shared" si="220"/>
        <v>1.3289120185476511E-3</v>
      </c>
      <c r="AL789" s="27">
        <f t="shared" si="220"/>
        <v>1.3289120185476511E-3</v>
      </c>
      <c r="AM789" s="27">
        <f t="shared" si="220"/>
        <v>1.3289120185476511E-3</v>
      </c>
      <c r="AN789" s="27">
        <f t="shared" si="220"/>
        <v>1.3289120185476511E-3</v>
      </c>
      <c r="AO789" s="27">
        <f t="shared" si="220"/>
        <v>1.3289120185476511E-3</v>
      </c>
      <c r="AP789" s="27">
        <f t="shared" si="220"/>
        <v>1.3289120185476511E-3</v>
      </c>
      <c r="AQ789" s="27">
        <f t="shared" si="220"/>
        <v>1.3289120185476511E-3</v>
      </c>
      <c r="AR789" s="27">
        <f t="shared" si="220"/>
        <v>1.3289120185476511E-3</v>
      </c>
      <c r="AS789" s="27">
        <f t="shared" si="220"/>
        <v>1.3289120185476511E-3</v>
      </c>
      <c r="AT789" s="27">
        <f t="shared" si="220"/>
        <v>1.3289120185476511E-3</v>
      </c>
      <c r="AU789" s="27">
        <f t="shared" si="220"/>
        <v>1.3289120185476511E-3</v>
      </c>
      <c r="AV789" s="27">
        <f t="shared" si="220"/>
        <v>1.3289120185476511E-3</v>
      </c>
      <c r="AW789" s="27">
        <f t="shared" si="220"/>
        <v>1.3289120185476511E-3</v>
      </c>
      <c r="AY789" s="79"/>
      <c r="AZ789" s="79"/>
    </row>
    <row r="790" spans="1:52" x14ac:dyDescent="0.25">
      <c r="A790" s="95" t="str">
        <f t="shared" si="176"/>
        <v>BD Mules MMCH4</v>
      </c>
      <c r="B790" s="95" t="s">
        <v>1228</v>
      </c>
      <c r="C790" s="95" t="s">
        <v>1327</v>
      </c>
      <c r="D790" t="s">
        <v>15</v>
      </c>
      <c r="E790" t="s">
        <v>22</v>
      </c>
      <c r="F790" t="s">
        <v>140</v>
      </c>
      <c r="G790" t="s">
        <v>124</v>
      </c>
      <c r="H790" t="s">
        <v>1227</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25">
      <c r="A791" s="95" t="str">
        <f t="shared" si="176"/>
        <v>BD Swine MMCH4</v>
      </c>
      <c r="B791" s="95" t="s">
        <v>1228</v>
      </c>
      <c r="C791" s="95" t="s">
        <v>1230</v>
      </c>
      <c r="D791" t="s">
        <v>15</v>
      </c>
      <c r="E791" t="s">
        <v>22</v>
      </c>
      <c r="F791" t="s">
        <v>21</v>
      </c>
      <c r="G791" t="s">
        <v>122</v>
      </c>
      <c r="H791" t="s">
        <v>1227</v>
      </c>
      <c r="I791" t="s">
        <v>121</v>
      </c>
      <c r="J791" t="s">
        <v>286</v>
      </c>
      <c r="K791" s="93">
        <f>IF('Net zero activities &amp; levers'!$C$10="Off",'Activity data'!AD17*EF!$H30*kgtoGg,IF('Net zero activities &amp; levers'!$C$10="On",'Net zero Activity data'!AD17*'Net zero supporting data'!B193*kgtoGg,"ERROR"))</f>
        <v>23.279067868377393</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23.162916433064304</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22.12653281137495</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21.465278056857681</v>
      </c>
      <c r="S791" s="93">
        <f>IF('Net zero activities &amp; levers'!$C$10="Off",'Activity data'!AL17*EF!$H30*kgtoGg,IF('Net zero activities &amp; levers'!$C$10="On",'Net zero Activity data'!AL17*'Net zero supporting data'!J193*kgtoGg,"ERROR"))</f>
        <v>19.312832226900145</v>
      </c>
      <c r="T791" s="93">
        <f>IF('Net zero activities &amp; levers'!$C$10="Off",'Activity data'!AM17*EF!$H30*kgtoGg,IF('Net zero activities &amp; levers'!$C$10="On",'Net zero Activity data'!AM17*'Net zero supporting data'!K193*kgtoGg,"ERROR"))</f>
        <v>20.002458493758922</v>
      </c>
      <c r="U791" s="93">
        <f>IF('Net zero activities &amp; levers'!$C$10="Off",'Activity data'!AN17*EF!$H30*kgtoGg,IF('Net zero activities &amp; levers'!$C$10="On",'Net zero Activity data'!AN17*'Net zero supporting data'!L193*kgtoGg,"ERROR"))</f>
        <v>63.938225509328625</v>
      </c>
      <c r="V791" s="93">
        <f>IF('Net zero activities &amp; levers'!$C$10="Off",'Activity data'!AO17*EF!$H30*kgtoGg,IF('Net zero activities &amp; levers'!$C$10="On",'Net zero Activity data'!AO17*'Net zero supporting data'!M193*kgtoGg,"ERROR"))</f>
        <v>64.113496025150383</v>
      </c>
      <c r="W791" s="93">
        <f>IF('Net zero activities &amp; levers'!$C$10="Off",'Activity data'!AP17*EF!$H30*kgtoGg,IF('Net zero activities &amp; levers'!$C$10="On",'Net zero Activity data'!AP17*'Net zero supporting data'!N193*kgtoGg,"ERROR"))</f>
        <v>64.178228567667873</v>
      </c>
      <c r="X791" s="93">
        <f>IF('Net zero activities &amp; levers'!$C$10="Off",'Activity data'!AQ17*EF!$H30*kgtoGg,IF('Net zero activities &amp; levers'!$C$10="On",'Net zero Activity data'!AQ17*'Net zero supporting data'!O193*kgtoGg,"ERROR"))</f>
        <v>64.135343897693133</v>
      </c>
      <c r="Y791" s="93">
        <f>IF('Net zero activities &amp; levers'!$C$10="Off",'Activity data'!AR17*EF!$H30*kgtoGg,IF('Net zero activities &amp; levers'!$C$10="On",'Net zero Activity data'!AR17*'Net zero supporting data'!P193*kgtoGg,"ERROR"))</f>
        <v>63.991311737388052</v>
      </c>
      <c r="Z791" s="93">
        <f>IF('Net zero activities &amp; levers'!$C$10="Off",'Activity data'!AS17*EF!$H30*kgtoGg,IF('Net zero activities &amp; levers'!$C$10="On",'Net zero Activity data'!AS17*'Net zero supporting data'!Q193*kgtoGg,"ERROR"))</f>
        <v>63.744809060362954</v>
      </c>
      <c r="AA791" s="93">
        <f>IF('Net zero activities &amp; levers'!$C$10="Off",'Activity data'!AT17*EF!$H30*kgtoGg,IF('Net zero activities &amp; levers'!$C$10="On",'Net zero Activity data'!AT17*'Net zero supporting data'!R193*kgtoGg,"ERROR"))</f>
        <v>63.395481625326759</v>
      </c>
      <c r="AB791" s="93">
        <f>IF('Net zero activities &amp; levers'!$C$10="Off",'Activity data'!AU17*EF!$H30*kgtoGg,IF('Net zero activities &amp; levers'!$C$10="On",'Net zero Activity data'!AU17*'Net zero supporting data'!S193*kgtoGg,"ERROR"))</f>
        <v>62.943362188824892</v>
      </c>
      <c r="AC791" s="93">
        <f>IF('Net zero activities &amp; levers'!$C$10="Off",'Activity data'!AV17*EF!$H30*kgtoGg,IF('Net zero activities &amp; levers'!$C$10="On",'Net zero Activity data'!AV17*'Net zero supporting data'!T193*kgtoGg,"ERROR"))</f>
        <v>62.389030635456976</v>
      </c>
      <c r="AD791" s="93">
        <f>IF('Net zero activities &amp; levers'!$C$10="Off",'Activity data'!AW17*EF!$H30*kgtoGg,IF('Net zero activities &amp; levers'!$C$10="On",'Net zero Activity data'!AW17*'Net zero supporting data'!U193*kgtoGg,"ERROR"))</f>
        <v>61.733913705110233</v>
      </c>
      <c r="AE791" s="93">
        <f>IF('Net zero activities &amp; levers'!$C$10="Off",'Activity data'!AX17*EF!$H30*kgtoGg,IF('Net zero activities &amp; levers'!$C$10="On",'Net zero Activity data'!AX17*'Net zero supporting data'!V193*kgtoGg,"ERROR"))</f>
        <v>60.979815772111941</v>
      </c>
      <c r="AF791" s="93">
        <f>IF('Net zero activities &amp; levers'!$C$10="Off",'Activity data'!AY17*EF!$H30*kgtoGg,IF('Net zero activities &amp; levers'!$C$10="On",'Net zero Activity data'!AY17*'Net zero supporting data'!W193*kgtoGg,"ERROR"))</f>
        <v>60.129286570076758</v>
      </c>
      <c r="AG791" s="93">
        <f>IF('Net zero activities &amp; levers'!$C$10="Off",'Activity data'!AZ17*EF!$H30*kgtoGg,IF('Net zero activities &amp; levers'!$C$10="On",'Net zero Activity data'!AZ17*'Net zero supporting data'!X193*kgtoGg,"ERROR"))</f>
        <v>59.185593442917096</v>
      </c>
      <c r="AH791" s="93">
        <f>IF('Net zero activities &amp; levers'!$C$10="Off",'Activity data'!BA17*EF!$H30*kgtoGg,IF('Net zero activities &amp; levers'!$C$10="On",'Net zero Activity data'!BA17*'Net zero supporting data'!Y193*kgtoGg,"ERROR"))</f>
        <v>58.152275579872715</v>
      </c>
      <c r="AI791" s="93">
        <f>IF('Net zero activities &amp; levers'!$C$10="Off",'Activity data'!BB17*EF!$H30*kgtoGg,IF('Net zero activities &amp; levers'!$C$10="On",'Net zero Activity data'!BB17*'Net zero supporting data'!Z193*kgtoGg,"ERROR"))</f>
        <v>57.033304574173563</v>
      </c>
      <c r="AJ791" s="93">
        <f>IF('Net zero activities &amp; levers'!$C$10="Off",'Activity data'!BC17*EF!$H30*kgtoGg,IF('Net zero activities &amp; levers'!$C$10="On",'Net zero Activity data'!BC17*'Net zero supporting data'!AA193*kgtoGg,"ERROR"))</f>
        <v>-5.3144936119483299</v>
      </c>
      <c r="AK791" s="93">
        <f>IF('Net zero activities &amp; levers'!$C$10="Off",'Activity data'!BD17*EF!$H30*kgtoGg,IF('Net zero activities &amp; levers'!$C$10="On",'Net zero Activity data'!BD17*'Net zero supporting data'!AB193*kgtoGg,"ERROR"))</f>
        <v>-5.2569593669429695</v>
      </c>
      <c r="AL791" s="93">
        <f>IF('Net zero activities &amp; levers'!$C$10="Off",'Activity data'!BE17*EF!$H30*kgtoGg,IF('Net zero activities &amp; levers'!$C$10="On",'Net zero Activity data'!BE17*'Net zero supporting data'!AC193*kgtoGg,"ERROR"))</f>
        <v>-5.1992212819469339</v>
      </c>
      <c r="AM791" s="93">
        <f>IF('Net zero activities &amp; levers'!$C$10="Off",'Activity data'!BF17*EF!$H30*kgtoGg,IF('Net zero activities &amp; levers'!$C$10="On",'Net zero Activity data'!BF17*'Net zero supporting data'!AD193*kgtoGg,"ERROR"))</f>
        <v>-5.1413392574015706</v>
      </c>
      <c r="AN791" s="93">
        <f>IF('Net zero activities &amp; levers'!$C$10="Off",'Activity data'!BG17*EF!$H30*kgtoGg,IF('Net zero activities &amp; levers'!$C$10="On",'Net zero Activity data'!BG17*'Net zero supporting data'!AE193*kgtoGg,"ERROR"))</f>
        <v>-5.0833794948522248</v>
      </c>
      <c r="AO791" s="93">
        <f>IF('Net zero activities &amp; levers'!$C$10="Off",'Activity data'!BH17*EF!$H30*kgtoGg,IF('Net zero activities &amp; levers'!$C$10="On",'Net zero Activity data'!BH17*'Net zero supporting data'!AF193*kgtoGg,"ERROR"))</f>
        <v>-5.0251883541674571</v>
      </c>
      <c r="AP791" s="93">
        <f>IF('Net zero activities &amp; levers'!$C$10="Off",'Activity data'!BI17*EF!$H30*kgtoGg,IF('Net zero activities &amp; levers'!$C$10="On",'Net zero Activity data'!BI17*'Net zero supporting data'!AG193*kgtoGg,"ERROR"))</f>
        <v>-4.9666751294444857</v>
      </c>
      <c r="AQ791" s="93">
        <f>IF('Net zero activities &amp; levers'!$C$10="Off",'Activity data'!BJ17*EF!$H30*kgtoGg,IF('Net zero activities &amp; levers'!$C$10="On",'Net zero Activity data'!BJ17*'Net zero supporting data'!AH193*kgtoGg,"ERROR"))</f>
        <v>-4.9078454730797514</v>
      </c>
      <c r="AR791" s="93">
        <f>IF('Net zero activities &amp; levers'!$C$10="Off",'Activity data'!BK17*EF!$H30*kgtoGg,IF('Net zero activities &amp; levers'!$C$10="On",'Net zero Activity data'!BK17*'Net zero supporting data'!AI193*kgtoGg,"ERROR"))</f>
        <v>-4.8486018943647</v>
      </c>
      <c r="AS791" s="93">
        <f>IF('Net zero activities &amp; levers'!$C$10="Off",'Activity data'!BL17*EF!$H30*kgtoGg,IF('Net zero activities &amp; levers'!$C$10="On",'Net zero Activity data'!BL17*'Net zero supporting data'!AJ193*kgtoGg,"ERROR"))</f>
        <v>-4.7888432589736398</v>
      </c>
      <c r="AT791" s="93">
        <f>IF('Net zero activities &amp; levers'!$C$10="Off",'Activity data'!BM17*EF!$H30*kgtoGg,IF('Net zero activities &amp; levers'!$C$10="On",'Net zero Activity data'!BM17*'Net zero supporting data'!AK193*kgtoGg,"ERROR"))</f>
        <v>-4.7285865274691332</v>
      </c>
      <c r="AU791" s="93">
        <f>IF('Net zero activities &amp; levers'!$C$10="Off",'Activity data'!BN17*EF!$H30*kgtoGg,IF('Net zero activities &amp; levers'!$C$10="On",'Net zero Activity data'!BN17*'Net zero supporting data'!AL193*kgtoGg,"ERROR"))</f>
        <v>-4.667881841438601</v>
      </c>
      <c r="AV791" s="93">
        <f>IF('Net zero activities &amp; levers'!$C$10="Off",'Activity data'!BO17*EF!$H30*kgtoGg,IF('Net zero activities &amp; levers'!$C$10="On",'Net zero Activity data'!BO17*'Net zero supporting data'!AM193*kgtoGg,"ERROR"))</f>
        <v>-4.6067720913188221</v>
      </c>
      <c r="AW791" s="93">
        <f>IF('Net zero activities &amp; levers'!$C$10="Off",'Activity data'!BP17*EF!$H30*kgtoGg,IF('Net zero activities &amp; levers'!$C$10="On",'Net zero Activity data'!BP17*'Net zero supporting data'!AN193*kgtoGg,"ERROR"))</f>
        <v>-4.5451726737388229</v>
      </c>
      <c r="AY791" s="79"/>
      <c r="AZ791" s="79"/>
    </row>
    <row r="792" spans="1:52" x14ac:dyDescent="0.25">
      <c r="A792" s="95" t="str">
        <f t="shared" si="176"/>
        <v>BD Swine MMCH4</v>
      </c>
      <c r="B792" s="95" t="s">
        <v>1228</v>
      </c>
      <c r="C792" s="95" t="s">
        <v>1230</v>
      </c>
      <c r="D792" t="s">
        <v>15</v>
      </c>
      <c r="E792" t="s">
        <v>22</v>
      </c>
      <c r="F792" t="s">
        <v>21</v>
      </c>
      <c r="G792" t="s">
        <v>123</v>
      </c>
      <c r="H792" t="s">
        <v>1227</v>
      </c>
      <c r="I792" t="s">
        <v>121</v>
      </c>
      <c r="J792" t="s">
        <v>286</v>
      </c>
      <c r="K792" s="93">
        <f>IF('Net zero activities &amp; levers'!$C$10="Off",'Activity data'!AD18*EF!$H31*kgtoGg,IF('Net zero activities &amp; levers'!$C$10="On",'Net zero Activity data'!AD18*'Net zero supporting data'!B194*kgtoGg,"ERROR"))</f>
        <v>7.7932061732677776E-2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7.7543217949140597E-2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7.4073684167079393E-2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7.1859980996426681E-2</v>
      </c>
      <c r="S792" s="93">
        <f>IF('Net zero activities &amp; levers'!$C$10="Off",'Activity data'!AL18*EF!$H31*kgtoGg,IF('Net zero activities &amp; levers'!$C$10="On",'Net zero Activity data'!AL18*'Net zero supporting data'!J194*kgtoGg,"ERROR"))</f>
        <v>6.4654170942306688E-2</v>
      </c>
      <c r="T792" s="93">
        <f>IF('Net zero activities &amp; levers'!$C$10="Off",'Activity data'!AM18*EF!$H31*kgtoGg,IF('Net zero activities &amp; levers'!$C$10="On",'Net zero Activity data'!AM18*'Net zero supporting data'!K194*kgtoGg,"ERROR"))</f>
        <v>6.6962854309922146E-2</v>
      </c>
      <c r="U792" s="93">
        <f>IF('Net zero activities &amp; levers'!$C$10="Off",'Activity data'!AN18*EF!$H31*kgtoGg,IF('Net zero activities &amp; levers'!$C$10="On",'Net zero Activity data'!AN18*'Net zero supporting data'!L194*kgtoGg,"ERROR"))</f>
        <v>0.21404799219815959</v>
      </c>
      <c r="V792" s="93">
        <f>IF('Net zero activities &amp; levers'!$C$10="Off",'Activity data'!AO18*EF!$H31*kgtoGg,IF('Net zero activities &amp; levers'!$C$10="On",'Net zero Activity data'!AO18*'Net zero supporting data'!M194*kgtoGg,"ERROR"))</f>
        <v>0.21463475077183489</v>
      </c>
      <c r="W792" s="93">
        <f>IF('Net zero activities &amp; levers'!$C$10="Off",'Activity data'!AP18*EF!$H31*kgtoGg,IF('Net zero activities &amp; levers'!$C$10="On",'Net zero Activity data'!AP18*'Net zero supporting data'!N194*kgtoGg,"ERROR"))</f>
        <v>0.21485145792386132</v>
      </c>
      <c r="X792" s="93">
        <f>IF('Net zero activities &amp; levers'!$C$10="Off",'Activity data'!AQ18*EF!$H31*kgtoGg,IF('Net zero activities &amp; levers'!$C$10="On",'Net zero Activity data'!AQ18*'Net zero supporting data'!O194*kgtoGg,"ERROR"))</f>
        <v>0.21470789157632744</v>
      </c>
      <c r="Y792" s="93">
        <f>IF('Net zero activities &amp; levers'!$C$10="Off",'Activity data'!AR18*EF!$H31*kgtoGg,IF('Net zero activities &amp; levers'!$C$10="On",'Net zero Activity data'!AR18*'Net zero supporting data'!P194*kgtoGg,"ERROR"))</f>
        <v>0.21422571061994838</v>
      </c>
      <c r="Z792" s="93">
        <f>IF('Net zero activities &amp; levers'!$C$10="Off",'Activity data'!AS18*EF!$H31*kgtoGg,IF('Net zero activities &amp; levers'!$C$10="On",'Net zero Activity data'!AS18*'Net zero supporting data'!Q194*kgtoGg,"ERROR"))</f>
        <v>0.21340048591800548</v>
      </c>
      <c r="AA792" s="93">
        <f>IF('Net zero activities &amp; levers'!$C$10="Off",'Activity data'!AT18*EF!$H31*kgtoGg,IF('Net zero activities &amp; levers'!$C$10="On",'Net zero Activity data'!AT18*'Net zero supporting data'!R194*kgtoGg,"ERROR"))</f>
        <v>0.21223103156587736</v>
      </c>
      <c r="AB792" s="93">
        <f>IF('Net zero activities &amp; levers'!$C$10="Off",'Activity data'!AU18*EF!$H31*kgtoGg,IF('Net zero activities &amp; levers'!$C$10="On",'Net zero Activity data'!AU18*'Net zero supporting data'!S194*kgtoGg,"ERROR"))</f>
        <v>0.21071745722367313</v>
      </c>
      <c r="AC792" s="93">
        <f>IF('Net zero activities &amp; levers'!$C$10="Off",'Activity data'!AV18*EF!$H31*kgtoGg,IF('Net zero activities &amp; levers'!$C$10="On",'Net zero Activity data'!AV18*'Net zero supporting data'!T194*kgtoGg,"ERROR"))</f>
        <v>0.20886170418915742</v>
      </c>
      <c r="AD792" s="93">
        <f>IF('Net zero activities &amp; levers'!$C$10="Off",'Activity data'!AW18*EF!$H31*kgtoGg,IF('Net zero activities &amp; levers'!$C$10="On",'Net zero Activity data'!AW18*'Net zero supporting data'!U194*kgtoGg,"ERROR"))</f>
        <v>0.20666854880396013</v>
      </c>
      <c r="AE792" s="93">
        <f>IF('Net zero activities &amp; levers'!$C$10="Off",'Activity data'!AX18*EF!$H31*kgtoGg,IF('Net zero activities &amp; levers'!$C$10="On",'Net zero Activity data'!AX18*'Net zero supporting data'!V194*kgtoGg,"ERROR"))</f>
        <v>0.20414403162830727</v>
      </c>
      <c r="AF792" s="93">
        <f>IF('Net zero activities &amp; levers'!$C$10="Off",'Activity data'!AY18*EF!$H31*kgtoGg,IF('Net zero activities &amp; levers'!$C$10="On",'Net zero Activity data'!AY18*'Net zero supporting data'!W194*kgtoGg,"ERROR"))</f>
        <v>0.20129668848496379</v>
      </c>
      <c r="AG792" s="93">
        <f>IF('Net zero activities &amp; levers'!$C$10="Off",'Activity data'!AZ18*EF!$H31*kgtoGg,IF('Net zero activities &amp; levers'!$C$10="On",'Net zero Activity data'!AZ18*'Net zero supporting data'!X194*kgtoGg,"ERROR"))</f>
        <v>0.19813745756307569</v>
      </c>
      <c r="AH792" s="93">
        <f>IF('Net zero activities &amp; levers'!$C$10="Off",'Activity data'!BA18*EF!$H31*kgtoGg,IF('Net zero activities &amp; levers'!$C$10="On",'Net zero Activity data'!BA18*'Net zero supporting data'!Y194*kgtoGg,"ERROR"))</f>
        <v>0.19467818711687174</v>
      </c>
      <c r="AI792" s="93">
        <f>IF('Net zero activities &amp; levers'!$C$10="Off",'Activity data'!BB18*EF!$H31*kgtoGg,IF('Net zero activities &amp; levers'!$C$10="On",'Net zero Activity data'!BB18*'Net zero supporting data'!Z194*kgtoGg,"ERROR"))</f>
        <v>0.19093217297290849</v>
      </c>
      <c r="AJ792" s="93">
        <f>IF('Net zero activities &amp; levers'!$C$10="Off",'Activity data'!BC18*EF!$H31*kgtoGg,IF('Net zero activities &amp; levers'!$C$10="On",'Net zero Activity data'!BC18*'Net zero supporting data'!AA194*kgtoGg,"ERROR"))</f>
        <v>-1.7791496059294212E-2</v>
      </c>
      <c r="AK792" s="93">
        <f>IF('Net zero activities &amp; levers'!$C$10="Off",'Activity data'!BD18*EF!$H31*kgtoGg,IF('Net zero activities &amp; levers'!$C$10="On",'Net zero Activity data'!BD18*'Net zero supporting data'!AB194*kgtoGg,"ERROR"))</f>
        <v>-1.759888687241214E-2</v>
      </c>
      <c r="AL792" s="93">
        <f>IF('Net zero activities &amp; levers'!$C$10="Off",'Activity data'!BE18*EF!$H31*kgtoGg,IF('Net zero activities &amp; levers'!$C$10="On",'Net zero Activity data'!BE18*'Net zero supporting data'!AC194*kgtoGg,"ERROR"))</f>
        <v>-1.7405595284034153E-2</v>
      </c>
      <c r="AM792" s="93">
        <f>IF('Net zero activities &amp; levers'!$C$10="Off",'Activity data'!BF18*EF!$H31*kgtoGg,IF('Net zero activities &amp; levers'!$C$10="On",'Net zero Activity data'!BF18*'Net zero supporting data'!AD194*kgtoGg,"ERROR"))</f>
        <v>-1.7211821824736444E-2</v>
      </c>
      <c r="AN792" s="93">
        <f>IF('Net zero activities &amp; levers'!$C$10="Off",'Activity data'!BG18*EF!$H31*kgtoGg,IF('Net zero activities &amp; levers'!$C$10="On",'Net zero Activity data'!BG18*'Net zero supporting data'!AE194*kgtoGg,"ERROR"))</f>
        <v>-1.7017788119497636E-2</v>
      </c>
      <c r="AO792" s="93">
        <f>IF('Net zero activities &amp; levers'!$C$10="Off",'Activity data'!BH18*EF!$H31*kgtoGg,IF('Net zero activities &amp; levers'!$C$10="On",'Net zero Activity data'!BH18*'Net zero supporting data'!AF194*kgtoGg,"ERROR"))</f>
        <v>-1.6822979822456646E-2</v>
      </c>
      <c r="AP792" s="93">
        <f>IF('Net zero activities &amp; levers'!$C$10="Off",'Activity data'!BI18*EF!$H31*kgtoGg,IF('Net zero activities &amp; levers'!$C$10="On",'Net zero Activity data'!BI18*'Net zero supporting data'!AG194*kgtoGg,"ERROR"))</f>
        <v>-1.6627093274633003E-2</v>
      </c>
      <c r="AQ792" s="93">
        <f>IF('Net zero activities &amp; levers'!$C$10="Off",'Activity data'!BJ18*EF!$H31*kgtoGg,IF('Net zero activities &amp; levers'!$C$10="On",'Net zero Activity data'!BJ18*'Net zero supporting data'!AH194*kgtoGg,"ERROR"))</f>
        <v>-1.6430147398730621E-2</v>
      </c>
      <c r="AR792" s="93">
        <f>IF('Net zero activities &amp; levers'!$C$10="Off",'Activity data'!BK18*EF!$H31*kgtoGg,IF('Net zero activities &amp; levers'!$C$10="On",'Net zero Activity data'!BK18*'Net zero supporting data'!AI194*kgtoGg,"ERROR"))</f>
        <v>-1.6231815822063071E-2</v>
      </c>
      <c r="AS792" s="93">
        <f>IF('Net zero activities &amp; levers'!$C$10="Off",'Activity data'!BL18*EF!$H31*kgtoGg,IF('Net zero activities &amp; levers'!$C$10="On",'Net zero Activity data'!BL18*'Net zero supporting data'!AJ194*kgtoGg,"ERROR"))</f>
        <v>-1.6031759974093191E-2</v>
      </c>
      <c r="AT792" s="93">
        <f>IF('Net zero activities &amp; levers'!$C$10="Off",'Activity data'!BM18*EF!$H31*kgtoGg,IF('Net zero activities &amp; levers'!$C$10="On",'Net zero Activity data'!BM18*'Net zero supporting data'!AK194*kgtoGg,"ERROR"))</f>
        <v>-1.5830036634225372E-2</v>
      </c>
      <c r="AU792" s="93">
        <f>IF('Net zero activities &amp; levers'!$C$10="Off",'Activity data'!BN18*EF!$H31*kgtoGg,IF('Net zero activities &amp; levers'!$C$10="On",'Net zero Activity data'!BN18*'Net zero supporting data'!AL194*kgtoGg,"ERROR"))</f>
        <v>-1.5626813663016086E-2</v>
      </c>
      <c r="AV792" s="93">
        <f>IF('Net zero activities &amp; levers'!$C$10="Off",'Activity data'!BO18*EF!$H31*kgtoGg,IF('Net zero activities &amp; levers'!$C$10="On",'Net zero Activity data'!BO18*'Net zero supporting data'!AM194*kgtoGg,"ERROR"))</f>
        <v>-1.5422234646118577E-2</v>
      </c>
      <c r="AW792" s="93">
        <f>IF('Net zero activities &amp; levers'!$C$10="Off",'Activity data'!BP18*EF!$H31*kgtoGg,IF('Net zero activities &amp; levers'!$C$10="On",'Net zero Activity data'!BP18*'Net zero supporting data'!AN194*kgtoGg,"ERROR"))</f>
        <v>-1.5216016354188486E-2</v>
      </c>
      <c r="AY792" s="79"/>
      <c r="AZ792" s="79"/>
    </row>
    <row r="793" spans="1:52" x14ac:dyDescent="0.25">
      <c r="A793" s="95" t="str">
        <f t="shared" si="176"/>
        <v>BD Poultry MMCH4</v>
      </c>
      <c r="B793" s="95" t="s">
        <v>1228</v>
      </c>
      <c r="C793" s="95" t="s">
        <v>1231</v>
      </c>
      <c r="D793" t="s">
        <v>15</v>
      </c>
      <c r="E793" t="s">
        <v>22</v>
      </c>
      <c r="F793" t="s">
        <v>28</v>
      </c>
      <c r="G793" t="s">
        <v>131</v>
      </c>
      <c r="H793" t="s">
        <v>1227</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0.59052015237226141</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0.60475451589519713</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0.62068986953889782</v>
      </c>
      <c r="S793" s="93">
        <f>IF('Net zero activities &amp; levers'!$C$10="Off",'Activity data'!AL19*EF!$H32*kgtoGg,IF('Net zero activities &amp; levers'!$C$10="On",'Net zero Activity data'!AL19*'Net zero supporting data'!J195*kgtoGg,"ERROR"))</f>
        <v>0.59622101179856346</v>
      </c>
      <c r="T793" s="93">
        <f>IF('Net zero activities &amp; levers'!$C$10="Off",'Activity data'!AM19*EF!$H32*kgtoGg,IF('Net zero activities &amp; levers'!$C$10="On",'Net zero Activity data'!AM19*'Net zero supporting data'!K195*kgtoGg,"ERROR"))</f>
        <v>0.61809135680643945</v>
      </c>
      <c r="U793" s="93">
        <f>IF('Net zero activities &amp; levers'!$C$10="Off",'Activity data'!AN19*EF!$H32*kgtoGg,IF('Net zero activities &amp; levers'!$C$10="On",'Net zero Activity data'!AN19*'Net zero supporting data'!L195*kgtoGg,"ERROR"))</f>
        <v>1.373668837271812</v>
      </c>
      <c r="V793" s="93">
        <f>IF('Net zero activities &amp; levers'!$C$10="Off",'Activity data'!AO19*EF!$H32*kgtoGg,IF('Net zero activities &amp; levers'!$C$10="On",'Net zero Activity data'!AO19*'Net zero supporting data'!M195*kgtoGg,"ERROR"))</f>
        <v>1.4038681554321815</v>
      </c>
      <c r="W793" s="93">
        <f>IF('Net zero activities &amp; levers'!$C$10="Off",'Activity data'!AP19*EF!$H32*kgtoGg,IF('Net zero activities &amp; levers'!$C$10="On",'Net zero Activity data'!AP19*'Net zero supporting data'!N195*kgtoGg,"ERROR"))</f>
        <v>1.4328290155562637</v>
      </c>
      <c r="X793" s="93">
        <f>IF('Net zero activities &amp; levers'!$C$10="Off",'Activity data'!AQ19*EF!$H32*kgtoGg,IF('Net zero activities &amp; levers'!$C$10="On",'Net zero Activity data'!AQ19*'Net zero supporting data'!O195*kgtoGg,"ERROR"))</f>
        <v>1.460295648957926</v>
      </c>
      <c r="Y793" s="93">
        <f>IF('Net zero activities &amp; levers'!$C$10="Off",'Activity data'!AR19*EF!$H32*kgtoGg,IF('Net zero activities &amp; levers'!$C$10="On",'Net zero Activity data'!AR19*'Net zero supporting data'!P195*kgtoGg,"ERROR"))</f>
        <v>1.4859212180508141</v>
      </c>
      <c r="Z793" s="93">
        <f>IF('Net zero activities &amp; levers'!$C$10="Off",'Activity data'!AS19*EF!$H32*kgtoGg,IF('Net zero activities &amp; levers'!$C$10="On",'Net zero Activity data'!AS19*'Net zero supporting data'!Q195*kgtoGg,"ERROR"))</f>
        <v>1.5095937275054243</v>
      </c>
      <c r="AA793" s="93">
        <f>IF('Net zero activities &amp; levers'!$C$10="Off",'Activity data'!AT19*EF!$H32*kgtoGg,IF('Net zero activities &amp; levers'!$C$10="On",'Net zero Activity data'!AT19*'Net zero supporting data'!R195*kgtoGg,"ERROR"))</f>
        <v>1.5311992010813591</v>
      </c>
      <c r="AB793" s="93">
        <f>IF('Net zero activities &amp; levers'!$C$10="Off",'Activity data'!AU19*EF!$H32*kgtoGg,IF('Net zero activities &amp; levers'!$C$10="On",'Net zero Activity data'!AU19*'Net zero supporting data'!S195*kgtoGg,"ERROR"))</f>
        <v>1.5506393195302268</v>
      </c>
      <c r="AC793" s="93">
        <f>IF('Net zero activities &amp; levers'!$C$10="Off",'Activity data'!AV19*EF!$H32*kgtoGg,IF('Net zero activities &amp; levers'!$C$10="On",'Net zero Activity data'!AV19*'Net zero supporting data'!T195*kgtoGg,"ERROR"))</f>
        <v>1.5678278043895033</v>
      </c>
      <c r="AD793" s="93">
        <f>IF('Net zero activities &amp; levers'!$C$10="Off",'Activity data'!AW19*EF!$H32*kgtoGg,IF('Net zero activities &amp; levers'!$C$10="On",'Net zero Activity data'!AW19*'Net zero supporting data'!U195*kgtoGg,"ERROR"))</f>
        <v>1.5826815313976288</v>
      </c>
      <c r="AE793" s="93">
        <f>IF('Net zero activities &amp; levers'!$C$10="Off",'Activity data'!AX19*EF!$H32*kgtoGg,IF('Net zero activities &amp; levers'!$C$10="On",'Net zero Activity data'!AX19*'Net zero supporting data'!V195*kgtoGg,"ERROR"))</f>
        <v>1.5951352940969563</v>
      </c>
      <c r="AF793" s="93">
        <f>IF('Net zero activities &amp; levers'!$C$10="Off",'Activity data'!AY19*EF!$H32*kgtoGg,IF('Net zero activities &amp; levers'!$C$10="On",'Net zero Activity data'!AY19*'Net zero supporting data'!W195*kgtoGg,"ERROR"))</f>
        <v>1.6051302673357504</v>
      </c>
      <c r="AG793" s="93">
        <f>IF('Net zero activities &amp; levers'!$C$10="Off",'Activity data'!AZ19*EF!$H32*kgtoGg,IF('Net zero activities &amp; levers'!$C$10="On",'Net zero Activity data'!AZ19*'Net zero supporting data'!X195*kgtoGg,"ERROR"))</f>
        <v>1.6126141322836316</v>
      </c>
      <c r="AH793" s="93">
        <f>IF('Net zero activities &amp; levers'!$C$10="Off",'Activity data'!BA19*EF!$H32*kgtoGg,IF('Net zero activities &amp; levers'!$C$10="On",'Net zero Activity data'!BA19*'Net zero supporting data'!Y195*kgtoGg,"ERROR"))</f>
        <v>1.6175553910519496</v>
      </c>
      <c r="AI793" s="93">
        <f>IF('Net zero activities &amp; levers'!$C$10="Off",'Activity data'!BB19*EF!$H32*kgtoGg,IF('Net zero activities &amp; levers'!$C$10="On",'Net zero Activity data'!BB19*'Net zero supporting data'!Z195*kgtoGg,"ERROR"))</f>
        <v>1.6199377421840562</v>
      </c>
      <c r="AJ793" s="93">
        <f>IF('Net zero activities &amp; levers'!$C$10="Off",'Activity data'!BC19*EF!$H32*kgtoGg,IF('Net zero activities &amp; levers'!$C$10="On",'Net zero Activity data'!BC19*'Net zero supporting data'!AA195*kgtoGg,"ERROR"))</f>
        <v>0.21118052827101272</v>
      </c>
      <c r="AK793" s="93">
        <f>IF('Net zero activities &amp; levers'!$C$10="Off",'Activity data'!BD19*EF!$H32*kgtoGg,IF('Net zero activities &amp; levers'!$C$10="On",'Net zero Activity data'!BD19*'Net zero supporting data'!AB195*kgtoGg,"ERROR"))</f>
        <v>0.21273045495969528</v>
      </c>
      <c r="AL793" s="93">
        <f>IF('Net zero activities &amp; levers'!$C$10="Off",'Activity data'!BE19*EF!$H32*kgtoGg,IF('Net zero activities &amp; levers'!$C$10="On",'Net zero Activity data'!BE19*'Net zero supporting data'!AC195*kgtoGg,"ERROR"))</f>
        <v>0.21424196096407097</v>
      </c>
      <c r="AM793" s="93">
        <f>IF('Net zero activities &amp; levers'!$C$10="Off",'Activity data'!BF19*EF!$H32*kgtoGg,IF('Net zero activities &amp; levers'!$C$10="On",'Net zero Activity data'!BF19*'Net zero supporting data'!AD195*kgtoGg,"ERROR"))</f>
        <v>0.21571732327397183</v>
      </c>
      <c r="AN793" s="93">
        <f>IF('Net zero activities &amp; levers'!$C$10="Off",'Activity data'!BG19*EF!$H32*kgtoGg,IF('Net zero activities &amp; levers'!$C$10="On",'Net zero Activity data'!BG19*'Net zero supporting data'!AE195*kgtoGg,"ERROR"))</f>
        <v>0.21715916671304386</v>
      </c>
      <c r="AO793" s="93">
        <f>IF('Net zero activities &amp; levers'!$C$10="Off",'Activity data'!BH19*EF!$H32*kgtoGg,IF('Net zero activities &amp; levers'!$C$10="On",'Net zero Activity data'!BH19*'Net zero supporting data'!AF195*kgtoGg,"ERROR"))</f>
        <v>0.2185615794759829</v>
      </c>
      <c r="AP793" s="93">
        <f>IF('Net zero activities &amp; levers'!$C$10="Off",'Activity data'!BI19*EF!$H32*kgtoGg,IF('Net zero activities &amp; levers'!$C$10="On",'Net zero Activity data'!BI19*'Net zero supporting data'!AG195*kgtoGg,"ERROR"))</f>
        <v>0.21992066841646388</v>
      </c>
      <c r="AQ793" s="93">
        <f>IF('Net zero activities &amp; levers'!$C$10="Off",'Activity data'!BJ19*EF!$H32*kgtoGg,IF('Net zero activities &amp; levers'!$C$10="On",'Net zero Activity data'!BJ19*'Net zero supporting data'!AH195*kgtoGg,"ERROR"))</f>
        <v>0.22123614681909931</v>
      </c>
      <c r="AR793" s="93">
        <f>IF('Net zero activities &amp; levers'!$C$10="Off",'Activity data'!BK19*EF!$H32*kgtoGg,IF('Net zero activities &amp; levers'!$C$10="On",'Net zero Activity data'!BK19*'Net zero supporting data'!AI195*kgtoGg,"ERROR"))</f>
        <v>0.22250337724956543</v>
      </c>
      <c r="AS793" s="93">
        <f>IF('Net zero activities &amp; levers'!$C$10="Off",'Activity data'!BL19*EF!$H32*kgtoGg,IF('Net zero activities &amp; levers'!$C$10="On",'Net zero Activity data'!BL19*'Net zero supporting data'!AJ195*kgtoGg,"ERROR"))</f>
        <v>0.22371719705711082</v>
      </c>
      <c r="AT793" s="93">
        <f>IF('Net zero activities &amp; levers'!$C$10="Off",'Activity data'!BM19*EF!$H32*kgtoGg,IF('Net zero activities &amp; levers'!$C$10="On",'Net zero Activity data'!BM19*'Net zero supporting data'!AK195*kgtoGg,"ERROR"))</f>
        <v>0.22487715475079265</v>
      </c>
      <c r="AU793" s="93">
        <f>IF('Net zero activities &amp; levers'!$C$10="Off",'Activity data'!BN19*EF!$H32*kgtoGg,IF('Net zero activities &amp; levers'!$C$10="On",'Net zero Activity data'!BN19*'Net zero supporting data'!AL195*kgtoGg,"ERROR"))</f>
        <v>0.22598422868600801</v>
      </c>
      <c r="AV793" s="93">
        <f>IF('Net zero activities &amp; levers'!$C$10="Off",'Activity data'!BO19*EF!$H32*kgtoGg,IF('Net zero activities &amp; levers'!$C$10="On",'Net zero Activity data'!BO19*'Net zero supporting data'!AM195*kgtoGg,"ERROR"))</f>
        <v>0.22703914928135227</v>
      </c>
      <c r="AW793" s="93">
        <f>IF('Net zero activities &amp; levers'!$C$10="Off",'Activity data'!BP19*EF!$H32*kgtoGg,IF('Net zero activities &amp; levers'!$C$10="On",'Net zero Activity data'!BP19*'Net zero supporting data'!AN195*kgtoGg,"ERROR"))</f>
        <v>0.22803688221361912</v>
      </c>
      <c r="AY793" s="79"/>
      <c r="AZ793" s="79"/>
    </row>
    <row r="794" spans="1:52" x14ac:dyDescent="0.25">
      <c r="A794" s="95" t="str">
        <f t="shared" si="176"/>
        <v>BD Poultry MMCH4</v>
      </c>
      <c r="B794" s="95" t="s">
        <v>1228</v>
      </c>
      <c r="C794" s="95" t="s">
        <v>1231</v>
      </c>
      <c r="D794" t="s">
        <v>15</v>
      </c>
      <c r="E794" t="s">
        <v>22</v>
      </c>
      <c r="F794" t="s">
        <v>28</v>
      </c>
      <c r="G794" t="s">
        <v>132</v>
      </c>
      <c r="H794" t="s">
        <v>1227</v>
      </c>
      <c r="I794" t="s">
        <v>121</v>
      </c>
      <c r="J794" t="s">
        <v>286</v>
      </c>
      <c r="K794" s="27">
        <f t="shared" ref="K794:AW794" si="222">K1408</f>
        <v>2.2100196981344116</v>
      </c>
      <c r="L794" s="27">
        <f t="shared" si="222"/>
        <v>2.2391217074451495</v>
      </c>
      <c r="M794" s="27">
        <f t="shared" si="222"/>
        <v>2.2858678822724832</v>
      </c>
      <c r="N794" s="27">
        <f t="shared" si="222"/>
        <v>2.29929007480786</v>
      </c>
      <c r="O794" s="27">
        <f t="shared" si="222"/>
        <v>2.2910596881616572</v>
      </c>
      <c r="P794" s="27">
        <f t="shared" si="222"/>
        <v>2.2612642885898926</v>
      </c>
      <c r="Q794" s="27">
        <f t="shared" si="222"/>
        <v>2.2487211059946213</v>
      </c>
      <c r="R794" s="27">
        <f t="shared" si="222"/>
        <v>2.2390235702415184</v>
      </c>
      <c r="S794" s="27">
        <f t="shared" si="222"/>
        <v>1.9526804721775937</v>
      </c>
      <c r="T794" s="27">
        <f t="shared" si="222"/>
        <v>2.100459804618418</v>
      </c>
      <c r="U794" s="27">
        <f t="shared" si="222"/>
        <v>9.1333253803948828</v>
      </c>
      <c r="V794" s="27">
        <f t="shared" si="222"/>
        <v>9.2970707439361586</v>
      </c>
      <c r="W794" s="27">
        <f t="shared" si="222"/>
        <v>9.4425409001496003</v>
      </c>
      <c r="X794" s="27">
        <f t="shared" si="222"/>
        <v>9.5703569928358032</v>
      </c>
      <c r="Y794" s="27">
        <f t="shared" si="222"/>
        <v>9.6822560637136306</v>
      </c>
      <c r="Z794" s="27">
        <f t="shared" si="222"/>
        <v>9.7773987663862059</v>
      </c>
      <c r="AA794" s="27">
        <f t="shared" si="222"/>
        <v>9.8551407097026438</v>
      </c>
      <c r="AB794" s="27">
        <f t="shared" si="222"/>
        <v>9.9148485168231666</v>
      </c>
      <c r="AC794" s="27">
        <f t="shared" si="222"/>
        <v>9.9559572971640158</v>
      </c>
      <c r="AD794" s="27">
        <f t="shared" si="222"/>
        <v>9.9780818543236887</v>
      </c>
      <c r="AE794" s="27">
        <f t="shared" si="222"/>
        <v>9.9808650627783955</v>
      </c>
      <c r="AF794" s="27">
        <f t="shared" si="222"/>
        <v>9.9641144926279814</v>
      </c>
      <c r="AG794" s="27">
        <f t="shared" si="222"/>
        <v>9.9278067613283412</v>
      </c>
      <c r="AH794" s="27">
        <f t="shared" si="222"/>
        <v>9.8719390395073479</v>
      </c>
      <c r="AI794" s="27">
        <f t="shared" si="222"/>
        <v>9.7965950136724871</v>
      </c>
      <c r="AJ794" s="27">
        <f t="shared" si="222"/>
        <v>-2.0919754098137773</v>
      </c>
      <c r="AK794" s="27">
        <f t="shared" si="222"/>
        <v>-2.0949358900923882</v>
      </c>
      <c r="AL794" s="27">
        <f t="shared" si="222"/>
        <v>-2.0976165546607759</v>
      </c>
      <c r="AM794" s="27">
        <f t="shared" si="222"/>
        <v>-2.1000401992552491</v>
      </c>
      <c r="AN794" s="27">
        <f t="shared" si="222"/>
        <v>-2.1022328856249954</v>
      </c>
      <c r="AO794" s="27">
        <f t="shared" si="222"/>
        <v>-2.1041334183696132</v>
      </c>
      <c r="AP794" s="27">
        <f t="shared" si="222"/>
        <v>-2.1057026664304765</v>
      </c>
      <c r="AQ794" s="27">
        <f t="shared" si="222"/>
        <v>-2.1069388532626809</v>
      </c>
      <c r="AR794" s="27">
        <f t="shared" si="222"/>
        <v>-2.107796866715046</v>
      </c>
      <c r="AS794" s="27">
        <f t="shared" si="222"/>
        <v>-2.1082275012492091</v>
      </c>
      <c r="AT794" s="27">
        <f t="shared" si="222"/>
        <v>-2.1082293468263522</v>
      </c>
      <c r="AU794" s="27">
        <f t="shared" si="222"/>
        <v>-2.1078151792766633</v>
      </c>
      <c r="AV794" s="27">
        <f t="shared" si="222"/>
        <v>-2.1069951517588699</v>
      </c>
      <c r="AW794" s="27">
        <f t="shared" si="222"/>
        <v>-2.1057231360288351</v>
      </c>
      <c r="AY794" s="79"/>
      <c r="AZ794" s="79"/>
    </row>
    <row r="795" spans="1:52" x14ac:dyDescent="0.25">
      <c r="A795" s="95" t="str">
        <f t="shared" si="176"/>
        <v>BD Poultry MMCH4</v>
      </c>
      <c r="B795" s="95" t="s">
        <v>1228</v>
      </c>
      <c r="C795" s="95" t="s">
        <v>1231</v>
      </c>
      <c r="D795" t="s">
        <v>15</v>
      </c>
      <c r="E795" t="s">
        <v>22</v>
      </c>
      <c r="F795" t="s">
        <v>28</v>
      </c>
      <c r="G795" t="s">
        <v>134</v>
      </c>
      <c r="H795" t="s">
        <v>1227</v>
      </c>
      <c r="I795" t="s">
        <v>121</v>
      </c>
      <c r="J795" t="s">
        <v>286</v>
      </c>
      <c r="K795" s="27">
        <f t="shared" ref="K795:AW795" si="223">K1409</f>
        <v>2.3161053423012629E-2</v>
      </c>
      <c r="L795" s="27">
        <f t="shared" si="223"/>
        <v>2.3631963555267661E-2</v>
      </c>
      <c r="M795" s="27">
        <f t="shared" si="223"/>
        <v>2.4182412868997839E-2</v>
      </c>
      <c r="N795" s="27">
        <f t="shared" si="223"/>
        <v>2.4605006348844244E-2</v>
      </c>
      <c r="O795" s="27">
        <f t="shared" si="223"/>
        <v>2.4944242822745925E-2</v>
      </c>
      <c r="P795" s="27">
        <f t="shared" si="223"/>
        <v>2.5198104828966571E-2</v>
      </c>
      <c r="Q795" s="27">
        <f t="shared" si="223"/>
        <v>2.5523625995077459E-2</v>
      </c>
      <c r="R795" s="27">
        <f t="shared" si="223"/>
        <v>2.5862077897454101E-2</v>
      </c>
      <c r="S795" s="27">
        <f t="shared" si="223"/>
        <v>2.4842542158273501E-2</v>
      </c>
      <c r="T795" s="27">
        <f t="shared" si="223"/>
        <v>2.5753806533601667E-2</v>
      </c>
      <c r="U795" s="27">
        <f t="shared" si="223"/>
        <v>5.7236201552992215E-2</v>
      </c>
      <c r="V795" s="27">
        <f t="shared" si="223"/>
        <v>5.8494506476340941E-2</v>
      </c>
      <c r="W795" s="27">
        <f t="shared" si="223"/>
        <v>5.9701208981511052E-2</v>
      </c>
      <c r="X795" s="27">
        <f t="shared" si="223"/>
        <v>6.0845652039913642E-2</v>
      </c>
      <c r="Y795" s="27">
        <f t="shared" si="223"/>
        <v>6.1913384085450655E-2</v>
      </c>
      <c r="Z795" s="27">
        <f t="shared" si="223"/>
        <v>6.2899738646059397E-2</v>
      </c>
      <c r="AA795" s="27">
        <f t="shared" si="223"/>
        <v>6.3799966711723347E-2</v>
      </c>
      <c r="AB795" s="27">
        <f t="shared" si="223"/>
        <v>6.4609971647092854E-2</v>
      </c>
      <c r="AC795" s="27">
        <f t="shared" si="223"/>
        <v>6.5326158516229374E-2</v>
      </c>
      <c r="AD795" s="27">
        <f t="shared" si="223"/>
        <v>6.5945063808234589E-2</v>
      </c>
      <c r="AE795" s="27">
        <f t="shared" si="223"/>
        <v>6.6463970587373244E-2</v>
      </c>
      <c r="AF795" s="27">
        <f t="shared" si="223"/>
        <v>6.6880427805656326E-2</v>
      </c>
      <c r="AG795" s="27">
        <f t="shared" si="223"/>
        <v>6.7192255511818053E-2</v>
      </c>
      <c r="AH795" s="27">
        <f t="shared" si="223"/>
        <v>6.7398141293831301E-2</v>
      </c>
      <c r="AI795" s="27">
        <f t="shared" si="223"/>
        <v>6.7497405924335729E-2</v>
      </c>
      <c r="AJ795" s="27">
        <f t="shared" si="223"/>
        <v>8.7991886779588708E-3</v>
      </c>
      <c r="AK795" s="27">
        <f t="shared" si="223"/>
        <v>8.8637689566539793E-3</v>
      </c>
      <c r="AL795" s="27">
        <f t="shared" si="223"/>
        <v>8.9267483735029646E-3</v>
      </c>
      <c r="AM795" s="27">
        <f t="shared" si="223"/>
        <v>8.9882218030821696E-3</v>
      </c>
      <c r="AN795" s="27">
        <f t="shared" si="223"/>
        <v>9.0482986130435011E-3</v>
      </c>
      <c r="AO795" s="27">
        <f t="shared" si="223"/>
        <v>9.1067324781659627E-3</v>
      </c>
      <c r="AP795" s="27">
        <f t="shared" si="223"/>
        <v>9.1633611840193346E-3</v>
      </c>
      <c r="AQ795" s="27">
        <f t="shared" si="223"/>
        <v>9.2181727841291489E-3</v>
      </c>
      <c r="AR795" s="27">
        <f t="shared" si="223"/>
        <v>9.2709740520652353E-3</v>
      </c>
      <c r="AS795" s="27">
        <f t="shared" si="223"/>
        <v>9.3215498773796274E-3</v>
      </c>
      <c r="AT795" s="27">
        <f t="shared" si="223"/>
        <v>9.3698814479497017E-3</v>
      </c>
      <c r="AU795" s="27">
        <f t="shared" si="223"/>
        <v>9.4160095285836763E-3</v>
      </c>
      <c r="AV795" s="27">
        <f t="shared" si="223"/>
        <v>9.4599645533896878E-3</v>
      </c>
      <c r="AW795" s="27">
        <f t="shared" si="223"/>
        <v>9.5015367589008064E-3</v>
      </c>
      <c r="AY795" s="79"/>
      <c r="AZ795" s="79"/>
    </row>
    <row r="796" spans="1:52" x14ac:dyDescent="0.25">
      <c r="A796" s="95" t="str">
        <f t="shared" ref="A796:A859" si="224">B796&amp;" "&amp;C796</f>
        <v>BD Poultry MMCH4</v>
      </c>
      <c r="B796" s="95" t="s">
        <v>1228</v>
      </c>
      <c r="C796" s="95" t="s">
        <v>1231</v>
      </c>
      <c r="D796" t="s">
        <v>15</v>
      </c>
      <c r="E796" t="s">
        <v>22</v>
      </c>
      <c r="F796" t="s">
        <v>28</v>
      </c>
      <c r="G796" t="s">
        <v>133</v>
      </c>
      <c r="H796" t="s">
        <v>1227</v>
      </c>
      <c r="I796" t="s">
        <v>121</v>
      </c>
      <c r="J796" t="s">
        <v>286</v>
      </c>
      <c r="K796" s="27">
        <f t="shared" ref="K796:AW796" si="225">K1410</f>
        <v>9.2084154088933889E-2</v>
      </c>
      <c r="L796" s="27">
        <f t="shared" si="225"/>
        <v>9.3296737810214664E-2</v>
      </c>
      <c r="M796" s="27">
        <f t="shared" si="225"/>
        <v>9.5244495094686882E-2</v>
      </c>
      <c r="N796" s="27">
        <f t="shared" si="225"/>
        <v>9.5803753116994267E-2</v>
      </c>
      <c r="O796" s="27">
        <f t="shared" si="225"/>
        <v>9.5460820340069155E-2</v>
      </c>
      <c r="P796" s="27">
        <f t="shared" si="225"/>
        <v>9.4219345357912279E-2</v>
      </c>
      <c r="Q796" s="27">
        <f t="shared" si="225"/>
        <v>9.3696712749775993E-2</v>
      </c>
      <c r="R796" s="27">
        <f t="shared" si="225"/>
        <v>9.3292648760063338E-2</v>
      </c>
      <c r="S796" s="27">
        <f t="shared" si="225"/>
        <v>8.1361686340733153E-2</v>
      </c>
      <c r="T796" s="27">
        <f t="shared" si="225"/>
        <v>8.7519158525767499E-2</v>
      </c>
      <c r="U796" s="27">
        <f t="shared" si="225"/>
        <v>0.38055522418312043</v>
      </c>
      <c r="V796" s="27">
        <f t="shared" si="225"/>
        <v>0.38737794766400691</v>
      </c>
      <c r="W796" s="27">
        <f t="shared" si="225"/>
        <v>0.39343920417290035</v>
      </c>
      <c r="X796" s="27">
        <f t="shared" si="225"/>
        <v>0.39876487470149208</v>
      </c>
      <c r="Y796" s="27">
        <f t="shared" si="225"/>
        <v>0.40342733598806829</v>
      </c>
      <c r="Z796" s="27">
        <f t="shared" si="225"/>
        <v>0.40739161526609236</v>
      </c>
      <c r="AA796" s="27">
        <f t="shared" si="225"/>
        <v>0.41063086290427719</v>
      </c>
      <c r="AB796" s="27">
        <f t="shared" si="225"/>
        <v>0.41311868820096576</v>
      </c>
      <c r="AC796" s="27">
        <f t="shared" si="225"/>
        <v>0.41483155404850092</v>
      </c>
      <c r="AD796" s="27">
        <f t="shared" si="225"/>
        <v>0.4157534105968208</v>
      </c>
      <c r="AE796" s="27">
        <f t="shared" si="225"/>
        <v>0.41586937761576692</v>
      </c>
      <c r="AF796" s="27">
        <f t="shared" si="225"/>
        <v>0.41517143719283295</v>
      </c>
      <c r="AG796" s="27">
        <f t="shared" si="225"/>
        <v>0.41365861505534796</v>
      </c>
      <c r="AH796" s="27">
        <f t="shared" si="225"/>
        <v>0.41133079331280648</v>
      </c>
      <c r="AI796" s="27">
        <f t="shared" si="225"/>
        <v>0.40819145890302061</v>
      </c>
      <c r="AJ796" s="27">
        <f t="shared" si="225"/>
        <v>-8.7165642075574146E-2</v>
      </c>
      <c r="AK796" s="27">
        <f t="shared" si="225"/>
        <v>-8.7288995420516255E-2</v>
      </c>
      <c r="AL796" s="27">
        <f t="shared" si="225"/>
        <v>-8.7400689777532417E-2</v>
      </c>
      <c r="AM796" s="27">
        <f t="shared" si="225"/>
        <v>-8.7501674968968782E-2</v>
      </c>
      <c r="AN796" s="27">
        <f t="shared" si="225"/>
        <v>-8.759303690104156E-2</v>
      </c>
      <c r="AO796" s="27">
        <f t="shared" si="225"/>
        <v>-8.7672225765400638E-2</v>
      </c>
      <c r="AP796" s="27">
        <f t="shared" si="225"/>
        <v>-8.773761110126993E-2</v>
      </c>
      <c r="AQ796" s="27">
        <f t="shared" si="225"/>
        <v>-8.7789118885945122E-2</v>
      </c>
      <c r="AR796" s="27">
        <f t="shared" si="225"/>
        <v>-8.7824869446460341E-2</v>
      </c>
      <c r="AS796" s="27">
        <f t="shared" si="225"/>
        <v>-8.7842812552050467E-2</v>
      </c>
      <c r="AT796" s="27">
        <f t="shared" si="225"/>
        <v>-8.7842889451098083E-2</v>
      </c>
      <c r="AU796" s="27">
        <f t="shared" si="225"/>
        <v>-8.7825632469861054E-2</v>
      </c>
      <c r="AV796" s="27">
        <f t="shared" si="225"/>
        <v>-8.7791464656619661E-2</v>
      </c>
      <c r="AW796" s="27">
        <f t="shared" si="225"/>
        <v>-8.7738464001201541E-2</v>
      </c>
      <c r="AY796" s="79"/>
      <c r="AZ796" s="79"/>
    </row>
    <row r="797" spans="1:52" x14ac:dyDescent="0.25">
      <c r="A797" s="95" t="str">
        <f t="shared" si="224"/>
        <v>BD Cattle MMN2O</v>
      </c>
      <c r="B797" s="95" t="s">
        <v>1228</v>
      </c>
      <c r="C797" s="95" t="s">
        <v>1232</v>
      </c>
      <c r="D797" t="s">
        <v>15</v>
      </c>
      <c r="E797" t="s">
        <v>657</v>
      </c>
      <c r="F797" t="s">
        <v>6</v>
      </c>
      <c r="G797" t="s">
        <v>136</v>
      </c>
      <c r="H797" t="s">
        <v>1227</v>
      </c>
      <c r="I797" t="s">
        <v>139</v>
      </c>
      <c r="J797" t="s">
        <v>287</v>
      </c>
      <c r="K797" s="27">
        <f t="shared" ref="K797:AW797" si="226">K1411</f>
        <v>5.9474079071945893E-2</v>
      </c>
      <c r="L797" s="27">
        <f t="shared" si="226"/>
        <v>5.9806569587962537E-2</v>
      </c>
      <c r="M797" s="27">
        <f t="shared" si="226"/>
        <v>6.0278316688762053E-2</v>
      </c>
      <c r="N797" s="27">
        <f t="shared" si="226"/>
        <v>6.0581464452445992E-2</v>
      </c>
      <c r="O797" s="27">
        <f t="shared" si="226"/>
        <v>6.0782907527895308E-2</v>
      </c>
      <c r="P797" s="27">
        <f t="shared" si="226"/>
        <v>6.0880663265441164E-2</v>
      </c>
      <c r="Q797" s="27">
        <f t="shared" si="226"/>
        <v>6.1096642070638009E-2</v>
      </c>
      <c r="R797" s="27">
        <f t="shared" si="226"/>
        <v>6.1344406036983781E-2</v>
      </c>
      <c r="S797" s="27">
        <f t="shared" si="226"/>
        <v>5.9601328930113273E-2</v>
      </c>
      <c r="T797" s="27">
        <f t="shared" si="226"/>
        <v>6.0626854202705693E-2</v>
      </c>
      <c r="U797" s="27">
        <f t="shared" si="226"/>
        <v>0.10431335111869787</v>
      </c>
      <c r="V797" s="27">
        <f t="shared" si="226"/>
        <v>0.10557079987792001</v>
      </c>
      <c r="W797" s="27">
        <f t="shared" si="226"/>
        <v>0.10677309385797164</v>
      </c>
      <c r="X797" s="27">
        <f t="shared" si="226"/>
        <v>0.10789978230362134</v>
      </c>
      <c r="Y797" s="27">
        <f t="shared" si="226"/>
        <v>0.10892077673602073</v>
      </c>
      <c r="Z797" s="27">
        <f t="shared" si="226"/>
        <v>0.10983130908819148</v>
      </c>
      <c r="AA797" s="27">
        <f t="shared" si="226"/>
        <v>0.11062607502856897</v>
      </c>
      <c r="AB797" s="27">
        <f t="shared" si="226"/>
        <v>0.11130105996088024</v>
      </c>
      <c r="AC797" s="27">
        <f t="shared" si="226"/>
        <v>0.11185308002540331</v>
      </c>
      <c r="AD797" s="27">
        <f t="shared" si="226"/>
        <v>0.11227878827005904</v>
      </c>
      <c r="AE797" s="27">
        <f t="shared" si="226"/>
        <v>0.11257618100536711</v>
      </c>
      <c r="AF797" s="27">
        <f t="shared" si="226"/>
        <v>0.11274333624880213</v>
      </c>
      <c r="AG797" s="27">
        <f t="shared" si="226"/>
        <v>0.11277839712706036</v>
      </c>
      <c r="AH797" s="27">
        <f t="shared" si="226"/>
        <v>0.11268102453940491</v>
      </c>
      <c r="AI797" s="27">
        <f t="shared" si="226"/>
        <v>0.11245177283662604</v>
      </c>
      <c r="AJ797" s="27">
        <f t="shared" si="226"/>
        <v>3.5577796363991845E-2</v>
      </c>
      <c r="AK797" s="27">
        <f t="shared" si="226"/>
        <v>3.5603767558276704E-2</v>
      </c>
      <c r="AL797" s="27">
        <f t="shared" si="226"/>
        <v>3.5627869174539424E-2</v>
      </c>
      <c r="AM797" s="27">
        <f t="shared" si="226"/>
        <v>3.5650264251912672E-2</v>
      </c>
      <c r="AN797" s="27">
        <f t="shared" si="226"/>
        <v>3.5671153620438649E-2</v>
      </c>
      <c r="AO797" s="27">
        <f t="shared" si="226"/>
        <v>3.5689881664317018E-2</v>
      </c>
      <c r="AP797" s="27">
        <f t="shared" si="226"/>
        <v>3.5706008112300056E-2</v>
      </c>
      <c r="AQ797" s="27">
        <f t="shared" si="226"/>
        <v>3.5719462361704167E-2</v>
      </c>
      <c r="AR797" s="27">
        <f t="shared" si="226"/>
        <v>3.5729744862623404E-2</v>
      </c>
      <c r="AS797" s="27">
        <f t="shared" si="226"/>
        <v>3.5736313260064892E-2</v>
      </c>
      <c r="AT797" s="27">
        <f t="shared" si="226"/>
        <v>3.5739100565622635E-2</v>
      </c>
      <c r="AU797" s="27">
        <f t="shared" si="226"/>
        <v>3.5738183814189306E-2</v>
      </c>
      <c r="AV797" s="27">
        <f t="shared" si="226"/>
        <v>3.5733616728715514E-2</v>
      </c>
      <c r="AW797" s="27">
        <f t="shared" si="226"/>
        <v>3.5724889195264529E-2</v>
      </c>
      <c r="AY797" s="79"/>
      <c r="AZ797" s="79"/>
    </row>
    <row r="798" spans="1:52" x14ac:dyDescent="0.25">
      <c r="A798" s="95" t="str">
        <f t="shared" si="224"/>
        <v>BD Cattle MMN2O</v>
      </c>
      <c r="B798" s="95" t="s">
        <v>1228</v>
      </c>
      <c r="C798" s="95" t="s">
        <v>1232</v>
      </c>
      <c r="D798" t="s">
        <v>15</v>
      </c>
      <c r="E798" t="s">
        <v>657</v>
      </c>
      <c r="F798" t="s">
        <v>6</v>
      </c>
      <c r="G798" t="s">
        <v>137</v>
      </c>
      <c r="H798" t="s">
        <v>1227</v>
      </c>
      <c r="I798" t="s">
        <v>139</v>
      </c>
      <c r="J798" t="s">
        <v>287</v>
      </c>
      <c r="K798" s="27">
        <f t="shared" ref="K798:AW798" si="227">K1412</f>
        <v>0.26041511380118898</v>
      </c>
      <c r="L798" s="27">
        <f t="shared" si="227"/>
        <v>0.26187096745907495</v>
      </c>
      <c r="M798" s="27">
        <f t="shared" si="227"/>
        <v>0.26393657447404822</v>
      </c>
      <c r="N798" s="27">
        <f t="shared" si="227"/>
        <v>0.26526394701365208</v>
      </c>
      <c r="O798" s="27">
        <f t="shared" si="227"/>
        <v>0.26614599213711054</v>
      </c>
      <c r="P798" s="27">
        <f t="shared" si="227"/>
        <v>0.26657402855087214</v>
      </c>
      <c r="Q798" s="27">
        <f t="shared" si="227"/>
        <v>0.26751972028770321</v>
      </c>
      <c r="R798" s="27">
        <f t="shared" si="227"/>
        <v>0.26860458755254507</v>
      </c>
      <c r="S798" s="27">
        <f t="shared" si="227"/>
        <v>0.26097229411928624</v>
      </c>
      <c r="T798" s="27">
        <f t="shared" si="227"/>
        <v>0.26546269203272144</v>
      </c>
      <c r="U798" s="27">
        <f t="shared" si="227"/>
        <v>0.45674979127794169</v>
      </c>
      <c r="V798" s="27">
        <f t="shared" si="227"/>
        <v>0.46225569682270645</v>
      </c>
      <c r="W798" s="27">
        <f t="shared" si="227"/>
        <v>0.46752009987901733</v>
      </c>
      <c r="X798" s="27">
        <f t="shared" si="227"/>
        <v>0.47245345411284095</v>
      </c>
      <c r="Y798" s="27">
        <f t="shared" si="227"/>
        <v>0.47692401314381044</v>
      </c>
      <c r="Z798" s="27">
        <f t="shared" si="227"/>
        <v>0.48091089936063391</v>
      </c>
      <c r="AA798" s="27">
        <f t="shared" si="227"/>
        <v>0.48439088704666999</v>
      </c>
      <c r="AB798" s="27">
        <f t="shared" si="227"/>
        <v>0.48734639776167055</v>
      </c>
      <c r="AC798" s="27">
        <f t="shared" si="227"/>
        <v>0.48976349055514479</v>
      </c>
      <c r="AD798" s="27">
        <f t="shared" si="227"/>
        <v>0.49162751035516583</v>
      </c>
      <c r="AE798" s="27">
        <f t="shared" si="227"/>
        <v>0.49292968374258739</v>
      </c>
      <c r="AF798" s="27">
        <f t="shared" si="227"/>
        <v>0.49366159506296176</v>
      </c>
      <c r="AG798" s="27">
        <f t="shared" si="227"/>
        <v>0.49381511375117121</v>
      </c>
      <c r="AH798" s="27">
        <f t="shared" si="227"/>
        <v>0.4933887550098322</v>
      </c>
      <c r="AI798" s="27">
        <f t="shared" si="227"/>
        <v>0.49238494613712885</v>
      </c>
      <c r="AJ798" s="27">
        <f t="shared" si="227"/>
        <v>0.15578208243824307</v>
      </c>
      <c r="AK798" s="27">
        <f t="shared" si="227"/>
        <v>0.15589580074411316</v>
      </c>
      <c r="AL798" s="27">
        <f t="shared" si="227"/>
        <v>0.15600133285557738</v>
      </c>
      <c r="AM798" s="27">
        <f t="shared" si="227"/>
        <v>0.1560993926610211</v>
      </c>
      <c r="AN798" s="27">
        <f t="shared" si="227"/>
        <v>0.15619085952132081</v>
      </c>
      <c r="AO798" s="27">
        <f t="shared" si="227"/>
        <v>0.15627286273606522</v>
      </c>
      <c r="AP798" s="27">
        <f t="shared" si="227"/>
        <v>0.15634347451942091</v>
      </c>
      <c r="AQ798" s="27">
        <f t="shared" si="227"/>
        <v>0.15640238572820886</v>
      </c>
      <c r="AR798" s="27">
        <f t="shared" si="227"/>
        <v>0.15644740901715809</v>
      </c>
      <c r="AS798" s="27">
        <f t="shared" si="227"/>
        <v>0.15647616961326835</v>
      </c>
      <c r="AT798" s="27">
        <f t="shared" si="227"/>
        <v>0.15648837419895245</v>
      </c>
      <c r="AU798" s="27">
        <f t="shared" si="227"/>
        <v>0.15648436008166708</v>
      </c>
      <c r="AV798" s="27">
        <f t="shared" si="227"/>
        <v>0.15646436249445</v>
      </c>
      <c r="AW798" s="27">
        <f t="shared" si="227"/>
        <v>0.15642614783602549</v>
      </c>
      <c r="AY798" s="79"/>
      <c r="AZ798" s="79"/>
    </row>
    <row r="799" spans="1:52" x14ac:dyDescent="0.25">
      <c r="A799" s="95" t="str">
        <f t="shared" si="224"/>
        <v>BD Cattle MMN2O</v>
      </c>
      <c r="B799" s="95" t="s">
        <v>1228</v>
      </c>
      <c r="C799" s="95" t="s">
        <v>1232</v>
      </c>
      <c r="D799" t="s">
        <v>15</v>
      </c>
      <c r="E799" t="s">
        <v>657</v>
      </c>
      <c r="F799" t="s">
        <v>67</v>
      </c>
      <c r="G799" t="s">
        <v>307</v>
      </c>
      <c r="H799" t="s">
        <v>1227</v>
      </c>
      <c r="I799" t="s">
        <v>139</v>
      </c>
      <c r="J799" t="s">
        <v>287</v>
      </c>
      <c r="K799" s="27">
        <f t="shared" ref="K799:AW799" si="228">K1413</f>
        <v>1.1586934798802538E-2</v>
      </c>
      <c r="L799" s="27">
        <f t="shared" si="228"/>
        <v>1.1651711689683767E-2</v>
      </c>
      <c r="M799" s="27">
        <f t="shared" si="228"/>
        <v>1.1743619004328788E-2</v>
      </c>
      <c r="N799" s="27">
        <f t="shared" si="228"/>
        <v>1.1802679244134426E-2</v>
      </c>
      <c r="O799" s="27">
        <f t="shared" si="228"/>
        <v>1.1841925043604104E-2</v>
      </c>
      <c r="P799" s="27">
        <f t="shared" si="228"/>
        <v>1.186097013643829E-2</v>
      </c>
      <c r="Q799" s="27">
        <f t="shared" si="228"/>
        <v>1.1903047834366352E-2</v>
      </c>
      <c r="R799" s="27">
        <f t="shared" si="228"/>
        <v>1.1951318021451862E-2</v>
      </c>
      <c r="S799" s="27">
        <f t="shared" si="228"/>
        <v>1.1611726032777913E-2</v>
      </c>
      <c r="T799" s="27">
        <f t="shared" si="228"/>
        <v>1.1811522223882912E-2</v>
      </c>
      <c r="U799" s="27">
        <f t="shared" si="228"/>
        <v>2.0322668579614574E-2</v>
      </c>
      <c r="V799" s="27">
        <f t="shared" si="228"/>
        <v>2.0567648863686182E-2</v>
      </c>
      <c r="W799" s="27">
        <f t="shared" si="228"/>
        <v>2.0801883713106869E-2</v>
      </c>
      <c r="X799" s="27">
        <f t="shared" si="228"/>
        <v>2.1021388844788085E-2</v>
      </c>
      <c r="Y799" s="27">
        <f t="shared" si="228"/>
        <v>2.1220302322773034E-2</v>
      </c>
      <c r="Z799" s="27">
        <f t="shared" si="228"/>
        <v>2.1397695216642653E-2</v>
      </c>
      <c r="AA799" s="27">
        <f t="shared" si="228"/>
        <v>2.1552534119155507E-2</v>
      </c>
      <c r="AB799" s="27">
        <f t="shared" si="228"/>
        <v>2.1684036893522194E-2</v>
      </c>
      <c r="AC799" s="27">
        <f t="shared" si="228"/>
        <v>2.1791583249767946E-2</v>
      </c>
      <c r="AD799" s="27">
        <f t="shared" si="228"/>
        <v>2.1874521123731019E-2</v>
      </c>
      <c r="AE799" s="27">
        <f t="shared" si="228"/>
        <v>2.1932460150066901E-2</v>
      </c>
      <c r="AF799" s="27">
        <f t="shared" si="228"/>
        <v>2.1965025881847573E-2</v>
      </c>
      <c r="AG799" s="27">
        <f t="shared" si="228"/>
        <v>2.1971856556936734E-2</v>
      </c>
      <c r="AH799" s="27">
        <f t="shared" si="228"/>
        <v>2.1952886110618599E-2</v>
      </c>
      <c r="AI799" s="27">
        <f t="shared" si="228"/>
        <v>2.190822254332906E-2</v>
      </c>
      <c r="AJ799" s="27">
        <f t="shared" si="228"/>
        <v>6.931382766868284E-3</v>
      </c>
      <c r="AK799" s="27">
        <f t="shared" si="228"/>
        <v>6.9364425599667493E-3</v>
      </c>
      <c r="AL799" s="27">
        <f t="shared" si="228"/>
        <v>6.9411381157540699E-3</v>
      </c>
      <c r="AM799" s="27">
        <f t="shared" si="228"/>
        <v>6.9455011980478565E-3</v>
      </c>
      <c r="AN799" s="27">
        <f t="shared" si="228"/>
        <v>6.9495709332144289E-3</v>
      </c>
      <c r="AO799" s="27">
        <f t="shared" si="228"/>
        <v>6.9532195920371295E-3</v>
      </c>
      <c r="AP799" s="27">
        <f t="shared" si="228"/>
        <v>6.9563613994300545E-3</v>
      </c>
      <c r="AQ799" s="27">
        <f t="shared" si="228"/>
        <v>6.9589826003472414E-3</v>
      </c>
      <c r="AR799" s="27">
        <f t="shared" si="228"/>
        <v>6.9609858708405197E-3</v>
      </c>
      <c r="AS799" s="27">
        <f t="shared" si="228"/>
        <v>6.9622655475345486E-3</v>
      </c>
      <c r="AT799" s="27">
        <f t="shared" si="228"/>
        <v>6.9628085795287523E-3</v>
      </c>
      <c r="AU799" s="27">
        <f t="shared" si="228"/>
        <v>6.9626299750131342E-3</v>
      </c>
      <c r="AV799" s="27">
        <f t="shared" si="228"/>
        <v>6.9617402004688092E-3</v>
      </c>
      <c r="AW799" s="27">
        <f t="shared" si="228"/>
        <v>6.960039873828548E-3</v>
      </c>
      <c r="AY799" s="79"/>
      <c r="AZ799" s="79"/>
    </row>
    <row r="800" spans="1:52" x14ac:dyDescent="0.25">
      <c r="A800" s="95" t="str">
        <f t="shared" si="224"/>
        <v>BD Cattle MMN2O</v>
      </c>
      <c r="B800" s="95" t="s">
        <v>1228</v>
      </c>
      <c r="C800" s="95" t="s">
        <v>1232</v>
      </c>
      <c r="D800" t="s">
        <v>15</v>
      </c>
      <c r="E800" t="s">
        <v>657</v>
      </c>
      <c r="F800" t="s">
        <v>67</v>
      </c>
      <c r="G800" t="s">
        <v>122</v>
      </c>
      <c r="H800" t="s">
        <v>1227</v>
      </c>
      <c r="I800" t="s">
        <v>139</v>
      </c>
      <c r="J800" t="s">
        <v>287</v>
      </c>
      <c r="K800" s="27">
        <f t="shared" ref="K800:AW800" si="229">K1414</f>
        <v>0.52525224947331295</v>
      </c>
      <c r="L800" s="27">
        <f t="shared" si="229"/>
        <v>0.5206969044571037</v>
      </c>
      <c r="M800" s="27">
        <f t="shared" si="229"/>
        <v>0.51896282251134873</v>
      </c>
      <c r="N800" s="27">
        <f t="shared" si="229"/>
        <v>0.51203275332440923</v>
      </c>
      <c r="O800" s="27">
        <f t="shared" si="229"/>
        <v>0.50197358865556674</v>
      </c>
      <c r="P800" s="27">
        <f t="shared" si="229"/>
        <v>0.48899333628247277</v>
      </c>
      <c r="Q800" s="27">
        <f t="shared" si="229"/>
        <v>0.47875543160314166</v>
      </c>
      <c r="R800" s="27">
        <f t="shared" si="229"/>
        <v>0.46906920988966783</v>
      </c>
      <c r="S800" s="27">
        <f t="shared" si="229"/>
        <v>0.41949739097667643</v>
      </c>
      <c r="T800" s="27">
        <f t="shared" si="229"/>
        <v>0.43565935064957972</v>
      </c>
      <c r="U800" s="27">
        <f t="shared" si="229"/>
        <v>1.3730656770552265</v>
      </c>
      <c r="V800" s="27">
        <f t="shared" si="229"/>
        <v>1.3796884935069886</v>
      </c>
      <c r="W800" s="27">
        <f t="shared" si="229"/>
        <v>1.3839270796629521</v>
      </c>
      <c r="X800" s="27">
        <f t="shared" si="229"/>
        <v>1.3857805722044871</v>
      </c>
      <c r="Y800" s="27">
        <f t="shared" si="229"/>
        <v>1.3852882351123565</v>
      </c>
      <c r="Z800" s="27">
        <f t="shared" si="229"/>
        <v>1.3824264694708266</v>
      </c>
      <c r="AA800" s="27">
        <f t="shared" si="229"/>
        <v>1.3771882651473364</v>
      </c>
      <c r="AB800" s="27">
        <f t="shared" si="229"/>
        <v>1.3695779562696064</v>
      </c>
      <c r="AC800" s="27">
        <f t="shared" si="229"/>
        <v>1.3596126553947701</v>
      </c>
      <c r="AD800" s="27">
        <f t="shared" si="229"/>
        <v>1.33600285419975</v>
      </c>
      <c r="AE800" s="27">
        <f t="shared" si="229"/>
        <v>1.3101691590672178</v>
      </c>
      <c r="AF800" s="27">
        <f t="shared" si="229"/>
        <v>1.2822276459176047</v>
      </c>
      <c r="AG800" s="27">
        <f t="shared" si="229"/>
        <v>1.2523075801974097</v>
      </c>
      <c r="AH800" s="27">
        <f t="shared" si="229"/>
        <v>1.2205465760046283</v>
      </c>
      <c r="AI800" s="27">
        <f t="shared" si="229"/>
        <v>1.1870911726481781</v>
      </c>
      <c r="AJ800" s="27">
        <f t="shared" si="229"/>
        <v>-9.1659099684125458E-2</v>
      </c>
      <c r="AK800" s="27">
        <f t="shared" si="229"/>
        <v>-8.9452213438823466E-2</v>
      </c>
      <c r="AL800" s="27">
        <f t="shared" si="229"/>
        <v>-8.7268288718690495E-2</v>
      </c>
      <c r="AM800" s="27">
        <f t="shared" si="229"/>
        <v>-8.5107099964586319E-2</v>
      </c>
      <c r="AN800" s="27">
        <f t="shared" si="229"/>
        <v>-8.3391821536204336E-2</v>
      </c>
      <c r="AO800" s="27">
        <f t="shared" si="229"/>
        <v>-8.1692814399719135E-2</v>
      </c>
      <c r="AP800" s="27">
        <f t="shared" si="229"/>
        <v>-8.0008814881266738E-2</v>
      </c>
      <c r="AQ800" s="27">
        <f t="shared" si="229"/>
        <v>-7.8339405843548718E-2</v>
      </c>
      <c r="AR800" s="27">
        <f t="shared" si="229"/>
        <v>-7.6683366781164067E-2</v>
      </c>
      <c r="AS800" s="27">
        <f t="shared" si="229"/>
        <v>-7.5039502453707246E-2</v>
      </c>
      <c r="AT800" s="27">
        <f t="shared" si="229"/>
        <v>-7.3407620898571099E-2</v>
      </c>
      <c r="AU800" s="27">
        <f t="shared" si="229"/>
        <v>-7.1787822935495418E-2</v>
      </c>
      <c r="AV800" s="27">
        <f t="shared" si="229"/>
        <v>-7.0180170412069726E-2</v>
      </c>
      <c r="AW800" s="27">
        <f t="shared" si="229"/>
        <v>-6.8583739954492046E-2</v>
      </c>
      <c r="AY800" s="79"/>
      <c r="AZ800" s="79"/>
    </row>
    <row r="801" spans="1:52" x14ac:dyDescent="0.25">
      <c r="A801" s="95" t="str">
        <f t="shared" si="224"/>
        <v>BD Cattle MMN2O</v>
      </c>
      <c r="B801" s="95" t="s">
        <v>1228</v>
      </c>
      <c r="C801" s="95" t="s">
        <v>1232</v>
      </c>
      <c r="D801" t="s">
        <v>15</v>
      </c>
      <c r="E801" t="s">
        <v>657</v>
      </c>
      <c r="F801" t="s">
        <v>67</v>
      </c>
      <c r="G801" t="s">
        <v>123</v>
      </c>
      <c r="H801" t="s">
        <v>1227</v>
      </c>
      <c r="I801" t="s">
        <v>139</v>
      </c>
      <c r="J801" t="s">
        <v>287</v>
      </c>
      <c r="K801" s="27">
        <f t="shared" ref="K801:AW801" si="230">K1415</f>
        <v>0.80452586370517853</v>
      </c>
      <c r="L801" s="27">
        <f t="shared" si="230"/>
        <v>0.79754846782098077</v>
      </c>
      <c r="M801" s="27">
        <f t="shared" si="230"/>
        <v>0.79489238443144161</v>
      </c>
      <c r="N801" s="27">
        <f t="shared" si="230"/>
        <v>0.78427763712907461</v>
      </c>
      <c r="O801" s="27">
        <f t="shared" si="230"/>
        <v>0.76887007218962322</v>
      </c>
      <c r="P801" s="27">
        <f t="shared" si="230"/>
        <v>0.74898829393537247</v>
      </c>
      <c r="Q801" s="27">
        <f t="shared" si="230"/>
        <v>0.73330695394505496</v>
      </c>
      <c r="R801" s="27">
        <f t="shared" si="230"/>
        <v>0.71847062359542468</v>
      </c>
      <c r="S801" s="27">
        <f t="shared" si="230"/>
        <v>0.64254175234089539</v>
      </c>
      <c r="T801" s="27">
        <f t="shared" si="230"/>
        <v>0.66729693345254038</v>
      </c>
      <c r="U801" s="27">
        <f t="shared" si="230"/>
        <v>2.1031168374137881</v>
      </c>
      <c r="V801" s="27">
        <f t="shared" si="230"/>
        <v>2.1132609674605565</v>
      </c>
      <c r="W801" s="27">
        <f t="shared" si="230"/>
        <v>2.1197531856118057</v>
      </c>
      <c r="X801" s="27">
        <f t="shared" si="230"/>
        <v>2.1225921695273335</v>
      </c>
      <c r="Y801" s="27">
        <f t="shared" si="230"/>
        <v>2.1218380596217075</v>
      </c>
      <c r="Z801" s="27">
        <f t="shared" si="230"/>
        <v>2.1174547095707896</v>
      </c>
      <c r="AA801" s="27">
        <f t="shared" si="230"/>
        <v>2.1094313819946655</v>
      </c>
      <c r="AB801" s="27">
        <f t="shared" si="230"/>
        <v>2.0977747154519557</v>
      </c>
      <c r="AC801" s="27">
        <f t="shared" si="230"/>
        <v>2.0825109211484589</v>
      </c>
      <c r="AD801" s="27">
        <f t="shared" si="230"/>
        <v>2.0463479238126498</v>
      </c>
      <c r="AE801" s="27">
        <f t="shared" si="230"/>
        <v>2.0067786008634618</v>
      </c>
      <c r="AF801" s="27">
        <f t="shared" si="230"/>
        <v>1.9639807451237425</v>
      </c>
      <c r="AG801" s="27">
        <f t="shared" si="230"/>
        <v>1.9181523517379118</v>
      </c>
      <c r="AH801" s="27">
        <f t="shared" si="230"/>
        <v>1.8695042034320957</v>
      </c>
      <c r="AI801" s="27">
        <f t="shared" si="230"/>
        <v>1.8182607536268967</v>
      </c>
      <c r="AJ801" s="27">
        <f t="shared" si="230"/>
        <v>-0.14039371828250841</v>
      </c>
      <c r="AK801" s="27">
        <f t="shared" si="230"/>
        <v>-0.13701344325392734</v>
      </c>
      <c r="AL801" s="27">
        <f t="shared" si="230"/>
        <v>-0.13366833826200414</v>
      </c>
      <c r="AM801" s="27">
        <f t="shared" si="230"/>
        <v>-0.13035805781909493</v>
      </c>
      <c r="AN801" s="27">
        <f t="shared" si="230"/>
        <v>-0.12773077566947513</v>
      </c>
      <c r="AO801" s="27">
        <f t="shared" si="230"/>
        <v>-0.12512841616450843</v>
      </c>
      <c r="AP801" s="27">
        <f t="shared" si="230"/>
        <v>-0.12254904374217125</v>
      </c>
      <c r="AQ801" s="27">
        <f t="shared" si="230"/>
        <v>-0.11999201947565157</v>
      </c>
      <c r="AR801" s="27">
        <f t="shared" si="230"/>
        <v>-0.11745547392381339</v>
      </c>
      <c r="AS801" s="27">
        <f t="shared" si="230"/>
        <v>-0.11493757634376978</v>
      </c>
      <c r="AT801" s="27">
        <f t="shared" si="230"/>
        <v>-0.11243803270749411</v>
      </c>
      <c r="AU801" s="27">
        <f t="shared" si="230"/>
        <v>-0.10995699744000494</v>
      </c>
      <c r="AV801" s="27">
        <f t="shared" si="230"/>
        <v>-0.10749456527290084</v>
      </c>
      <c r="AW801" s="27">
        <f t="shared" si="230"/>
        <v>-0.10504932187981528</v>
      </c>
      <c r="AY801" s="79"/>
      <c r="AZ801" s="79"/>
    </row>
    <row r="802" spans="1:52" x14ac:dyDescent="0.25">
      <c r="A802" s="95" t="str">
        <f t="shared" si="224"/>
        <v>BD Cattle MMN2O</v>
      </c>
      <c r="B802" s="95" t="s">
        <v>1228</v>
      </c>
      <c r="C802" s="95" t="s">
        <v>1232</v>
      </c>
      <c r="D802" t="s">
        <v>15</v>
      </c>
      <c r="E802" t="s">
        <v>657</v>
      </c>
      <c r="F802" t="s">
        <v>67</v>
      </c>
      <c r="G802" t="s">
        <v>135</v>
      </c>
      <c r="H802" t="s">
        <v>1227</v>
      </c>
      <c r="I802" t="s">
        <v>139</v>
      </c>
      <c r="J802" t="s">
        <v>287</v>
      </c>
      <c r="K802" s="27">
        <f t="shared" ref="K802:AW802" si="231">K1416</f>
        <v>0.97926119892671493</v>
      </c>
      <c r="L802" s="27">
        <f t="shared" si="231"/>
        <v>1.0122801448609147</v>
      </c>
      <c r="M802" s="27">
        <f t="shared" si="231"/>
        <v>1.0514701788925804</v>
      </c>
      <c r="N802" s="27">
        <f t="shared" si="231"/>
        <v>1.0806972456941155</v>
      </c>
      <c r="O802" s="27">
        <f t="shared" si="231"/>
        <v>1.1032367943433714</v>
      </c>
      <c r="P802" s="27">
        <f t="shared" si="231"/>
        <v>1.1187666946803869</v>
      </c>
      <c r="Q802" s="27">
        <f t="shared" si="231"/>
        <v>1.1399714801203364</v>
      </c>
      <c r="R802" s="27">
        <f t="shared" si="231"/>
        <v>1.1622002864669057</v>
      </c>
      <c r="S802" s="27">
        <f t="shared" si="231"/>
        <v>1.0813845600959935</v>
      </c>
      <c r="T802" s="27">
        <f t="shared" si="231"/>
        <v>1.1501042489069657</v>
      </c>
      <c r="U802" s="27">
        <f t="shared" si="231"/>
        <v>3.7109100106027491</v>
      </c>
      <c r="V802" s="27">
        <f t="shared" si="231"/>
        <v>3.81628643561459</v>
      </c>
      <c r="W802" s="27">
        <f t="shared" si="231"/>
        <v>3.9167580657264067</v>
      </c>
      <c r="X802" s="27">
        <f t="shared" si="231"/>
        <v>4.0119388397207816</v>
      </c>
      <c r="Y802" s="27">
        <f t="shared" si="231"/>
        <v>4.1015489666041693</v>
      </c>
      <c r="Z802" s="27">
        <f t="shared" si="231"/>
        <v>4.185115809425092</v>
      </c>
      <c r="AA802" s="27">
        <f t="shared" si="231"/>
        <v>4.2621982223461794</v>
      </c>
      <c r="AB802" s="27">
        <f t="shared" si="231"/>
        <v>4.332374707921506</v>
      </c>
      <c r="AC802" s="27">
        <f t="shared" si="231"/>
        <v>4.3952511811697104</v>
      </c>
      <c r="AD802" s="27">
        <f t="shared" si="231"/>
        <v>4.4621545606882416</v>
      </c>
      <c r="AE802" s="27">
        <f t="shared" si="231"/>
        <v>4.5212658165225097</v>
      </c>
      <c r="AF802" s="27">
        <f t="shared" si="231"/>
        <v>4.572238941429692</v>
      </c>
      <c r="AG802" s="27">
        <f t="shared" si="231"/>
        <v>4.6147735825145579</v>
      </c>
      <c r="AH802" s="27">
        <f t="shared" si="231"/>
        <v>4.6486045920264791</v>
      </c>
      <c r="AI802" s="27">
        <f t="shared" si="231"/>
        <v>4.6735101171168392</v>
      </c>
      <c r="AJ802" s="27">
        <f t="shared" si="231"/>
        <v>-0.37307516132200708</v>
      </c>
      <c r="AK802" s="27">
        <f t="shared" si="231"/>
        <v>-0.37648970355727795</v>
      </c>
      <c r="AL802" s="27">
        <f t="shared" si="231"/>
        <v>-0.37988166723122341</v>
      </c>
      <c r="AM802" s="27">
        <f t="shared" si="231"/>
        <v>-0.38325274179247815</v>
      </c>
      <c r="AN802" s="27">
        <f t="shared" si="231"/>
        <v>-0.3861241570916577</v>
      </c>
      <c r="AO802" s="27">
        <f t="shared" si="231"/>
        <v>-0.38896686054418655</v>
      </c>
      <c r="AP802" s="27">
        <f t="shared" si="231"/>
        <v>-0.39177650128046815</v>
      </c>
      <c r="AQ802" s="27">
        <f t="shared" si="231"/>
        <v>-0.39455230658450102</v>
      </c>
      <c r="AR802" s="27">
        <f t="shared" si="231"/>
        <v>-0.39728909714720628</v>
      </c>
      <c r="AS802" s="27">
        <f t="shared" si="231"/>
        <v>-0.39998109146847105</v>
      </c>
      <c r="AT802" s="27">
        <f t="shared" si="231"/>
        <v>-0.40262723351695445</v>
      </c>
      <c r="AU802" s="27">
        <f t="shared" si="231"/>
        <v>-0.4052279233246403</v>
      </c>
      <c r="AV802" s="27">
        <f t="shared" si="231"/>
        <v>-0.40778332090512204</v>
      </c>
      <c r="AW802" s="27">
        <f t="shared" si="231"/>
        <v>-0.41028765697691083</v>
      </c>
      <c r="AY802" s="79"/>
      <c r="AZ802" s="79"/>
    </row>
    <row r="803" spans="1:52" x14ac:dyDescent="0.25">
      <c r="A803" s="95" t="str">
        <f t="shared" si="224"/>
        <v>BD Sheep MMN2O</v>
      </c>
      <c r="B803" s="95" t="s">
        <v>1228</v>
      </c>
      <c r="C803" s="95" t="s">
        <v>1328</v>
      </c>
      <c r="D803" t="s">
        <v>15</v>
      </c>
      <c r="E803" t="s">
        <v>657</v>
      </c>
      <c r="F803" t="s">
        <v>18</v>
      </c>
      <c r="G803" t="s">
        <v>122</v>
      </c>
      <c r="H803" t="s">
        <v>1227</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0.11888990250365807</v>
      </c>
      <c r="T803" s="27">
        <f t="shared" si="232"/>
        <v>0.1189690287837306</v>
      </c>
      <c r="U803" s="27">
        <f t="shared" si="232"/>
        <v>0.12051861082287679</v>
      </c>
      <c r="V803" s="27">
        <f t="shared" si="232"/>
        <v>0.1205564116673056</v>
      </c>
      <c r="W803" s="27">
        <f t="shared" si="232"/>
        <v>0.1207181038170992</v>
      </c>
      <c r="X803" s="27">
        <f t="shared" si="232"/>
        <v>0.1209518337442019</v>
      </c>
      <c r="Y803" s="27">
        <f t="shared" si="232"/>
        <v>0.12116896083678347</v>
      </c>
      <c r="Z803" s="27">
        <f t="shared" si="232"/>
        <v>0.12137217342001694</v>
      </c>
      <c r="AA803" s="27">
        <f t="shared" si="232"/>
        <v>0.1215603878714394</v>
      </c>
      <c r="AB803" s="27">
        <f t="shared" si="232"/>
        <v>0.12173530001872475</v>
      </c>
      <c r="AC803" s="27">
        <f t="shared" si="232"/>
        <v>0.12189956310100271</v>
      </c>
      <c r="AD803" s="27">
        <f t="shared" si="232"/>
        <v>0.12205302234453672</v>
      </c>
      <c r="AE803" s="27">
        <f t="shared" si="232"/>
        <v>0.12219813225383717</v>
      </c>
      <c r="AF803" s="27">
        <f t="shared" si="232"/>
        <v>0.12233524409037175</v>
      </c>
      <c r="AG803" s="27">
        <f t="shared" si="232"/>
        <v>0.12246247857835596</v>
      </c>
      <c r="AH803" s="27">
        <f t="shared" si="232"/>
        <v>0.12258099962950754</v>
      </c>
      <c r="AI803" s="27">
        <f t="shared" si="232"/>
        <v>0.1226926980528978</v>
      </c>
      <c r="AJ803" s="27">
        <f t="shared" si="232"/>
        <v>0.12000006421083369</v>
      </c>
      <c r="AK803" s="27">
        <f t="shared" si="232"/>
        <v>0.12011041514130365</v>
      </c>
      <c r="AL803" s="27">
        <f t="shared" si="232"/>
        <v>0.12021334415571779</v>
      </c>
      <c r="AM803" s="27">
        <f t="shared" si="232"/>
        <v>0.12030948030331916</v>
      </c>
      <c r="AN803" s="27">
        <f t="shared" si="232"/>
        <v>0.12039958826810335</v>
      </c>
      <c r="AO803" s="27">
        <f t="shared" si="232"/>
        <v>0.12048129784431058</v>
      </c>
      <c r="AP803" s="27">
        <f t="shared" si="232"/>
        <v>0.12055302618273207</v>
      </c>
      <c r="AQ803" s="27">
        <f t="shared" si="232"/>
        <v>0.12061454144456668</v>
      </c>
      <c r="AR803" s="27">
        <f t="shared" si="232"/>
        <v>0.12066404237348154</v>
      </c>
      <c r="AS803" s="27">
        <f t="shared" si="232"/>
        <v>0.12069957105311468</v>
      </c>
      <c r="AT803" s="27">
        <f t="shared" si="232"/>
        <v>0.12072090668873016</v>
      </c>
      <c r="AU803" s="27">
        <f t="shared" si="232"/>
        <v>0.12072835361242823</v>
      </c>
      <c r="AV803" s="27">
        <f t="shared" si="232"/>
        <v>0.12072212964886384</v>
      </c>
      <c r="AW803" s="27">
        <f t="shared" si="232"/>
        <v>0.12070039195556491</v>
      </c>
      <c r="AY803" s="79"/>
      <c r="AZ803" s="79"/>
    </row>
    <row r="804" spans="1:52" x14ac:dyDescent="0.25">
      <c r="A804" s="95" t="str">
        <f t="shared" si="224"/>
        <v>BD Sheep MMN2O</v>
      </c>
      <c r="B804" s="95" t="s">
        <v>1228</v>
      </c>
      <c r="C804" s="95" t="s">
        <v>1328</v>
      </c>
      <c r="D804" t="s">
        <v>15</v>
      </c>
      <c r="E804" t="s">
        <v>657</v>
      </c>
      <c r="F804" t="s">
        <v>18</v>
      </c>
      <c r="G804" t="s">
        <v>123</v>
      </c>
      <c r="H804" t="s">
        <v>1227</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6.3575358075834407E-2</v>
      </c>
      <c r="T804" s="27">
        <f t="shared" si="233"/>
        <v>6.3617670177054816E-2</v>
      </c>
      <c r="U804" s="27">
        <f t="shared" si="233"/>
        <v>6.4446295913404186E-2</v>
      </c>
      <c r="V804" s="27">
        <f t="shared" si="233"/>
        <v>6.4466509591517507E-2</v>
      </c>
      <c r="W804" s="27">
        <f t="shared" si="233"/>
        <v>6.4552973085091836E-2</v>
      </c>
      <c r="X804" s="27">
        <f t="shared" si="233"/>
        <v>6.4677958163687016E-2</v>
      </c>
      <c r="Y804" s="27">
        <f t="shared" si="233"/>
        <v>6.479406501858509E-2</v>
      </c>
      <c r="Z804" s="27">
        <f t="shared" si="233"/>
        <v>6.4902731208669517E-2</v>
      </c>
      <c r="AA804" s="27">
        <f t="shared" si="233"/>
        <v>6.500337727610038E-2</v>
      </c>
      <c r="AB804" s="27">
        <f t="shared" si="233"/>
        <v>6.5096910050215798E-2</v>
      </c>
      <c r="AC804" s="27">
        <f t="shared" si="233"/>
        <v>6.518474832793783E-2</v>
      </c>
      <c r="AD804" s="27">
        <f t="shared" si="233"/>
        <v>6.5266809345335172E-2</v>
      </c>
      <c r="AE804" s="27">
        <f t="shared" si="233"/>
        <v>6.5344405627692656E-2</v>
      </c>
      <c r="AF804" s="27">
        <f t="shared" si="233"/>
        <v>6.5417725009074529E-2</v>
      </c>
      <c r="AG804" s="27">
        <f t="shared" si="233"/>
        <v>6.5485762562835198E-2</v>
      </c>
      <c r="AH804" s="27">
        <f t="shared" si="233"/>
        <v>6.5549140680806597E-2</v>
      </c>
      <c r="AI804" s="27">
        <f t="shared" si="233"/>
        <v>6.560887045696083E-2</v>
      </c>
      <c r="AJ804" s="27">
        <f t="shared" si="233"/>
        <v>6.4169007549586779E-2</v>
      </c>
      <c r="AK804" s="27">
        <f t="shared" si="233"/>
        <v>6.42280167654318E-2</v>
      </c>
      <c r="AL804" s="27">
        <f t="shared" si="233"/>
        <v>6.4283057175171951E-2</v>
      </c>
      <c r="AM804" s="27">
        <f t="shared" si="233"/>
        <v>6.4334465157507542E-2</v>
      </c>
      <c r="AN804" s="27">
        <f t="shared" si="233"/>
        <v>6.4382649620662147E-2</v>
      </c>
      <c r="AO804" s="27">
        <f t="shared" si="233"/>
        <v>6.4426343117386445E-2</v>
      </c>
      <c r="AP804" s="27">
        <f t="shared" si="233"/>
        <v>6.4464699232609876E-2</v>
      </c>
      <c r="AQ804" s="27">
        <f t="shared" si="233"/>
        <v>6.4497593992517213E-2</v>
      </c>
      <c r="AR804" s="27">
        <f t="shared" si="233"/>
        <v>6.452406419069702E-2</v>
      </c>
      <c r="AS804" s="27">
        <f t="shared" si="233"/>
        <v>6.4543062848127733E-2</v>
      </c>
      <c r="AT804" s="27">
        <f t="shared" si="233"/>
        <v>6.4554471896713567E-2</v>
      </c>
      <c r="AU804" s="27">
        <f t="shared" si="233"/>
        <v>6.4558454075441099E-2</v>
      </c>
      <c r="AV804" s="27">
        <f t="shared" si="233"/>
        <v>6.4555125864180746E-2</v>
      </c>
      <c r="AW804" s="27">
        <f t="shared" si="233"/>
        <v>6.4543501818688898E-2</v>
      </c>
      <c r="AY804" s="79"/>
      <c r="AZ804" s="79"/>
    </row>
    <row r="805" spans="1:52" x14ac:dyDescent="0.25">
      <c r="A805" s="95" t="str">
        <f t="shared" si="224"/>
        <v>BD Goats MMN2O</v>
      </c>
      <c r="B805" s="95" t="s">
        <v>1228</v>
      </c>
      <c r="C805" s="95" t="s">
        <v>1329</v>
      </c>
      <c r="D805" t="s">
        <v>15</v>
      </c>
      <c r="E805" t="s">
        <v>657</v>
      </c>
      <c r="F805" t="s">
        <v>19</v>
      </c>
      <c r="G805" t="s">
        <v>122</v>
      </c>
      <c r="H805" t="s">
        <v>1227</v>
      </c>
      <c r="I805" t="s">
        <v>139</v>
      </c>
      <c r="J805" t="s">
        <v>287</v>
      </c>
      <c r="K805" s="27">
        <f t="shared" ref="K805:AW805" si="234">K1419</f>
        <v>1.4486129996083084E-2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1.4890706011157261E-2</v>
      </c>
      <c r="R805" s="27">
        <f t="shared" si="234"/>
        <v>1.4988675221399694E-2</v>
      </c>
      <c r="S805" s="27">
        <f t="shared" si="234"/>
        <v>1.4952125307683931E-2</v>
      </c>
      <c r="T805" s="27">
        <f t="shared" si="234"/>
        <v>1.497659485650934E-2</v>
      </c>
      <c r="U805" s="27">
        <f t="shared" si="234"/>
        <v>1.5280249217669807E-2</v>
      </c>
      <c r="V805" s="27">
        <f t="shared" si="234"/>
        <v>1.5293967954982137E-2</v>
      </c>
      <c r="W805" s="27">
        <f t="shared" si="234"/>
        <v>1.5330288500558316E-2</v>
      </c>
      <c r="X805" s="27">
        <f t="shared" si="234"/>
        <v>1.5379307775042967E-2</v>
      </c>
      <c r="Y805" s="27">
        <f t="shared" si="234"/>
        <v>1.5424265287422665E-2</v>
      </c>
      <c r="Z805" s="27">
        <f t="shared" si="234"/>
        <v>1.5465755297522263E-2</v>
      </c>
      <c r="AA805" s="27">
        <f t="shared" si="234"/>
        <v>1.5503650543984475E-2</v>
      </c>
      <c r="AB805" s="27">
        <f t="shared" si="234"/>
        <v>1.5538340165319426E-2</v>
      </c>
      <c r="AC805" s="27">
        <f t="shared" si="234"/>
        <v>1.5570383853796523E-2</v>
      </c>
      <c r="AD805" s="27">
        <f t="shared" si="234"/>
        <v>1.5599807426957595E-2</v>
      </c>
      <c r="AE805" s="27">
        <f t="shared" si="234"/>
        <v>1.5627118939580072E-2</v>
      </c>
      <c r="AF805" s="27">
        <f t="shared" si="234"/>
        <v>1.5652427506297684E-2</v>
      </c>
      <c r="AG805" s="27">
        <f t="shared" si="234"/>
        <v>1.5675424120776597E-2</v>
      </c>
      <c r="AH805" s="27">
        <f t="shared" si="234"/>
        <v>1.5696363462061685E-2</v>
      </c>
      <c r="AI805" s="27">
        <f t="shared" si="234"/>
        <v>1.5715630256505467E-2</v>
      </c>
      <c r="AJ805" s="27">
        <f t="shared" si="234"/>
        <v>1.5216731234132433E-2</v>
      </c>
      <c r="AK805" s="27">
        <f t="shared" si="234"/>
        <v>1.5235961154748286E-2</v>
      </c>
      <c r="AL805" s="27">
        <f t="shared" si="234"/>
        <v>1.5253469736089939E-2</v>
      </c>
      <c r="AM805" s="27">
        <f t="shared" si="234"/>
        <v>1.5269398678749371E-2</v>
      </c>
      <c r="AN805" s="27">
        <f t="shared" si="234"/>
        <v>1.5283912082079585E-2</v>
      </c>
      <c r="AO805" s="27">
        <f t="shared" si="234"/>
        <v>1.5296597939016455E-2</v>
      </c>
      <c r="AP805" s="27">
        <f t="shared" si="234"/>
        <v>1.530718972818932E-2</v>
      </c>
      <c r="AQ805" s="27">
        <f t="shared" si="234"/>
        <v>1.5315667991874672E-2</v>
      </c>
      <c r="AR805" s="27">
        <f t="shared" si="234"/>
        <v>1.5321726619352006E-2</v>
      </c>
      <c r="AS805" s="27">
        <f t="shared" si="234"/>
        <v>1.5325032079315765E-2</v>
      </c>
      <c r="AT805" s="27">
        <f t="shared" si="234"/>
        <v>1.5325567315367106E-2</v>
      </c>
      <c r="AU805" s="27">
        <f t="shared" si="234"/>
        <v>1.5323409630922659E-2</v>
      </c>
      <c r="AV805" s="27">
        <f t="shared" si="234"/>
        <v>1.5318619367085746E-2</v>
      </c>
      <c r="AW805" s="27">
        <f t="shared" si="234"/>
        <v>1.5310883587655623E-2</v>
      </c>
      <c r="AY805" s="79"/>
      <c r="AZ805" s="79"/>
    </row>
    <row r="806" spans="1:52" x14ac:dyDescent="0.25">
      <c r="A806" s="95" t="str">
        <f t="shared" si="224"/>
        <v>BD Goats MMN2O</v>
      </c>
      <c r="B806" s="95" t="s">
        <v>1228</v>
      </c>
      <c r="C806" s="95" t="s">
        <v>1329</v>
      </c>
      <c r="D806" t="s">
        <v>15</v>
      </c>
      <c r="E806" t="s">
        <v>657</v>
      </c>
      <c r="F806" t="s">
        <v>19</v>
      </c>
      <c r="G806" t="s">
        <v>123</v>
      </c>
      <c r="H806" t="s">
        <v>1227</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0.11664735601685972</v>
      </c>
      <c r="P806" s="27">
        <f t="shared" si="235"/>
        <v>0.11732381389682567</v>
      </c>
      <c r="Q806" s="27">
        <f t="shared" si="235"/>
        <v>0.11805182815822728</v>
      </c>
      <c r="R806" s="27">
        <f t="shared" si="235"/>
        <v>0.11882851694408277</v>
      </c>
      <c r="S806" s="27">
        <f t="shared" si="235"/>
        <v>0.11853875337411246</v>
      </c>
      <c r="T806" s="27">
        <f t="shared" si="235"/>
        <v>0.11873274518154472</v>
      </c>
      <c r="U806" s="27">
        <f t="shared" si="235"/>
        <v>0.12114008251238399</v>
      </c>
      <c r="V806" s="27">
        <f t="shared" si="235"/>
        <v>0.12124884310563787</v>
      </c>
      <c r="W806" s="27">
        <f t="shared" si="235"/>
        <v>0.12153678827101554</v>
      </c>
      <c r="X806" s="27">
        <f t="shared" si="235"/>
        <v>0.12192540751872388</v>
      </c>
      <c r="Y806" s="27">
        <f t="shared" si="235"/>
        <v>0.12228182557720234</v>
      </c>
      <c r="Z806" s="27">
        <f t="shared" si="235"/>
        <v>0.12261075367093349</v>
      </c>
      <c r="AA806" s="27">
        <f t="shared" si="235"/>
        <v>0.12291118288631245</v>
      </c>
      <c r="AB806" s="27">
        <f t="shared" si="235"/>
        <v>0.12318619826930632</v>
      </c>
      <c r="AC806" s="27">
        <f t="shared" si="235"/>
        <v>0.12344023699673938</v>
      </c>
      <c r="AD806" s="27">
        <f t="shared" si="235"/>
        <v>0.12367350374715462</v>
      </c>
      <c r="AE806" s="27">
        <f t="shared" si="235"/>
        <v>0.12389002632119744</v>
      </c>
      <c r="AF806" s="27">
        <f t="shared" si="235"/>
        <v>0.12409066976730669</v>
      </c>
      <c r="AG806" s="27">
        <f t="shared" si="235"/>
        <v>0.12427298431831933</v>
      </c>
      <c r="AH806" s="27">
        <f t="shared" si="235"/>
        <v>0.12443898904081413</v>
      </c>
      <c r="AI806" s="27">
        <f t="shared" si="235"/>
        <v>0.12459173400167312</v>
      </c>
      <c r="AJ806" s="27">
        <f t="shared" si="235"/>
        <v>0.12063651914393841</v>
      </c>
      <c r="AK806" s="27">
        <f t="shared" si="235"/>
        <v>0.12078897177327232</v>
      </c>
      <c r="AL806" s="27">
        <f t="shared" si="235"/>
        <v>0.12092777782009714</v>
      </c>
      <c r="AM806" s="27">
        <f t="shared" si="235"/>
        <v>0.12105406067063253</v>
      </c>
      <c r="AN806" s="27">
        <f t="shared" si="235"/>
        <v>0.12116912128593484</v>
      </c>
      <c r="AO806" s="27">
        <f t="shared" si="235"/>
        <v>0.12126969332073484</v>
      </c>
      <c r="AP806" s="27">
        <f t="shared" si="235"/>
        <v>0.12135366382383837</v>
      </c>
      <c r="AQ806" s="27">
        <f t="shared" si="235"/>
        <v>0.12142087853662052</v>
      </c>
      <c r="AR806" s="27">
        <f t="shared" si="235"/>
        <v>0.12146891064801223</v>
      </c>
      <c r="AS806" s="27">
        <f t="shared" si="235"/>
        <v>0.12149511595965648</v>
      </c>
      <c r="AT806" s="27">
        <f t="shared" si="235"/>
        <v>0.12149935925035804</v>
      </c>
      <c r="AU806" s="27">
        <f t="shared" si="235"/>
        <v>0.12148225337283523</v>
      </c>
      <c r="AV806" s="27">
        <f t="shared" si="235"/>
        <v>0.12144427670451041</v>
      </c>
      <c r="AW806" s="27">
        <f t="shared" si="235"/>
        <v>0.12138294832268144</v>
      </c>
      <c r="AY806" s="79"/>
      <c r="AZ806" s="79"/>
    </row>
    <row r="807" spans="1:52" x14ac:dyDescent="0.25">
      <c r="A807" s="95" t="str">
        <f t="shared" si="224"/>
        <v>BD Horses MMN2O</v>
      </c>
      <c r="B807" s="95" t="s">
        <v>1228</v>
      </c>
      <c r="C807" s="95" t="s">
        <v>1330</v>
      </c>
      <c r="D807" t="s">
        <v>15</v>
      </c>
      <c r="E807" t="s">
        <v>657</v>
      </c>
      <c r="F807" t="s">
        <v>20</v>
      </c>
      <c r="G807" t="s">
        <v>3</v>
      </c>
      <c r="H807" t="s">
        <v>1227</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25">
      <c r="A808" s="95" t="str">
        <f t="shared" si="224"/>
        <v>BD Mules MMN2O</v>
      </c>
      <c r="B808" s="95" t="s">
        <v>1228</v>
      </c>
      <c r="C808" s="95" t="s">
        <v>1331</v>
      </c>
      <c r="D808" t="s">
        <v>15</v>
      </c>
      <c r="E808" t="s">
        <v>657</v>
      </c>
      <c r="F808" t="s">
        <v>140</v>
      </c>
      <c r="G808" t="s">
        <v>124</v>
      </c>
      <c r="H808" t="s">
        <v>1227</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25">
      <c r="A809" s="95" t="str">
        <f t="shared" si="224"/>
        <v>BD Swine MMN2O</v>
      </c>
      <c r="B809" s="95" t="s">
        <v>1228</v>
      </c>
      <c r="C809" s="95" t="s">
        <v>1233</v>
      </c>
      <c r="D809" t="s">
        <v>15</v>
      </c>
      <c r="E809" t="s">
        <v>657</v>
      </c>
      <c r="F809" t="s">
        <v>21</v>
      </c>
      <c r="G809" t="s">
        <v>122</v>
      </c>
      <c r="H809" t="s">
        <v>1227</v>
      </c>
      <c r="I809" t="s">
        <v>139</v>
      </c>
      <c r="J809" t="s">
        <v>287</v>
      </c>
      <c r="K809" s="27">
        <f t="shared" ref="K809:AW809" si="238">K1423</f>
        <v>9.7466979224281824E-2</v>
      </c>
      <c r="L809" s="27">
        <f t="shared" si="238"/>
        <v>9.6937181363551519E-2</v>
      </c>
      <c r="M809" s="27">
        <f t="shared" si="238"/>
        <v>9.6980665528366608E-2</v>
      </c>
      <c r="N809" s="27">
        <f t="shared" si="238"/>
        <v>9.6090308702663593E-2</v>
      </c>
      <c r="O809" s="27">
        <f t="shared" si="238"/>
        <v>9.4636150647850484E-2</v>
      </c>
      <c r="P809" s="27">
        <f t="shared" si="238"/>
        <v>9.2641437622218339E-2</v>
      </c>
      <c r="Q809" s="27">
        <f t="shared" si="238"/>
        <v>9.1193054757597189E-2</v>
      </c>
      <c r="R809" s="27">
        <f t="shared" si="238"/>
        <v>8.9872834352323558E-2</v>
      </c>
      <c r="S809" s="27">
        <f t="shared" si="238"/>
        <v>8.0860772779409465E-2</v>
      </c>
      <c r="T809" s="27">
        <f t="shared" si="238"/>
        <v>8.3748164551472229E-2</v>
      </c>
      <c r="U809" s="27">
        <f t="shared" si="238"/>
        <v>0.26770254430249885</v>
      </c>
      <c r="V809" s="27">
        <f t="shared" si="238"/>
        <v>0.26843638329557273</v>
      </c>
      <c r="W809" s="27">
        <f t="shared" si="238"/>
        <v>0.26870741156063732</v>
      </c>
      <c r="X809" s="27">
        <f t="shared" si="238"/>
        <v>0.26852785801231227</v>
      </c>
      <c r="Y809" s="27">
        <f t="shared" si="238"/>
        <v>0.26792481068861962</v>
      </c>
      <c r="Z809" s="27">
        <f t="shared" si="238"/>
        <v>0.26689273021889548</v>
      </c>
      <c r="AA809" s="27">
        <f t="shared" si="238"/>
        <v>0.26543013343256128</v>
      </c>
      <c r="AB809" s="27">
        <f t="shared" si="238"/>
        <v>0.26353715747778594</v>
      </c>
      <c r="AC809" s="27">
        <f t="shared" si="238"/>
        <v>0.26121623026966229</v>
      </c>
      <c r="AD809" s="27">
        <f t="shared" si="238"/>
        <v>0.25847332541622875</v>
      </c>
      <c r="AE809" s="27">
        <f t="shared" si="238"/>
        <v>0.25531599764072704</v>
      </c>
      <c r="AF809" s="27">
        <f t="shared" si="238"/>
        <v>0.25175492240639524</v>
      </c>
      <c r="AG809" s="27">
        <f t="shared" si="238"/>
        <v>0.2478037797344021</v>
      </c>
      <c r="AH809" s="27">
        <f t="shared" si="238"/>
        <v>0.24347738783336567</v>
      </c>
      <c r="AI809" s="27">
        <f t="shared" si="238"/>
        <v>0.23879237534138331</v>
      </c>
      <c r="AJ809" s="27">
        <f t="shared" si="238"/>
        <v>-2.2251219051901461E-2</v>
      </c>
      <c r="AK809" s="27">
        <f t="shared" si="238"/>
        <v>-2.2010329292297307E-2</v>
      </c>
      <c r="AL809" s="27">
        <f t="shared" si="238"/>
        <v>-2.1768586076349947E-2</v>
      </c>
      <c r="AM809" s="27">
        <f t="shared" si="238"/>
        <v>-2.1526240200831197E-2</v>
      </c>
      <c r="AN809" s="27">
        <f t="shared" si="238"/>
        <v>-2.1283568844564598E-2</v>
      </c>
      <c r="AO809" s="27">
        <f t="shared" si="238"/>
        <v>-2.1039928732674035E-2</v>
      </c>
      <c r="AP809" s="27">
        <f t="shared" si="238"/>
        <v>-2.0794940089199746E-2</v>
      </c>
      <c r="AQ809" s="27">
        <f t="shared" si="238"/>
        <v>-2.054862658012397E-2</v>
      </c>
      <c r="AR809" s="27">
        <f t="shared" si="238"/>
        <v>-2.0300580022227385E-2</v>
      </c>
      <c r="AS809" s="27">
        <f t="shared" si="238"/>
        <v>-2.0050376976853562E-2</v>
      </c>
      <c r="AT809" s="27">
        <f t="shared" si="238"/>
        <v>-1.9798088456072588E-2</v>
      </c>
      <c r="AU809" s="27">
        <f t="shared" si="238"/>
        <v>-1.9543924397373666E-2</v>
      </c>
      <c r="AV809" s="27">
        <f t="shared" si="238"/>
        <v>-1.9288064378450123E-2</v>
      </c>
      <c r="AW809" s="27">
        <f t="shared" si="238"/>
        <v>-1.9030154173993289E-2</v>
      </c>
      <c r="AY809" s="79"/>
      <c r="AZ809" s="79"/>
    </row>
    <row r="810" spans="1:52" x14ac:dyDescent="0.25">
      <c r="A810" s="95" t="str">
        <f t="shared" si="224"/>
        <v>BD Swine MMN2O</v>
      </c>
      <c r="B810" s="95" t="s">
        <v>1228</v>
      </c>
      <c r="C810" s="95" t="s">
        <v>1233</v>
      </c>
      <c r="D810" t="s">
        <v>15</v>
      </c>
      <c r="E810" t="s">
        <v>657</v>
      </c>
      <c r="F810" t="s">
        <v>21</v>
      </c>
      <c r="G810" t="s">
        <v>123</v>
      </c>
      <c r="H810" t="s">
        <v>1227</v>
      </c>
      <c r="I810" t="s">
        <v>139</v>
      </c>
      <c r="J810" t="s">
        <v>287</v>
      </c>
      <c r="K810" s="27">
        <f t="shared" ref="K810:AW810" si="239">K1424</f>
        <v>3.8131055665722169E-2</v>
      </c>
      <c r="L810" s="27">
        <f t="shared" si="239"/>
        <v>3.7923788015899962E-2</v>
      </c>
      <c r="M810" s="27">
        <f t="shared" si="239"/>
        <v>3.7940799901590251E-2</v>
      </c>
      <c r="N810" s="27">
        <f t="shared" si="239"/>
        <v>3.759247428451009E-2</v>
      </c>
      <c r="O810" s="27">
        <f t="shared" si="239"/>
        <v>3.7023578211438569E-2</v>
      </c>
      <c r="P810" s="27">
        <f t="shared" si="239"/>
        <v>3.6243206089281214E-2</v>
      </c>
      <c r="Q810" s="27">
        <f t="shared" si="239"/>
        <v>3.567656938754183E-2</v>
      </c>
      <c r="R810" s="27">
        <f t="shared" si="239"/>
        <v>3.5160072434777256E-2</v>
      </c>
      <c r="S810" s="27">
        <f t="shared" si="239"/>
        <v>3.1634371482160743E-2</v>
      </c>
      <c r="T810" s="27">
        <f t="shared" si="239"/>
        <v>3.2763977603798337E-2</v>
      </c>
      <c r="U810" s="27">
        <f t="shared" si="239"/>
        <v>0.10473065544757326</v>
      </c>
      <c r="V810" s="27">
        <f t="shared" si="239"/>
        <v>0.10501774811954566</v>
      </c>
      <c r="W810" s="27">
        <f t="shared" si="239"/>
        <v>0.10512377986429053</v>
      </c>
      <c r="X810" s="27">
        <f t="shared" si="239"/>
        <v>0.10505353488080327</v>
      </c>
      <c r="Y810" s="27">
        <f t="shared" si="239"/>
        <v>0.10481761055800391</v>
      </c>
      <c r="Z810" s="27">
        <f t="shared" si="239"/>
        <v>0.10441383978193423</v>
      </c>
      <c r="AA810" s="27">
        <f t="shared" si="239"/>
        <v>0.10384164230623445</v>
      </c>
      <c r="AB810" s="27">
        <f t="shared" si="239"/>
        <v>0.10310107178604509</v>
      </c>
      <c r="AC810" s="27">
        <f t="shared" si="239"/>
        <v>0.10219307807090795</v>
      </c>
      <c r="AD810" s="27">
        <f t="shared" si="239"/>
        <v>0.10111999815723396</v>
      </c>
      <c r="AE810" s="27">
        <f t="shared" si="239"/>
        <v>9.9884787605714245E-2</v>
      </c>
      <c r="AF810" s="27">
        <f t="shared" si="239"/>
        <v>9.8491622873711313E-2</v>
      </c>
      <c r="AG810" s="27">
        <f t="shared" si="239"/>
        <v>9.6945855862482944E-2</v>
      </c>
      <c r="AH810" s="27">
        <f t="shared" si="239"/>
        <v>9.5253283755261486E-2</v>
      </c>
      <c r="AI810" s="27">
        <f t="shared" si="239"/>
        <v>9.3420412011947257E-2</v>
      </c>
      <c r="AJ810" s="27">
        <f t="shared" si="239"/>
        <v>-8.7051274087999644E-3</v>
      </c>
      <c r="AK810" s="27">
        <f t="shared" si="239"/>
        <v>-8.6108864575991286E-3</v>
      </c>
      <c r="AL810" s="27">
        <f t="shared" si="239"/>
        <v>-8.5163116169970788E-3</v>
      </c>
      <c r="AM810" s="27">
        <f t="shared" si="239"/>
        <v>-8.4215010037687853E-3</v>
      </c>
      <c r="AN810" s="27">
        <f t="shared" si="239"/>
        <v>-8.3265630558819938E-3</v>
      </c>
      <c r="AO810" s="27">
        <f t="shared" si="239"/>
        <v>-8.2312461111809163E-3</v>
      </c>
      <c r="AP810" s="27">
        <f t="shared" si="239"/>
        <v>-8.135401593620856E-3</v>
      </c>
      <c r="AQ810" s="27">
        <f t="shared" si="239"/>
        <v>-8.0390387618132202E-3</v>
      </c>
      <c r="AR810" s="27">
        <f t="shared" si="239"/>
        <v>-7.9419979262182108E-3</v>
      </c>
      <c r="AS810" s="27">
        <f t="shared" si="239"/>
        <v>-7.8441134290601709E-3</v>
      </c>
      <c r="AT810" s="27">
        <f t="shared" si="239"/>
        <v>-7.7454130516986675E-3</v>
      </c>
      <c r="AU810" s="27">
        <f t="shared" si="239"/>
        <v>-7.6459789259300508E-3</v>
      </c>
      <c r="AV810" s="27">
        <f t="shared" si="239"/>
        <v>-7.5458813061838152E-3</v>
      </c>
      <c r="AW810" s="27">
        <f t="shared" si="239"/>
        <v>-7.444981612347289E-3</v>
      </c>
      <c r="AY810" s="79"/>
      <c r="AZ810" s="79"/>
    </row>
    <row r="811" spans="1:52" x14ac:dyDescent="0.25">
      <c r="A811" s="95" t="str">
        <f t="shared" si="224"/>
        <v>BD Poultry MMN2O</v>
      </c>
      <c r="B811" s="95" t="s">
        <v>1228</v>
      </c>
      <c r="C811" s="95" t="s">
        <v>1234</v>
      </c>
      <c r="D811" t="s">
        <v>15</v>
      </c>
      <c r="E811" t="s">
        <v>657</v>
      </c>
      <c r="F811" t="s">
        <v>28</v>
      </c>
      <c r="G811" t="s">
        <v>131</v>
      </c>
      <c r="H811" t="s">
        <v>1227</v>
      </c>
      <c r="I811" t="s">
        <v>139</v>
      </c>
      <c r="J811" t="s">
        <v>287</v>
      </c>
      <c r="K811" s="27">
        <f t="shared" ref="K811:AW811" si="240">K1425</f>
        <v>0.3278422472608899</v>
      </c>
      <c r="L811" s="27">
        <f t="shared" si="240"/>
        <v>0.33450793008613738</v>
      </c>
      <c r="M811" s="27">
        <f t="shared" si="240"/>
        <v>0.34229948156355033</v>
      </c>
      <c r="N811" s="27">
        <f t="shared" si="240"/>
        <v>0.34828124731402305</v>
      </c>
      <c r="O811" s="27">
        <f t="shared" si="240"/>
        <v>0.35308310351311478</v>
      </c>
      <c r="P811" s="27">
        <f t="shared" si="240"/>
        <v>0.35667649320457162</v>
      </c>
      <c r="Q811" s="27">
        <f t="shared" si="240"/>
        <v>0.36128421068096001</v>
      </c>
      <c r="R811" s="27">
        <f t="shared" si="240"/>
        <v>0.36607496135357975</v>
      </c>
      <c r="S811" s="27">
        <f t="shared" si="240"/>
        <v>0.35164354142672727</v>
      </c>
      <c r="T811" s="27">
        <f t="shared" si="240"/>
        <v>0.36454239171647873</v>
      </c>
      <c r="U811" s="27">
        <f t="shared" si="240"/>
        <v>0.81017234402499216</v>
      </c>
      <c r="V811" s="27">
        <f t="shared" si="240"/>
        <v>0.82798351635276735</v>
      </c>
      <c r="W811" s="27">
        <f t="shared" si="240"/>
        <v>0.84506426194084328</v>
      </c>
      <c r="X811" s="27">
        <f t="shared" si="240"/>
        <v>0.86126373168327053</v>
      </c>
      <c r="Y811" s="27">
        <f t="shared" si="240"/>
        <v>0.8763773651993314</v>
      </c>
      <c r="Z811" s="27">
        <f t="shared" si="240"/>
        <v>0.89033910907341196</v>
      </c>
      <c r="AA811" s="27">
        <f t="shared" si="240"/>
        <v>0.90308174157394194</v>
      </c>
      <c r="AB811" s="27">
        <f t="shared" si="240"/>
        <v>0.91454727526335933</v>
      </c>
      <c r="AC811" s="27">
        <f t="shared" si="240"/>
        <v>0.92468482420589437</v>
      </c>
      <c r="AD811" s="27">
        <f t="shared" si="240"/>
        <v>0.93344536277323964</v>
      </c>
      <c r="AE811" s="27">
        <f t="shared" si="240"/>
        <v>0.94079043302909848</v>
      </c>
      <c r="AF811" s="27">
        <f t="shared" si="240"/>
        <v>0.94668534064993604</v>
      </c>
      <c r="AG811" s="27">
        <f t="shared" si="240"/>
        <v>0.95109922865749519</v>
      </c>
      <c r="AH811" s="27">
        <f t="shared" si="240"/>
        <v>0.95401351999914974</v>
      </c>
      <c r="AI811" s="27">
        <f t="shared" si="240"/>
        <v>0.95541860028387315</v>
      </c>
      <c r="AJ811" s="27">
        <f t="shared" si="240"/>
        <v>0.12455157965260578</v>
      </c>
      <c r="AK811" s="27">
        <f t="shared" si="240"/>
        <v>0.12546570662729262</v>
      </c>
      <c r="AL811" s="27">
        <f t="shared" si="240"/>
        <v>0.12635717357285206</v>
      </c>
      <c r="AM811" s="27">
        <f t="shared" si="240"/>
        <v>0.12722732342881915</v>
      </c>
      <c r="AN811" s="27">
        <f t="shared" si="240"/>
        <v>0.12807770428267184</v>
      </c>
      <c r="AO811" s="27">
        <f t="shared" si="240"/>
        <v>0.12890482942711159</v>
      </c>
      <c r="AP811" s="27">
        <f t="shared" si="240"/>
        <v>0.12970640273413572</v>
      </c>
      <c r="AQ811" s="27">
        <f t="shared" si="240"/>
        <v>0.13048225510266878</v>
      </c>
      <c r="AR811" s="27">
        <f t="shared" si="240"/>
        <v>0.13122965143314799</v>
      </c>
      <c r="AS811" s="27">
        <f t="shared" si="240"/>
        <v>0.13194554686006624</v>
      </c>
      <c r="AT811" s="27">
        <f t="shared" si="240"/>
        <v>0.1326296750998292</v>
      </c>
      <c r="AU811" s="27">
        <f t="shared" si="240"/>
        <v>0.13328261317396048</v>
      </c>
      <c r="AV811" s="27">
        <f t="shared" si="240"/>
        <v>0.1339047918740231</v>
      </c>
      <c r="AW811" s="27">
        <f t="shared" si="240"/>
        <v>0.13449324202045793</v>
      </c>
      <c r="AY811" s="79"/>
      <c r="AZ811" s="79"/>
    </row>
    <row r="812" spans="1:52" x14ac:dyDescent="0.25">
      <c r="A812" s="95" t="str">
        <f t="shared" si="224"/>
        <v>BD Poultry MMN2O</v>
      </c>
      <c r="B812" s="95" t="s">
        <v>1228</v>
      </c>
      <c r="C812" s="95" t="s">
        <v>1234</v>
      </c>
      <c r="D812" t="s">
        <v>15</v>
      </c>
      <c r="E812" t="s">
        <v>657</v>
      </c>
      <c r="F812" t="s">
        <v>28</v>
      </c>
      <c r="G812" t="s">
        <v>132</v>
      </c>
      <c r="H812" t="s">
        <v>1227</v>
      </c>
      <c r="I812" t="s">
        <v>139</v>
      </c>
      <c r="J812" t="s">
        <v>287</v>
      </c>
      <c r="K812" s="27">
        <f t="shared" ref="K812:AW812" si="241">K1426</f>
        <v>1.7017151675634967</v>
      </c>
      <c r="L812" s="27">
        <f t="shared" si="241"/>
        <v>1.724123714732765</v>
      </c>
      <c r="M812" s="27">
        <f t="shared" si="241"/>
        <v>1.7601182693498119</v>
      </c>
      <c r="N812" s="27">
        <f t="shared" si="241"/>
        <v>1.7704533576020518</v>
      </c>
      <c r="O812" s="27">
        <f t="shared" si="241"/>
        <v>1.7641159598844758</v>
      </c>
      <c r="P812" s="27">
        <f t="shared" si="241"/>
        <v>1.741173502214217</v>
      </c>
      <c r="Q812" s="27">
        <f t="shared" si="241"/>
        <v>1.7315152516158581</v>
      </c>
      <c r="R812" s="27">
        <f t="shared" si="241"/>
        <v>1.7240481490859689</v>
      </c>
      <c r="S812" s="27">
        <f t="shared" si="241"/>
        <v>1.5035639635767468</v>
      </c>
      <c r="T812" s="27">
        <f t="shared" si="241"/>
        <v>1.6173540495561818</v>
      </c>
      <c r="U812" s="27">
        <f t="shared" si="241"/>
        <v>7.0326605429040603</v>
      </c>
      <c r="V812" s="27">
        <f t="shared" si="241"/>
        <v>7.1587444728308389</v>
      </c>
      <c r="W812" s="27">
        <f t="shared" si="241"/>
        <v>7.2707564931151909</v>
      </c>
      <c r="X812" s="27">
        <f t="shared" si="241"/>
        <v>7.3691748844835665</v>
      </c>
      <c r="Y812" s="27">
        <f t="shared" si="241"/>
        <v>7.4553371690594963</v>
      </c>
      <c r="Z812" s="27">
        <f t="shared" si="241"/>
        <v>7.5285970501173791</v>
      </c>
      <c r="AA812" s="27">
        <f t="shared" si="241"/>
        <v>7.5884583464710351</v>
      </c>
      <c r="AB812" s="27">
        <f t="shared" si="241"/>
        <v>7.6344333579538368</v>
      </c>
      <c r="AC812" s="27">
        <f t="shared" si="241"/>
        <v>7.6660871188162911</v>
      </c>
      <c r="AD812" s="27">
        <f t="shared" si="241"/>
        <v>7.6831230278292386</v>
      </c>
      <c r="AE812" s="27">
        <f t="shared" si="241"/>
        <v>7.6852660983393646</v>
      </c>
      <c r="AF812" s="27">
        <f t="shared" si="241"/>
        <v>7.6723681593235442</v>
      </c>
      <c r="AG812" s="27">
        <f t="shared" si="241"/>
        <v>7.6444112062228218</v>
      </c>
      <c r="AH812" s="27">
        <f t="shared" si="241"/>
        <v>7.601393060420655</v>
      </c>
      <c r="AI812" s="27">
        <f t="shared" si="241"/>
        <v>7.5433781605278138</v>
      </c>
      <c r="AJ812" s="27">
        <f t="shared" si="241"/>
        <v>-1.6108210655566082</v>
      </c>
      <c r="AK812" s="27">
        <f t="shared" si="241"/>
        <v>-1.613100635371139</v>
      </c>
      <c r="AL812" s="27">
        <f t="shared" si="241"/>
        <v>-1.6151647470887973</v>
      </c>
      <c r="AM812" s="27">
        <f t="shared" si="241"/>
        <v>-1.6170309534265412</v>
      </c>
      <c r="AN812" s="27">
        <f t="shared" si="241"/>
        <v>-1.6187193219312461</v>
      </c>
      <c r="AO812" s="27">
        <f t="shared" si="241"/>
        <v>-1.6201827321446018</v>
      </c>
      <c r="AP812" s="27">
        <f t="shared" si="241"/>
        <v>-1.6213910531514668</v>
      </c>
      <c r="AQ812" s="27">
        <f t="shared" si="241"/>
        <v>-1.6223429170122639</v>
      </c>
      <c r="AR812" s="27">
        <f t="shared" si="241"/>
        <v>-1.623003587370585</v>
      </c>
      <c r="AS812" s="27">
        <f t="shared" si="241"/>
        <v>-1.6233351759618906</v>
      </c>
      <c r="AT812" s="27">
        <f t="shared" si="241"/>
        <v>-1.623336597056291</v>
      </c>
      <c r="AU812" s="27">
        <f t="shared" si="241"/>
        <v>-1.6230176880430305</v>
      </c>
      <c r="AV812" s="27">
        <f t="shared" si="241"/>
        <v>-1.6223862668543294</v>
      </c>
      <c r="AW812" s="27">
        <f t="shared" si="241"/>
        <v>-1.6214068147422027</v>
      </c>
      <c r="AY812" s="79"/>
      <c r="AZ812" s="79"/>
    </row>
    <row r="813" spans="1:52" x14ac:dyDescent="0.25">
      <c r="A813" s="95" t="str">
        <f t="shared" si="224"/>
        <v>BD Poultry MMN2O</v>
      </c>
      <c r="B813" s="95" t="s">
        <v>1228</v>
      </c>
      <c r="C813" s="95" t="s">
        <v>1234</v>
      </c>
      <c r="D813" t="s">
        <v>15</v>
      </c>
      <c r="E813" t="s">
        <v>657</v>
      </c>
      <c r="F813" t="s">
        <v>28</v>
      </c>
      <c r="G813" t="s">
        <v>134</v>
      </c>
      <c r="H813" t="s">
        <v>1227</v>
      </c>
      <c r="I813" t="s">
        <v>139</v>
      </c>
      <c r="J813" t="s">
        <v>287</v>
      </c>
      <c r="K813" s="27">
        <f t="shared" ref="K813:AW813" si="242">K1427</f>
        <v>1.3660093635870426E-2</v>
      </c>
      <c r="L813" s="27">
        <f t="shared" si="242"/>
        <v>1.3937830420255738E-2</v>
      </c>
      <c r="M813" s="27">
        <f t="shared" si="242"/>
        <v>1.4262478398481276E-2</v>
      </c>
      <c r="N813" s="27">
        <f t="shared" si="242"/>
        <v>1.4511718638084306E-2</v>
      </c>
      <c r="O813" s="27">
        <f t="shared" si="242"/>
        <v>1.4711795979713132E-2</v>
      </c>
      <c r="P813" s="27">
        <f t="shared" si="242"/>
        <v>1.4861520550190495E-2</v>
      </c>
      <c r="Q813" s="27">
        <f t="shared" si="242"/>
        <v>1.5053508778373347E-2</v>
      </c>
      <c r="R813" s="27">
        <f t="shared" si="242"/>
        <v>1.5253123389732505E-2</v>
      </c>
      <c r="S813" s="27">
        <f t="shared" si="242"/>
        <v>1.4651814226113646E-2</v>
      </c>
      <c r="T813" s="27">
        <f t="shared" si="242"/>
        <v>1.5189266321519962E-2</v>
      </c>
      <c r="U813" s="27">
        <f t="shared" si="242"/>
        <v>3.3757181001041366E-2</v>
      </c>
      <c r="V813" s="27">
        <f t="shared" si="242"/>
        <v>3.4499313181365336E-2</v>
      </c>
      <c r="W813" s="27">
        <f t="shared" si="242"/>
        <v>3.5211010914201833E-2</v>
      </c>
      <c r="X813" s="27">
        <f t="shared" si="242"/>
        <v>3.5885988820136307E-2</v>
      </c>
      <c r="Y813" s="27">
        <f t="shared" si="242"/>
        <v>3.6515723549972179E-2</v>
      </c>
      <c r="Z813" s="27">
        <f t="shared" si="242"/>
        <v>3.7097462878058866E-2</v>
      </c>
      <c r="AA813" s="27">
        <f t="shared" si="242"/>
        <v>3.7628405898914287E-2</v>
      </c>
      <c r="AB813" s="27">
        <f t="shared" si="242"/>
        <v>3.8106136469306676E-2</v>
      </c>
      <c r="AC813" s="27">
        <f t="shared" si="242"/>
        <v>3.85285343419123E-2</v>
      </c>
      <c r="AD813" s="27">
        <f t="shared" si="242"/>
        <v>3.8893556782218362E-2</v>
      </c>
      <c r="AE813" s="27">
        <f t="shared" si="242"/>
        <v>3.9199601376212471E-2</v>
      </c>
      <c r="AF813" s="27">
        <f t="shared" si="242"/>
        <v>3.9445222527080714E-2</v>
      </c>
      <c r="AG813" s="27">
        <f t="shared" si="242"/>
        <v>3.9629134527395672E-2</v>
      </c>
      <c r="AH813" s="27">
        <f t="shared" si="242"/>
        <v>3.9750563333297947E-2</v>
      </c>
      <c r="AI813" s="27">
        <f t="shared" si="242"/>
        <v>3.9809108345161416E-2</v>
      </c>
      <c r="AJ813" s="27">
        <f t="shared" si="242"/>
        <v>5.189649152191912E-3</v>
      </c>
      <c r="AK813" s="27">
        <f t="shared" si="242"/>
        <v>5.2277377761371976E-3</v>
      </c>
      <c r="AL813" s="27">
        <f t="shared" si="242"/>
        <v>5.2648822322021753E-3</v>
      </c>
      <c r="AM813" s="27">
        <f t="shared" si="242"/>
        <v>5.3011384762008023E-3</v>
      </c>
      <c r="AN813" s="27">
        <f t="shared" si="242"/>
        <v>5.3365710117779979E-3</v>
      </c>
      <c r="AO813" s="27">
        <f t="shared" si="242"/>
        <v>5.3710345594629892E-3</v>
      </c>
      <c r="AP813" s="27">
        <f t="shared" si="242"/>
        <v>5.4044334472556589E-3</v>
      </c>
      <c r="AQ813" s="27">
        <f t="shared" si="242"/>
        <v>5.4367606292778717E-3</v>
      </c>
      <c r="AR813" s="27">
        <f t="shared" si="242"/>
        <v>5.4679021430478368E-3</v>
      </c>
      <c r="AS813" s="27">
        <f t="shared" si="242"/>
        <v>5.4977311191694326E-3</v>
      </c>
      <c r="AT813" s="27">
        <f t="shared" si="242"/>
        <v>5.5262364624928872E-3</v>
      </c>
      <c r="AU813" s="27">
        <f t="shared" si="242"/>
        <v>5.5534422155816918E-3</v>
      </c>
      <c r="AV813" s="27">
        <f t="shared" si="242"/>
        <v>5.5793663280842998E-3</v>
      </c>
      <c r="AW813" s="27">
        <f t="shared" si="242"/>
        <v>5.6038850841857524E-3</v>
      </c>
      <c r="AY813" s="79"/>
      <c r="AZ813" s="79"/>
    </row>
    <row r="814" spans="1:52" x14ac:dyDescent="0.25">
      <c r="A814" s="95" t="str">
        <f t="shared" si="224"/>
        <v>BD Poultry MMN2O</v>
      </c>
      <c r="B814" s="95" t="s">
        <v>1228</v>
      </c>
      <c r="C814" s="95" t="s">
        <v>1234</v>
      </c>
      <c r="D814" t="s">
        <v>15</v>
      </c>
      <c r="E814" t="s">
        <v>657</v>
      </c>
      <c r="F814" t="s">
        <v>28</v>
      </c>
      <c r="G814" t="s">
        <v>133</v>
      </c>
      <c r="H814" t="s">
        <v>1227</v>
      </c>
      <c r="I814" t="s">
        <v>139</v>
      </c>
      <c r="J814" t="s">
        <v>287</v>
      </c>
      <c r="K814" s="27">
        <f t="shared" ref="K814:AW814" si="243">K1428</f>
        <v>7.0904798648479081E-2</v>
      </c>
      <c r="L814" s="27">
        <f t="shared" si="243"/>
        <v>7.183848811386527E-2</v>
      </c>
      <c r="M814" s="27">
        <f t="shared" si="243"/>
        <v>7.3338261222908901E-2</v>
      </c>
      <c r="N814" s="27">
        <f t="shared" si="243"/>
        <v>7.3768889900085566E-2</v>
      </c>
      <c r="O814" s="27">
        <f t="shared" si="243"/>
        <v>7.3504831661853232E-2</v>
      </c>
      <c r="P814" s="27">
        <f t="shared" si="243"/>
        <v>7.2548895925592438E-2</v>
      </c>
      <c r="Q814" s="27">
        <f t="shared" si="243"/>
        <v>7.2146468817327503E-2</v>
      </c>
      <c r="R814" s="27">
        <f t="shared" si="243"/>
        <v>7.1835339545248775E-2</v>
      </c>
      <c r="S814" s="27">
        <f t="shared" si="243"/>
        <v>6.264849848236452E-2</v>
      </c>
      <c r="T814" s="27">
        <f t="shared" si="243"/>
        <v>6.7389752064840963E-2</v>
      </c>
      <c r="U814" s="27">
        <f t="shared" si="243"/>
        <v>0.29302752262100273</v>
      </c>
      <c r="V814" s="27">
        <f t="shared" si="243"/>
        <v>0.29828101970128529</v>
      </c>
      <c r="W814" s="27">
        <f t="shared" si="243"/>
        <v>0.30294818721313321</v>
      </c>
      <c r="X814" s="27">
        <f t="shared" si="243"/>
        <v>0.30704895352014883</v>
      </c>
      <c r="Y814" s="27">
        <f t="shared" si="243"/>
        <v>0.31063904871081255</v>
      </c>
      <c r="Z814" s="27">
        <f t="shared" si="243"/>
        <v>0.31369154375489111</v>
      </c>
      <c r="AA814" s="27">
        <f t="shared" si="243"/>
        <v>0.31618576443629343</v>
      </c>
      <c r="AB814" s="27">
        <f t="shared" si="243"/>
        <v>0.31810138991474352</v>
      </c>
      <c r="AC814" s="27">
        <f t="shared" si="243"/>
        <v>0.31942029661734572</v>
      </c>
      <c r="AD814" s="27">
        <f t="shared" si="243"/>
        <v>0.320130126159552</v>
      </c>
      <c r="AE814" s="27">
        <f t="shared" si="243"/>
        <v>0.32021942076414051</v>
      </c>
      <c r="AF814" s="27">
        <f t="shared" si="243"/>
        <v>0.31968200663848134</v>
      </c>
      <c r="AG814" s="27">
        <f t="shared" si="243"/>
        <v>0.31851713359261785</v>
      </c>
      <c r="AH814" s="27">
        <f t="shared" si="243"/>
        <v>0.31672471085086101</v>
      </c>
      <c r="AI814" s="27">
        <f t="shared" si="243"/>
        <v>0.31430742335532585</v>
      </c>
      <c r="AJ814" s="27">
        <f t="shared" si="243"/>
        <v>-6.7117544398192078E-2</v>
      </c>
      <c r="AK814" s="27">
        <f t="shared" si="243"/>
        <v>-6.7212526473797524E-2</v>
      </c>
      <c r="AL814" s="27">
        <f t="shared" si="243"/>
        <v>-6.7298531128699962E-2</v>
      </c>
      <c r="AM814" s="27">
        <f t="shared" si="243"/>
        <v>-6.7376289726105959E-2</v>
      </c>
      <c r="AN814" s="27">
        <f t="shared" si="243"/>
        <v>-6.7446638413801982E-2</v>
      </c>
      <c r="AO814" s="27">
        <f t="shared" si="243"/>
        <v>-6.750761383935848E-2</v>
      </c>
      <c r="AP814" s="27">
        <f t="shared" si="243"/>
        <v>-6.7557960547977858E-2</v>
      </c>
      <c r="AQ814" s="27">
        <f t="shared" si="243"/>
        <v>-6.759762154217773E-2</v>
      </c>
      <c r="AR814" s="27">
        <f t="shared" si="243"/>
        <v>-6.7625149473774446E-2</v>
      </c>
      <c r="AS814" s="27">
        <f t="shared" si="243"/>
        <v>-6.7638965665078848E-2</v>
      </c>
      <c r="AT814" s="27">
        <f t="shared" si="243"/>
        <v>-6.7639024877345522E-2</v>
      </c>
      <c r="AU814" s="27">
        <f t="shared" si="243"/>
        <v>-6.7625737001792988E-2</v>
      </c>
      <c r="AV814" s="27">
        <f t="shared" si="243"/>
        <v>-6.7599427785597133E-2</v>
      </c>
      <c r="AW814" s="27">
        <f t="shared" si="243"/>
        <v>-6.7558617280925187E-2</v>
      </c>
      <c r="AY814" s="79"/>
      <c r="AZ814" s="79"/>
    </row>
    <row r="815" spans="1:52" x14ac:dyDescent="0.25">
      <c r="A815" s="95" t="str">
        <f t="shared" si="224"/>
        <v>BD Synthetic</v>
      </c>
      <c r="B815" s="95" t="s">
        <v>1228</v>
      </c>
      <c r="C815" s="95" t="s">
        <v>1126</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6.6035651430821094</v>
      </c>
      <c r="U815" s="27">
        <f t="shared" si="244"/>
        <v>6.6008394987584191</v>
      </c>
      <c r="V815" s="27">
        <f t="shared" si="244"/>
        <v>6.5354261970149441</v>
      </c>
      <c r="W815" s="27">
        <f t="shared" si="244"/>
        <v>6.5337920332710731</v>
      </c>
      <c r="X815" s="27">
        <f t="shared" si="244"/>
        <v>6.5322793572104443</v>
      </c>
      <c r="Y815" s="27">
        <f t="shared" si="244"/>
        <v>6.5308880056970544</v>
      </c>
      <c r="Z815" s="27">
        <f t="shared" si="244"/>
        <v>6.5296169227266478</v>
      </c>
      <c r="AA815" s="27">
        <f t="shared" si="244"/>
        <v>6.5284672118777083</v>
      </c>
      <c r="AB815" s="27">
        <f t="shared" si="244"/>
        <v>6.5274397960506132</v>
      </c>
      <c r="AC815" s="27">
        <f t="shared" si="244"/>
        <v>6.5265355793719113</v>
      </c>
      <c r="AD815" s="27">
        <f t="shared" si="244"/>
        <v>6.5257554079256641</v>
      </c>
      <c r="AE815" s="27">
        <f t="shared" si="244"/>
        <v>6.5250999875184093</v>
      </c>
      <c r="AF815" s="27">
        <f t="shared" si="244"/>
        <v>6.524570013447069</v>
      </c>
      <c r="AG815" s="27">
        <f t="shared" si="244"/>
        <v>6.524166065107158</v>
      </c>
      <c r="AH815" s="27">
        <f t="shared" si="244"/>
        <v>6.5238886062718322</v>
      </c>
      <c r="AI815" s="27">
        <f t="shared" si="244"/>
        <v>6.523738107982866</v>
      </c>
      <c r="AJ815" s="27">
        <f t="shared" si="244"/>
        <v>6.5237149971504902</v>
      </c>
      <c r="AK815" s="27">
        <f t="shared" si="244"/>
        <v>6.7170770118746468</v>
      </c>
      <c r="AL815" s="27">
        <f t="shared" si="244"/>
        <v>6.7172409254060446</v>
      </c>
      <c r="AM815" s="27">
        <f t="shared" si="244"/>
        <v>6.7174011054610014</v>
      </c>
      <c r="AN815" s="27">
        <f t="shared" si="244"/>
        <v>6.717557770633813</v>
      </c>
      <c r="AO815" s="27">
        <f t="shared" si="244"/>
        <v>6.7177111790148194</v>
      </c>
      <c r="AP815" s="27">
        <f t="shared" si="244"/>
        <v>6.7178606782023653</v>
      </c>
      <c r="AQ815" s="27">
        <f t="shared" si="244"/>
        <v>6.7180058277133394</v>
      </c>
      <c r="AR815" s="27">
        <f t="shared" si="244"/>
        <v>6.7181465717092257</v>
      </c>
      <c r="AS815" s="27">
        <f t="shared" si="244"/>
        <v>6.7182823869267976</v>
      </c>
      <c r="AT815" s="27">
        <f t="shared" si="244"/>
        <v>6.7184126908492701</v>
      </c>
      <c r="AU815" s="27">
        <f t="shared" si="244"/>
        <v>6.7185374065365453</v>
      </c>
      <c r="AV815" s="27">
        <f t="shared" si="244"/>
        <v>6.7186566123512304</v>
      </c>
      <c r="AW815" s="27">
        <f t="shared" si="244"/>
        <v>6.7187703615819192</v>
      </c>
      <c r="AY815" s="79"/>
      <c r="AZ815" s="79"/>
    </row>
    <row r="816" spans="1:52" x14ac:dyDescent="0.25">
      <c r="A816" s="95" t="str">
        <f t="shared" si="224"/>
        <v>BD Organic</v>
      </c>
      <c r="B816" s="95" t="s">
        <v>1228</v>
      </c>
      <c r="C816" s="95" t="s">
        <v>1127</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4.358352994434192E-2</v>
      </c>
      <c r="U816" s="27">
        <f t="shared" si="245"/>
        <v>4.3565540691805578E-2</v>
      </c>
      <c r="V816" s="27">
        <f t="shared" si="245"/>
        <v>4.3133812900298642E-2</v>
      </c>
      <c r="W816" s="27">
        <f t="shared" si="245"/>
        <v>4.312302741958908E-2</v>
      </c>
      <c r="X816" s="27">
        <f t="shared" si="245"/>
        <v>4.3113043757588947E-2</v>
      </c>
      <c r="Y816" s="27">
        <f t="shared" si="245"/>
        <v>4.3103860837600566E-2</v>
      </c>
      <c r="Z816" s="27">
        <f t="shared" si="245"/>
        <v>4.3095471689995883E-2</v>
      </c>
      <c r="AA816" s="27">
        <f t="shared" si="244"/>
        <v>4.3087883598392877E-2</v>
      </c>
      <c r="AB816" s="27">
        <f t="shared" si="244"/>
        <v>4.3081102653934056E-2</v>
      </c>
      <c r="AC816" s="27">
        <f t="shared" si="244"/>
        <v>4.3075134823854618E-2</v>
      </c>
      <c r="AD816" s="27">
        <f t="shared" si="244"/>
        <v>4.3069985692309382E-2</v>
      </c>
      <c r="AE816" s="27">
        <f t="shared" si="244"/>
        <v>4.3065659917621506E-2</v>
      </c>
      <c r="AF816" s="27">
        <f t="shared" si="244"/>
        <v>4.3062162088750661E-2</v>
      </c>
      <c r="AG816" s="27">
        <f t="shared" si="244"/>
        <v>4.3059496029707253E-2</v>
      </c>
      <c r="AH816" s="27">
        <f t="shared" si="244"/>
        <v>4.3057664801394106E-2</v>
      </c>
      <c r="AI816" s="27">
        <f t="shared" si="244"/>
        <v>4.3056671512686932E-2</v>
      </c>
      <c r="AJ816" s="27">
        <f t="shared" si="244"/>
        <v>4.3056518981193247E-2</v>
      </c>
      <c r="AK816" s="27">
        <f t="shared" si="244"/>
        <v>4.4332708278372678E-2</v>
      </c>
      <c r="AL816" s="27">
        <f t="shared" si="244"/>
        <v>4.4333790107679898E-2</v>
      </c>
      <c r="AM816" s="27">
        <f t="shared" si="244"/>
        <v>4.4334847296042611E-2</v>
      </c>
      <c r="AN816" s="27">
        <f t="shared" si="244"/>
        <v>4.4335881286183175E-2</v>
      </c>
      <c r="AO816" s="27">
        <f t="shared" si="244"/>
        <v>4.433689378149782E-2</v>
      </c>
      <c r="AP816" s="27">
        <f t="shared" si="244"/>
        <v>4.433788047613562E-2</v>
      </c>
      <c r="AQ816" s="27">
        <f t="shared" si="244"/>
        <v>4.4338838462908037E-2</v>
      </c>
      <c r="AR816" s="27">
        <f t="shared" si="244"/>
        <v>4.4339767373280901E-2</v>
      </c>
      <c r="AS816" s="27">
        <f t="shared" si="244"/>
        <v>4.4340663753716876E-2</v>
      </c>
      <c r="AT816" s="27">
        <f t="shared" si="244"/>
        <v>4.4341523759605192E-2</v>
      </c>
      <c r="AU816" s="27">
        <f t="shared" si="244"/>
        <v>4.4342346883141204E-2</v>
      </c>
      <c r="AV816" s="27">
        <f t="shared" si="244"/>
        <v>4.4343133641518123E-2</v>
      </c>
      <c r="AW816" s="27">
        <f t="shared" si="244"/>
        <v>4.4343884386440678E-2</v>
      </c>
      <c r="AY816" s="79"/>
      <c r="AZ816" s="79"/>
    </row>
    <row r="817" spans="1:52" x14ac:dyDescent="0.25">
      <c r="A817" s="95" t="str">
        <f t="shared" si="224"/>
        <v>BD Crop residues</v>
      </c>
      <c r="B817" s="95" t="s">
        <v>1228</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2.9710792197336011</v>
      </c>
      <c r="U817" s="27">
        <f t="shared" si="244"/>
        <v>2.9914277552243997</v>
      </c>
      <c r="V817" s="27">
        <f t="shared" si="244"/>
        <v>3.4797764662170874</v>
      </c>
      <c r="W817" s="27">
        <f t="shared" si="244"/>
        <v>3.4919764582156594</v>
      </c>
      <c r="X817" s="27">
        <f t="shared" si="244"/>
        <v>3.5032694733160721</v>
      </c>
      <c r="Y817" s="27">
        <f t="shared" si="244"/>
        <v>3.5136567294244192</v>
      </c>
      <c r="Z817" s="27">
        <f t="shared" si="244"/>
        <v>3.5231461102325734</v>
      </c>
      <c r="AA817" s="27">
        <f t="shared" si="244"/>
        <v>3.5317293768790967</v>
      </c>
      <c r="AB817" s="27">
        <f t="shared" si="244"/>
        <v>3.539399639370707</v>
      </c>
      <c r="AC817" s="27">
        <f t="shared" si="244"/>
        <v>3.5461501478717818</v>
      </c>
      <c r="AD817" s="27">
        <f t="shared" si="244"/>
        <v>3.5519745858679355</v>
      </c>
      <c r="AE817" s="27">
        <f t="shared" si="244"/>
        <v>3.5568676840988758</v>
      </c>
      <c r="AF817" s="27">
        <f t="shared" si="244"/>
        <v>3.5608242517647808</v>
      </c>
      <c r="AG817" s="27">
        <f t="shared" si="244"/>
        <v>3.5638399633378826</v>
      </c>
      <c r="AH817" s="27">
        <f t="shared" si="244"/>
        <v>3.5659113564792468</v>
      </c>
      <c r="AI817" s="27">
        <f t="shared" si="244"/>
        <v>3.5670349145853852</v>
      </c>
      <c r="AJ817" s="27">
        <f t="shared" si="244"/>
        <v>3.5672074505207347</v>
      </c>
      <c r="AK817" s="27">
        <f t="shared" si="244"/>
        <v>2.1236464601919001</v>
      </c>
      <c r="AL817" s="27">
        <f t="shared" si="244"/>
        <v>2.122422749423007</v>
      </c>
      <c r="AM817" s="27">
        <f t="shared" si="244"/>
        <v>2.1212269112482072</v>
      </c>
      <c r="AN817" s="27">
        <f t="shared" si="244"/>
        <v>2.1200573137327008</v>
      </c>
      <c r="AO817" s="27">
        <f t="shared" si="244"/>
        <v>2.1189120300805597</v>
      </c>
      <c r="AP817" s="27">
        <f t="shared" si="244"/>
        <v>2.1177959308532275</v>
      </c>
      <c r="AQ817" s="27">
        <f t="shared" si="244"/>
        <v>2.1167123045158354</v>
      </c>
      <c r="AR817" s="27">
        <f t="shared" si="244"/>
        <v>2.1156615679356672</v>
      </c>
      <c r="AS817" s="27">
        <f t="shared" si="244"/>
        <v>2.1146476275800086</v>
      </c>
      <c r="AT817" s="27">
        <f t="shared" si="244"/>
        <v>2.1136748322787415</v>
      </c>
      <c r="AU817" s="27">
        <f t="shared" si="244"/>
        <v>2.1127437564348668</v>
      </c>
      <c r="AV817" s="27">
        <f t="shared" si="244"/>
        <v>2.111853815025504</v>
      </c>
      <c r="AW817" s="27">
        <f t="shared" si="244"/>
        <v>2.1110046102200224</v>
      </c>
      <c r="AY817" s="79"/>
      <c r="AZ817" s="79"/>
    </row>
    <row r="818" spans="1:52" x14ac:dyDescent="0.25">
      <c r="A818" s="95" t="str">
        <f t="shared" si="224"/>
        <v>BD Organic</v>
      </c>
      <c r="B818" s="95" t="s">
        <v>1228</v>
      </c>
      <c r="C818" s="95" t="s">
        <v>1127</v>
      </c>
      <c r="D818" t="s">
        <v>369</v>
      </c>
      <c r="E818" t="s">
        <v>55</v>
      </c>
      <c r="F818" t="s">
        <v>421</v>
      </c>
      <c r="G818" t="s">
        <v>1152</v>
      </c>
      <c r="H818" t="s">
        <v>1153</v>
      </c>
      <c r="I818" t="s">
        <v>139</v>
      </c>
      <c r="J818" t="s">
        <v>287</v>
      </c>
      <c r="K818" s="27">
        <f t="shared" si="245"/>
        <v>0.31878106382562998</v>
      </c>
      <c r="L818" s="27">
        <f t="shared" si="244"/>
        <v>0.32056321299147922</v>
      </c>
      <c r="M818" s="27">
        <f t="shared" si="244"/>
        <v>0.32309177745176459</v>
      </c>
      <c r="N818" s="27">
        <f t="shared" si="244"/>
        <v>0.32471664946511047</v>
      </c>
      <c r="O818" s="27">
        <f t="shared" si="244"/>
        <v>0.32579638434951891</v>
      </c>
      <c r="P818" s="27">
        <f t="shared" si="244"/>
        <v>0.32632035510276458</v>
      </c>
      <c r="Q818" s="27">
        <f t="shared" si="244"/>
        <v>0.32747800149861978</v>
      </c>
      <c r="R818" s="27">
        <f t="shared" si="244"/>
        <v>0.32880601635823309</v>
      </c>
      <c r="S818" s="27">
        <f t="shared" si="244"/>
        <v>0.3194631230654072</v>
      </c>
      <c r="T818" s="27">
        <f t="shared" si="244"/>
        <v>0.32495993852650251</v>
      </c>
      <c r="U818" s="27">
        <f t="shared" si="244"/>
        <v>0.55911956199622048</v>
      </c>
      <c r="V818" s="27">
        <f t="shared" si="244"/>
        <v>0.56585948734565139</v>
      </c>
      <c r="W818" s="27">
        <f t="shared" si="244"/>
        <v>0.57230378307872798</v>
      </c>
      <c r="X818" s="27">
        <f t="shared" si="244"/>
        <v>0.57834283314741031</v>
      </c>
      <c r="Y818" s="27">
        <f t="shared" si="244"/>
        <v>0.58381536330507111</v>
      </c>
      <c r="Z818" s="27">
        <f t="shared" si="244"/>
        <v>0.58869581671270654</v>
      </c>
      <c r="AA818" s="27">
        <f t="shared" si="244"/>
        <v>0.59295576215312973</v>
      </c>
      <c r="AB818" s="27">
        <f t="shared" si="244"/>
        <v>0.59657368139031808</v>
      </c>
      <c r="AC818" s="27">
        <f t="shared" si="244"/>
        <v>0.59953250893616183</v>
      </c>
      <c r="AD818" s="27">
        <f t="shared" si="244"/>
        <v>0.60181430512751644</v>
      </c>
      <c r="AE818" s="27">
        <f t="shared" si="244"/>
        <v>0.60340833018876772</v>
      </c>
      <c r="AF818" s="27">
        <f t="shared" si="244"/>
        <v>0.60430428229357946</v>
      </c>
      <c r="AG818" s="27">
        <f t="shared" si="244"/>
        <v>0.60449220860104358</v>
      </c>
      <c r="AH818" s="27">
        <f t="shared" si="244"/>
        <v>0.60397029153121029</v>
      </c>
      <c r="AI818" s="27">
        <f t="shared" si="244"/>
        <v>0.60274150240431557</v>
      </c>
      <c r="AJ818" s="27">
        <f t="shared" si="244"/>
        <v>0.19069698851099628</v>
      </c>
      <c r="AK818" s="27">
        <f t="shared" si="244"/>
        <v>0.19083619411236313</v>
      </c>
      <c r="AL818" s="27">
        <f t="shared" si="244"/>
        <v>0.19096537877553132</v>
      </c>
      <c r="AM818" s="27">
        <f t="shared" si="244"/>
        <v>0.19108541639025195</v>
      </c>
      <c r="AN818" s="27">
        <f t="shared" si="244"/>
        <v>0.19119738340555115</v>
      </c>
      <c r="AO818" s="27">
        <f t="shared" si="244"/>
        <v>0.19129776572073925</v>
      </c>
      <c r="AP818" s="27">
        <f t="shared" si="244"/>
        <v>0.19138420348192833</v>
      </c>
      <c r="AQ818" s="27">
        <f t="shared" si="244"/>
        <v>0.19145631825873433</v>
      </c>
      <c r="AR818" s="27">
        <f t="shared" si="244"/>
        <v>0.19151143246366148</v>
      </c>
      <c r="AS818" s="27">
        <f t="shared" si="244"/>
        <v>0.19154663907394784</v>
      </c>
      <c r="AT818" s="27">
        <f t="shared" si="244"/>
        <v>0.19156157903173729</v>
      </c>
      <c r="AU818" s="27">
        <f t="shared" si="244"/>
        <v>0.19155666524405471</v>
      </c>
      <c r="AV818" s="27">
        <f t="shared" si="244"/>
        <v>0.19153218566591518</v>
      </c>
      <c r="AW818" s="27">
        <f t="shared" si="244"/>
        <v>0.1914854060866179</v>
      </c>
      <c r="AY818" s="79"/>
      <c r="AZ818" s="79"/>
    </row>
    <row r="819" spans="1:52" x14ac:dyDescent="0.25">
      <c r="A819" s="95" t="str">
        <f t="shared" si="224"/>
        <v>BD Organic</v>
      </c>
      <c r="B819" s="95" t="s">
        <v>1228</v>
      </c>
      <c r="C819" s="95" t="s">
        <v>1127</v>
      </c>
      <c r="D819" t="s">
        <v>369</v>
      </c>
      <c r="E819" t="s">
        <v>55</v>
      </c>
      <c r="F819" t="s">
        <v>421</v>
      </c>
      <c r="G819" t="s">
        <v>1154</v>
      </c>
      <c r="H819" t="s">
        <v>1155</v>
      </c>
      <c r="I819" t="s">
        <v>139</v>
      </c>
      <c r="J819" t="s">
        <v>287</v>
      </c>
      <c r="K819" s="27">
        <f t="shared" si="245"/>
        <v>0.93210651077804862</v>
      </c>
      <c r="L819" s="27">
        <f t="shared" si="244"/>
        <v>0.93731746283627526</v>
      </c>
      <c r="M819" s="27">
        <f t="shared" si="244"/>
        <v>0.94471091139331731</v>
      </c>
      <c r="N819" s="27">
        <f t="shared" si="244"/>
        <v>0.94946198965576145</v>
      </c>
      <c r="O819" s="27">
        <f t="shared" si="244"/>
        <v>0.95261910289076102</v>
      </c>
      <c r="P819" s="27">
        <f t="shared" si="244"/>
        <v>0.954151178054501</v>
      </c>
      <c r="Q819" s="27">
        <f t="shared" si="244"/>
        <v>0.95753610227115837</v>
      </c>
      <c r="R819" s="27">
        <f t="shared" si="244"/>
        <v>0.96141917889497153</v>
      </c>
      <c r="S819" s="27">
        <f t="shared" si="244"/>
        <v>0.93410083205454864</v>
      </c>
      <c r="T819" s="27">
        <f t="shared" si="244"/>
        <v>0.95017335975849948</v>
      </c>
      <c r="U819" s="27">
        <f t="shared" si="244"/>
        <v>1.6348492529189775</v>
      </c>
      <c r="V819" s="27">
        <f t="shared" si="244"/>
        <v>1.654556597592997</v>
      </c>
      <c r="W819" s="27">
        <f t="shared" si="244"/>
        <v>1.6733995299117927</v>
      </c>
      <c r="X819" s="27">
        <f t="shared" si="244"/>
        <v>1.6910575357556168</v>
      </c>
      <c r="Y819" s="27">
        <f t="shared" si="244"/>
        <v>1.7070590539423278</v>
      </c>
      <c r="Z819" s="27">
        <f t="shared" si="244"/>
        <v>1.7213293570218551</v>
      </c>
      <c r="AA819" s="27">
        <f t="shared" si="244"/>
        <v>1.7337853129463565</v>
      </c>
      <c r="AB819" s="27">
        <f t="shared" si="244"/>
        <v>1.7443640030228067</v>
      </c>
      <c r="AC819" s="27">
        <f t="shared" si="244"/>
        <v>1.753015528262897</v>
      </c>
      <c r="AD819" s="27">
        <f t="shared" si="244"/>
        <v>1.7596874336160764</v>
      </c>
      <c r="AE819" s="27">
        <f t="shared" si="244"/>
        <v>1.7643483162924332</v>
      </c>
      <c r="AF819" s="27">
        <f t="shared" si="244"/>
        <v>1.7669680540529458</v>
      </c>
      <c r="AG819" s="27">
        <f t="shared" si="244"/>
        <v>1.7675175450817782</v>
      </c>
      <c r="AH819" s="27">
        <f t="shared" si="244"/>
        <v>1.7659914748282959</v>
      </c>
      <c r="AI819" s="27">
        <f t="shared" si="244"/>
        <v>1.7623985313459991</v>
      </c>
      <c r="AJ819" s="27">
        <f t="shared" si="244"/>
        <v>0.55759241920998737</v>
      </c>
      <c r="AK819" s="27">
        <f t="shared" si="244"/>
        <v>0.55799945231858428</v>
      </c>
      <c r="AL819" s="27">
        <f t="shared" si="244"/>
        <v>0.55837718449685969</v>
      </c>
      <c r="AM819" s="27">
        <f t="shared" si="244"/>
        <v>0.55872817097289618</v>
      </c>
      <c r="AN819" s="27">
        <f t="shared" si="244"/>
        <v>0.55905555925217576</v>
      </c>
      <c r="AO819" s="27">
        <f t="shared" si="244"/>
        <v>0.55934907420701951</v>
      </c>
      <c r="AP819" s="27">
        <f t="shared" si="244"/>
        <v>0.55960181569365119</v>
      </c>
      <c r="AQ819" s="27">
        <f t="shared" si="244"/>
        <v>0.55981267719269234</v>
      </c>
      <c r="AR819" s="27">
        <f t="shared" si="244"/>
        <v>0.55997382951658647</v>
      </c>
      <c r="AS819" s="27">
        <f t="shared" si="244"/>
        <v>0.56007677261576738</v>
      </c>
      <c r="AT819" s="27">
        <f t="shared" si="244"/>
        <v>0.56012045661556076</v>
      </c>
      <c r="AU819" s="27">
        <f t="shared" si="244"/>
        <v>0.56010608884403601</v>
      </c>
      <c r="AV819" s="27">
        <f t="shared" si="244"/>
        <v>0.56003451127323822</v>
      </c>
      <c r="AW819" s="27">
        <f t="shared" si="244"/>
        <v>0.55989772915101532</v>
      </c>
      <c r="AY819" s="79"/>
      <c r="AZ819" s="79"/>
    </row>
    <row r="820" spans="1:52" x14ac:dyDescent="0.25">
      <c r="A820" s="95" t="str">
        <f t="shared" si="224"/>
        <v>BD Organic</v>
      </c>
      <c r="B820" s="95" t="s">
        <v>1228</v>
      </c>
      <c r="C820" s="95" t="s">
        <v>1127</v>
      </c>
      <c r="D820" t="s">
        <v>369</v>
      </c>
      <c r="E820" t="s">
        <v>55</v>
      </c>
      <c r="F820" t="s">
        <v>421</v>
      </c>
      <c r="G820" t="s">
        <v>1156</v>
      </c>
      <c r="H820" t="s">
        <v>1157</v>
      </c>
      <c r="I820" t="s">
        <v>139</v>
      </c>
      <c r="J820" t="s">
        <v>287</v>
      </c>
      <c r="K820" s="27">
        <f t="shared" si="245"/>
        <v>4.9862442750846919E-2</v>
      </c>
      <c r="L820" s="27">
        <f t="shared" si="244"/>
        <v>5.0141199304605817E-2</v>
      </c>
      <c r="M820" s="27">
        <f t="shared" si="244"/>
        <v>5.0536707115294892E-2</v>
      </c>
      <c r="N820" s="27">
        <f t="shared" si="244"/>
        <v>5.0790863013925151E-2</v>
      </c>
      <c r="O820" s="27">
        <f t="shared" si="244"/>
        <v>5.0959750770976343E-2</v>
      </c>
      <c r="P820" s="27">
        <f t="shared" si="244"/>
        <v>5.1041708153806126E-2</v>
      </c>
      <c r="Q820" s="27">
        <f t="shared" si="244"/>
        <v>5.122278251388987E-2</v>
      </c>
      <c r="R820" s="27">
        <f t="shared" si="244"/>
        <v>5.1430505218981189E-2</v>
      </c>
      <c r="S820" s="27">
        <f t="shared" si="244"/>
        <v>4.9969127694387626E-2</v>
      </c>
      <c r="T820" s="27">
        <f t="shared" si="244"/>
        <v>5.08289173034428E-2</v>
      </c>
      <c r="U820" s="27">
        <f t="shared" si="244"/>
        <v>8.7455217120941425E-2</v>
      </c>
      <c r="V820" s="27">
        <f t="shared" si="244"/>
        <v>8.8509448943396227E-2</v>
      </c>
      <c r="W820" s="27">
        <f t="shared" si="244"/>
        <v>8.9517439578736563E-2</v>
      </c>
      <c r="X820" s="27">
        <f t="shared" si="244"/>
        <v>9.0462043328738057E-2</v>
      </c>
      <c r="Y820" s="27">
        <f t="shared" si="244"/>
        <v>9.1318034328999972E-2</v>
      </c>
      <c r="Z820" s="27">
        <f t="shared" si="244"/>
        <v>9.2081415082285539E-2</v>
      </c>
      <c r="AA820" s="27">
        <f t="shared" si="244"/>
        <v>9.2747738492765894E-2</v>
      </c>
      <c r="AB820" s="27">
        <f t="shared" si="244"/>
        <v>9.3313638765123857E-2</v>
      </c>
      <c r="AC820" s="27">
        <f t="shared" si="244"/>
        <v>9.3776446584834763E-2</v>
      </c>
      <c r="AD820" s="27">
        <f t="shared" si="244"/>
        <v>9.4133355902455834E-2</v>
      </c>
      <c r="AE820" s="27">
        <f t="shared" si="244"/>
        <v>9.4382686845787919E-2</v>
      </c>
      <c r="AF820" s="27">
        <f t="shared" si="244"/>
        <v>9.4522828044884072E-2</v>
      </c>
      <c r="AG820" s="27">
        <f t="shared" si="244"/>
        <v>9.4552222716684439E-2</v>
      </c>
      <c r="AH820" s="27">
        <f t="shared" si="244"/>
        <v>9.4470586562695413E-2</v>
      </c>
      <c r="AI820" s="27">
        <f t="shared" si="244"/>
        <v>9.4278384344792743E-2</v>
      </c>
      <c r="AJ820" s="27">
        <f t="shared" si="244"/>
        <v>2.9828050506756527E-2</v>
      </c>
      <c r="AK820" s="27">
        <f t="shared" si="244"/>
        <v>2.9849824483056911E-2</v>
      </c>
      <c r="AL820" s="27">
        <f t="shared" si="244"/>
        <v>2.9870031024795022E-2</v>
      </c>
      <c r="AM820" s="27">
        <f t="shared" si="244"/>
        <v>2.9888806822265943E-2</v>
      </c>
      <c r="AN820" s="27">
        <f t="shared" si="244"/>
        <v>2.9906320249266097E-2</v>
      </c>
      <c r="AO820" s="27">
        <f t="shared" si="244"/>
        <v>2.9922021644399784E-2</v>
      </c>
      <c r="AP820" s="27">
        <f t="shared" si="244"/>
        <v>2.9935541888880673E-2</v>
      </c>
      <c r="AQ820" s="27">
        <f t="shared" si="244"/>
        <v>2.9946821790160959E-2</v>
      </c>
      <c r="AR820" s="27">
        <f t="shared" si="244"/>
        <v>2.995544253085038E-2</v>
      </c>
      <c r="AS820" s="27">
        <f t="shared" si="244"/>
        <v>2.9960949406223684E-2</v>
      </c>
      <c r="AT820" s="27">
        <f t="shared" si="244"/>
        <v>2.9963286253905406E-2</v>
      </c>
      <c r="AU820" s="27">
        <f t="shared" si="244"/>
        <v>2.9962517659139858E-2</v>
      </c>
      <c r="AV820" s="27">
        <f t="shared" si="244"/>
        <v>2.995868866268411E-2</v>
      </c>
      <c r="AW820" s="27">
        <f t="shared" si="244"/>
        <v>2.9951371590375517E-2</v>
      </c>
      <c r="AY820" s="79"/>
      <c r="AZ820" s="79"/>
    </row>
    <row r="821" spans="1:52" x14ac:dyDescent="0.25">
      <c r="A821" s="95" t="str">
        <f t="shared" si="224"/>
        <v>BD Organic</v>
      </c>
      <c r="B821" s="95" t="s">
        <v>1228</v>
      </c>
      <c r="C821" s="95" t="s">
        <v>1127</v>
      </c>
      <c r="D821" t="s">
        <v>369</v>
      </c>
      <c r="E821" t="s">
        <v>55</v>
      </c>
      <c r="F821" t="s">
        <v>421</v>
      </c>
      <c r="G821" t="s">
        <v>1158</v>
      </c>
      <c r="H821" t="s">
        <v>1159</v>
      </c>
      <c r="I821" t="s">
        <v>139</v>
      </c>
      <c r="J821" t="s">
        <v>287</v>
      </c>
      <c r="K821" s="27">
        <f t="shared" si="245"/>
        <v>0.39999978998352292</v>
      </c>
      <c r="L821" s="27">
        <f t="shared" si="244"/>
        <v>0.39653071954810204</v>
      </c>
      <c r="M821" s="27">
        <f t="shared" si="244"/>
        <v>0.39521014945095018</v>
      </c>
      <c r="N821" s="27">
        <f t="shared" si="244"/>
        <v>0.38993263522397326</v>
      </c>
      <c r="O821" s="27">
        <f t="shared" si="244"/>
        <v>0.382272194437701</v>
      </c>
      <c r="P821" s="27">
        <f t="shared" si="244"/>
        <v>0.37238723301511389</v>
      </c>
      <c r="Q821" s="27">
        <f t="shared" si="244"/>
        <v>0.36459067483623864</v>
      </c>
      <c r="R821" s="27">
        <f t="shared" si="244"/>
        <v>0.35721424445443944</v>
      </c>
      <c r="S821" s="27">
        <f t="shared" si="244"/>
        <v>0.31946339774377674</v>
      </c>
      <c r="T821" s="27">
        <f t="shared" si="244"/>
        <v>0.33177135164852617</v>
      </c>
      <c r="U821" s="27">
        <f t="shared" si="244"/>
        <v>1.0456423232959036</v>
      </c>
      <c r="V821" s="27">
        <f t="shared" si="244"/>
        <v>1.0506858527476302</v>
      </c>
      <c r="W821" s="27">
        <f t="shared" si="244"/>
        <v>1.0539136991279403</v>
      </c>
      <c r="X821" s="27">
        <f t="shared" si="244"/>
        <v>1.0553252049864941</v>
      </c>
      <c r="Y821" s="27">
        <f t="shared" si="244"/>
        <v>1.0549502713547947</v>
      </c>
      <c r="Z821" s="27">
        <f t="shared" si="244"/>
        <v>1.0527709267508603</v>
      </c>
      <c r="AA821" s="27">
        <f t="shared" si="244"/>
        <v>1.0487818326891256</v>
      </c>
      <c r="AB821" s="27">
        <f t="shared" si="244"/>
        <v>1.0429862897745465</v>
      </c>
      <c r="AC821" s="27">
        <f t="shared" si="244"/>
        <v>1.0353973298775558</v>
      </c>
      <c r="AD821" s="27">
        <f t="shared" si="244"/>
        <v>1.0174175581982712</v>
      </c>
      <c r="AE821" s="27">
        <f t="shared" si="244"/>
        <v>0.99774420575118894</v>
      </c>
      <c r="AF821" s="27">
        <f t="shared" si="244"/>
        <v>0.97646566881417607</v>
      </c>
      <c r="AG821" s="27">
        <f t="shared" si="244"/>
        <v>0.95368038799648891</v>
      </c>
      <c r="AH821" s="27">
        <f t="shared" si="244"/>
        <v>0.92949316172660157</v>
      </c>
      <c r="AI821" s="27">
        <f t="shared" si="244"/>
        <v>0.90401558532438187</v>
      </c>
      <c r="AJ821" s="27">
        <f t="shared" si="244"/>
        <v>-6.9801929759449391E-2</v>
      </c>
      <c r="AK821" s="27">
        <f t="shared" si="244"/>
        <v>-6.8121301003411724E-2</v>
      </c>
      <c r="AL821" s="27">
        <f t="shared" si="244"/>
        <v>-6.6458158331925851E-2</v>
      </c>
      <c r="AM821" s="27">
        <f t="shared" si="244"/>
        <v>-6.481232997303113E-2</v>
      </c>
      <c r="AN821" s="27">
        <f t="shared" si="244"/>
        <v>-6.3506079477571004E-2</v>
      </c>
      <c r="AO821" s="27">
        <f t="shared" si="244"/>
        <v>-6.2212220196709189E-2</v>
      </c>
      <c r="AP821" s="27">
        <f t="shared" si="244"/>
        <v>-6.0929789794195444E-2</v>
      </c>
      <c r="AQ821" s="27">
        <f t="shared" si="244"/>
        <v>-5.9658470603933263E-2</v>
      </c>
      <c r="AR821" s="27">
        <f t="shared" si="244"/>
        <v>-5.839733316411725E-2</v>
      </c>
      <c r="AS821" s="27">
        <f t="shared" si="244"/>
        <v>-5.7145467253207828E-2</v>
      </c>
      <c r="AT821" s="27">
        <f t="shared" si="244"/>
        <v>-5.590272668429646E-2</v>
      </c>
      <c r="AU821" s="27">
        <f t="shared" si="244"/>
        <v>-5.4669188235492674E-2</v>
      </c>
      <c r="AV821" s="27">
        <f t="shared" si="244"/>
        <v>-5.3444899006114648E-2</v>
      </c>
      <c r="AW821" s="27">
        <f t="shared" si="244"/>
        <v>-5.2229155811497792E-2</v>
      </c>
      <c r="AY821" s="79"/>
      <c r="AZ821" s="79"/>
    </row>
    <row r="822" spans="1:52" x14ac:dyDescent="0.25">
      <c r="A822" s="95" t="str">
        <f t="shared" si="224"/>
        <v>BD Organic</v>
      </c>
      <c r="B822" s="95" t="s">
        <v>1228</v>
      </c>
      <c r="C822" s="95" t="s">
        <v>1127</v>
      </c>
      <c r="D822" t="s">
        <v>369</v>
      </c>
      <c r="E822" t="s">
        <v>55</v>
      </c>
      <c r="F822" t="s">
        <v>421</v>
      </c>
      <c r="G822" t="s">
        <v>1160</v>
      </c>
      <c r="H822" t="s">
        <v>1161</v>
      </c>
      <c r="I822" t="s">
        <v>139</v>
      </c>
      <c r="J822" t="s">
        <v>287</v>
      </c>
      <c r="K822" s="27">
        <f t="shared" si="245"/>
        <v>2.6602988559851242</v>
      </c>
      <c r="L822" s="27">
        <f t="shared" si="244"/>
        <v>2.6372269335947092</v>
      </c>
      <c r="M822" s="27">
        <f t="shared" si="244"/>
        <v>2.6284441511866339</v>
      </c>
      <c r="N822" s="27">
        <f t="shared" si="244"/>
        <v>2.5933447201068063</v>
      </c>
      <c r="O822" s="27">
        <f t="shared" si="244"/>
        <v>2.5423970387070201</v>
      </c>
      <c r="P822" s="27">
        <f t="shared" ref="L822:AW828" si="246">P1470</f>
        <v>2.4766546252796315</v>
      </c>
      <c r="Q822" s="27">
        <f t="shared" si="246"/>
        <v>2.4248016610449814</v>
      </c>
      <c r="R822" s="27">
        <f t="shared" si="246"/>
        <v>2.3757428620222041</v>
      </c>
      <c r="S822" s="27">
        <f t="shared" si="246"/>
        <v>2.1246713944072271</v>
      </c>
      <c r="T822" s="27">
        <f t="shared" si="246"/>
        <v>2.2065285266163999</v>
      </c>
      <c r="U822" s="27">
        <f t="shared" si="246"/>
        <v>6.9543063423815932</v>
      </c>
      <c r="V822" s="27">
        <f t="shared" si="246"/>
        <v>6.9878495990695715</v>
      </c>
      <c r="W822" s="27">
        <f t="shared" si="246"/>
        <v>7.0093172004230366</v>
      </c>
      <c r="X822" s="27">
        <f t="shared" si="246"/>
        <v>7.0187047739037158</v>
      </c>
      <c r="Y822" s="27">
        <f t="shared" si="246"/>
        <v>7.0162111838157779</v>
      </c>
      <c r="Z822" s="27">
        <f t="shared" si="246"/>
        <v>7.0017169063140772</v>
      </c>
      <c r="AA822" s="27">
        <f t="shared" si="246"/>
        <v>6.9751864364623621</v>
      </c>
      <c r="AB822" s="27">
        <f t="shared" si="246"/>
        <v>6.9366417257611337</v>
      </c>
      <c r="AC822" s="27">
        <f t="shared" si="246"/>
        <v>6.8861694459309035</v>
      </c>
      <c r="AD822" s="27">
        <f t="shared" si="246"/>
        <v>6.7665904680738294</v>
      </c>
      <c r="AE822" s="27">
        <f t="shared" si="246"/>
        <v>6.6357479068551806</v>
      </c>
      <c r="AF822" s="27">
        <f t="shared" si="246"/>
        <v>6.4942296638758421</v>
      </c>
      <c r="AG822" s="27">
        <f t="shared" si="246"/>
        <v>6.3426904430800271</v>
      </c>
      <c r="AH822" s="27">
        <f t="shared" si="246"/>
        <v>6.181827232682128</v>
      </c>
      <c r="AI822" s="27">
        <f t="shared" si="246"/>
        <v>6.0123822253262711</v>
      </c>
      <c r="AJ822" s="27">
        <f t="shared" si="246"/>
        <v>-0.46423522845416099</v>
      </c>
      <c r="AK822" s="27">
        <f t="shared" si="246"/>
        <v>-0.45305778569298638</v>
      </c>
      <c r="AL822" s="27">
        <f t="shared" si="246"/>
        <v>-0.44199663851969367</v>
      </c>
      <c r="AM822" s="27">
        <f t="shared" si="246"/>
        <v>-0.43105064452180719</v>
      </c>
      <c r="AN822" s="27">
        <f t="shared" si="246"/>
        <v>-0.42236309821373103</v>
      </c>
      <c r="AO822" s="27">
        <f t="shared" si="246"/>
        <v>-0.41375796278397442</v>
      </c>
      <c r="AP822" s="27">
        <f t="shared" si="246"/>
        <v>-0.40522883797411285</v>
      </c>
      <c r="AQ822" s="27">
        <f t="shared" si="246"/>
        <v>-0.3967736110661545</v>
      </c>
      <c r="AR822" s="27">
        <f t="shared" si="246"/>
        <v>-0.38838610044140948</v>
      </c>
      <c r="AS822" s="27">
        <f t="shared" si="246"/>
        <v>-0.38006025244339864</v>
      </c>
      <c r="AT822" s="27">
        <f t="shared" si="246"/>
        <v>-0.37179509481944717</v>
      </c>
      <c r="AU822" s="27">
        <f t="shared" si="246"/>
        <v>-0.36359113820161632</v>
      </c>
      <c r="AV822" s="27">
        <f t="shared" si="246"/>
        <v>-0.35544869583572547</v>
      </c>
      <c r="AW822" s="27">
        <f t="shared" si="246"/>
        <v>-0.34736309101592239</v>
      </c>
      <c r="AY822" s="79"/>
      <c r="AZ822" s="79"/>
    </row>
    <row r="823" spans="1:52" x14ac:dyDescent="0.25">
      <c r="A823" s="95" t="str">
        <f t="shared" si="224"/>
        <v>BD Organic</v>
      </c>
      <c r="B823" s="95" t="s">
        <v>1228</v>
      </c>
      <c r="C823" s="95" t="s">
        <v>1127</v>
      </c>
      <c r="D823" t="s">
        <v>369</v>
      </c>
      <c r="E823" t="s">
        <v>55</v>
      </c>
      <c r="F823" t="s">
        <v>421</v>
      </c>
      <c r="G823" t="s">
        <v>1162</v>
      </c>
      <c r="H823" t="s">
        <v>1163</v>
      </c>
      <c r="I823" t="s">
        <v>139</v>
      </c>
      <c r="J823" t="s">
        <v>287</v>
      </c>
      <c r="K823" s="27">
        <f t="shared" si="245"/>
        <v>0.34358078636628736</v>
      </c>
      <c r="L823" s="27">
        <f t="shared" si="246"/>
        <v>0.35516571939691516</v>
      </c>
      <c r="M823" s="27">
        <f t="shared" si="246"/>
        <v>0.36891582276573964</v>
      </c>
      <c r="N823" s="27">
        <f t="shared" si="246"/>
        <v>0.379170347917821</v>
      </c>
      <c r="O823" s="27">
        <f t="shared" si="246"/>
        <v>0.38707850955818851</v>
      </c>
      <c r="P823" s="27">
        <f t="shared" si="246"/>
        <v>0.39252728601928999</v>
      </c>
      <c r="Q823" s="27">
        <f t="shared" si="246"/>
        <v>0.3999671364536494</v>
      </c>
      <c r="R823" s="27">
        <f t="shared" si="246"/>
        <v>0.40776627193753145</v>
      </c>
      <c r="S823" s="27">
        <f t="shared" si="246"/>
        <v>0.37941149708510857</v>
      </c>
      <c r="T823" s="27">
        <f t="shared" si="246"/>
        <v>0.40352229075935825</v>
      </c>
      <c r="U823" s="27">
        <f t="shared" si="246"/>
        <v>1.3019992837200502</v>
      </c>
      <c r="V823" s="27">
        <f t="shared" si="246"/>
        <v>1.3389713551242044</v>
      </c>
      <c r="W823" s="27">
        <f t="shared" si="246"/>
        <v>1.3742225442034364</v>
      </c>
      <c r="X823" s="27">
        <f t="shared" si="246"/>
        <v>1.4076173986220344</v>
      </c>
      <c r="Y823" s="27">
        <f t="shared" si="246"/>
        <v>1.4390577517114058</v>
      </c>
      <c r="Z823" s="27">
        <f t="shared" si="246"/>
        <v>1.4683777754211462</v>
      </c>
      <c r="AA823" s="27">
        <f t="shared" si="246"/>
        <v>1.4954226905831736</v>
      </c>
      <c r="AB823" s="27">
        <f t="shared" si="246"/>
        <v>1.5200446118078883</v>
      </c>
      <c r="AC823" s="27">
        <f t="shared" si="246"/>
        <v>1.5421052715646864</v>
      </c>
      <c r="AD823" s="27">
        <f t="shared" si="246"/>
        <v>1.5655788001500457</v>
      </c>
      <c r="AE823" s="27">
        <f t="shared" si="246"/>
        <v>1.5863184064827547</v>
      </c>
      <c r="AF823" s="27">
        <f t="shared" si="246"/>
        <v>1.604202691450189</v>
      </c>
      <c r="AG823" s="27">
        <f t="shared" si="246"/>
        <v>1.6191262740936789</v>
      </c>
      <c r="AH823" s="27">
        <f t="shared" si="246"/>
        <v>1.6309961254310048</v>
      </c>
      <c r="AI823" s="27">
        <f t="shared" si="246"/>
        <v>1.6397344068055653</v>
      </c>
      <c r="AJ823" s="27">
        <f t="shared" si="246"/>
        <v>-0.13089608517240703</v>
      </c>
      <c r="AK823" s="27">
        <f t="shared" si="246"/>
        <v>-0.13209410170523925</v>
      </c>
      <c r="AL823" s="27">
        <f t="shared" si="246"/>
        <v>-0.13328419638855493</v>
      </c>
      <c r="AM823" s="27">
        <f t="shared" si="246"/>
        <v>-0.13446696197747518</v>
      </c>
      <c r="AN823" s="27">
        <f t="shared" si="246"/>
        <v>-0.13547441854530159</v>
      </c>
      <c r="AO823" s="27">
        <f t="shared" si="246"/>
        <v>-0.13647180135664599</v>
      </c>
      <c r="AP823" s="27">
        <f t="shared" si="246"/>
        <v>-0.1374575838778328</v>
      </c>
      <c r="AQ823" s="27">
        <f t="shared" si="246"/>
        <v>-0.13843149499593352</v>
      </c>
      <c r="AR823" s="27">
        <f t="shared" si="246"/>
        <v>-0.13939171751336263</v>
      </c>
      <c r="AS823" s="27">
        <f t="shared" si="246"/>
        <v>-0.14033622294950923</v>
      </c>
      <c r="AT823" s="27">
        <f t="shared" si="246"/>
        <v>-0.14126464078823431</v>
      </c>
      <c r="AU823" s="27">
        <f t="shared" si="246"/>
        <v>-0.14217711138361663</v>
      </c>
      <c r="AV823" s="27">
        <f t="shared" si="246"/>
        <v>-0.14307369087756849</v>
      </c>
      <c r="AW823" s="27">
        <f t="shared" si="246"/>
        <v>-0.14395235507647042</v>
      </c>
      <c r="AY823" s="79"/>
      <c r="AZ823" s="79"/>
    </row>
    <row r="824" spans="1:52" x14ac:dyDescent="0.25">
      <c r="A824" s="95" t="str">
        <f t="shared" si="224"/>
        <v>BD Organic</v>
      </c>
      <c r="B824" s="95" t="s">
        <v>1228</v>
      </c>
      <c r="C824" s="95" t="s">
        <v>1127</v>
      </c>
      <c r="D824" t="s">
        <v>369</v>
      </c>
      <c r="E824" t="s">
        <v>55</v>
      </c>
      <c r="F824" t="s">
        <v>421</v>
      </c>
      <c r="G824" t="s">
        <v>1164</v>
      </c>
      <c r="H824" t="s">
        <v>1165</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5.9207171446821721E-2</v>
      </c>
      <c r="T824" s="27">
        <f t="shared" si="246"/>
        <v>5.9246576334297835E-2</v>
      </c>
      <c r="U824" s="27">
        <f t="shared" si="246"/>
        <v>6.0018268189792646E-2</v>
      </c>
      <c r="V824" s="27">
        <f t="shared" si="246"/>
        <v>6.0037093010318184E-2</v>
      </c>
      <c r="W824" s="27">
        <f t="shared" si="246"/>
        <v>6.0117615700915394E-2</v>
      </c>
      <c r="X824" s="27">
        <f t="shared" si="246"/>
        <v>6.0234013204612538E-2</v>
      </c>
      <c r="Y824" s="27">
        <f t="shared" si="246"/>
        <v>6.0342142496718161E-2</v>
      </c>
      <c r="Z824" s="27">
        <f t="shared" si="246"/>
        <v>6.0443342363168437E-2</v>
      </c>
      <c r="AA824" s="27">
        <f t="shared" si="246"/>
        <v>6.0537073159976813E-2</v>
      </c>
      <c r="AB824" s="27">
        <f t="shared" si="246"/>
        <v>6.0624179409324928E-2</v>
      </c>
      <c r="AC824" s="27">
        <f t="shared" si="246"/>
        <v>6.0705982424299358E-2</v>
      </c>
      <c r="AD824" s="27">
        <f t="shared" si="246"/>
        <v>6.0782405127579278E-2</v>
      </c>
      <c r="AE824" s="27">
        <f t="shared" si="246"/>
        <v>6.0854669862410914E-2</v>
      </c>
      <c r="AF824" s="27">
        <f t="shared" si="246"/>
        <v>6.0922951557005132E-2</v>
      </c>
      <c r="AG824" s="27">
        <f t="shared" si="246"/>
        <v>6.0986314332021271E-2</v>
      </c>
      <c r="AH824" s="27">
        <f t="shared" si="246"/>
        <v>6.1045337815494746E-2</v>
      </c>
      <c r="AI824" s="27">
        <f t="shared" si="246"/>
        <v>6.1100963630343091E-2</v>
      </c>
      <c r="AJ824" s="27">
        <f t="shared" si="246"/>
        <v>5.9760031976995184E-2</v>
      </c>
      <c r="AK824" s="27">
        <f t="shared" si="246"/>
        <v>5.9814986740369232E-2</v>
      </c>
      <c r="AL824" s="27">
        <f t="shared" si="246"/>
        <v>5.9866245389547455E-2</v>
      </c>
      <c r="AM824" s="27">
        <f t="shared" si="246"/>
        <v>5.9914121191052938E-2</v>
      </c>
      <c r="AN824" s="27">
        <f t="shared" si="246"/>
        <v>5.9958994957515464E-2</v>
      </c>
      <c r="AO824" s="27">
        <f t="shared" si="246"/>
        <v>5.9999686326466663E-2</v>
      </c>
      <c r="AP824" s="27">
        <f t="shared" si="246"/>
        <v>6.0035407039000573E-2</v>
      </c>
      <c r="AQ824" s="27">
        <f t="shared" si="246"/>
        <v>6.0066041639394212E-2</v>
      </c>
      <c r="AR824" s="27">
        <f t="shared" si="246"/>
        <v>6.0090693101993796E-2</v>
      </c>
      <c r="AS824" s="27">
        <f t="shared" si="246"/>
        <v>6.010838638445111E-2</v>
      </c>
      <c r="AT824" s="27">
        <f t="shared" si="246"/>
        <v>6.0119011530987615E-2</v>
      </c>
      <c r="AU824" s="27">
        <f t="shared" si="246"/>
        <v>6.0122720098989259E-2</v>
      </c>
      <c r="AV824" s="27">
        <f t="shared" si="246"/>
        <v>6.0119620565134202E-2</v>
      </c>
      <c r="AW824" s="27">
        <f t="shared" si="246"/>
        <v>6.0108795193871321E-2</v>
      </c>
      <c r="AY824" s="79"/>
      <c r="AZ824" s="79"/>
    </row>
    <row r="825" spans="1:52" x14ac:dyDescent="0.25">
      <c r="A825" s="95" t="str">
        <f t="shared" si="224"/>
        <v>BD Organic</v>
      </c>
      <c r="B825" s="95" t="s">
        <v>1228</v>
      </c>
      <c r="C825" s="95" t="s">
        <v>1127</v>
      </c>
      <c r="D825" t="s">
        <v>369</v>
      </c>
      <c r="E825" t="s">
        <v>55</v>
      </c>
      <c r="F825" t="s">
        <v>421</v>
      </c>
      <c r="G825" t="s">
        <v>1166</v>
      </c>
      <c r="H825" t="s">
        <v>1167</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4.8186589457144935E-2</v>
      </c>
      <c r="T825" s="27">
        <f t="shared" si="246"/>
        <v>4.8218659679197723E-2</v>
      </c>
      <c r="U825" s="27">
        <f t="shared" si="246"/>
        <v>4.884671195258742E-2</v>
      </c>
      <c r="V825" s="27">
        <f t="shared" si="246"/>
        <v>4.8862032797615189E-2</v>
      </c>
      <c r="W825" s="27">
        <f t="shared" si="246"/>
        <v>4.8927567322217112E-2</v>
      </c>
      <c r="X825" s="27">
        <f t="shared" si="246"/>
        <v>4.9022299068176782E-2</v>
      </c>
      <c r="Y825" s="27">
        <f t="shared" si="246"/>
        <v>4.9110301613808693E-2</v>
      </c>
      <c r="Z825" s="27">
        <f t="shared" si="246"/>
        <v>4.9192664548882145E-2</v>
      </c>
      <c r="AA825" s="27">
        <f t="shared" si="246"/>
        <v>4.9268948676546534E-2</v>
      </c>
      <c r="AB825" s="27">
        <f t="shared" si="246"/>
        <v>4.9339841323060789E-2</v>
      </c>
      <c r="AC825" s="27">
        <f t="shared" si="246"/>
        <v>4.9406417857669777E-2</v>
      </c>
      <c r="AD825" s="27">
        <f t="shared" si="246"/>
        <v>4.9468615549911547E-2</v>
      </c>
      <c r="AE825" s="27">
        <f t="shared" si="246"/>
        <v>4.9527429221033953E-2</v>
      </c>
      <c r="AF825" s="27">
        <f t="shared" si="246"/>
        <v>4.9583001238822449E-2</v>
      </c>
      <c r="AG825" s="27">
        <f t="shared" si="246"/>
        <v>4.9634569924708931E-2</v>
      </c>
      <c r="AH825" s="27">
        <f t="shared" si="246"/>
        <v>4.9682607017124701E-2</v>
      </c>
      <c r="AI825" s="27">
        <f t="shared" si="246"/>
        <v>4.972787886912871E-2</v>
      </c>
      <c r="AJ825" s="27">
        <f t="shared" si="246"/>
        <v>4.8636542777722926E-2</v>
      </c>
      <c r="AK825" s="27">
        <f t="shared" si="246"/>
        <v>4.8681268485043679E-2</v>
      </c>
      <c r="AL825" s="27">
        <f t="shared" si="246"/>
        <v>4.872298605782617E-2</v>
      </c>
      <c r="AM825" s="27">
        <f t="shared" si="246"/>
        <v>4.8761950452437537E-2</v>
      </c>
      <c r="AN825" s="27">
        <f t="shared" si="246"/>
        <v>4.8798471598594094E-2</v>
      </c>
      <c r="AO825" s="27">
        <f t="shared" si="246"/>
        <v>4.8831588841694647E-2</v>
      </c>
      <c r="AP825" s="27">
        <f t="shared" si="246"/>
        <v>4.8860660646138712E-2</v>
      </c>
      <c r="AQ825" s="27">
        <f t="shared" si="246"/>
        <v>4.8885593046661804E-2</v>
      </c>
      <c r="AR825" s="27">
        <f t="shared" si="246"/>
        <v>4.8905655986315542E-2</v>
      </c>
      <c r="AS825" s="27">
        <f t="shared" si="246"/>
        <v>4.8920055913167046E-2</v>
      </c>
      <c r="AT825" s="27">
        <f t="shared" si="246"/>
        <v>4.8928703338159067E-2</v>
      </c>
      <c r="AU825" s="27">
        <f t="shared" si="246"/>
        <v>4.8931721608402395E-2</v>
      </c>
      <c r="AV825" s="27">
        <f t="shared" si="246"/>
        <v>4.8929199009167666E-2</v>
      </c>
      <c r="AW825" s="27">
        <f t="shared" si="246"/>
        <v>4.892038862846515E-2</v>
      </c>
      <c r="AY825" s="79"/>
      <c r="AZ825" s="79"/>
    </row>
    <row r="826" spans="1:52" x14ac:dyDescent="0.25">
      <c r="A826" s="95" t="str">
        <f t="shared" si="224"/>
        <v>BD Organic</v>
      </c>
      <c r="B826" s="95" t="s">
        <v>1228</v>
      </c>
      <c r="C826" s="95" t="s">
        <v>1127</v>
      </c>
      <c r="D826" t="s">
        <v>369</v>
      </c>
      <c r="E826" t="s">
        <v>55</v>
      </c>
      <c r="F826" t="s">
        <v>421</v>
      </c>
      <c r="G826" t="s">
        <v>1168</v>
      </c>
      <c r="H826" t="s">
        <v>1169</v>
      </c>
      <c r="I826" t="s">
        <v>139</v>
      </c>
      <c r="J826" t="s">
        <v>287</v>
      </c>
      <c r="K826" s="27">
        <f t="shared" si="245"/>
        <v>7.214092738049376E-3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7.4155715935563154E-3</v>
      </c>
      <c r="R826" s="27">
        <f t="shared" si="246"/>
        <v>7.4643602602570466E-3</v>
      </c>
      <c r="S826" s="27">
        <f t="shared" si="246"/>
        <v>7.4461584032265975E-3</v>
      </c>
      <c r="T826" s="27">
        <f t="shared" si="246"/>
        <v>7.4583442385416504E-3</v>
      </c>
      <c r="U826" s="27">
        <f t="shared" si="246"/>
        <v>7.6095641103995637E-3</v>
      </c>
      <c r="V826" s="27">
        <f t="shared" si="246"/>
        <v>7.616396041581105E-3</v>
      </c>
      <c r="W826" s="27">
        <f t="shared" si="246"/>
        <v>7.6344836732780402E-3</v>
      </c>
      <c r="X826" s="27">
        <f t="shared" si="246"/>
        <v>7.6588952719713966E-3</v>
      </c>
      <c r="Y826" s="27">
        <f t="shared" si="246"/>
        <v>7.6812841131364881E-3</v>
      </c>
      <c r="Z826" s="27">
        <f t="shared" si="246"/>
        <v>7.7019461381660883E-3</v>
      </c>
      <c r="AA826" s="27">
        <f t="shared" si="246"/>
        <v>7.7208179709042681E-3</v>
      </c>
      <c r="AB826" s="27">
        <f t="shared" si="246"/>
        <v>7.7380934023290734E-3</v>
      </c>
      <c r="AC826" s="27">
        <f t="shared" si="246"/>
        <v>7.754051159190669E-3</v>
      </c>
      <c r="AD826" s="27">
        <f t="shared" si="246"/>
        <v>7.7687040986248812E-3</v>
      </c>
      <c r="AE826" s="27">
        <f t="shared" si="246"/>
        <v>7.7823052319108766E-3</v>
      </c>
      <c r="AF826" s="27">
        <f t="shared" si="246"/>
        <v>7.7949088981362474E-3</v>
      </c>
      <c r="AG826" s="27">
        <f t="shared" si="246"/>
        <v>7.8063612121467459E-3</v>
      </c>
      <c r="AH826" s="27">
        <f t="shared" si="246"/>
        <v>7.8167890041067195E-3</v>
      </c>
      <c r="AI826" s="27">
        <f t="shared" si="246"/>
        <v>7.8263838677397213E-3</v>
      </c>
      <c r="AJ826" s="27">
        <f t="shared" si="246"/>
        <v>7.5779321545979533E-3</v>
      </c>
      <c r="AK826" s="27">
        <f t="shared" si="246"/>
        <v>7.5875086550646472E-3</v>
      </c>
      <c r="AL826" s="27">
        <f t="shared" si="246"/>
        <v>7.5962279285727895E-3</v>
      </c>
      <c r="AM826" s="27">
        <f t="shared" si="246"/>
        <v>7.6041605420171859E-3</v>
      </c>
      <c r="AN826" s="27">
        <f t="shared" si="246"/>
        <v>7.6113882168756348E-3</v>
      </c>
      <c r="AO826" s="27">
        <f t="shared" si="246"/>
        <v>7.6177057736301935E-3</v>
      </c>
      <c r="AP826" s="27">
        <f t="shared" si="246"/>
        <v>7.6229804846382823E-3</v>
      </c>
      <c r="AQ826" s="27">
        <f t="shared" si="246"/>
        <v>7.6272026599535862E-3</v>
      </c>
      <c r="AR826" s="27">
        <f t="shared" si="246"/>
        <v>7.6302198564372984E-3</v>
      </c>
      <c r="AS826" s="27">
        <f t="shared" si="246"/>
        <v>7.6318659754992515E-3</v>
      </c>
      <c r="AT826" s="27">
        <f t="shared" si="246"/>
        <v>7.6321325230528187E-3</v>
      </c>
      <c r="AU826" s="27">
        <f t="shared" si="246"/>
        <v>7.631057996199485E-3</v>
      </c>
      <c r="AV826" s="27">
        <f t="shared" si="246"/>
        <v>7.6286724448087007E-3</v>
      </c>
      <c r="AW826" s="27">
        <f t="shared" si="246"/>
        <v>7.6248200266524988E-3</v>
      </c>
      <c r="AY826" s="79"/>
      <c r="AZ826" s="79"/>
    </row>
    <row r="827" spans="1:52" x14ac:dyDescent="0.25">
      <c r="A827" s="95" t="str">
        <f t="shared" si="224"/>
        <v>BD Organic</v>
      </c>
      <c r="B827" s="95" t="s">
        <v>1228</v>
      </c>
      <c r="C827" s="95" t="s">
        <v>1127</v>
      </c>
      <c r="D827" t="s">
        <v>369</v>
      </c>
      <c r="E827" t="s">
        <v>55</v>
      </c>
      <c r="F827" t="s">
        <v>421</v>
      </c>
      <c r="G827" t="s">
        <v>1170</v>
      </c>
      <c r="H827" t="s">
        <v>1171</v>
      </c>
      <c r="I827" t="s">
        <v>139</v>
      </c>
      <c r="J827" t="s">
        <v>287</v>
      </c>
      <c r="K827" s="27">
        <f t="shared" si="245"/>
        <v>8.7045671471293537E-2</v>
      </c>
      <c r="L827" s="27">
        <f t="shared" si="246"/>
        <v>8.7271948200639354E-2</v>
      </c>
      <c r="M827" s="27">
        <f t="shared" si="246"/>
        <v>8.7584088952434122E-2</v>
      </c>
      <c r="N827" s="27">
        <f t="shared" si="246"/>
        <v>8.7964358824768801E-2</v>
      </c>
      <c r="O827" s="27">
        <f t="shared" si="246"/>
        <v>8.8412215452112072E-2</v>
      </c>
      <c r="P827" s="27">
        <f t="shared" si="246"/>
        <v>8.8924932944132923E-2</v>
      </c>
      <c r="Q827" s="27">
        <f t="shared" si="246"/>
        <v>8.9476727309038592E-2</v>
      </c>
      <c r="R827" s="27">
        <f t="shared" si="246"/>
        <v>9.0065414259340087E-2</v>
      </c>
      <c r="S827" s="27">
        <f t="shared" si="246"/>
        <v>8.9845789571278714E-2</v>
      </c>
      <c r="T827" s="27">
        <f t="shared" si="246"/>
        <v>8.9992824583989703E-2</v>
      </c>
      <c r="U827" s="27">
        <f t="shared" si="246"/>
        <v>9.1817452539803057E-2</v>
      </c>
      <c r="V827" s="27">
        <f t="shared" si="246"/>
        <v>9.1899887027234312E-2</v>
      </c>
      <c r="W827" s="27">
        <f t="shared" si="246"/>
        <v>9.211813346563695E-2</v>
      </c>
      <c r="X827" s="27">
        <f t="shared" si="246"/>
        <v>9.2412685265441663E-2</v>
      </c>
      <c r="Y827" s="27">
        <f t="shared" si="246"/>
        <v>9.2682830352765116E-2</v>
      </c>
      <c r="Z827" s="27">
        <f t="shared" si="246"/>
        <v>9.293213957403032E-2</v>
      </c>
      <c r="AA827" s="27">
        <f t="shared" si="246"/>
        <v>9.3159848228775613E-2</v>
      </c>
      <c r="AB827" s="27">
        <f t="shared" si="246"/>
        <v>9.3368294610452568E-2</v>
      </c>
      <c r="AC827" s="27">
        <f t="shared" si="246"/>
        <v>9.356084185258419E-2</v>
      </c>
      <c r="AD827" s="27">
        <f t="shared" si="246"/>
        <v>9.3737645090135047E-2</v>
      </c>
      <c r="AE827" s="27">
        <f t="shared" si="246"/>
        <v>9.390175717222761E-2</v>
      </c>
      <c r="AF827" s="27">
        <f t="shared" si="246"/>
        <v>9.40538337575203E-2</v>
      </c>
      <c r="AG827" s="27">
        <f t="shared" si="246"/>
        <v>9.4192018058601723E-2</v>
      </c>
      <c r="AH827" s="27">
        <f t="shared" si="246"/>
        <v>9.4317840415768184E-2</v>
      </c>
      <c r="AI827" s="27">
        <f t="shared" si="246"/>
        <v>9.4433612610268142E-2</v>
      </c>
      <c r="AJ827" s="27">
        <f t="shared" si="246"/>
        <v>9.1435779482264015E-2</v>
      </c>
      <c r="AK827" s="27">
        <f t="shared" si="246"/>
        <v>9.1551330105708581E-2</v>
      </c>
      <c r="AL827" s="27">
        <f t="shared" si="246"/>
        <v>9.1656537377754754E-2</v>
      </c>
      <c r="AM827" s="27">
        <f t="shared" si="246"/>
        <v>9.175225276274665E-2</v>
      </c>
      <c r="AN827" s="27">
        <f t="shared" si="246"/>
        <v>9.1839462316889414E-2</v>
      </c>
      <c r="AO827" s="27">
        <f t="shared" si="246"/>
        <v>9.1915690331932545E-2</v>
      </c>
      <c r="AP827" s="27">
        <f t="shared" si="246"/>
        <v>9.1979335308257068E-2</v>
      </c>
      <c r="AQ827" s="27">
        <f t="shared" si="246"/>
        <v>9.2030280326395222E-2</v>
      </c>
      <c r="AR827" s="27">
        <f t="shared" si="246"/>
        <v>9.2066685998379513E-2</v>
      </c>
      <c r="AS827" s="27">
        <f t="shared" si="246"/>
        <v>9.2086548168755195E-2</v>
      </c>
      <c r="AT827" s="27">
        <f t="shared" si="246"/>
        <v>9.2089764347368611E-2</v>
      </c>
      <c r="AU827" s="27">
        <f t="shared" si="246"/>
        <v>9.2076799042532853E-2</v>
      </c>
      <c r="AV827" s="27">
        <f t="shared" si="246"/>
        <v>9.2048014837757555E-2</v>
      </c>
      <c r="AW827" s="27">
        <f t="shared" si="246"/>
        <v>9.2001531331463521E-2</v>
      </c>
      <c r="AY827" s="79"/>
      <c r="AZ827" s="79"/>
    </row>
    <row r="828" spans="1:52" x14ac:dyDescent="0.25">
      <c r="A828" s="95" t="str">
        <f t="shared" si="224"/>
        <v>BD Organic</v>
      </c>
      <c r="B828" s="95" t="s">
        <v>1228</v>
      </c>
      <c r="C828" s="95" t="s">
        <v>1127</v>
      </c>
      <c r="D828" t="s">
        <v>369</v>
      </c>
      <c r="E828" t="s">
        <v>55</v>
      </c>
      <c r="F828" t="s">
        <v>421</v>
      </c>
      <c r="G828" t="s">
        <v>1172</v>
      </c>
      <c r="H828" t="s">
        <v>1173</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25">
      <c r="A829" s="95" t="str">
        <f t="shared" si="224"/>
        <v>BD Organic</v>
      </c>
      <c r="B829" s="95" t="s">
        <v>1228</v>
      </c>
      <c r="C829" s="95" t="s">
        <v>1127</v>
      </c>
      <c r="D829" t="s">
        <v>369</v>
      </c>
      <c r="E829" t="s">
        <v>55</v>
      </c>
      <c r="F829" t="s">
        <v>421</v>
      </c>
      <c r="G829" t="s">
        <v>1174</v>
      </c>
      <c r="H829" t="s">
        <v>1175</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25">
      <c r="A830" s="95" t="str">
        <f t="shared" si="224"/>
        <v>BD Organic</v>
      </c>
      <c r="B830" s="95" t="s">
        <v>1228</v>
      </c>
      <c r="C830" s="95" t="s">
        <v>1127</v>
      </c>
      <c r="D830" t="s">
        <v>369</v>
      </c>
      <c r="E830" t="s">
        <v>55</v>
      </c>
      <c r="F830" t="s">
        <v>421</v>
      </c>
      <c r="G830" t="s">
        <v>1176</v>
      </c>
      <c r="H830" t="s">
        <v>1177</v>
      </c>
      <c r="I830" t="s">
        <v>139</v>
      </c>
      <c r="J830" t="s">
        <v>287</v>
      </c>
      <c r="K830" s="27">
        <f t="shared" si="245"/>
        <v>0.12462873299340151</v>
      </c>
      <c r="L830" s="27">
        <f t="shared" si="247"/>
        <v>0.12395129293471774</v>
      </c>
      <c r="M830" s="27">
        <f t="shared" si="247"/>
        <v>0.12400689511310994</v>
      </c>
      <c r="N830" s="27">
        <f t="shared" si="247"/>
        <v>0.12286841678965586</v>
      </c>
      <c r="O830" s="27">
        <f t="shared" si="247"/>
        <v>0.12100901910044999</v>
      </c>
      <c r="P830" s="27">
        <f t="shared" si="247"/>
        <v>0.11845842648899831</v>
      </c>
      <c r="Q830" s="27">
        <f t="shared" si="247"/>
        <v>0.11660641339960404</v>
      </c>
      <c r="R830" s="27">
        <f t="shared" si="247"/>
        <v>0.1149182786313902</v>
      </c>
      <c r="S830" s="27">
        <f t="shared" si="247"/>
        <v>0.10339476754661255</v>
      </c>
      <c r="T830" s="27">
        <f t="shared" si="247"/>
        <v>0.10708680746691927</v>
      </c>
      <c r="U830" s="27">
        <f t="shared" si="247"/>
        <v>0.34230494451620991</v>
      </c>
      <c r="V830" s="27">
        <f t="shared" si="247"/>
        <v>0.34324328716985369</v>
      </c>
      <c r="W830" s="27">
        <f t="shared" si="247"/>
        <v>0.3435898446352561</v>
      </c>
      <c r="X830" s="27">
        <f t="shared" si="247"/>
        <v>0.34336025373780221</v>
      </c>
      <c r="Y830" s="27">
        <f t="shared" si="247"/>
        <v>0.34258915131434525</v>
      </c>
      <c r="Z830" s="27">
        <f t="shared" si="247"/>
        <v>0.34126945430195527</v>
      </c>
      <c r="AA830" s="27">
        <f t="shared" si="247"/>
        <v>0.3393992662053118</v>
      </c>
      <c r="AB830" s="27">
        <f t="shared" si="247"/>
        <v>0.33697876239255126</v>
      </c>
      <c r="AC830" s="27">
        <f t="shared" si="247"/>
        <v>0.3340110473815755</v>
      </c>
      <c r="AD830" s="27">
        <f t="shared" si="247"/>
        <v>0.33050375948442778</v>
      </c>
      <c r="AE830" s="27">
        <f t="shared" si="247"/>
        <v>0.32646655874795893</v>
      </c>
      <c r="AF830" s="27">
        <f t="shared" si="247"/>
        <v>0.32191309563582443</v>
      </c>
      <c r="AG830" s="27">
        <f t="shared" si="247"/>
        <v>0.31686086246920969</v>
      </c>
      <c r="AH830" s="27">
        <f t="shared" si="247"/>
        <v>0.31132880694281095</v>
      </c>
      <c r="AI830" s="27">
        <f t="shared" si="247"/>
        <v>0.30533819170490117</v>
      </c>
      <c r="AJ830" s="27">
        <f t="shared" si="247"/>
        <v>-2.8452110243571058E-2</v>
      </c>
      <c r="AK830" s="27">
        <f t="shared" si="247"/>
        <v>-2.814409017595957E-2</v>
      </c>
      <c r="AL830" s="27">
        <f t="shared" si="247"/>
        <v>-2.7834978813803351E-2</v>
      </c>
      <c r="AM830" s="27">
        <f t="shared" si="247"/>
        <v>-2.7525096845033417E-2</v>
      </c>
      <c r="AN830" s="27">
        <f t="shared" si="247"/>
        <v>-2.7214798691689582E-2</v>
      </c>
      <c r="AO830" s="27">
        <f t="shared" si="247"/>
        <v>-2.6903261813323635E-2</v>
      </c>
      <c r="AP830" s="27">
        <f t="shared" si="247"/>
        <v>-2.659000059935173E-2</v>
      </c>
      <c r="AQ830" s="27">
        <f t="shared" si="247"/>
        <v>-2.6275045310908511E-2</v>
      </c>
      <c r="AR830" s="27">
        <f t="shared" si="247"/>
        <v>-2.5957874013715753E-2</v>
      </c>
      <c r="AS830" s="27">
        <f t="shared" si="247"/>
        <v>-2.5637945266726723E-2</v>
      </c>
      <c r="AT830" s="27">
        <f t="shared" si="247"/>
        <v>-2.5315349871404581E-2</v>
      </c>
      <c r="AU830" s="27">
        <f t="shared" si="247"/>
        <v>-2.4990356269877063E-2</v>
      </c>
      <c r="AV830" s="27">
        <f t="shared" si="247"/>
        <v>-2.4663194083915266E-2</v>
      </c>
      <c r="AW830" s="27">
        <f t="shared" si="247"/>
        <v>-2.433341037395171E-2</v>
      </c>
      <c r="AY830" s="79"/>
      <c r="AZ830" s="79"/>
    </row>
    <row r="831" spans="1:52" x14ac:dyDescent="0.25">
      <c r="A831" s="95" t="str">
        <f t="shared" si="224"/>
        <v>BD Organic</v>
      </c>
      <c r="B831" s="95" t="s">
        <v>1228</v>
      </c>
      <c r="C831" s="95" t="s">
        <v>1127</v>
      </c>
      <c r="D831" t="s">
        <v>369</v>
      </c>
      <c r="E831" t="s">
        <v>55</v>
      </c>
      <c r="F831" t="s">
        <v>421</v>
      </c>
      <c r="G831" t="s">
        <v>1178</v>
      </c>
      <c r="H831" t="s">
        <v>1179</v>
      </c>
      <c r="I831" t="s">
        <v>139</v>
      </c>
      <c r="J831" t="s">
        <v>287</v>
      </c>
      <c r="K831" s="27">
        <f t="shared" si="245"/>
        <v>3.1618785484610064E-2</v>
      </c>
      <c r="L831" s="27">
        <f t="shared" si="247"/>
        <v>3.1446916354757493E-2</v>
      </c>
      <c r="M831" s="27">
        <f t="shared" si="247"/>
        <v>3.1461022839745618E-2</v>
      </c>
      <c r="N831" s="27">
        <f t="shared" si="247"/>
        <v>3.1172186541537576E-2</v>
      </c>
      <c r="O831" s="27">
        <f t="shared" si="247"/>
        <v>3.0700450247237825E-2</v>
      </c>
      <c r="P831" s="27">
        <f t="shared" si="247"/>
        <v>3.0053355161673637E-2</v>
      </c>
      <c r="Q831" s="27">
        <f t="shared" si="247"/>
        <v>2.9583492368545915E-2</v>
      </c>
      <c r="R831" s="27">
        <f t="shared" si="247"/>
        <v>2.9155206131309674E-2</v>
      </c>
      <c r="S831" s="27">
        <f t="shared" si="247"/>
        <v>2.6231647363859134E-2</v>
      </c>
      <c r="T831" s="27">
        <f t="shared" si="247"/>
        <v>2.716833199056537E-2</v>
      </c>
      <c r="U831" s="27">
        <f t="shared" si="247"/>
        <v>8.684407159585289E-2</v>
      </c>
      <c r="V831" s="27">
        <f t="shared" si="247"/>
        <v>8.7082132710364829E-2</v>
      </c>
      <c r="W831" s="27">
        <f t="shared" si="247"/>
        <v>8.7170055662748783E-2</v>
      </c>
      <c r="X831" s="27">
        <f t="shared" si="247"/>
        <v>8.7111807575317793E-2</v>
      </c>
      <c r="Y831" s="27">
        <f t="shared" si="247"/>
        <v>8.6916175945850438E-2</v>
      </c>
      <c r="Z831" s="27">
        <f t="shared" si="247"/>
        <v>8.6581363774233103E-2</v>
      </c>
      <c r="AA831" s="27">
        <f t="shared" si="247"/>
        <v>8.6106889912360693E-2</v>
      </c>
      <c r="AB831" s="27">
        <f t="shared" si="247"/>
        <v>8.5492798851799182E-2</v>
      </c>
      <c r="AC831" s="27">
        <f t="shared" si="247"/>
        <v>8.4739878220595588E-2</v>
      </c>
      <c r="AD831" s="27">
        <f t="shared" si="247"/>
        <v>8.3850065887683914E-2</v>
      </c>
      <c r="AE831" s="27">
        <f t="shared" si="247"/>
        <v>8.2825812643839453E-2</v>
      </c>
      <c r="AF831" s="27">
        <f t="shared" si="247"/>
        <v>8.1670581663819047E-2</v>
      </c>
      <c r="AG831" s="27">
        <f t="shared" si="247"/>
        <v>8.0388810816306083E-2</v>
      </c>
      <c r="AH831" s="27">
        <f t="shared" si="247"/>
        <v>7.8985307203801092E-2</v>
      </c>
      <c r="AI831" s="27">
        <f t="shared" si="247"/>
        <v>7.7465465241367507E-2</v>
      </c>
      <c r="AJ831" s="27">
        <f t="shared" si="247"/>
        <v>-7.2184090198813182E-3</v>
      </c>
      <c r="AK831" s="27">
        <f t="shared" si="247"/>
        <v>-7.1402631524810738E-3</v>
      </c>
      <c r="AL831" s="27">
        <f t="shared" si="247"/>
        <v>-7.0618404194874671E-3</v>
      </c>
      <c r="AM831" s="27">
        <f t="shared" si="247"/>
        <v>-6.9832221806532197E-3</v>
      </c>
      <c r="AN831" s="27">
        <f t="shared" si="247"/>
        <v>-6.9044983542032711E-3</v>
      </c>
      <c r="AO831" s="27">
        <f t="shared" si="247"/>
        <v>-6.8254602584848501E-3</v>
      </c>
      <c r="AP831" s="27">
        <f t="shared" si="247"/>
        <v>-6.7459846922384176E-3</v>
      </c>
      <c r="AQ831" s="27">
        <f t="shared" si="247"/>
        <v>-6.66607933282939E-3</v>
      </c>
      <c r="AR831" s="27">
        <f t="shared" si="247"/>
        <v>-6.5856117635382473E-3</v>
      </c>
      <c r="AS831" s="27">
        <f t="shared" si="247"/>
        <v>-6.5044446187038276E-3</v>
      </c>
      <c r="AT831" s="27">
        <f t="shared" si="247"/>
        <v>-6.4226009350040626E-3</v>
      </c>
      <c r="AU831" s="27">
        <f t="shared" si="247"/>
        <v>-6.3401488172318849E-3</v>
      </c>
      <c r="AV831" s="27">
        <f t="shared" si="247"/>
        <v>-6.2571465213074788E-3</v>
      </c>
      <c r="AW831" s="27">
        <f t="shared" si="247"/>
        <v>-6.1734791347329209E-3</v>
      </c>
      <c r="AY831" s="79"/>
      <c r="AZ831" s="79"/>
    </row>
    <row r="832" spans="1:52" x14ac:dyDescent="0.25">
      <c r="A832" s="95" t="str">
        <f t="shared" si="224"/>
        <v>BD Organic</v>
      </c>
      <c r="B832" s="95" t="s">
        <v>1228</v>
      </c>
      <c r="C832" s="95" t="s">
        <v>1127</v>
      </c>
      <c r="D832" t="s">
        <v>369</v>
      </c>
      <c r="E832" t="s">
        <v>55</v>
      </c>
      <c r="F832" t="s">
        <v>421</v>
      </c>
      <c r="G832" t="s">
        <v>1180</v>
      </c>
      <c r="H832" t="s">
        <v>1181</v>
      </c>
      <c r="I832" t="s">
        <v>139</v>
      </c>
      <c r="J832" t="s">
        <v>287</v>
      </c>
      <c r="K832" s="27">
        <f t="shared" si="245"/>
        <v>0.15700744358616767</v>
      </c>
      <c r="L832" s="27">
        <f t="shared" si="247"/>
        <v>0.16019971617730661</v>
      </c>
      <c r="M832" s="27">
        <f t="shared" si="247"/>
        <v>0.16393118028621728</v>
      </c>
      <c r="N832" s="27">
        <f t="shared" si="247"/>
        <v>0.1667959170810015</v>
      </c>
      <c r="O832" s="27">
        <f t="shared" si="247"/>
        <v>0.16909558154641685</v>
      </c>
      <c r="P832" s="27">
        <f t="shared" si="247"/>
        <v>0.17081649742586288</v>
      </c>
      <c r="Q832" s="27">
        <f t="shared" si="247"/>
        <v>0.17302318661183388</v>
      </c>
      <c r="R832" s="27">
        <f t="shared" si="247"/>
        <v>0.17531753251219057</v>
      </c>
      <c r="S832" s="27">
        <f t="shared" si="247"/>
        <v>0.16840615861524894</v>
      </c>
      <c r="T832" s="27">
        <f t="shared" si="247"/>
        <v>0.17458356718938842</v>
      </c>
      <c r="U832" s="27">
        <f t="shared" si="247"/>
        <v>0.38800090489360167</v>
      </c>
      <c r="V832" s="27">
        <f t="shared" si="247"/>
        <v>0.39653088130091707</v>
      </c>
      <c r="W832" s="27">
        <f t="shared" si="247"/>
        <v>0.40471104789547857</v>
      </c>
      <c r="X832" s="27">
        <f t="shared" si="247"/>
        <v>0.41246916129593358</v>
      </c>
      <c r="Y832" s="27">
        <f t="shared" si="247"/>
        <v>0.41970725517029195</v>
      </c>
      <c r="Z832" s="27">
        <f t="shared" si="247"/>
        <v>0.42639369577393321</v>
      </c>
      <c r="AA832" s="27">
        <f t="shared" si="247"/>
        <v>0.43249628984221433</v>
      </c>
      <c r="AB832" s="27">
        <f t="shared" si="247"/>
        <v>0.4379872665206837</v>
      </c>
      <c r="AC832" s="27">
        <f t="shared" si="247"/>
        <v>0.44284225594622417</v>
      </c>
      <c r="AD832" s="27">
        <f t="shared" si="247"/>
        <v>0.44703777917847665</v>
      </c>
      <c r="AE832" s="27">
        <f t="shared" si="247"/>
        <v>0.4505554182669968</v>
      </c>
      <c r="AF832" s="27">
        <f t="shared" si="247"/>
        <v>0.45337855769901697</v>
      </c>
      <c r="AG832" s="27">
        <f t="shared" si="247"/>
        <v>0.45549241971080034</v>
      </c>
      <c r="AH832" s="27">
        <f t="shared" si="247"/>
        <v>0.45688810753700776</v>
      </c>
      <c r="AI832" s="27">
        <f t="shared" si="247"/>
        <v>0.45756101673458949</v>
      </c>
      <c r="AJ832" s="27">
        <f t="shared" si="247"/>
        <v>5.9649191888050651E-2</v>
      </c>
      <c r="AK832" s="27">
        <f t="shared" si="247"/>
        <v>6.0086977867764617E-2</v>
      </c>
      <c r="AL832" s="27">
        <f t="shared" si="247"/>
        <v>6.051391169747472E-2</v>
      </c>
      <c r="AM832" s="27">
        <f t="shared" si="247"/>
        <v>6.0930636526454876E-2</v>
      </c>
      <c r="AN832" s="27">
        <f t="shared" si="247"/>
        <v>6.1337893751701338E-2</v>
      </c>
      <c r="AO832" s="27">
        <f t="shared" si="247"/>
        <v>6.173401354876637E-2</v>
      </c>
      <c r="AP832" s="27">
        <f t="shared" si="247"/>
        <v>6.2117896275395594E-2</v>
      </c>
      <c r="AQ832" s="27">
        <f t="shared" si="247"/>
        <v>6.2489460947128449E-2</v>
      </c>
      <c r="AR832" s="27">
        <f t="shared" si="247"/>
        <v>6.2847397693153853E-2</v>
      </c>
      <c r="AS832" s="27">
        <f t="shared" si="247"/>
        <v>6.3190248292167767E-2</v>
      </c>
      <c r="AT832" s="27">
        <f t="shared" si="247"/>
        <v>6.3517885217877365E-2</v>
      </c>
      <c r="AU832" s="27">
        <f t="shared" si="247"/>
        <v>6.3830584812563373E-2</v>
      </c>
      <c r="AV832" s="27">
        <f t="shared" si="247"/>
        <v>6.4128553387287249E-2</v>
      </c>
      <c r="AW832" s="27">
        <f t="shared" si="247"/>
        <v>6.4410368967620674E-2</v>
      </c>
      <c r="AY832" s="79"/>
      <c r="AZ832" s="79"/>
    </row>
    <row r="833" spans="1:52" x14ac:dyDescent="0.25">
      <c r="A833" s="95" t="str">
        <f t="shared" si="224"/>
        <v>BD Organic</v>
      </c>
      <c r="B833" s="95" t="s">
        <v>1228</v>
      </c>
      <c r="C833" s="95" t="s">
        <v>1127</v>
      </c>
      <c r="D833" t="s">
        <v>369</v>
      </c>
      <c r="E833" t="s">
        <v>55</v>
      </c>
      <c r="F833" t="s">
        <v>421</v>
      </c>
      <c r="G833" t="s">
        <v>1182</v>
      </c>
      <c r="H833" t="s">
        <v>1183</v>
      </c>
      <c r="I833" t="s">
        <v>139</v>
      </c>
      <c r="J833" t="s">
        <v>287</v>
      </c>
      <c r="K833" s="27">
        <f t="shared" si="245"/>
        <v>0.78620275218739066</v>
      </c>
      <c r="L833" s="27">
        <f t="shared" si="247"/>
        <v>0.79655563720176403</v>
      </c>
      <c r="M833" s="27">
        <f t="shared" si="247"/>
        <v>0.81318534024672162</v>
      </c>
      <c r="N833" s="27">
        <f t="shared" si="247"/>
        <v>0.81796021384654061</v>
      </c>
      <c r="O833" s="27">
        <f t="shared" si="247"/>
        <v>0.81503229757580642</v>
      </c>
      <c r="P833" s="27">
        <f t="shared" si="247"/>
        <v>0.80443274266431919</v>
      </c>
      <c r="Q833" s="27">
        <f t="shared" si="247"/>
        <v>0.7999705721751077</v>
      </c>
      <c r="R833" s="27">
        <f t="shared" si="247"/>
        <v>0.79652072541357855</v>
      </c>
      <c r="S833" s="27">
        <f t="shared" si="247"/>
        <v>0.69465569137892269</v>
      </c>
      <c r="T833" s="27">
        <f t="shared" si="247"/>
        <v>0.74722740283446698</v>
      </c>
      <c r="U833" s="27">
        <f t="shared" si="247"/>
        <v>3.2491319225574986</v>
      </c>
      <c r="V833" s="27">
        <f t="shared" si="247"/>
        <v>3.3073834646513305</v>
      </c>
      <c r="W833" s="27">
        <f t="shared" si="247"/>
        <v>3.3591336989468359</v>
      </c>
      <c r="X833" s="27">
        <f t="shared" si="247"/>
        <v>3.4046035940471189</v>
      </c>
      <c r="Y833" s="27">
        <f t="shared" si="247"/>
        <v>3.4444110933040832</v>
      </c>
      <c r="Z833" s="27">
        <f t="shared" si="247"/>
        <v>3.4782576037016457</v>
      </c>
      <c r="AA833" s="27">
        <f t="shared" si="247"/>
        <v>3.505913886515494</v>
      </c>
      <c r="AB833" s="27">
        <f t="shared" si="247"/>
        <v>3.5271546213039011</v>
      </c>
      <c r="AC833" s="27">
        <f t="shared" si="247"/>
        <v>3.5417788512464328</v>
      </c>
      <c r="AD833" s="27">
        <f t="shared" si="247"/>
        <v>3.549649544772171</v>
      </c>
      <c r="AE833" s="27">
        <f t="shared" si="247"/>
        <v>3.5506396563756342</v>
      </c>
      <c r="AF833" s="27">
        <f t="shared" si="247"/>
        <v>3.5446807301434013</v>
      </c>
      <c r="AG833" s="27">
        <f t="shared" si="247"/>
        <v>3.5317644478597843</v>
      </c>
      <c r="AH833" s="27">
        <f t="shared" si="247"/>
        <v>3.5118898029906984</v>
      </c>
      <c r="AI833" s="27">
        <f t="shared" si="247"/>
        <v>3.4850865665660411</v>
      </c>
      <c r="AJ833" s="27">
        <f t="shared" si="247"/>
        <v>-0.74420912451247578</v>
      </c>
      <c r="AK833" s="27">
        <f t="shared" si="247"/>
        <v>-0.74526229962435608</v>
      </c>
      <c r="AL833" s="27">
        <f t="shared" si="247"/>
        <v>-0.74621593178570578</v>
      </c>
      <c r="AM833" s="27">
        <f t="shared" si="247"/>
        <v>-0.74707813045846294</v>
      </c>
      <c r="AN833" s="27">
        <f t="shared" si="247"/>
        <v>-0.74785816697127483</v>
      </c>
      <c r="AO833" s="27">
        <f t="shared" si="247"/>
        <v>-0.74853427138595596</v>
      </c>
      <c r="AP833" s="27">
        <f t="shared" si="247"/>
        <v>-0.74909252303654383</v>
      </c>
      <c r="AQ833" s="27">
        <f t="shared" si="247"/>
        <v>-0.74953228992663867</v>
      </c>
      <c r="AR833" s="27">
        <f t="shared" si="247"/>
        <v>-0.74983752364841638</v>
      </c>
      <c r="AS833" s="27">
        <f t="shared" si="247"/>
        <v>-0.74999071959333552</v>
      </c>
      <c r="AT833" s="27">
        <f t="shared" si="247"/>
        <v>-0.74999137614758737</v>
      </c>
      <c r="AU833" s="27">
        <f t="shared" si="247"/>
        <v>-0.74984403824480428</v>
      </c>
      <c r="AV833" s="27">
        <f t="shared" si="247"/>
        <v>-0.749552317817198</v>
      </c>
      <c r="AW833" s="27">
        <f t="shared" si="247"/>
        <v>-0.74909980498727913</v>
      </c>
      <c r="AY833" s="79"/>
      <c r="AZ833" s="79"/>
    </row>
    <row r="834" spans="1:52" x14ac:dyDescent="0.25">
      <c r="A834" s="95" t="str">
        <f t="shared" si="224"/>
        <v>BD U&amp;D</v>
      </c>
      <c r="B834" s="95" t="s">
        <v>1228</v>
      </c>
      <c r="C834" s="95" t="s">
        <v>1336</v>
      </c>
      <c r="D834" t="s">
        <v>369</v>
      </c>
      <c r="E834" t="s">
        <v>55</v>
      </c>
      <c r="F834" t="s">
        <v>422</v>
      </c>
      <c r="G834" t="s">
        <v>1152</v>
      </c>
      <c r="H834" t="s">
        <v>1240</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25">
      <c r="A835" s="95" t="str">
        <f t="shared" si="224"/>
        <v>BD U&amp;D</v>
      </c>
      <c r="B835" s="95" t="s">
        <v>1228</v>
      </c>
      <c r="C835" s="95" t="s">
        <v>1336</v>
      </c>
      <c r="D835" t="s">
        <v>369</v>
      </c>
      <c r="E835" t="s">
        <v>55</v>
      </c>
      <c r="F835" t="s">
        <v>422</v>
      </c>
      <c r="G835" t="s">
        <v>1154</v>
      </c>
      <c r="H835" t="s">
        <v>1241</v>
      </c>
      <c r="I835" t="s">
        <v>139</v>
      </c>
      <c r="J835" t="s">
        <v>287</v>
      </c>
      <c r="K835" s="27">
        <f t="shared" si="245"/>
        <v>1.0775797812462991</v>
      </c>
      <c r="L835" s="27">
        <f t="shared" si="247"/>
        <v>1.0836040032789309</v>
      </c>
      <c r="M835" s="27">
        <f t="shared" si="247"/>
        <v>1.0921513426512339</v>
      </c>
      <c r="N835" s="27">
        <f t="shared" si="247"/>
        <v>1.0976439186771809</v>
      </c>
      <c r="O835" s="27">
        <f t="shared" si="247"/>
        <v>1.1012937605673541</v>
      </c>
      <c r="P835" s="27">
        <f t="shared" si="247"/>
        <v>1.1030649457277466</v>
      </c>
      <c r="Q835" s="27">
        <f t="shared" si="247"/>
        <v>1.1069781529146336</v>
      </c>
      <c r="R835" s="27">
        <f t="shared" si="247"/>
        <v>1.1114672588381174</v>
      </c>
      <c r="S835" s="27">
        <f t="shared" si="247"/>
        <v>1.0798853549763567</v>
      </c>
      <c r="T835" s="27">
        <f t="shared" si="247"/>
        <v>1.098466311859537</v>
      </c>
      <c r="U835" s="27">
        <f t="shared" si="247"/>
        <v>1.889999136322517</v>
      </c>
      <c r="V835" s="27">
        <f t="shared" si="247"/>
        <v>1.9127821937491298</v>
      </c>
      <c r="W835" s="27">
        <f t="shared" si="247"/>
        <v>1.9345659305338647</v>
      </c>
      <c r="X835" s="27">
        <f t="shared" si="247"/>
        <v>1.9549798101221001</v>
      </c>
      <c r="Y835" s="27">
        <f t="shared" si="247"/>
        <v>1.9734786750778357</v>
      </c>
      <c r="Z835" s="27">
        <f t="shared" si="247"/>
        <v>1.9899761352853818</v>
      </c>
      <c r="AA835" s="27">
        <f t="shared" si="247"/>
        <v>2.0043760843310485</v>
      </c>
      <c r="AB835" s="27">
        <f t="shared" si="247"/>
        <v>2.0166057838413951</v>
      </c>
      <c r="AC835" s="27">
        <f t="shared" si="247"/>
        <v>2.0266075471247365</v>
      </c>
      <c r="AD835" s="27">
        <f t="shared" si="247"/>
        <v>2.0343207325041344</v>
      </c>
      <c r="AE835" s="27">
        <f t="shared" si="247"/>
        <v>2.0397090361762231</v>
      </c>
      <c r="AF835" s="27">
        <f t="shared" ref="L835:AW837" si="248">AF1483</f>
        <v>2.0427376347432897</v>
      </c>
      <c r="AG835" s="27">
        <f t="shared" si="248"/>
        <v>2.0433728844876047</v>
      </c>
      <c r="AH835" s="27">
        <f t="shared" si="248"/>
        <v>2.0416086414199954</v>
      </c>
      <c r="AI835" s="27">
        <f t="shared" si="248"/>
        <v>2.0374549495329468</v>
      </c>
      <c r="AJ835" s="27">
        <f t="shared" si="248"/>
        <v>0.64461551353755753</v>
      </c>
      <c r="AK835" s="27">
        <f t="shared" si="248"/>
        <v>0.64508607204460633</v>
      </c>
      <c r="AL835" s="27">
        <f t="shared" si="248"/>
        <v>0.64552275664376835</v>
      </c>
      <c r="AM835" s="27">
        <f t="shared" si="248"/>
        <v>0.64592852135594947</v>
      </c>
      <c r="AN835" s="27">
        <f t="shared" si="248"/>
        <v>0.64630700491581017</v>
      </c>
      <c r="AO835" s="27">
        <f t="shared" si="248"/>
        <v>0.64664632856302828</v>
      </c>
      <c r="AP835" s="27">
        <f t="shared" si="248"/>
        <v>0.64693851525277601</v>
      </c>
      <c r="AQ835" s="27">
        <f t="shared" si="248"/>
        <v>0.64718228577189862</v>
      </c>
      <c r="AR835" s="27">
        <f t="shared" si="248"/>
        <v>0.64736858903651606</v>
      </c>
      <c r="AS835" s="27">
        <f t="shared" si="248"/>
        <v>0.64748759839973102</v>
      </c>
      <c r="AT835" s="27">
        <f t="shared" si="248"/>
        <v>0.64753810013359636</v>
      </c>
      <c r="AU835" s="27">
        <f t="shared" si="248"/>
        <v>0.6475214899931051</v>
      </c>
      <c r="AV835" s="27">
        <f t="shared" si="248"/>
        <v>0.6474387413563446</v>
      </c>
      <c r="AW835" s="27">
        <f t="shared" si="248"/>
        <v>0.64728061173527773</v>
      </c>
      <c r="AY835" s="79"/>
      <c r="AZ835" s="79"/>
    </row>
    <row r="836" spans="1:52" x14ac:dyDescent="0.25">
      <c r="A836" s="95" t="str">
        <f t="shared" si="224"/>
        <v>BD U&amp;D</v>
      </c>
      <c r="B836" s="95" t="s">
        <v>1228</v>
      </c>
      <c r="C836" s="95" t="s">
        <v>1336</v>
      </c>
      <c r="D836" t="s">
        <v>369</v>
      </c>
      <c r="E836" t="s">
        <v>55</v>
      </c>
      <c r="F836" t="s">
        <v>422</v>
      </c>
      <c r="G836" t="s">
        <v>1156</v>
      </c>
      <c r="H836" t="s">
        <v>1242</v>
      </c>
      <c r="I836" t="s">
        <v>139</v>
      </c>
      <c r="J836" t="s">
        <v>287</v>
      </c>
      <c r="K836" s="27">
        <f t="shared" si="245"/>
        <v>0.73383920392416069</v>
      </c>
      <c r="L836" s="27">
        <f t="shared" si="248"/>
        <v>0.73794174034663862</v>
      </c>
      <c r="M836" s="27">
        <f t="shared" si="248"/>
        <v>0.74376253694082328</v>
      </c>
      <c r="N836" s="27">
        <f t="shared" si="248"/>
        <v>0.74750301879518044</v>
      </c>
      <c r="O836" s="27">
        <f t="shared" si="248"/>
        <v>0.74998858609492669</v>
      </c>
      <c r="P836" s="27">
        <f t="shared" si="248"/>
        <v>0.75119477530775858</v>
      </c>
      <c r="Q836" s="27">
        <f t="shared" si="248"/>
        <v>0.7538596961765357</v>
      </c>
      <c r="R836" s="27">
        <f t="shared" si="248"/>
        <v>0.75691680802528449</v>
      </c>
      <c r="S836" s="27">
        <f t="shared" si="248"/>
        <v>0.73540931540926791</v>
      </c>
      <c r="T836" s="27">
        <f t="shared" si="248"/>
        <v>0.74806307417925111</v>
      </c>
      <c r="U836" s="27">
        <f t="shared" si="248"/>
        <v>1.2871023433755899</v>
      </c>
      <c r="V836" s="27">
        <f t="shared" si="248"/>
        <v>1.3026177613667917</v>
      </c>
      <c r="W836" s="27">
        <f t="shared" si="248"/>
        <v>1.3174526351634348</v>
      </c>
      <c r="X836" s="27">
        <f t="shared" si="248"/>
        <v>1.3313546268365786</v>
      </c>
      <c r="Y836" s="27">
        <f t="shared" si="248"/>
        <v>1.3439524804422922</v>
      </c>
      <c r="Z836" s="27">
        <f t="shared" si="248"/>
        <v>1.3551873637207013</v>
      </c>
      <c r="AA836" s="27">
        <f t="shared" si="248"/>
        <v>1.3649938275465159</v>
      </c>
      <c r="AB836" s="27">
        <f t="shared" si="248"/>
        <v>1.3733223365897391</v>
      </c>
      <c r="AC836" s="27">
        <f t="shared" si="248"/>
        <v>1.3801336058186369</v>
      </c>
      <c r="AD836" s="27">
        <f t="shared" si="248"/>
        <v>1.3853863378362978</v>
      </c>
      <c r="AE836" s="27">
        <f t="shared" si="248"/>
        <v>1.3890558095042369</v>
      </c>
      <c r="AF836" s="27">
        <f t="shared" si="248"/>
        <v>1.3911183058503465</v>
      </c>
      <c r="AG836" s="27">
        <f t="shared" si="248"/>
        <v>1.3915509152726599</v>
      </c>
      <c r="AH836" s="27">
        <f t="shared" si="248"/>
        <v>1.3903494536725116</v>
      </c>
      <c r="AI836" s="27">
        <f t="shared" si="248"/>
        <v>1.3875207610775073</v>
      </c>
      <c r="AJ836" s="27">
        <f t="shared" si="248"/>
        <v>0.43898757523499138</v>
      </c>
      <c r="AK836" s="27">
        <f t="shared" si="248"/>
        <v>0.43930802879789405</v>
      </c>
      <c r="AL836" s="27">
        <f t="shared" si="248"/>
        <v>0.43960541399775782</v>
      </c>
      <c r="AM836" s="27">
        <f t="shared" si="248"/>
        <v>0.43988174254303092</v>
      </c>
      <c r="AN836" s="27">
        <f t="shared" si="248"/>
        <v>0.44013949243691386</v>
      </c>
      <c r="AO836" s="27">
        <f t="shared" si="248"/>
        <v>0.44037057416235159</v>
      </c>
      <c r="AP836" s="27">
        <f t="shared" si="248"/>
        <v>0.44056955529723674</v>
      </c>
      <c r="AQ836" s="27">
        <f t="shared" si="248"/>
        <v>0.4407355646886586</v>
      </c>
      <c r="AR836" s="27">
        <f t="shared" si="248"/>
        <v>0.44086243848656637</v>
      </c>
      <c r="AS836" s="27">
        <f t="shared" si="248"/>
        <v>0.44094348467718814</v>
      </c>
      <c r="AT836" s="27">
        <f t="shared" si="248"/>
        <v>0.44097787670348765</v>
      </c>
      <c r="AU836" s="27">
        <f t="shared" si="248"/>
        <v>0.44096656508416521</v>
      </c>
      <c r="AV836" s="27">
        <f t="shared" si="248"/>
        <v>0.44091021269635783</v>
      </c>
      <c r="AW836" s="27">
        <f t="shared" si="248"/>
        <v>0.44080252534247472</v>
      </c>
      <c r="AY836" s="79"/>
      <c r="AZ836" s="79"/>
    </row>
    <row r="837" spans="1:52" x14ac:dyDescent="0.25">
      <c r="A837" s="95" t="str">
        <f t="shared" si="224"/>
        <v>BD U&amp;D</v>
      </c>
      <c r="B837" s="95" t="s">
        <v>1228</v>
      </c>
      <c r="C837" s="95" t="s">
        <v>1336</v>
      </c>
      <c r="D837" t="s">
        <v>369</v>
      </c>
      <c r="E837" t="s">
        <v>55</v>
      </c>
      <c r="F837" t="s">
        <v>422</v>
      </c>
      <c r="G837" t="s">
        <v>1158</v>
      </c>
      <c r="H837" t="s">
        <v>1243</v>
      </c>
      <c r="I837" t="s">
        <v>139</v>
      </c>
      <c r="J837" t="s">
        <v>287</v>
      </c>
      <c r="K837" s="27">
        <f t="shared" si="245"/>
        <v>15.353527292296841</v>
      </c>
      <c r="L837" s="27">
        <f t="shared" si="248"/>
        <v>15.220371053361493</v>
      </c>
      <c r="M837" s="27">
        <f t="shared" si="248"/>
        <v>15.169682504177887</v>
      </c>
      <c r="N837" s="27">
        <f t="shared" si="248"/>
        <v>14.967111251021194</v>
      </c>
      <c r="O837" s="27">
        <f t="shared" si="248"/>
        <v>14.673074129931953</v>
      </c>
      <c r="P837" s="27">
        <f t="shared" si="248"/>
        <v>14.293651368256896</v>
      </c>
      <c r="Q837" s="27">
        <f t="shared" si="248"/>
        <v>13.994389539168758</v>
      </c>
      <c r="R837" s="27">
        <f t="shared" si="248"/>
        <v>13.711253827544137</v>
      </c>
      <c r="S837" s="27">
        <f t="shared" si="248"/>
        <v>12.262231428549004</v>
      </c>
      <c r="T837" s="27">
        <f t="shared" si="248"/>
        <v>12.73465794206464</v>
      </c>
      <c r="U837" s="27">
        <f t="shared" si="248"/>
        <v>40.135765944691244</v>
      </c>
      <c r="V837" s="27">
        <f t="shared" si="248"/>
        <v>40.329355964050443</v>
      </c>
      <c r="W837" s="27">
        <f t="shared" si="248"/>
        <v>40.453253097840147</v>
      </c>
      <c r="X837" s="27">
        <f t="shared" si="248"/>
        <v>40.507432110592688</v>
      </c>
      <c r="Y837" s="27">
        <f t="shared" si="248"/>
        <v>40.493040718668887</v>
      </c>
      <c r="Z837" s="27">
        <f t="shared" si="248"/>
        <v>40.409389107608789</v>
      </c>
      <c r="AA837" s="27">
        <f t="shared" si="248"/>
        <v>40.256272365845206</v>
      </c>
      <c r="AB837" s="27">
        <f t="shared" si="248"/>
        <v>40.033817183265413</v>
      </c>
      <c r="AC837" s="27">
        <f t="shared" si="248"/>
        <v>39.742523773077906</v>
      </c>
      <c r="AD837" s="27">
        <f t="shared" si="248"/>
        <v>39.052391122761925</v>
      </c>
      <c r="AE837" s="27">
        <f t="shared" si="248"/>
        <v>38.297252341964814</v>
      </c>
      <c r="AF837" s="27">
        <f t="shared" si="248"/>
        <v>37.480500419129982</v>
      </c>
      <c r="AG837" s="27">
        <f t="shared" si="248"/>
        <v>36.605913882693514</v>
      </c>
      <c r="AH837" s="27">
        <f t="shared" si="248"/>
        <v>35.67751529859683</v>
      </c>
      <c r="AI837" s="27">
        <f t="shared" si="248"/>
        <v>34.699588123562123</v>
      </c>
      <c r="AJ837" s="27">
        <f t="shared" si="248"/>
        <v>-2.6792659907667447</v>
      </c>
      <c r="AK837" s="27">
        <f t="shared" si="248"/>
        <v>-2.6147570082117628</v>
      </c>
      <c r="AL837" s="27">
        <f t="shared" si="248"/>
        <v>-2.5509192087001833</v>
      </c>
      <c r="AM837" s="27">
        <f t="shared" si="248"/>
        <v>-2.4877459989648312</v>
      </c>
      <c r="AN837" s="27">
        <f t="shared" si="248"/>
        <v>-2.4376070910582812</v>
      </c>
      <c r="AO837" s="27">
        <f t="shared" si="248"/>
        <v>-2.3879438055302513</v>
      </c>
      <c r="AP837" s="27">
        <f t="shared" si="248"/>
        <v>-2.3387192042216429</v>
      </c>
      <c r="AQ837" s="27">
        <f t="shared" si="248"/>
        <v>-2.2899210938883474</v>
      </c>
      <c r="AR837" s="27">
        <f t="shared" si="248"/>
        <v>-2.2415137982186422</v>
      </c>
      <c r="AS837" s="27">
        <f t="shared" si="248"/>
        <v>-2.1934623794160584</v>
      </c>
      <c r="AT837" s="27">
        <f t="shared" si="248"/>
        <v>-2.145761226265924</v>
      </c>
      <c r="AU837" s="27">
        <f t="shared" si="248"/>
        <v>-2.0984132858067897</v>
      </c>
      <c r="AV837" s="27">
        <f t="shared" si="248"/>
        <v>-2.0514203658912691</v>
      </c>
      <c r="AW837" s="27">
        <f t="shared" si="248"/>
        <v>-2.0047554755928445</v>
      </c>
      <c r="AY837" s="79"/>
      <c r="AZ837" s="79"/>
    </row>
    <row r="838" spans="1:52" x14ac:dyDescent="0.25">
      <c r="A838" s="95" t="str">
        <f t="shared" si="224"/>
        <v>BD U&amp;D</v>
      </c>
      <c r="B838" s="95" t="s">
        <v>1228</v>
      </c>
      <c r="C838" s="95" t="s">
        <v>1336</v>
      </c>
      <c r="D838" t="s">
        <v>369</v>
      </c>
      <c r="E838" t="s">
        <v>55</v>
      </c>
      <c r="F838" t="s">
        <v>422</v>
      </c>
      <c r="G838" t="s">
        <v>1160</v>
      </c>
      <c r="H838" t="s">
        <v>1244</v>
      </c>
      <c r="I838" t="s">
        <v>139</v>
      </c>
      <c r="J838" t="s">
        <v>287</v>
      </c>
      <c r="K838" s="94">
        <f>IF('Net zero activities &amp; levers'!$C$10="Off",'Activity data'!AD70*UDCPPEF*NtoN2O*kgtoGg,IF('Net zero activities &amp; levers'!$C$10="On",'Net zero Activity data'!AD70*UDCPPEF*NtoN2O*kgtoGg,"ERROR"))</f>
        <v>9.6543103644621429</v>
      </c>
      <c r="L838" s="94">
        <f>IF('Net zero activities &amp; levers'!$C$10="Off",'Activity data'!AE70*UDCPPEF*NtoN2O*kgtoGg,IF('Net zero activities &amp; levers'!$C$10="On",'Net zero Activity data'!AE70*UDCPPEF*NtoN2O*kgtoGg,"ERROR"))</f>
        <v>9.5705816138517683</v>
      </c>
      <c r="M838" s="94">
        <f>IF('Net zero activities &amp; levers'!$C$10="Off",'Activity data'!AF70*UDCPPEF*NtoN2O*kgtoGg,IF('Net zero activities &amp; levers'!$C$10="On",'Net zero Activity data'!AF70*UDCPPEF*NtoN2O*kgtoGg,"ERROR"))</f>
        <v>9.5387086131772989</v>
      </c>
      <c r="N838" s="94">
        <f>IF('Net zero activities &amp; levers'!$C$10="Off",'Activity data'!AG70*UDCPPEF*NtoN2O*kgtoGg,IF('Net zero activities &amp; levers'!$C$10="On",'Net zero Activity data'!AG70*UDCPPEF*NtoN2O*kgtoGg,"ERROR"))</f>
        <v>9.4113316455488931</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8.987859527224467</v>
      </c>
      <c r="Q838" s="94">
        <f>IF('Net zero activities &amp; levers'!$C$10="Off",'Activity data'!AJ70*UDCPPEF*NtoN2O*kgtoGg,IF('Net zero activities &amp; levers'!$C$10="On",'Net zero Activity data'!AJ70*UDCPPEF*NtoN2O*kgtoGg,"ERROR"))</f>
        <v>8.7996834473406569</v>
      </c>
      <c r="R838" s="94">
        <f>IF('Net zero activities &amp; levers'!$C$10="Off",'Activity data'!AK70*UDCPPEF*NtoN2O*kgtoGg,IF('Net zero activities &amp; levers'!$C$10="On",'Net zero Activity data'!AK70*UDCPPEF*NtoN2O*kgtoGg,"ERROR"))</f>
        <v>8.6216474831450949</v>
      </c>
      <c r="S838" s="94">
        <f>IF('Net zero activities &amp; levers'!$C$10="Off",'Activity data'!AL70*UDCPPEF*NtoN2O*kgtoGg,IF('Net zero activities &amp; levers'!$C$10="On",'Net zero Activity data'!AL70*UDCPPEF*NtoN2O*kgtoGg,"ERROR"))</f>
        <v>7.7105010280907447</v>
      </c>
      <c r="T838" s="94">
        <f>IF('Net zero activities &amp; levers'!$C$10="Off",'Activity data'!AM70*UDCPPEF*NtoN2O*kgtoGg,IF('Net zero activities &amp; levers'!$C$10="On",'Net zero Activity data'!AM70*UDCPPEF*NtoN2O*kgtoGg,"ERROR"))</f>
        <v>8.0075632014304841</v>
      </c>
      <c r="U838" s="94">
        <f>IF('Net zero activities &amp; levers'!$C$10="Off",'Activity data'!AN70*UDCPPEF*NtoN2O*kgtoGg,IF('Net zero activities &amp; levers'!$C$10="On",'Net zero Activity data'!AN70*UDCPPEF*NtoN2O*kgtoGg,"ERROR"))</f>
        <v>25.237402048965457</v>
      </c>
      <c r="V838" s="94">
        <f>IF('Net zero activities &amp; levers'!$C$10="Off",'Activity data'!AO70*UDCPPEF*NtoN2O*kgtoGg,IF('Net zero activities &amp; levers'!$C$10="On",'Net zero Activity data'!AO70*UDCPPEF*NtoN2O*kgtoGg,"ERROR"))</f>
        <v>25.359131609526678</v>
      </c>
      <c r="W838" s="94">
        <f>IF('Net zero activities &amp; levers'!$C$10="Off",'Activity data'!AP70*UDCPPEF*NtoN2O*kgtoGg,IF('Net zero activities &amp; levers'!$C$10="On",'Net zero Activity data'!AP70*UDCPPEF*NtoN2O*kgtoGg,"ERROR"))</f>
        <v>25.43703822734167</v>
      </c>
      <c r="X838" s="94">
        <f>IF('Net zero activities &amp; levers'!$C$10="Off",'Activity data'!AQ70*UDCPPEF*NtoN2O*kgtoGg,IF('Net zero activities &amp; levers'!$C$10="On",'Net zero Activity data'!AQ70*UDCPPEF*NtoN2O*kgtoGg,"ERROR"))</f>
        <v>25.471106034328002</v>
      </c>
      <c r="Y838" s="94">
        <f>IF('Net zero activities &amp; levers'!$C$10="Off",'Activity data'!AR70*UDCPPEF*NtoN2O*kgtoGg,IF('Net zero activities &amp; levers'!$C$10="On",'Net zero Activity data'!AR70*UDCPPEF*NtoN2O*kgtoGg,"ERROR"))</f>
        <v>25.462056715460484</v>
      </c>
      <c r="Z838" s="94">
        <f>IF('Net zero activities &amp; levers'!$C$10="Off",'Activity data'!AS70*UDCPPEF*NtoN2O*kgtoGg,IF('Net zero activities &amp; levers'!$C$10="On",'Net zero Activity data'!AS70*UDCPPEF*NtoN2O*kgtoGg,"ERROR"))</f>
        <v>25.40945651484947</v>
      </c>
      <c r="AA838" s="94">
        <f>IF('Net zero activities &amp; levers'!$C$10="Off",'Activity data'!AT70*UDCPPEF*NtoN2O*kgtoGg,IF('Net zero activities &amp; levers'!$C$10="On",'Net zero Activity data'!AT70*UDCPPEF*NtoN2O*kgtoGg,"ERROR"))</f>
        <v>25.313176583935984</v>
      </c>
      <c r="AB838" s="94">
        <f>IF('Net zero activities &amp; levers'!$C$10="Off",'Activity data'!AU70*UDCPPEF*NtoN2O*kgtoGg,IF('Net zero activities &amp; levers'!$C$10="On",'Net zero Activity data'!AU70*UDCPPEF*NtoN2O*kgtoGg,"ERROR"))</f>
        <v>25.173296585423468</v>
      </c>
      <c r="AC838" s="94">
        <f>IF('Net zero activities &amp; levers'!$C$10="Off",'Activity data'!AV70*UDCPPEF*NtoN2O*kgtoGg,IF('Net zero activities &amp; levers'!$C$10="On",'Net zero Activity data'!AV70*UDCPPEF*NtoN2O*kgtoGg,"ERROR"))</f>
        <v>24.9901310537815</v>
      </c>
      <c r="AD838" s="94">
        <f>IF('Net zero activities &amp; levers'!$C$10="Off",'Activity data'!AW70*UDCPPEF*NtoN2O*kgtoGg,IF('Net zero activities &amp; levers'!$C$10="On",'Net zero Activity data'!AW70*UDCPPEF*NtoN2O*kgtoGg,"ERROR"))</f>
        <v>24.5561750857518</v>
      </c>
      <c r="AE838" s="94">
        <f>IF('Net zero activities &amp; levers'!$C$10="Off",'Activity data'!AX70*UDCPPEF*NtoN2O*kgtoGg,IF('Net zero activities &amp; levers'!$C$10="On",'Net zero Activity data'!AX70*UDCPPEF*NtoN2O*kgtoGg,"ERROR"))</f>
        <v>24.081343210361542</v>
      </c>
      <c r="AF838" s="94">
        <f>IF('Net zero activities &amp; levers'!$C$10="Off",'Activity data'!AY70*UDCPPEF*NtoN2O*kgtoGg,IF('Net zero activities &amp; levers'!$C$10="On",'Net zero Activity data'!AY70*UDCPPEF*NtoN2O*kgtoGg,"ERROR"))</f>
        <v>23.567768941484907</v>
      </c>
      <c r="AG838" s="94">
        <f>IF('Net zero activities &amp; levers'!$C$10="Off",'Activity data'!AZ70*UDCPPEF*NtoN2O*kgtoGg,IF('Net zero activities &amp; levers'!$C$10="On",'Net zero Activity data'!AZ70*UDCPPEF*NtoN2O*kgtoGg,"ERROR"))</f>
        <v>23.017828220854938</v>
      </c>
      <c r="AH838" s="94">
        <f>IF('Net zero activities &amp; levers'!$C$10="Off",'Activity data'!BA70*UDCPPEF*NtoN2O*kgtoGg,IF('Net zero activities &amp; levers'!$C$10="On",'Net zero Activity data'!BA70*UDCPPEF*NtoN2O*kgtoGg,"ERROR"))</f>
        <v>22.434050441185143</v>
      </c>
      <c r="AI838" s="94">
        <f>IF('Net zero activities &amp; levers'!$C$10="Off",'Activity data'!BB70*UDCPPEF*NtoN2O*kgtoGg,IF('Net zero activities &amp; levers'!$C$10="On",'Net zero Activity data'!BB70*UDCPPEF*NtoN2O*kgtoGg,"ERROR"))</f>
        <v>21.819129043522761</v>
      </c>
      <c r="AJ838" s="94">
        <f>IF('Net zero activities &amp; levers'!$C$10="Off",'Activity data'!BC70*UDCPPEF*NtoN2O*kgtoGg,IF('Net zero activities &amp; levers'!$C$10="On",'Net zero Activity data'!BC70*UDCPPEF*NtoN2O*kgtoGg,"ERROR"))</f>
        <v>-1.6847246193901004</v>
      </c>
      <c r="AK838" s="94">
        <f>IF('Net zero activities &amp; levers'!$C$10="Off",'Activity data'!BD70*UDCPPEF*NtoN2O*kgtoGg,IF('Net zero activities &amp; levers'!$C$10="On",'Net zero Activity data'!BD70*UDCPPEF*NtoN2O*kgtoGg,"ERROR"))</f>
        <v>-1.644161319047128</v>
      </c>
      <c r="AL838" s="94">
        <f>IF('Net zero activities &amp; levers'!$C$10="Off",'Activity data'!BE70*UDCPPEF*NtoN2O*kgtoGg,IF('Net zero activities &amp; levers'!$C$10="On",'Net zero Activity data'!BE70*UDCPPEF*NtoN2O*kgtoGg,"ERROR"))</f>
        <v>-1.6040200591440494</v>
      </c>
      <c r="AM838" s="94">
        <f>IF('Net zero activities &amp; levers'!$C$10="Off",'Activity data'!BF70*UDCPPEF*NtoN2O*kgtoGg,IF('Net zero activities &amp; levers'!$C$10="On",'Net zero Activity data'!BF70*UDCPPEF*NtoN2O*kgtoGg,"ERROR"))</f>
        <v>-1.5642966938291387</v>
      </c>
      <c r="AN838" s="94">
        <f>IF('Net zero activities &amp; levers'!$C$10="Off",'Activity data'!BG70*UDCPPEF*NtoN2O*kgtoGg,IF('Net zero activities &amp; levers'!$C$10="On",'Net zero Activity data'!BG70*UDCPPEF*NtoN2O*kgtoGg,"ERROR"))</f>
        <v>-1.5327693080337013</v>
      </c>
      <c r="AO838" s="94">
        <f>IF('Net zero activities &amp; levers'!$C$10="Off",'Activity data'!BH70*UDCPPEF*NtoN2O*kgtoGg,IF('Net zero activities &amp; levers'!$C$10="On",'Net zero Activity data'!BH70*UDCPPEF*NtoN2O*kgtoGg,"ERROR"))</f>
        <v>-1.5015409939741007</v>
      </c>
      <c r="AP838" s="94">
        <f>IF('Net zero activities &amp; levers'!$C$10="Off",'Activity data'!BI70*UDCPPEF*NtoN2O*kgtoGg,IF('Net zero activities &amp; levers'!$C$10="On",'Net zero Activity data'!BI70*UDCPPEF*NtoN2O*kgtoGg,"ERROR"))</f>
        <v>-1.4705885249060549</v>
      </c>
      <c r="AQ838" s="94">
        <f>IF('Net zero activities &amp; levers'!$C$10="Off",'Activity data'!BJ70*UDCPPEF*NtoN2O*kgtoGg,IF('Net zero activities &amp; levers'!$C$10="On",'Net zero Activity data'!BJ70*UDCPPEF*NtoN2O*kgtoGg,"ERROR"))</f>
        <v>-1.4399042337078187</v>
      </c>
      <c r="AR838" s="94">
        <f>IF('Net zero activities &amp; levers'!$C$10="Off",'Activity data'!BK70*UDCPPEF*NtoN2O*kgtoGg,IF('Net zero activities &amp; levers'!$C$10="On",'Net zero Activity data'!BK70*UDCPPEF*NtoN2O*kgtoGg,"ERROR"))</f>
        <v>-1.4094656870857605</v>
      </c>
      <c r="AS838" s="94">
        <f>IF('Net zero activities &amp; levers'!$C$10="Off",'Activity data'!BL70*UDCPPEF*NtoN2O*kgtoGg,IF('Net zero activities &amp; levers'!$C$10="On",'Net zero Activity data'!BL70*UDCPPEF*NtoN2O*kgtoGg,"ERROR"))</f>
        <v>-1.3792509161252371</v>
      </c>
      <c r="AT838" s="94">
        <f>IF('Net zero activities &amp; levers'!$C$10="Off",'Activity data'!BM70*UDCPPEF*NtoN2O*kgtoGg,IF('Net zero activities &amp; levers'!$C$10="On",'Net zero Activity data'!BM70*UDCPPEF*NtoN2O*kgtoGg,"ERROR"))</f>
        <v>-1.3492563924899292</v>
      </c>
      <c r="AU838" s="94">
        <f>IF('Net zero activities &amp; levers'!$C$10="Off",'Activity data'!BN70*UDCPPEF*NtoN2O*kgtoGg,IF('Net zero activities &amp; levers'!$C$10="On",'Net zero Activity data'!BN70*UDCPPEF*NtoN2O*kgtoGg,"ERROR"))</f>
        <v>-1.3194839692800588</v>
      </c>
      <c r="AV838" s="94">
        <f>IF('Net zero activities &amp; levers'!$C$10="Off",'Activity data'!BO70*UDCPPEF*NtoN2O*kgtoGg,IF('Net zero activities &amp; levers'!$C$10="On",'Net zero Activity data'!BO70*UDCPPEF*NtoN2O*kgtoGg,"ERROR"))</f>
        <v>-1.2899347832748098</v>
      </c>
      <c r="AW838" s="94">
        <f>IF('Net zero activities &amp; levers'!$C$10="Off",'Activity data'!BP70*UDCPPEF*NtoN2O*kgtoGg,IF('Net zero activities &amp; levers'!$C$10="On",'Net zero Activity data'!BP70*UDCPPEF*NtoN2O*kgtoGg,"ERROR"))</f>
        <v>-1.2605918625577832</v>
      </c>
      <c r="AY838" s="79"/>
      <c r="AZ838" s="79"/>
    </row>
    <row r="839" spans="1:52" x14ac:dyDescent="0.25">
      <c r="A839" s="95" t="str">
        <f t="shared" si="224"/>
        <v>BD U&amp;D</v>
      </c>
      <c r="B839" s="95" t="s">
        <v>1228</v>
      </c>
      <c r="C839" s="95" t="s">
        <v>1336</v>
      </c>
      <c r="D839" t="s">
        <v>369</v>
      </c>
      <c r="E839" t="s">
        <v>55</v>
      </c>
      <c r="F839" t="s">
        <v>422</v>
      </c>
      <c r="G839" t="s">
        <v>1162</v>
      </c>
      <c r="H839" t="s">
        <v>1245</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25">
      <c r="A840" s="95" t="str">
        <f t="shared" si="224"/>
        <v>BD U&amp;D</v>
      </c>
      <c r="B840" s="95" t="s">
        <v>1228</v>
      </c>
      <c r="C840" s="95" t="s">
        <v>1336</v>
      </c>
      <c r="D840" t="s">
        <v>369</v>
      </c>
      <c r="E840" t="s">
        <v>55</v>
      </c>
      <c r="F840" t="s">
        <v>422</v>
      </c>
      <c r="G840" t="s">
        <v>1164</v>
      </c>
      <c r="H840" t="s">
        <v>1246</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5.8850501739310754</v>
      </c>
      <c r="T840" s="27">
        <f t="shared" si="250"/>
        <v>5.8889669247946657</v>
      </c>
      <c r="U840" s="27">
        <f t="shared" si="250"/>
        <v>5.9656712357324011</v>
      </c>
      <c r="V840" s="27">
        <f t="shared" si="250"/>
        <v>5.9675423775316272</v>
      </c>
      <c r="W840" s="27">
        <f t="shared" si="250"/>
        <v>5.9755461389464104</v>
      </c>
      <c r="X840" s="27">
        <f t="shared" si="250"/>
        <v>5.9871157703379936</v>
      </c>
      <c r="Y840" s="27">
        <f t="shared" si="250"/>
        <v>5.9978635614207825</v>
      </c>
      <c r="Z840" s="27">
        <f t="shared" si="250"/>
        <v>6.0079225842908377</v>
      </c>
      <c r="AA840" s="27">
        <f t="shared" si="250"/>
        <v>6.0172391996362506</v>
      </c>
      <c r="AB840" s="27">
        <f t="shared" si="250"/>
        <v>6.0258973509268747</v>
      </c>
      <c r="AC840" s="27">
        <f t="shared" si="250"/>
        <v>6.0340283734996341</v>
      </c>
      <c r="AD840" s="27">
        <f t="shared" si="250"/>
        <v>6.0416246060545662</v>
      </c>
      <c r="AE840" s="27">
        <f t="shared" si="250"/>
        <v>6.0488075465649391</v>
      </c>
      <c r="AF840" s="27">
        <f t="shared" si="250"/>
        <v>6.0555945824734003</v>
      </c>
      <c r="AG840" s="27">
        <f t="shared" si="250"/>
        <v>6.0618926896286194</v>
      </c>
      <c r="AH840" s="27">
        <f t="shared" si="250"/>
        <v>6.0677594816606231</v>
      </c>
      <c r="AI840" s="27">
        <f t="shared" si="250"/>
        <v>6.0732885536184407</v>
      </c>
      <c r="AJ840" s="27">
        <f t="shared" si="250"/>
        <v>5.9400031784362666</v>
      </c>
      <c r="AK840" s="27">
        <f t="shared" si="250"/>
        <v>5.9454655494945321</v>
      </c>
      <c r="AL840" s="27">
        <f t="shared" si="250"/>
        <v>5.9505605357080302</v>
      </c>
      <c r="AM840" s="27">
        <f t="shared" si="250"/>
        <v>5.9553192750142969</v>
      </c>
      <c r="AN840" s="27">
        <f t="shared" si="250"/>
        <v>5.9597796192711163</v>
      </c>
      <c r="AO840" s="27">
        <f t="shared" si="250"/>
        <v>5.9638242432933737</v>
      </c>
      <c r="AP840" s="27">
        <f t="shared" si="250"/>
        <v>5.9673747960452372</v>
      </c>
      <c r="AQ840" s="27">
        <f t="shared" si="250"/>
        <v>5.9704198015060506</v>
      </c>
      <c r="AR840" s="27">
        <f t="shared" si="250"/>
        <v>5.9728700974873359</v>
      </c>
      <c r="AS840" s="27">
        <f t="shared" si="250"/>
        <v>5.9746287671291771</v>
      </c>
      <c r="AT840" s="27">
        <f t="shared" si="250"/>
        <v>5.9756848810921417</v>
      </c>
      <c r="AU840" s="27">
        <f t="shared" si="250"/>
        <v>5.9760535038151961</v>
      </c>
      <c r="AV840" s="27">
        <f t="shared" si="250"/>
        <v>5.9757454176187608</v>
      </c>
      <c r="AW840" s="27">
        <f t="shared" si="250"/>
        <v>5.9746694018004627</v>
      </c>
      <c r="AY840" s="79"/>
      <c r="AZ840" s="79"/>
    </row>
    <row r="841" spans="1:52" x14ac:dyDescent="0.25">
      <c r="A841" s="95" t="str">
        <f t="shared" si="224"/>
        <v>BD U&amp;D</v>
      </c>
      <c r="B841" s="95" t="s">
        <v>1228</v>
      </c>
      <c r="C841" s="95" t="s">
        <v>1336</v>
      </c>
      <c r="D841" t="s">
        <v>369</v>
      </c>
      <c r="E841" t="s">
        <v>55</v>
      </c>
      <c r="F841" t="s">
        <v>422</v>
      </c>
      <c r="G841" t="s">
        <v>1166</v>
      </c>
      <c r="H841" t="s">
        <v>1247</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0.65694536678362214</v>
      </c>
      <c r="T841" s="27">
        <f t="shared" si="251"/>
        <v>0.65738259182956638</v>
      </c>
      <c r="U841" s="27">
        <f t="shared" si="251"/>
        <v>0.66594505777184321</v>
      </c>
      <c r="V841" s="27">
        <f t="shared" si="251"/>
        <v>0.66615393244568089</v>
      </c>
      <c r="W841" s="27">
        <f t="shared" si="251"/>
        <v>0.66704738854594903</v>
      </c>
      <c r="X841" s="27">
        <f t="shared" si="251"/>
        <v>0.66833890102476579</v>
      </c>
      <c r="Y841" s="27">
        <f t="shared" si="251"/>
        <v>0.66953867185871263</v>
      </c>
      <c r="Z841" s="27">
        <f t="shared" si="251"/>
        <v>0.67066155582291842</v>
      </c>
      <c r="AA841" s="27">
        <f t="shared" si="251"/>
        <v>0.67170156518637059</v>
      </c>
      <c r="AB841" s="27">
        <f t="shared" si="251"/>
        <v>0.67266807051889643</v>
      </c>
      <c r="AC841" s="27">
        <f t="shared" si="251"/>
        <v>0.67357573272202431</v>
      </c>
      <c r="AD841" s="27">
        <f t="shared" si="251"/>
        <v>0.67442369656846346</v>
      </c>
      <c r="AE841" s="27">
        <f t="shared" si="251"/>
        <v>0.67522552481949083</v>
      </c>
      <c r="AF841" s="27">
        <f t="shared" si="251"/>
        <v>0.67598315842710355</v>
      </c>
      <c r="AG841" s="27">
        <f t="shared" si="251"/>
        <v>0.676686213149297</v>
      </c>
      <c r="AH841" s="27">
        <f t="shared" si="251"/>
        <v>0.67734112036833483</v>
      </c>
      <c r="AI841" s="27">
        <f t="shared" si="251"/>
        <v>0.67795832805526179</v>
      </c>
      <c r="AJ841" s="27">
        <f t="shared" si="251"/>
        <v>0.66307974467906339</v>
      </c>
      <c r="AK841" s="27">
        <f t="shared" si="251"/>
        <v>0.66368950657612846</v>
      </c>
      <c r="AL841" s="27">
        <f t="shared" si="251"/>
        <v>0.6642582574767768</v>
      </c>
      <c r="AM841" s="27">
        <f t="shared" si="251"/>
        <v>0.66478947329424454</v>
      </c>
      <c r="AN841" s="27">
        <f t="shared" si="251"/>
        <v>0.66528737941350879</v>
      </c>
      <c r="AO841" s="27">
        <f t="shared" si="251"/>
        <v>0.66573887887965999</v>
      </c>
      <c r="AP841" s="27">
        <f t="shared" si="251"/>
        <v>0.66613522540363546</v>
      </c>
      <c r="AQ841" s="27">
        <f t="shared" si="251"/>
        <v>0.66647513792267787</v>
      </c>
      <c r="AR841" s="27">
        <f t="shared" si="251"/>
        <v>0.66674866330386928</v>
      </c>
      <c r="AS841" s="27">
        <f t="shared" si="251"/>
        <v>0.6669449827639865</v>
      </c>
      <c r="AT841" s="27">
        <f t="shared" si="251"/>
        <v>0.66706287626604011</v>
      </c>
      <c r="AU841" s="27">
        <f t="shared" si="251"/>
        <v>0.6671040254462246</v>
      </c>
      <c r="AV841" s="27">
        <f t="shared" si="251"/>
        <v>0.66706963392986762</v>
      </c>
      <c r="AW841" s="27">
        <f t="shared" si="251"/>
        <v>0.66694951879311848</v>
      </c>
      <c r="AY841" s="79"/>
      <c r="AZ841" s="79"/>
    </row>
    <row r="842" spans="1:52" x14ac:dyDescent="0.25">
      <c r="A842" s="95" t="str">
        <f t="shared" si="224"/>
        <v>BD U&amp;D</v>
      </c>
      <c r="B842" s="95" t="s">
        <v>1228</v>
      </c>
      <c r="C842" s="95" t="s">
        <v>1336</v>
      </c>
      <c r="D842" t="s">
        <v>369</v>
      </c>
      <c r="E842" t="s">
        <v>55</v>
      </c>
      <c r="F842" t="s">
        <v>422</v>
      </c>
      <c r="G842" t="s">
        <v>1168</v>
      </c>
      <c r="H842" t="s">
        <v>1248</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0.73708994755228441</v>
      </c>
      <c r="R842" s="27">
        <f t="shared" si="252"/>
        <v>0.74193942345928476</v>
      </c>
      <c r="S842" s="27">
        <f t="shared" si="252"/>
        <v>0.74013020273035457</v>
      </c>
      <c r="T842" s="27">
        <f t="shared" si="252"/>
        <v>0.74134144539721225</v>
      </c>
      <c r="U842" s="27">
        <f t="shared" si="252"/>
        <v>0.75637233627465528</v>
      </c>
      <c r="V842" s="27">
        <f t="shared" si="252"/>
        <v>0.75705141377161567</v>
      </c>
      <c r="W842" s="27">
        <f t="shared" si="252"/>
        <v>0.7588492807776368</v>
      </c>
      <c r="X842" s="27">
        <f t="shared" si="252"/>
        <v>0.76127573486462674</v>
      </c>
      <c r="Y842" s="27">
        <f t="shared" si="252"/>
        <v>0.76350113172742184</v>
      </c>
      <c r="Z842" s="27">
        <f t="shared" si="252"/>
        <v>0.76555488722735199</v>
      </c>
      <c r="AA842" s="27">
        <f t="shared" si="252"/>
        <v>0.76743070192723151</v>
      </c>
      <c r="AB842" s="27">
        <f t="shared" si="252"/>
        <v>0.76914783818331145</v>
      </c>
      <c r="AC842" s="27">
        <f t="shared" si="252"/>
        <v>0.77073400076292786</v>
      </c>
      <c r="AD842" s="27">
        <f t="shared" si="252"/>
        <v>0.77219046763440091</v>
      </c>
      <c r="AE842" s="27">
        <f t="shared" si="252"/>
        <v>0.77354238750921345</v>
      </c>
      <c r="AF842" s="27">
        <f t="shared" si="252"/>
        <v>0.77479516156173556</v>
      </c>
      <c r="AG842" s="27">
        <f t="shared" si="252"/>
        <v>0.77593349397844169</v>
      </c>
      <c r="AH842" s="27">
        <f t="shared" si="252"/>
        <v>0.77696999137205336</v>
      </c>
      <c r="AI842" s="27">
        <f t="shared" si="252"/>
        <v>0.77792369769702041</v>
      </c>
      <c r="AJ842" s="27">
        <f t="shared" si="252"/>
        <v>0.75322819608955549</v>
      </c>
      <c r="AK842" s="27">
        <f t="shared" si="252"/>
        <v>0.7541800771600401</v>
      </c>
      <c r="AL842" s="27">
        <f t="shared" si="252"/>
        <v>0.75504675193645199</v>
      </c>
      <c r="AM842" s="27">
        <f t="shared" si="252"/>
        <v>0.75583523459809387</v>
      </c>
      <c r="AN842" s="27">
        <f t="shared" si="252"/>
        <v>0.75655364806293945</v>
      </c>
      <c r="AO842" s="27">
        <f t="shared" si="252"/>
        <v>0.75718159798131446</v>
      </c>
      <c r="AP842" s="27">
        <f t="shared" si="252"/>
        <v>0.75770589154537149</v>
      </c>
      <c r="AQ842" s="27">
        <f t="shared" si="252"/>
        <v>0.75812556559779631</v>
      </c>
      <c r="AR842" s="27">
        <f t="shared" si="252"/>
        <v>0.75842546765792429</v>
      </c>
      <c r="AS842" s="27">
        <f t="shared" si="252"/>
        <v>0.75858908792613033</v>
      </c>
      <c r="AT842" s="27">
        <f t="shared" si="252"/>
        <v>0.7586155821106717</v>
      </c>
      <c r="AU842" s="27">
        <f t="shared" si="252"/>
        <v>0.75850877673067174</v>
      </c>
      <c r="AV842" s="27">
        <f t="shared" si="252"/>
        <v>0.75827165867074431</v>
      </c>
      <c r="AW842" s="27">
        <f t="shared" si="252"/>
        <v>0.75788873758895325</v>
      </c>
      <c r="AY842" s="79"/>
      <c r="AZ842" s="79"/>
    </row>
    <row r="843" spans="1:52" x14ac:dyDescent="0.25">
      <c r="A843" s="95" t="str">
        <f t="shared" si="224"/>
        <v>BD U&amp;D</v>
      </c>
      <c r="B843" s="95" t="s">
        <v>1228</v>
      </c>
      <c r="C843" s="95" t="s">
        <v>1336</v>
      </c>
      <c r="D843" t="s">
        <v>369</v>
      </c>
      <c r="E843" t="s">
        <v>55</v>
      </c>
      <c r="F843" t="s">
        <v>422</v>
      </c>
      <c r="G843" t="s">
        <v>1170</v>
      </c>
      <c r="H843" t="s">
        <v>1249</v>
      </c>
      <c r="I843" t="s">
        <v>139</v>
      </c>
      <c r="J843" t="s">
        <v>287</v>
      </c>
      <c r="K843" s="27">
        <f t="shared" ref="K843:AW843" si="253">K1491</f>
        <v>1.1867254191644503</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1.2198688909683484</v>
      </c>
      <c r="R843" s="27">
        <f t="shared" si="253"/>
        <v>1.2278946750888551</v>
      </c>
      <c r="S843" s="27">
        <f t="shared" si="253"/>
        <v>1.2249004515324955</v>
      </c>
      <c r="T843" s="27">
        <f t="shared" si="253"/>
        <v>1.2269050335426288</v>
      </c>
      <c r="U843" s="27">
        <f t="shared" si="253"/>
        <v>1.2517808526279679</v>
      </c>
      <c r="V843" s="27">
        <f t="shared" si="253"/>
        <v>1.2529047120915915</v>
      </c>
      <c r="W843" s="27">
        <f t="shared" si="253"/>
        <v>1.2558801454671604</v>
      </c>
      <c r="X843" s="27">
        <f t="shared" si="253"/>
        <v>1.2598958776934803</v>
      </c>
      <c r="Y843" s="27">
        <f t="shared" si="253"/>
        <v>1.2635788642977572</v>
      </c>
      <c r="Z843" s="27">
        <f t="shared" si="253"/>
        <v>1.2669777879329793</v>
      </c>
      <c r="AA843" s="27">
        <f t="shared" si="253"/>
        <v>1.270082223158562</v>
      </c>
      <c r="AB843" s="27">
        <f t="shared" si="253"/>
        <v>1.2729240487828319</v>
      </c>
      <c r="AC843" s="27">
        <f t="shared" si="253"/>
        <v>1.2755491156329737</v>
      </c>
      <c r="AD843" s="27">
        <f t="shared" si="253"/>
        <v>1.2779595387205978</v>
      </c>
      <c r="AE843" s="27">
        <f t="shared" si="253"/>
        <v>1.2801969386523735</v>
      </c>
      <c r="AF843" s="27">
        <f t="shared" si="253"/>
        <v>1.2822702542621691</v>
      </c>
      <c r="AG843" s="27">
        <f t="shared" si="253"/>
        <v>1.2841541712892999</v>
      </c>
      <c r="AH843" s="27">
        <f t="shared" si="253"/>
        <v>1.2858695534217459</v>
      </c>
      <c r="AI843" s="27">
        <f t="shared" si="253"/>
        <v>1.2874479180172889</v>
      </c>
      <c r="AJ843" s="27">
        <f t="shared" si="253"/>
        <v>1.2465773644873634</v>
      </c>
      <c r="AK843" s="27">
        <f t="shared" si="253"/>
        <v>1.2481527083238142</v>
      </c>
      <c r="AL843" s="27">
        <f t="shared" si="253"/>
        <v>1.249587037474337</v>
      </c>
      <c r="AM843" s="27">
        <f t="shared" si="253"/>
        <v>1.2508919602632027</v>
      </c>
      <c r="AN843" s="27">
        <f t="shared" si="253"/>
        <v>1.2520809199546599</v>
      </c>
      <c r="AO843" s="27">
        <f t="shared" si="253"/>
        <v>1.25312016431426</v>
      </c>
      <c r="AP843" s="27">
        <f t="shared" si="253"/>
        <v>1.2539878595129963</v>
      </c>
      <c r="AQ843" s="27">
        <f t="shared" si="253"/>
        <v>1.2546824115450788</v>
      </c>
      <c r="AR843" s="27">
        <f t="shared" si="253"/>
        <v>1.255178743362793</v>
      </c>
      <c r="AS843" s="27">
        <f t="shared" si="253"/>
        <v>1.2554495315831169</v>
      </c>
      <c r="AT843" s="27">
        <f t="shared" si="253"/>
        <v>1.2554933789203664</v>
      </c>
      <c r="AU843" s="27">
        <f t="shared" si="253"/>
        <v>1.2553166181859641</v>
      </c>
      <c r="AV843" s="27">
        <f t="shared" si="253"/>
        <v>1.2549241926132744</v>
      </c>
      <c r="AW843" s="27">
        <f t="shared" si="253"/>
        <v>1.2542904660010414</v>
      </c>
      <c r="AY843" s="79"/>
      <c r="AZ843" s="79"/>
    </row>
    <row r="844" spans="1:52" x14ac:dyDescent="0.25">
      <c r="A844" s="95" t="str">
        <f t="shared" si="224"/>
        <v>BD U&amp;D</v>
      </c>
      <c r="B844" s="95" t="s">
        <v>1228</v>
      </c>
      <c r="C844" s="95" t="s">
        <v>1336</v>
      </c>
      <c r="D844" t="s">
        <v>369</v>
      </c>
      <c r="E844" t="s">
        <v>55</v>
      </c>
      <c r="F844" t="s">
        <v>422</v>
      </c>
      <c r="G844" t="s">
        <v>1172</v>
      </c>
      <c r="H844" t="s">
        <v>1250</v>
      </c>
      <c r="I844" t="s">
        <v>139</v>
      </c>
      <c r="J844" t="s">
        <v>287</v>
      </c>
      <c r="K844" s="27">
        <f t="shared" ref="K844:AW844" si="254">K1492</f>
        <v>0.19147730421375916</v>
      </c>
      <c r="L844" s="27">
        <f t="shared" si="254"/>
        <v>0.19240499933397137</v>
      </c>
      <c r="M844" s="27">
        <f t="shared" si="254"/>
        <v>0.19381280191845887</v>
      </c>
      <c r="N844" s="27">
        <f t="shared" si="254"/>
        <v>0.19411375969056666</v>
      </c>
      <c r="O844" s="27">
        <f t="shared" si="254"/>
        <v>0.19368291106027899</v>
      </c>
      <c r="P844" s="27">
        <f t="shared" si="254"/>
        <v>0.19253602379697465</v>
      </c>
      <c r="Q844" s="27">
        <f t="shared" si="254"/>
        <v>0.19190012409058904</v>
      </c>
      <c r="R844" s="27">
        <f t="shared" si="254"/>
        <v>0.19132863754616411</v>
      </c>
      <c r="S844" s="27">
        <f t="shared" si="254"/>
        <v>0.18281131471006393</v>
      </c>
      <c r="T844" s="27">
        <f t="shared" si="254"/>
        <v>0.18736784640695911</v>
      </c>
      <c r="U844" s="27">
        <f t="shared" si="254"/>
        <v>0.40219801863685228</v>
      </c>
      <c r="V844" s="27">
        <f t="shared" si="254"/>
        <v>0.40734903420411533</v>
      </c>
      <c r="W844" s="27">
        <f t="shared" si="254"/>
        <v>0.41149752828946928</v>
      </c>
      <c r="X844" s="27">
        <f t="shared" si="254"/>
        <v>0.41483621581205343</v>
      </c>
      <c r="Y844" s="27">
        <f t="shared" si="254"/>
        <v>0.41773635782756013</v>
      </c>
      <c r="Z844" s="27">
        <f t="shared" si="254"/>
        <v>0.42016501076041057</v>
      </c>
      <c r="AA844" s="27">
        <f t="shared" si="254"/>
        <v>0.42210855342477654</v>
      </c>
      <c r="AB844" s="27">
        <f t="shared" si="254"/>
        <v>0.42354330417098807</v>
      </c>
      <c r="AC844" s="27">
        <f t="shared" si="254"/>
        <v>0.42444389710723196</v>
      </c>
      <c r="AD844" s="27">
        <f t="shared" si="254"/>
        <v>0.42480049297226147</v>
      </c>
      <c r="AE844" s="27">
        <f t="shared" si="254"/>
        <v>0.42459446865621531</v>
      </c>
      <c r="AF844" s="27">
        <f t="shared" si="254"/>
        <v>0.42381980556219867</v>
      </c>
      <c r="AG844" s="27">
        <f t="shared" si="254"/>
        <v>0.42248350599041806</v>
      </c>
      <c r="AH844" s="27">
        <f t="shared" si="254"/>
        <v>0.42058207160696442</v>
      </c>
      <c r="AI844" s="27">
        <f t="shared" si="254"/>
        <v>0.41811210592034348</v>
      </c>
      <c r="AJ844" s="27">
        <f t="shared" si="254"/>
        <v>6.1557811520144383E-2</v>
      </c>
      <c r="AK844" s="27">
        <f t="shared" si="254"/>
        <v>6.1557811520144383E-2</v>
      </c>
      <c r="AL844" s="27">
        <f t="shared" si="254"/>
        <v>6.1557811520144383E-2</v>
      </c>
      <c r="AM844" s="27">
        <f t="shared" si="254"/>
        <v>6.1557811520144383E-2</v>
      </c>
      <c r="AN844" s="27">
        <f t="shared" si="254"/>
        <v>6.1557811520144383E-2</v>
      </c>
      <c r="AO844" s="27">
        <f t="shared" si="254"/>
        <v>6.1557811520144383E-2</v>
      </c>
      <c r="AP844" s="27">
        <f t="shared" si="254"/>
        <v>6.1557811520144383E-2</v>
      </c>
      <c r="AQ844" s="27">
        <f t="shared" si="254"/>
        <v>6.1557811520144383E-2</v>
      </c>
      <c r="AR844" s="27">
        <f t="shared" si="254"/>
        <v>6.1557811520144383E-2</v>
      </c>
      <c r="AS844" s="27">
        <f t="shared" si="254"/>
        <v>6.1557811520144383E-2</v>
      </c>
      <c r="AT844" s="27">
        <f t="shared" si="254"/>
        <v>6.1557811520144383E-2</v>
      </c>
      <c r="AU844" s="27">
        <f t="shared" si="254"/>
        <v>6.1557811520144383E-2</v>
      </c>
      <c r="AV844" s="27">
        <f t="shared" si="254"/>
        <v>6.1557811520144383E-2</v>
      </c>
      <c r="AW844" s="27">
        <f t="shared" si="254"/>
        <v>6.1557811520144383E-2</v>
      </c>
      <c r="AY844" s="79"/>
      <c r="AZ844" s="79"/>
    </row>
    <row r="845" spans="1:52" x14ac:dyDescent="0.25">
      <c r="A845" s="95" t="str">
        <f t="shared" si="224"/>
        <v>BD U&amp;D</v>
      </c>
      <c r="B845" s="95" t="s">
        <v>1228</v>
      </c>
      <c r="C845" s="95" t="s">
        <v>1336</v>
      </c>
      <c r="D845" t="s">
        <v>369</v>
      </c>
      <c r="E845" t="s">
        <v>55</v>
      </c>
      <c r="F845" t="s">
        <v>422</v>
      </c>
      <c r="G845" t="s">
        <v>1174</v>
      </c>
      <c r="H845" t="s">
        <v>1251</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25">
      <c r="A846" s="95" t="str">
        <f t="shared" si="224"/>
        <v>BD U&amp;D</v>
      </c>
      <c r="B846" s="95" t="s">
        <v>1228</v>
      </c>
      <c r="C846" s="95" t="s">
        <v>1336</v>
      </c>
      <c r="D846" t="s">
        <v>369</v>
      </c>
      <c r="E846" t="s">
        <v>55</v>
      </c>
      <c r="F846" t="s">
        <v>422</v>
      </c>
      <c r="G846" t="s">
        <v>1176</v>
      </c>
      <c r="H846" t="s">
        <v>1252</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25">
      <c r="A847" s="95" t="str">
        <f t="shared" si="224"/>
        <v>BD U&amp;D</v>
      </c>
      <c r="B847" s="95" t="s">
        <v>1228</v>
      </c>
      <c r="C847" s="95" t="s">
        <v>1336</v>
      </c>
      <c r="D847" t="s">
        <v>369</v>
      </c>
      <c r="E847" t="s">
        <v>55</v>
      </c>
      <c r="F847" t="s">
        <v>422</v>
      </c>
      <c r="G847" t="s">
        <v>1178</v>
      </c>
      <c r="H847" t="s">
        <v>1253</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25">
      <c r="A848" s="95" t="str">
        <f t="shared" si="224"/>
        <v>BD U&amp;D</v>
      </c>
      <c r="B848" s="95" t="s">
        <v>1228</v>
      </c>
      <c r="C848" s="95" t="s">
        <v>1336</v>
      </c>
      <c r="D848" t="s">
        <v>369</v>
      </c>
      <c r="E848" t="s">
        <v>55</v>
      </c>
      <c r="F848" t="s">
        <v>422</v>
      </c>
      <c r="G848" t="s">
        <v>1180</v>
      </c>
      <c r="H848" t="s">
        <v>1254</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25">
      <c r="A849" s="95" t="str">
        <f t="shared" si="224"/>
        <v>BD U&amp;D</v>
      </c>
      <c r="B849" s="95" t="s">
        <v>1228</v>
      </c>
      <c r="C849" s="95" t="s">
        <v>1336</v>
      </c>
      <c r="D849" t="s">
        <v>369</v>
      </c>
      <c r="E849" t="s">
        <v>55</v>
      </c>
      <c r="F849" t="s">
        <v>422</v>
      </c>
      <c r="G849" t="s">
        <v>1182</v>
      </c>
      <c r="H849" t="s">
        <v>1255</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25">
      <c r="A850" s="95" t="str">
        <f t="shared" si="224"/>
        <v>BD FSOM</v>
      </c>
      <c r="B850" s="95" t="s">
        <v>1228</v>
      </c>
      <c r="C850" s="95" t="s">
        <v>60</v>
      </c>
      <c r="D850" t="s">
        <v>369</v>
      </c>
      <c r="E850" t="s">
        <v>55</v>
      </c>
      <c r="F850" t="s">
        <v>60</v>
      </c>
      <c r="G850" t="s">
        <v>1266</v>
      </c>
      <c r="H850" t="s">
        <v>1267</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25">
      <c r="A851" s="95" t="str">
        <f t="shared" si="224"/>
        <v>BD FSOM</v>
      </c>
      <c r="B851" s="95" t="s">
        <v>1228</v>
      </c>
      <c r="C851" s="95" t="s">
        <v>60</v>
      </c>
      <c r="D851" t="s">
        <v>369</v>
      </c>
      <c r="E851" t="s">
        <v>55</v>
      </c>
      <c r="F851" t="s">
        <v>60</v>
      </c>
      <c r="G851" t="s">
        <v>1268</v>
      </c>
      <c r="H851" t="s">
        <v>1269</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25">
      <c r="A852" s="95" t="str">
        <f t="shared" si="224"/>
        <v>BD FSOM</v>
      </c>
      <c r="B852" s="95" t="s">
        <v>1228</v>
      </c>
      <c r="C852" s="95" t="s">
        <v>60</v>
      </c>
      <c r="D852" t="s">
        <v>369</v>
      </c>
      <c r="E852" t="s">
        <v>55</v>
      </c>
      <c r="F852" t="s">
        <v>60</v>
      </c>
      <c r="G852" t="s">
        <v>1270</v>
      </c>
      <c r="H852" t="s">
        <v>1271</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25">
      <c r="A853" s="95" t="str">
        <f t="shared" si="224"/>
        <v>BD FSOM</v>
      </c>
      <c r="B853" s="95" t="s">
        <v>1228</v>
      </c>
      <c r="C853" s="95" t="s">
        <v>60</v>
      </c>
      <c r="D853" t="s">
        <v>369</v>
      </c>
      <c r="E853" t="s">
        <v>55</v>
      </c>
      <c r="F853" t="s">
        <v>60</v>
      </c>
      <c r="G853" t="s">
        <v>1272</v>
      </c>
      <c r="H853" t="s">
        <v>1273</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25">
      <c r="A854" s="95" t="str">
        <f t="shared" si="224"/>
        <v>BD FSOM</v>
      </c>
      <c r="B854" s="95" t="s">
        <v>1228</v>
      </c>
      <c r="C854" s="95" t="s">
        <v>60</v>
      </c>
      <c r="D854" t="s">
        <v>369</v>
      </c>
      <c r="E854" t="s">
        <v>55</v>
      </c>
      <c r="F854" t="s">
        <v>60</v>
      </c>
      <c r="G854" t="s">
        <v>1274</v>
      </c>
      <c r="H854" t="s">
        <v>1275</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25">
      <c r="A855" s="95" t="str">
        <f t="shared" si="224"/>
        <v>BD FSOM</v>
      </c>
      <c r="B855" s="95" t="s">
        <v>1228</v>
      </c>
      <c r="C855" s="95" t="s">
        <v>60</v>
      </c>
      <c r="D855" t="s">
        <v>369</v>
      </c>
      <c r="E855" t="s">
        <v>55</v>
      </c>
      <c r="F855" t="s">
        <v>60</v>
      </c>
      <c r="G855" t="s">
        <v>1276</v>
      </c>
      <c r="H855" t="s">
        <v>1277</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25">
      <c r="A856" s="95" t="str">
        <f t="shared" si="224"/>
        <v>BD FSOM</v>
      </c>
      <c r="B856" s="95" t="s">
        <v>1228</v>
      </c>
      <c r="C856" s="95" t="s">
        <v>60</v>
      </c>
      <c r="D856" t="s">
        <v>369</v>
      </c>
      <c r="E856" t="s">
        <v>55</v>
      </c>
      <c r="F856" t="s">
        <v>60</v>
      </c>
      <c r="G856" t="s">
        <v>1278</v>
      </c>
      <c r="H856" t="s">
        <v>1279</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25">
      <c r="A857" s="95" t="str">
        <f t="shared" si="224"/>
        <v>BD FSOM</v>
      </c>
      <c r="B857" s="95" t="s">
        <v>1228</v>
      </c>
      <c r="C857" s="95" t="s">
        <v>60</v>
      </c>
      <c r="D857" t="s">
        <v>369</v>
      </c>
      <c r="E857" t="s">
        <v>55</v>
      </c>
      <c r="F857" t="s">
        <v>60</v>
      </c>
      <c r="G857" t="s">
        <v>1280</v>
      </c>
      <c r="H857" t="s">
        <v>1281</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25">
      <c r="A858" s="95" t="str">
        <f t="shared" si="224"/>
        <v>BD FSOM</v>
      </c>
      <c r="B858" s="95" t="s">
        <v>1228</v>
      </c>
      <c r="C858" s="95" t="s">
        <v>60</v>
      </c>
      <c r="D858" t="s">
        <v>369</v>
      </c>
      <c r="E858" t="s">
        <v>55</v>
      </c>
      <c r="F858" t="s">
        <v>60</v>
      </c>
      <c r="G858" t="s">
        <v>1282</v>
      </c>
      <c r="H858" t="s">
        <v>1283</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25">
      <c r="A859" s="95" t="str">
        <f t="shared" si="224"/>
        <v>BD FSOM</v>
      </c>
      <c r="B859" s="95" t="s">
        <v>1228</v>
      </c>
      <c r="C859" s="95" t="s">
        <v>60</v>
      </c>
      <c r="D859" t="s">
        <v>369</v>
      </c>
      <c r="E859" t="s">
        <v>55</v>
      </c>
      <c r="F859" t="s">
        <v>60</v>
      </c>
      <c r="G859" t="s">
        <v>1284</v>
      </c>
      <c r="H859" t="s">
        <v>1285</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25">
      <c r="A860" s="95" t="str">
        <f t="shared" ref="A860:A914" si="270">B860&amp;" "&amp;C860</f>
        <v>BD FSOM</v>
      </c>
      <c r="B860" s="95" t="s">
        <v>1228</v>
      </c>
      <c r="C860" s="95" t="s">
        <v>60</v>
      </c>
      <c r="D860" t="s">
        <v>369</v>
      </c>
      <c r="E860" t="s">
        <v>55</v>
      </c>
      <c r="F860" t="s">
        <v>60</v>
      </c>
      <c r="G860" t="s">
        <v>1286</v>
      </c>
      <c r="H860" t="s">
        <v>1287</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25">
      <c r="A861" s="95" t="str">
        <f t="shared" si="270"/>
        <v>BD FSOM</v>
      </c>
      <c r="B861" s="95" t="s">
        <v>1228</v>
      </c>
      <c r="C861" s="95" t="s">
        <v>60</v>
      </c>
      <c r="D861" t="s">
        <v>369</v>
      </c>
      <c r="E861" t="s">
        <v>55</v>
      </c>
      <c r="F861" t="s">
        <v>60</v>
      </c>
      <c r="G861" t="s">
        <v>1288</v>
      </c>
      <c r="H861" t="s">
        <v>1289</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25">
      <c r="A862" s="95" t="str">
        <f t="shared" si="270"/>
        <v>BD Volatilisation</v>
      </c>
      <c r="B862" s="95" t="s">
        <v>1228</v>
      </c>
      <c r="C862" s="95" t="s">
        <v>62</v>
      </c>
      <c r="D862" t="s">
        <v>369</v>
      </c>
      <c r="E862" t="s">
        <v>61</v>
      </c>
      <c r="F862" t="s">
        <v>62</v>
      </c>
      <c r="G862" t="s">
        <v>435</v>
      </c>
      <c r="H862" t="s">
        <v>1184</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0.66035651430821074</v>
      </c>
      <c r="U862" s="27">
        <f t="shared" si="273"/>
        <v>0.66008394987584207</v>
      </c>
      <c r="V862" s="27">
        <f t="shared" si="273"/>
        <v>0.65354261970149441</v>
      </c>
      <c r="W862" s="27">
        <f t="shared" si="273"/>
        <v>0.65337920332710719</v>
      </c>
      <c r="X862" s="27">
        <f t="shared" si="273"/>
        <v>0.65322793572104454</v>
      </c>
      <c r="Y862" s="27">
        <f t="shared" si="273"/>
        <v>0.65308880056970553</v>
      </c>
      <c r="Z862" s="27">
        <f t="shared" si="273"/>
        <v>0.65296169227266498</v>
      </c>
      <c r="AA862" s="27">
        <f t="shared" si="273"/>
        <v>0.65284672118777098</v>
      </c>
      <c r="AB862" s="27">
        <f t="shared" si="273"/>
        <v>0.65274397960506148</v>
      </c>
      <c r="AC862" s="27">
        <f t="shared" si="273"/>
        <v>0.65265355793719104</v>
      </c>
      <c r="AD862" s="27">
        <f t="shared" si="273"/>
        <v>0.65257554079256641</v>
      </c>
      <c r="AE862" s="27">
        <f t="shared" si="273"/>
        <v>0.65250999875184101</v>
      </c>
      <c r="AF862" s="27">
        <f t="shared" si="273"/>
        <v>0.65245700134470697</v>
      </c>
      <c r="AG862" s="27">
        <f t="shared" si="273"/>
        <v>0.65241660651071587</v>
      </c>
      <c r="AH862" s="27">
        <f t="shared" si="273"/>
        <v>0.65238886062718315</v>
      </c>
      <c r="AI862" s="27">
        <f t="shared" si="273"/>
        <v>0.6523738107982866</v>
      </c>
      <c r="AJ862" s="27">
        <f t="shared" si="273"/>
        <v>0.65237149971504915</v>
      </c>
      <c r="AK862" s="27">
        <f t="shared" si="273"/>
        <v>0.6717077011874647</v>
      </c>
      <c r="AL862" s="27">
        <f t="shared" si="273"/>
        <v>0.67172409254060461</v>
      </c>
      <c r="AM862" s="27">
        <f t="shared" si="273"/>
        <v>0.67174011054610017</v>
      </c>
      <c r="AN862" s="27">
        <f t="shared" si="273"/>
        <v>0.67175577706338141</v>
      </c>
      <c r="AO862" s="27">
        <f t="shared" si="273"/>
        <v>0.67177111790148203</v>
      </c>
      <c r="AP862" s="27">
        <f t="shared" si="273"/>
        <v>0.67178606782023664</v>
      </c>
      <c r="AQ862" s="27">
        <f t="shared" si="273"/>
        <v>0.67180058277133392</v>
      </c>
      <c r="AR862" s="27">
        <f t="shared" si="273"/>
        <v>0.67181465717092259</v>
      </c>
      <c r="AS862" s="27">
        <f t="shared" si="273"/>
        <v>0.67182823869267982</v>
      </c>
      <c r="AT862" s="27">
        <f t="shared" si="273"/>
        <v>0.67184126908492714</v>
      </c>
      <c r="AU862" s="27">
        <f t="shared" si="273"/>
        <v>0.67185374065365466</v>
      </c>
      <c r="AV862" s="27">
        <f t="shared" si="273"/>
        <v>0.67186566123512315</v>
      </c>
      <c r="AW862" s="27">
        <f t="shared" si="273"/>
        <v>0.67187703615819216</v>
      </c>
      <c r="AY862" s="79"/>
      <c r="AZ862" s="79"/>
    </row>
    <row r="863" spans="1:52" x14ac:dyDescent="0.25">
      <c r="A863" s="95" t="str">
        <f t="shared" si="270"/>
        <v>BD Volatilisation</v>
      </c>
      <c r="B863" s="95" t="s">
        <v>1228</v>
      </c>
      <c r="C863" s="95" t="s">
        <v>62</v>
      </c>
      <c r="D863" t="s">
        <v>369</v>
      </c>
      <c r="E863" t="s">
        <v>61</v>
      </c>
      <c r="F863" t="s">
        <v>62</v>
      </c>
      <c r="G863" t="s">
        <v>436</v>
      </c>
      <c r="H863" t="s">
        <v>1185</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8.716705988868383E-3</v>
      </c>
      <c r="U863" s="27">
        <f t="shared" si="274"/>
        <v>8.7131081383611166E-3</v>
      </c>
      <c r="V863" s="27">
        <f t="shared" si="274"/>
        <v>8.6267625800597308E-3</v>
      </c>
      <c r="W863" s="27">
        <f t="shared" si="274"/>
        <v>8.624605483917816E-3</v>
      </c>
      <c r="X863" s="27">
        <f t="shared" si="274"/>
        <v>8.6226087515177911E-3</v>
      </c>
      <c r="Y863" s="27">
        <f t="shared" si="274"/>
        <v>8.6207721675201129E-3</v>
      </c>
      <c r="Z863" s="27">
        <f t="shared" si="274"/>
        <v>8.6190943379991763E-3</v>
      </c>
      <c r="AA863" s="27">
        <f t="shared" si="274"/>
        <v>8.6175767196785755E-3</v>
      </c>
      <c r="AB863" s="27">
        <f t="shared" si="274"/>
        <v>8.6162205307868112E-3</v>
      </c>
      <c r="AC863" s="27">
        <f t="shared" si="274"/>
        <v>8.6150269647709242E-3</v>
      </c>
      <c r="AD863" s="27">
        <f t="shared" si="274"/>
        <v>8.6139971384618756E-3</v>
      </c>
      <c r="AE863" s="27">
        <f t="shared" si="274"/>
        <v>8.6131319835243015E-3</v>
      </c>
      <c r="AF863" s="27">
        <f t="shared" si="274"/>
        <v>8.6124324177501328E-3</v>
      </c>
      <c r="AG863" s="27">
        <f t="shared" si="274"/>
        <v>8.6118992059414506E-3</v>
      </c>
      <c r="AH863" s="27">
        <f t="shared" si="274"/>
        <v>8.6115329602788199E-3</v>
      </c>
      <c r="AI863" s="27">
        <f t="shared" si="274"/>
        <v>8.611334302537384E-3</v>
      </c>
      <c r="AJ863" s="27">
        <f t="shared" si="274"/>
        <v>8.6113037962386486E-3</v>
      </c>
      <c r="AK863" s="27">
        <f t="shared" si="274"/>
        <v>8.8665416556745359E-3</v>
      </c>
      <c r="AL863" s="27">
        <f t="shared" si="274"/>
        <v>8.8667580215359802E-3</v>
      </c>
      <c r="AM863" s="27">
        <f t="shared" si="274"/>
        <v>8.8669694592085242E-3</v>
      </c>
      <c r="AN863" s="27">
        <f t="shared" si="274"/>
        <v>8.8671762572366322E-3</v>
      </c>
      <c r="AO863" s="27">
        <f t="shared" si="274"/>
        <v>8.8673787562995633E-3</v>
      </c>
      <c r="AP863" s="27">
        <f t="shared" si="274"/>
        <v>8.8675760952271251E-3</v>
      </c>
      <c r="AQ863" s="27">
        <f t="shared" si="274"/>
        <v>8.8677676925816105E-3</v>
      </c>
      <c r="AR863" s="27">
        <f t="shared" si="274"/>
        <v>8.867953474656182E-3</v>
      </c>
      <c r="AS863" s="27">
        <f t="shared" si="274"/>
        <v>8.8681327507433762E-3</v>
      </c>
      <c r="AT863" s="27">
        <f t="shared" si="274"/>
        <v>8.8683047519210381E-3</v>
      </c>
      <c r="AU863" s="27">
        <f t="shared" si="274"/>
        <v>8.8684693766282394E-3</v>
      </c>
      <c r="AV863" s="27">
        <f t="shared" si="274"/>
        <v>8.8686267283036267E-3</v>
      </c>
      <c r="AW863" s="27">
        <f t="shared" si="274"/>
        <v>8.8687768772881346E-3</v>
      </c>
      <c r="AY863" s="79"/>
      <c r="AZ863" s="79"/>
    </row>
    <row r="864" spans="1:52" x14ac:dyDescent="0.25">
      <c r="A864" s="95" t="str">
        <f t="shared" si="270"/>
        <v>BD Volatilisation</v>
      </c>
      <c r="B864" s="95" t="s">
        <v>1228</v>
      </c>
      <c r="C864" s="95" t="s">
        <v>62</v>
      </c>
      <c r="D864" t="s">
        <v>369</v>
      </c>
      <c r="E864" t="s">
        <v>61</v>
      </c>
      <c r="F864" t="s">
        <v>62</v>
      </c>
      <c r="G864" t="s">
        <v>437</v>
      </c>
      <c r="H864" t="s">
        <v>1186</v>
      </c>
      <c r="I864" t="s">
        <v>139</v>
      </c>
      <c r="J864" t="s">
        <v>287</v>
      </c>
      <c r="K864" s="27">
        <f t="shared" ref="K864:AW864" si="275">K1512</f>
        <v>1.2008407282256135</v>
      </c>
      <c r="L864" s="27">
        <f t="shared" si="275"/>
        <v>1.2019035107607596</v>
      </c>
      <c r="M864" s="27">
        <f t="shared" si="275"/>
        <v>1.2088775122881088</v>
      </c>
      <c r="N864" s="27">
        <f t="shared" si="275"/>
        <v>1.2055442230548157</v>
      </c>
      <c r="O864" s="27">
        <f t="shared" si="275"/>
        <v>1.195843583832628</v>
      </c>
      <c r="P864" s="27">
        <f t="shared" si="275"/>
        <v>1.1799964998501227</v>
      </c>
      <c r="Q864" s="27">
        <f t="shared" si="275"/>
        <v>1.169776622170569</v>
      </c>
      <c r="R864" s="27">
        <f t="shared" si="275"/>
        <v>1.1606871439933113</v>
      </c>
      <c r="S864" s="27">
        <f t="shared" si="275"/>
        <v>1.0648906691667142</v>
      </c>
      <c r="T864" s="27">
        <f t="shared" si="275"/>
        <v>1.1057533797860197</v>
      </c>
      <c r="U864" s="27">
        <f t="shared" si="275"/>
        <v>3.1715891643578864</v>
      </c>
      <c r="V864" s="27">
        <f t="shared" si="275"/>
        <v>3.205817503106533</v>
      </c>
      <c r="W864" s="27">
        <f t="shared" si="275"/>
        <v>3.2352153287252081</v>
      </c>
      <c r="X864" s="27">
        <f t="shared" si="275"/>
        <v>3.2596764998420773</v>
      </c>
      <c r="Y864" s="27">
        <f t="shared" si="275"/>
        <v>3.2791703785538746</v>
      </c>
      <c r="Z864" s="27">
        <f t="shared" si="275"/>
        <v>3.2935488814957896</v>
      </c>
      <c r="AA864" s="27">
        <f t="shared" si="275"/>
        <v>3.3026965587676997</v>
      </c>
      <c r="AB864" s="27">
        <f t="shared" si="275"/>
        <v>3.3065215616671835</v>
      </c>
      <c r="AC864" s="27">
        <f t="shared" si="275"/>
        <v>3.3049591714491218</v>
      </c>
      <c r="AD864" s="27">
        <f t="shared" si="275"/>
        <v>3.2856040880514414</v>
      </c>
      <c r="AE864" s="27">
        <f t="shared" si="275"/>
        <v>3.2609006919876253</v>
      </c>
      <c r="AF864" s="27">
        <f t="shared" si="275"/>
        <v>3.2309381698250323</v>
      </c>
      <c r="AG864" s="27">
        <f t="shared" si="275"/>
        <v>3.1958369771906554</v>
      </c>
      <c r="AH864" s="27">
        <f t="shared" si="275"/>
        <v>3.1557406943377502</v>
      </c>
      <c r="AI864" s="27">
        <f t="shared" si="275"/>
        <v>3.1108181429551416</v>
      </c>
      <c r="AJ864" s="27">
        <f t="shared" si="275"/>
        <v>-7.9927190130914927E-2</v>
      </c>
      <c r="AK864" s="27">
        <f t="shared" si="275"/>
        <v>-7.7482459717295754E-2</v>
      </c>
      <c r="AL864" s="27">
        <f t="shared" si="275"/>
        <v>-7.5056648302161827E-2</v>
      </c>
      <c r="AM864" s="27">
        <f t="shared" si="275"/>
        <v>-7.2650174059267963E-2</v>
      </c>
      <c r="AN864" s="27">
        <f t="shared" si="275"/>
        <v>-7.0723117301040472E-2</v>
      </c>
      <c r="AO864" s="27">
        <f t="shared" si="275"/>
        <v>-6.8807486280089009E-2</v>
      </c>
      <c r="AP864" s="27">
        <f t="shared" si="275"/>
        <v>-6.6901375831276963E-2</v>
      </c>
      <c r="AQ864" s="27">
        <f t="shared" si="275"/>
        <v>-6.5004519075055389E-2</v>
      </c>
      <c r="AR864" s="27">
        <f t="shared" si="275"/>
        <v>-6.3114960679436297E-2</v>
      </c>
      <c r="AS864" s="27">
        <f t="shared" si="275"/>
        <v>-6.1230717258980515E-2</v>
      </c>
      <c r="AT864" s="27">
        <f t="shared" si="275"/>
        <v>-5.9351794077464999E-2</v>
      </c>
      <c r="AU864" s="27">
        <f t="shared" si="275"/>
        <v>-5.7478765169344234E-2</v>
      </c>
      <c r="AV864" s="27">
        <f t="shared" si="275"/>
        <v>-5.5612099659167281E-2</v>
      </c>
      <c r="AW864" s="27">
        <f t="shared" si="275"/>
        <v>-5.3750177084754498E-2</v>
      </c>
      <c r="AY864" s="79"/>
      <c r="AZ864" s="79"/>
    </row>
    <row r="865" spans="1:52" x14ac:dyDescent="0.25">
      <c r="A865" s="95" t="str">
        <f t="shared" si="270"/>
        <v>BD Volatilisation</v>
      </c>
      <c r="B865" s="95" t="s">
        <v>1228</v>
      </c>
      <c r="C865" s="95" t="s">
        <v>62</v>
      </c>
      <c r="D865" t="s">
        <v>369</v>
      </c>
      <c r="E865" t="s">
        <v>61</v>
      </c>
      <c r="F865" t="s">
        <v>62</v>
      </c>
      <c r="G865" t="s">
        <v>438</v>
      </c>
      <c r="H865" t="s">
        <v>1265</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3.9236983289257736</v>
      </c>
      <c r="T865" s="27">
        <f t="shared" si="276"/>
        <v>4.0061959356333121</v>
      </c>
      <c r="U865" s="27">
        <f t="shared" si="276"/>
        <v>8.6703485618299432</v>
      </c>
      <c r="V865" s="27">
        <f t="shared" si="276"/>
        <v>8.7075171611639437</v>
      </c>
      <c r="W865" s="27">
        <f t="shared" si="276"/>
        <v>8.7349231997789492</v>
      </c>
      <c r="X865" s="27">
        <f t="shared" si="276"/>
        <v>8.7517078724202371</v>
      </c>
      <c r="Y865" s="27">
        <f t="shared" si="276"/>
        <v>8.7566246906771106</v>
      </c>
      <c r="Z865" s="27">
        <f t="shared" si="276"/>
        <v>8.749585391639048</v>
      </c>
      <c r="AA865" s="27">
        <f t="shared" si="276"/>
        <v>8.7305224491182276</v>
      </c>
      <c r="AB865" s="27">
        <f t="shared" si="276"/>
        <v>8.6994684257142971</v>
      </c>
      <c r="AC865" s="27">
        <f t="shared" si="276"/>
        <v>8.6565339362109501</v>
      </c>
      <c r="AD865" s="27">
        <f t="shared" si="276"/>
        <v>8.5479552025611873</v>
      </c>
      <c r="AE865" s="27">
        <f t="shared" si="276"/>
        <v>8.4281375273268431</v>
      </c>
      <c r="AF865" s="27">
        <f t="shared" si="276"/>
        <v>8.2976332368638914</v>
      </c>
      <c r="AG865" s="27">
        <f t="shared" si="276"/>
        <v>8.1570247194237986</v>
      </c>
      <c r="AH865" s="27">
        <f t="shared" si="276"/>
        <v>8.0069849414591072</v>
      </c>
      <c r="AI865" s="27">
        <f t="shared" si="276"/>
        <v>7.8482435227169196</v>
      </c>
      <c r="AJ865" s="27">
        <f t="shared" si="276"/>
        <v>1.4117786211897634</v>
      </c>
      <c r="AK865" s="27">
        <f t="shared" si="276"/>
        <v>1.4240848222590068</v>
      </c>
      <c r="AL865" s="27">
        <f t="shared" si="276"/>
        <v>1.4361490833885919</v>
      </c>
      <c r="AM865" s="27">
        <f t="shared" si="276"/>
        <v>1.4479836223342117</v>
      </c>
      <c r="AN865" s="27">
        <f t="shared" si="276"/>
        <v>1.4575869997562623</v>
      </c>
      <c r="AO865" s="27">
        <f t="shared" si="276"/>
        <v>1.4669658638055674</v>
      </c>
      <c r="AP865" s="27">
        <f t="shared" si="276"/>
        <v>1.4761004652334226</v>
      </c>
      <c r="AQ865" s="27">
        <f t="shared" si="276"/>
        <v>1.4849895121905028</v>
      </c>
      <c r="AR865" s="27">
        <f t="shared" si="276"/>
        <v>1.4936094251739955</v>
      </c>
      <c r="AS865" s="27">
        <f t="shared" si="276"/>
        <v>1.5019339292237881</v>
      </c>
      <c r="AT865" s="27">
        <f t="shared" si="276"/>
        <v>1.5099608560757101</v>
      </c>
      <c r="AU865" s="27">
        <f t="shared" si="276"/>
        <v>1.5176953414243965</v>
      </c>
      <c r="AV865" s="27">
        <f t="shared" si="276"/>
        <v>1.5251412376449351</v>
      </c>
      <c r="AW865" s="27">
        <f t="shared" si="276"/>
        <v>1.5322728813191711</v>
      </c>
      <c r="AY865" s="79"/>
      <c r="AZ865" s="79"/>
    </row>
    <row r="866" spans="1:52" x14ac:dyDescent="0.25">
      <c r="A866" s="95" t="str">
        <f t="shared" si="270"/>
        <v>BD Leaching</v>
      </c>
      <c r="B866" s="95" t="s">
        <v>1228</v>
      </c>
      <c r="C866" s="95" t="s">
        <v>1190</v>
      </c>
      <c r="D866" t="s">
        <v>369</v>
      </c>
      <c r="E866" t="s">
        <v>61</v>
      </c>
      <c r="F866" t="s">
        <v>63</v>
      </c>
      <c r="G866" t="s">
        <v>435</v>
      </c>
      <c r="H866" t="s">
        <v>1187</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2.2782299743633269E-4</v>
      </c>
      <c r="U866" s="27">
        <f t="shared" si="277"/>
        <v>2.2772896270716546E-4</v>
      </c>
      <c r="V866" s="27">
        <f t="shared" si="277"/>
        <v>2.2547220379701556E-4</v>
      </c>
      <c r="W866" s="27">
        <f t="shared" si="277"/>
        <v>2.2541582514785201E-4</v>
      </c>
      <c r="X866" s="27">
        <f t="shared" si="277"/>
        <v>2.2536363782376035E-4</v>
      </c>
      <c r="Y866" s="27">
        <f t="shared" si="277"/>
        <v>2.2531563619654834E-4</v>
      </c>
      <c r="Z866" s="27">
        <f t="shared" si="277"/>
        <v>2.252717838340693E-4</v>
      </c>
      <c r="AA866" s="27">
        <f t="shared" si="277"/>
        <v>2.2523211880978096E-4</v>
      </c>
      <c r="AB866" s="27">
        <f t="shared" si="277"/>
        <v>2.2519667296374613E-4</v>
      </c>
      <c r="AC866" s="27">
        <f t="shared" si="277"/>
        <v>2.2516547748833096E-4</v>
      </c>
      <c r="AD866" s="27">
        <f t="shared" si="277"/>
        <v>2.2513856157343538E-4</v>
      </c>
      <c r="AE866" s="27">
        <f t="shared" si="277"/>
        <v>2.2511594956938508E-4</v>
      </c>
      <c r="AF866" s="27">
        <f t="shared" si="277"/>
        <v>2.2509766546392388E-4</v>
      </c>
      <c r="AG866" s="27">
        <f t="shared" si="277"/>
        <v>2.2508372924619698E-4</v>
      </c>
      <c r="AH866" s="27">
        <f t="shared" si="277"/>
        <v>2.2507415691637819E-4</v>
      </c>
      <c r="AI866" s="27">
        <f t="shared" si="277"/>
        <v>2.2506896472540883E-4</v>
      </c>
      <c r="AJ866" s="27">
        <f t="shared" si="277"/>
        <v>2.2506816740169194E-4</v>
      </c>
      <c r="AK866" s="27">
        <f t="shared" si="277"/>
        <v>2.3173915690967529E-4</v>
      </c>
      <c r="AL866" s="27">
        <f t="shared" si="277"/>
        <v>2.3174481192650851E-4</v>
      </c>
      <c r="AM866" s="27">
        <f t="shared" si="277"/>
        <v>2.3175033813840453E-4</v>
      </c>
      <c r="AN866" s="27">
        <f t="shared" si="277"/>
        <v>2.317557430868665E-4</v>
      </c>
      <c r="AO866" s="27">
        <f t="shared" si="277"/>
        <v>2.3176103567601125E-4</v>
      </c>
      <c r="AP866" s="27">
        <f t="shared" si="277"/>
        <v>2.3176619339798155E-4</v>
      </c>
      <c r="AQ866" s="27">
        <f t="shared" si="277"/>
        <v>2.3177120105611021E-4</v>
      </c>
      <c r="AR866" s="27">
        <f t="shared" si="277"/>
        <v>2.3177605672396827E-4</v>
      </c>
      <c r="AS866" s="27">
        <f t="shared" si="277"/>
        <v>2.3178074234897451E-4</v>
      </c>
      <c r="AT866" s="27">
        <f t="shared" si="277"/>
        <v>2.3178523783429981E-4</v>
      </c>
      <c r="AU866" s="27">
        <f t="shared" si="277"/>
        <v>2.3178954052551076E-4</v>
      </c>
      <c r="AV866" s="27">
        <f t="shared" si="277"/>
        <v>2.3179365312611745E-4</v>
      </c>
      <c r="AW866" s="27">
        <f t="shared" si="277"/>
        <v>2.3179757747457624E-4</v>
      </c>
      <c r="AY866" s="79"/>
      <c r="AZ866" s="79"/>
    </row>
    <row r="867" spans="1:52" x14ac:dyDescent="0.25">
      <c r="A867" s="95" t="str">
        <f t="shared" si="270"/>
        <v>BD Leaching</v>
      </c>
      <c r="B867" s="95" t="s">
        <v>1228</v>
      </c>
      <c r="C867" s="95" t="s">
        <v>1190</v>
      </c>
      <c r="D867" t="s">
        <v>369</v>
      </c>
      <c r="E867" t="s">
        <v>61</v>
      </c>
      <c r="F867" t="s">
        <v>63</v>
      </c>
      <c r="G867" t="s">
        <v>436</v>
      </c>
      <c r="H867" t="s">
        <v>1188</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1.5036317830797959E-6</v>
      </c>
      <c r="U867" s="27">
        <f t="shared" si="278"/>
        <v>1.5030111538672925E-6</v>
      </c>
      <c r="V867" s="27">
        <f t="shared" si="278"/>
        <v>1.488116545060303E-6</v>
      </c>
      <c r="W867" s="27">
        <f t="shared" si="278"/>
        <v>1.487744445975823E-6</v>
      </c>
      <c r="X867" s="27">
        <f t="shared" si="278"/>
        <v>1.4874000096368187E-6</v>
      </c>
      <c r="Y867" s="27">
        <f t="shared" si="278"/>
        <v>1.4870831988972194E-6</v>
      </c>
      <c r="Z867" s="27">
        <f t="shared" si="278"/>
        <v>1.4867937733048578E-6</v>
      </c>
      <c r="AA867" s="27">
        <f t="shared" si="278"/>
        <v>1.4865319841445543E-6</v>
      </c>
      <c r="AB867" s="27">
        <f t="shared" si="278"/>
        <v>1.4862980415607246E-6</v>
      </c>
      <c r="AC867" s="27">
        <f t="shared" si="278"/>
        <v>1.4860921514229842E-6</v>
      </c>
      <c r="AD867" s="27">
        <f t="shared" si="278"/>
        <v>1.4859145063846736E-6</v>
      </c>
      <c r="AE867" s="27">
        <f t="shared" si="278"/>
        <v>1.4857652671579419E-6</v>
      </c>
      <c r="AF867" s="27">
        <f t="shared" si="278"/>
        <v>1.4856445920618978E-6</v>
      </c>
      <c r="AG867" s="27">
        <f t="shared" si="278"/>
        <v>1.4855526130249004E-6</v>
      </c>
      <c r="AH867" s="27">
        <f t="shared" si="278"/>
        <v>1.4854894356480966E-6</v>
      </c>
      <c r="AI867" s="27">
        <f t="shared" si="278"/>
        <v>1.4854551671876988E-6</v>
      </c>
      <c r="AJ867" s="27">
        <f t="shared" si="278"/>
        <v>1.4854499048511669E-6</v>
      </c>
      <c r="AK867" s="27">
        <f t="shared" si="278"/>
        <v>1.5294784356038574E-6</v>
      </c>
      <c r="AL867" s="27">
        <f t="shared" si="278"/>
        <v>1.5295157587149565E-6</v>
      </c>
      <c r="AM867" s="27">
        <f t="shared" si="278"/>
        <v>1.5295522317134702E-6</v>
      </c>
      <c r="AN867" s="27">
        <f t="shared" si="278"/>
        <v>1.5295879043733193E-6</v>
      </c>
      <c r="AO867" s="27">
        <f t="shared" si="278"/>
        <v>1.5296228354616745E-6</v>
      </c>
      <c r="AP867" s="27">
        <f t="shared" si="278"/>
        <v>1.5296568764266789E-6</v>
      </c>
      <c r="AQ867" s="27">
        <f t="shared" si="278"/>
        <v>1.5296899269703273E-6</v>
      </c>
      <c r="AR867" s="27">
        <f t="shared" si="278"/>
        <v>1.5297219743781909E-6</v>
      </c>
      <c r="AS867" s="27">
        <f t="shared" si="278"/>
        <v>1.5297528995032323E-6</v>
      </c>
      <c r="AT867" s="27">
        <f t="shared" si="278"/>
        <v>1.529782569706379E-6</v>
      </c>
      <c r="AU867" s="27">
        <f t="shared" si="278"/>
        <v>1.5298109674683716E-6</v>
      </c>
      <c r="AV867" s="27">
        <f t="shared" si="278"/>
        <v>1.5298381106323754E-6</v>
      </c>
      <c r="AW867" s="27">
        <f t="shared" si="278"/>
        <v>1.5298640113322035E-6</v>
      </c>
      <c r="AY867" s="79"/>
      <c r="AZ867" s="79"/>
    </row>
    <row r="868" spans="1:52" x14ac:dyDescent="0.25">
      <c r="A868" s="95" t="str">
        <f t="shared" si="270"/>
        <v>BD Leaching</v>
      </c>
      <c r="B868" s="95" t="s">
        <v>1228</v>
      </c>
      <c r="C868" s="95" t="s">
        <v>1190</v>
      </c>
      <c r="D868" t="s">
        <v>369</v>
      </c>
      <c r="E868" t="s">
        <v>61</v>
      </c>
      <c r="F868" t="s">
        <v>63</v>
      </c>
      <c r="G868" t="s">
        <v>437</v>
      </c>
      <c r="H868" t="s">
        <v>1189</v>
      </c>
      <c r="I868" t="s">
        <v>139</v>
      </c>
      <c r="J868" t="s">
        <v>287</v>
      </c>
      <c r="K868" s="27">
        <f t="shared" ref="K868:AW868" si="279">K1516</f>
        <v>0.20714502561891829</v>
      </c>
      <c r="L868" s="27">
        <f t="shared" si="279"/>
        <v>0.20732835560623103</v>
      </c>
      <c r="M868" s="27">
        <f t="shared" si="279"/>
        <v>0.20853137086969875</v>
      </c>
      <c r="N868" s="27">
        <f t="shared" si="279"/>
        <v>0.20795637847695569</v>
      </c>
      <c r="O868" s="27">
        <f t="shared" si="279"/>
        <v>0.20628301821112832</v>
      </c>
      <c r="P868" s="27">
        <f t="shared" si="279"/>
        <v>0.20354939622414611</v>
      </c>
      <c r="Q868" s="27">
        <f t="shared" si="279"/>
        <v>0.20178646732442315</v>
      </c>
      <c r="R868" s="27">
        <f t="shared" si="279"/>
        <v>0.20021853233884618</v>
      </c>
      <c r="S868" s="27">
        <f t="shared" si="279"/>
        <v>0.18369364043125816</v>
      </c>
      <c r="T868" s="27">
        <f t="shared" si="279"/>
        <v>0.19074245801308834</v>
      </c>
      <c r="U868" s="27">
        <f t="shared" si="279"/>
        <v>0.54709913085173534</v>
      </c>
      <c r="V868" s="27">
        <f t="shared" si="279"/>
        <v>0.55300351928587688</v>
      </c>
      <c r="W868" s="27">
        <f t="shared" si="279"/>
        <v>0.55807464420509822</v>
      </c>
      <c r="X868" s="27">
        <f t="shared" si="279"/>
        <v>0.56229419622275822</v>
      </c>
      <c r="Y868" s="27">
        <f t="shared" si="279"/>
        <v>0.56565689030054322</v>
      </c>
      <c r="Z868" s="27">
        <f t="shared" si="279"/>
        <v>0.56813718205802377</v>
      </c>
      <c r="AA868" s="27">
        <f t="shared" si="279"/>
        <v>0.56971515638742798</v>
      </c>
      <c r="AB868" s="27">
        <f t="shared" si="279"/>
        <v>0.57037496938758903</v>
      </c>
      <c r="AC868" s="27">
        <f t="shared" si="279"/>
        <v>0.57010545707497351</v>
      </c>
      <c r="AD868" s="27">
        <f t="shared" si="279"/>
        <v>0.56676670518887351</v>
      </c>
      <c r="AE868" s="27">
        <f t="shared" si="279"/>
        <v>0.56250536936786533</v>
      </c>
      <c r="AF868" s="27">
        <f t="shared" si="279"/>
        <v>0.55733683429481795</v>
      </c>
      <c r="AG868" s="27">
        <f t="shared" si="279"/>
        <v>0.55128187856538813</v>
      </c>
      <c r="AH868" s="27">
        <f t="shared" si="279"/>
        <v>0.54436526977326183</v>
      </c>
      <c r="AI868" s="27">
        <f t="shared" si="279"/>
        <v>0.53661612965976202</v>
      </c>
      <c r="AJ868" s="27">
        <f t="shared" si="279"/>
        <v>-1.3787440297582821E-2</v>
      </c>
      <c r="AK868" s="27">
        <f t="shared" si="279"/>
        <v>-1.3365724301233515E-2</v>
      </c>
      <c r="AL868" s="27">
        <f t="shared" si="279"/>
        <v>-1.2947271832122912E-2</v>
      </c>
      <c r="AM868" s="27">
        <f t="shared" si="279"/>
        <v>-1.2532155025223722E-2</v>
      </c>
      <c r="AN868" s="27">
        <f t="shared" si="279"/>
        <v>-1.2199737734429479E-2</v>
      </c>
      <c r="AO868" s="27">
        <f t="shared" si="279"/>
        <v>-1.1869291383315354E-2</v>
      </c>
      <c r="AP868" s="27">
        <f t="shared" si="279"/>
        <v>-1.1540487330895275E-2</v>
      </c>
      <c r="AQ868" s="27">
        <f t="shared" si="279"/>
        <v>-1.1213279540447051E-2</v>
      </c>
      <c r="AR868" s="27">
        <f t="shared" si="279"/>
        <v>-1.0887330717202761E-2</v>
      </c>
      <c r="AS868" s="27">
        <f t="shared" si="279"/>
        <v>-1.0562298727174138E-2</v>
      </c>
      <c r="AT868" s="27">
        <f t="shared" si="279"/>
        <v>-1.0238184478362713E-2</v>
      </c>
      <c r="AU868" s="27">
        <f t="shared" si="279"/>
        <v>-9.9150869917118811E-3</v>
      </c>
      <c r="AV868" s="27">
        <f t="shared" si="279"/>
        <v>-9.5930871912063547E-3</v>
      </c>
      <c r="AW868" s="27">
        <f t="shared" si="279"/>
        <v>-9.27190554712015E-3</v>
      </c>
      <c r="AY868" s="79"/>
      <c r="AZ868" s="79"/>
    </row>
    <row r="869" spans="1:52" x14ac:dyDescent="0.25">
      <c r="A869" s="95" t="str">
        <f t="shared" si="270"/>
        <v>BD Leaching</v>
      </c>
      <c r="B869" s="95" t="s">
        <v>1228</v>
      </c>
      <c r="C869" s="95" t="s">
        <v>1190</v>
      </c>
      <c r="D869" t="s">
        <v>369</v>
      </c>
      <c r="E869" t="s">
        <v>61</v>
      </c>
      <c r="F869" t="s">
        <v>63</v>
      </c>
      <c r="G869" t="s">
        <v>438</v>
      </c>
      <c r="H869" t="s">
        <v>1191</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25">
      <c r="A870" s="95" t="str">
        <f t="shared" si="270"/>
        <v>BD Leaching</v>
      </c>
      <c r="B870" s="95" t="s">
        <v>1228</v>
      </c>
      <c r="C870" s="95" t="s">
        <v>1190</v>
      </c>
      <c r="D870" t="s">
        <v>369</v>
      </c>
      <c r="E870" t="s">
        <v>61</v>
      </c>
      <c r="F870" t="s">
        <v>63</v>
      </c>
      <c r="G870" t="s">
        <v>439</v>
      </c>
      <c r="H870" t="s">
        <v>1192</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0.10250223308080923</v>
      </c>
      <c r="U870" s="27">
        <f t="shared" si="281"/>
        <v>0.10320425755524179</v>
      </c>
      <c r="V870" s="27">
        <f t="shared" si="281"/>
        <v>0.12005228808448951</v>
      </c>
      <c r="W870" s="27">
        <f t="shared" si="281"/>
        <v>0.12047318780844027</v>
      </c>
      <c r="X870" s="27">
        <f t="shared" si="281"/>
        <v>0.12086279682940448</v>
      </c>
      <c r="Y870" s="27">
        <f t="shared" si="281"/>
        <v>0.12122115716514245</v>
      </c>
      <c r="Z870" s="27">
        <f t="shared" si="281"/>
        <v>0.12154854080302378</v>
      </c>
      <c r="AA870" s="27">
        <f t="shared" si="281"/>
        <v>0.12184466350232884</v>
      </c>
      <c r="AB870" s="27">
        <f t="shared" si="281"/>
        <v>0.1221092875582894</v>
      </c>
      <c r="AC870" s="27">
        <f t="shared" si="281"/>
        <v>0.12234218010157646</v>
      </c>
      <c r="AD870" s="27">
        <f t="shared" si="281"/>
        <v>0.12254312321244377</v>
      </c>
      <c r="AE870" s="27">
        <f t="shared" si="281"/>
        <v>0.12271193510141119</v>
      </c>
      <c r="AF870" s="27">
        <f t="shared" si="281"/>
        <v>0.12284843668588494</v>
      </c>
      <c r="AG870" s="27">
        <f t="shared" si="281"/>
        <v>0.12295247873515695</v>
      </c>
      <c r="AH870" s="27">
        <f t="shared" si="281"/>
        <v>0.12302394179853401</v>
      </c>
      <c r="AI870" s="27">
        <f t="shared" si="281"/>
        <v>0.12306270455319578</v>
      </c>
      <c r="AJ870" s="27">
        <f t="shared" si="281"/>
        <v>0.12306865704296534</v>
      </c>
      <c r="AK870" s="27">
        <f t="shared" si="281"/>
        <v>7.3265802876620559E-2</v>
      </c>
      <c r="AL870" s="27">
        <f t="shared" si="281"/>
        <v>7.322358485509374E-2</v>
      </c>
      <c r="AM870" s="27">
        <f t="shared" si="281"/>
        <v>7.3182328438063146E-2</v>
      </c>
      <c r="AN870" s="27">
        <f t="shared" si="281"/>
        <v>7.3141977323778182E-2</v>
      </c>
      <c r="AO870" s="27">
        <f t="shared" si="281"/>
        <v>7.3102465037779299E-2</v>
      </c>
      <c r="AP870" s="27">
        <f t="shared" si="281"/>
        <v>7.3063959614436361E-2</v>
      </c>
      <c r="AQ870" s="27">
        <f t="shared" si="281"/>
        <v>7.3026574505796304E-2</v>
      </c>
      <c r="AR870" s="27">
        <f t="shared" si="281"/>
        <v>7.299032409378052E-2</v>
      </c>
      <c r="AS870" s="27">
        <f t="shared" si="281"/>
        <v>7.2955343151510282E-2</v>
      </c>
      <c r="AT870" s="27">
        <f t="shared" si="281"/>
        <v>7.2921781713616574E-2</v>
      </c>
      <c r="AU870" s="27">
        <f t="shared" si="281"/>
        <v>7.2889659597002901E-2</v>
      </c>
      <c r="AV870" s="27">
        <f t="shared" si="281"/>
        <v>7.2858956618379891E-2</v>
      </c>
      <c r="AW870" s="27">
        <f t="shared" si="281"/>
        <v>7.282965905259077E-2</v>
      </c>
      <c r="AY870" s="79"/>
      <c r="AZ870" s="79"/>
    </row>
    <row r="871" spans="1:52" x14ac:dyDescent="0.25">
      <c r="A871" s="95" t="str">
        <f t="shared" si="270"/>
        <v>BD Leaching</v>
      </c>
      <c r="B871" s="95" t="s">
        <v>1228</v>
      </c>
      <c r="C871" s="95" t="s">
        <v>1190</v>
      </c>
      <c r="D871" t="s">
        <v>369</v>
      </c>
      <c r="E871" t="s">
        <v>61</v>
      </c>
      <c r="F871" t="s">
        <v>63</v>
      </c>
      <c r="G871" t="s">
        <v>1193</v>
      </c>
      <c r="H871" t="s">
        <v>1194</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25">
      <c r="A872" s="95" t="str">
        <f t="shared" si="270"/>
        <v>BD Leaching</v>
      </c>
      <c r="B872" s="95" t="s">
        <v>1228</v>
      </c>
      <c r="C872" s="95" t="s">
        <v>1190</v>
      </c>
      <c r="D872" t="s">
        <v>369</v>
      </c>
      <c r="E872" t="s">
        <v>61</v>
      </c>
      <c r="F872" t="s">
        <v>63</v>
      </c>
      <c r="G872" t="s">
        <v>1195</v>
      </c>
      <c r="H872" t="s">
        <v>1196</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25">
      <c r="A873" s="95" t="str">
        <f t="shared" si="270"/>
        <v>BD Leaching</v>
      </c>
      <c r="B873" s="95" t="s">
        <v>1228</v>
      </c>
      <c r="C873" s="95" t="s">
        <v>1190</v>
      </c>
      <c r="D873" t="s">
        <v>369</v>
      </c>
      <c r="E873" t="s">
        <v>61</v>
      </c>
      <c r="F873" t="s">
        <v>63</v>
      </c>
      <c r="G873" t="s">
        <v>1197</v>
      </c>
      <c r="H873" t="s">
        <v>1198</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25">
      <c r="A874" s="95" t="str">
        <f t="shared" si="270"/>
        <v>BD Leaching</v>
      </c>
      <c r="B874" s="95" t="s">
        <v>1228</v>
      </c>
      <c r="C874" s="95" t="s">
        <v>1190</v>
      </c>
      <c r="D874" t="s">
        <v>369</v>
      </c>
      <c r="E874" t="s">
        <v>61</v>
      </c>
      <c r="F874" t="s">
        <v>63</v>
      </c>
      <c r="G874" t="s">
        <v>1199</v>
      </c>
      <c r="H874" t="s">
        <v>1200</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25">
      <c r="A875" s="95" t="str">
        <f t="shared" si="270"/>
        <v>BD Leaching</v>
      </c>
      <c r="B875" s="95" t="s">
        <v>1228</v>
      </c>
      <c r="C875" s="95" t="s">
        <v>1190</v>
      </c>
      <c r="D875" t="s">
        <v>369</v>
      </c>
      <c r="E875" t="s">
        <v>61</v>
      </c>
      <c r="F875" t="s">
        <v>63</v>
      </c>
      <c r="G875" t="s">
        <v>1201</v>
      </c>
      <c r="H875" t="s">
        <v>1202</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25">
      <c r="A876" s="95" t="str">
        <f t="shared" si="270"/>
        <v>BD Leaching</v>
      </c>
      <c r="B876" s="95" t="s">
        <v>1228</v>
      </c>
      <c r="C876" s="95" t="s">
        <v>1190</v>
      </c>
      <c r="D876" t="s">
        <v>369</v>
      </c>
      <c r="E876" t="s">
        <v>61</v>
      </c>
      <c r="F876" t="s">
        <v>63</v>
      </c>
      <c r="G876" t="s">
        <v>1203</v>
      </c>
      <c r="H876" t="s">
        <v>1204</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25">
      <c r="A877" s="95" t="str">
        <f t="shared" si="270"/>
        <v>BD Leaching</v>
      </c>
      <c r="B877" s="95" t="s">
        <v>1228</v>
      </c>
      <c r="C877" s="95" t="s">
        <v>1190</v>
      </c>
      <c r="D877" t="s">
        <v>369</v>
      </c>
      <c r="E877" t="s">
        <v>61</v>
      </c>
      <c r="F877" t="s">
        <v>63</v>
      </c>
      <c r="G877" t="s">
        <v>1205</v>
      </c>
      <c r="H877" t="s">
        <v>1206</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25">
      <c r="A878" s="95" t="str">
        <f t="shared" si="270"/>
        <v>BD Leaching</v>
      </c>
      <c r="B878" s="95" t="s">
        <v>1228</v>
      </c>
      <c r="C878" s="95" t="s">
        <v>1190</v>
      </c>
      <c r="D878" t="s">
        <v>369</v>
      </c>
      <c r="E878" t="s">
        <v>61</v>
      </c>
      <c r="F878" t="s">
        <v>63</v>
      </c>
      <c r="G878" t="s">
        <v>1207</v>
      </c>
      <c r="H878" t="s">
        <v>1208</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25">
      <c r="A879" s="95" t="str">
        <f t="shared" si="270"/>
        <v>BD Leaching</v>
      </c>
      <c r="B879" s="95" t="s">
        <v>1228</v>
      </c>
      <c r="C879" s="95" t="s">
        <v>1190</v>
      </c>
      <c r="D879" t="s">
        <v>369</v>
      </c>
      <c r="E879" t="s">
        <v>61</v>
      </c>
      <c r="F879" t="s">
        <v>63</v>
      </c>
      <c r="G879" t="s">
        <v>1209</v>
      </c>
      <c r="H879" t="s">
        <v>1210</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25">
      <c r="A880" s="95" t="str">
        <f t="shared" si="270"/>
        <v>BD Leaching</v>
      </c>
      <c r="B880" s="95" t="s">
        <v>1228</v>
      </c>
      <c r="C880" s="95" t="s">
        <v>1190</v>
      </c>
      <c r="D880" t="s">
        <v>369</v>
      </c>
      <c r="E880" t="s">
        <v>61</v>
      </c>
      <c r="F880" t="s">
        <v>63</v>
      </c>
      <c r="G880" t="s">
        <v>1211</v>
      </c>
      <c r="H880" t="s">
        <v>1212</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25">
      <c r="A881" s="95" t="str">
        <f t="shared" si="270"/>
        <v>BD Leaching</v>
      </c>
      <c r="B881" s="95" t="s">
        <v>1228</v>
      </c>
      <c r="C881" s="95" t="s">
        <v>1190</v>
      </c>
      <c r="D881" t="s">
        <v>369</v>
      </c>
      <c r="E881" t="s">
        <v>61</v>
      </c>
      <c r="F881" t="s">
        <v>63</v>
      </c>
      <c r="G881" t="s">
        <v>1213</v>
      </c>
      <c r="H881" t="s">
        <v>1214</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25">
      <c r="A882" s="95"/>
      <c r="B882" s="95" t="s">
        <v>1228</v>
      </c>
      <c r="C882" s="95"/>
      <c r="D882" t="s">
        <v>369</v>
      </c>
      <c r="E882" t="s">
        <v>61</v>
      </c>
      <c r="F882" t="s">
        <v>63</v>
      </c>
      <c r="G882" t="s">
        <v>1215</v>
      </c>
      <c r="H882" t="s">
        <v>1216</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25">
      <c r="A883" s="95" t="str">
        <f t="shared" si="270"/>
        <v>BD MM Volatilisation</v>
      </c>
      <c r="B883" s="95" t="s">
        <v>1228</v>
      </c>
      <c r="C883" s="95" t="s">
        <v>1332</v>
      </c>
      <c r="D883" t="s">
        <v>369</v>
      </c>
      <c r="E883" t="s">
        <v>64</v>
      </c>
      <c r="F883" t="s">
        <v>62</v>
      </c>
      <c r="G883" t="s">
        <v>1152</v>
      </c>
      <c r="H883" t="s">
        <v>1290</v>
      </c>
      <c r="I883" t="s">
        <v>139</v>
      </c>
      <c r="J883" t="s">
        <v>287</v>
      </c>
      <c r="K883" s="27">
        <f t="shared" ref="K883:AW883" si="294">K1531</f>
        <v>0.39609736661915962</v>
      </c>
      <c r="L883" s="27">
        <f t="shared" si="294"/>
        <v>0.39831175345583053</v>
      </c>
      <c r="M883" s="27">
        <f t="shared" si="294"/>
        <v>0.40145358914715529</v>
      </c>
      <c r="N883" s="27">
        <f t="shared" si="294"/>
        <v>0.40347255325329029</v>
      </c>
      <c r="O883" s="27">
        <f t="shared" si="294"/>
        <v>0.40481416413578281</v>
      </c>
      <c r="P883" s="27">
        <f t="shared" si="294"/>
        <v>0.40546521734783819</v>
      </c>
      <c r="Q883" s="27">
        <f t="shared" si="294"/>
        <v>0.40690363619044922</v>
      </c>
      <c r="R883" s="27">
        <f t="shared" si="294"/>
        <v>0.40855374420631202</v>
      </c>
      <c r="S883" s="27">
        <f t="shared" si="294"/>
        <v>0.39694485067455443</v>
      </c>
      <c r="T883" s="27">
        <f t="shared" si="294"/>
        <v>0.40377484899001992</v>
      </c>
      <c r="U883" s="27">
        <f t="shared" si="294"/>
        <v>0.69472691845052781</v>
      </c>
      <c r="V883" s="27">
        <f t="shared" si="294"/>
        <v>0.70310152718694741</v>
      </c>
      <c r="W883" s="27">
        <f t="shared" si="294"/>
        <v>0.71110880509409102</v>
      </c>
      <c r="X883" s="27">
        <f t="shared" si="294"/>
        <v>0.718612550142118</v>
      </c>
      <c r="Y883" s="27">
        <f t="shared" si="294"/>
        <v>0.7254123730618981</v>
      </c>
      <c r="Z883" s="27">
        <f t="shared" si="294"/>
        <v>0.73147651852735551</v>
      </c>
      <c r="AA883" s="27">
        <f t="shared" si="294"/>
        <v>0.73676965969026942</v>
      </c>
      <c r="AB883" s="27">
        <f t="shared" si="294"/>
        <v>0.74126505933946241</v>
      </c>
      <c r="AC883" s="27">
        <f t="shared" si="294"/>
        <v>0.74494151296918631</v>
      </c>
      <c r="AD883" s="27">
        <f t="shared" si="294"/>
        <v>0.74777672987859323</v>
      </c>
      <c r="AE883" s="27">
        <f t="shared" si="294"/>
        <v>0.7497573654957449</v>
      </c>
      <c r="AF883" s="27">
        <f t="shared" si="294"/>
        <v>0.75087061941702216</v>
      </c>
      <c r="AG883" s="27">
        <f t="shared" si="294"/>
        <v>0.75110412486622213</v>
      </c>
      <c r="AH883" s="27">
        <f t="shared" si="294"/>
        <v>0.75045562343243666</v>
      </c>
      <c r="AI883" s="27">
        <f t="shared" si="294"/>
        <v>0.74892880709192955</v>
      </c>
      <c r="AJ883" s="27">
        <f t="shared" si="294"/>
        <v>0.2369481237841857</v>
      </c>
      <c r="AK883" s="27">
        <f t="shared" si="294"/>
        <v>0.23712109193812289</v>
      </c>
      <c r="AL883" s="27">
        <f t="shared" si="294"/>
        <v>0.23728160870243259</v>
      </c>
      <c r="AM883" s="27">
        <f t="shared" si="294"/>
        <v>0.2374307599177384</v>
      </c>
      <c r="AN883" s="27">
        <f t="shared" si="294"/>
        <v>0.2375698831121214</v>
      </c>
      <c r="AO883" s="27">
        <f t="shared" si="294"/>
        <v>0.23769461188435137</v>
      </c>
      <c r="AP883" s="27">
        <f t="shared" si="294"/>
        <v>0.2378020140279184</v>
      </c>
      <c r="AQ883" s="27">
        <f t="shared" si="294"/>
        <v>0.23789161932894973</v>
      </c>
      <c r="AR883" s="27">
        <f t="shared" si="294"/>
        <v>0.23796010078507188</v>
      </c>
      <c r="AS883" s="27">
        <f t="shared" si="294"/>
        <v>0.2380038463120322</v>
      </c>
      <c r="AT883" s="27">
        <f t="shared" si="294"/>
        <v>0.23802240976704672</v>
      </c>
      <c r="AU883" s="27">
        <f t="shared" si="294"/>
        <v>0.23801630420250081</v>
      </c>
      <c r="AV883" s="27">
        <f t="shared" si="294"/>
        <v>0.23798588741324539</v>
      </c>
      <c r="AW883" s="27">
        <f t="shared" si="294"/>
        <v>0.23792776204046176</v>
      </c>
      <c r="AY883" s="79"/>
      <c r="AZ883" s="79"/>
    </row>
    <row r="884" spans="1:52" x14ac:dyDescent="0.25">
      <c r="A884" s="95" t="str">
        <f t="shared" si="270"/>
        <v>BD MM Volatilisation</v>
      </c>
      <c r="B884" s="95" t="s">
        <v>1228</v>
      </c>
      <c r="C884" s="95" t="s">
        <v>1332</v>
      </c>
      <c r="D884" t="s">
        <v>369</v>
      </c>
      <c r="E884" t="s">
        <v>64</v>
      </c>
      <c r="F884" t="s">
        <v>62</v>
      </c>
      <c r="G884" t="s">
        <v>1154</v>
      </c>
      <c r="H884" t="s">
        <v>1291</v>
      </c>
      <c r="I884" t="s">
        <v>139</v>
      </c>
      <c r="J884" t="s">
        <v>287</v>
      </c>
      <c r="K884" s="27">
        <f t="shared" ref="K884:AW884" si="295">K1532</f>
        <v>3.1249813656142676E-2</v>
      </c>
      <c r="L884" s="27">
        <f t="shared" si="295"/>
        <v>3.1424516095088999E-2</v>
      </c>
      <c r="M884" s="27">
        <f t="shared" si="295"/>
        <v>3.1672388936885787E-2</v>
      </c>
      <c r="N884" s="27">
        <f t="shared" si="295"/>
        <v>3.1831673641638247E-2</v>
      </c>
      <c r="O884" s="27">
        <f t="shared" si="295"/>
        <v>3.1937519056453263E-2</v>
      </c>
      <c r="P884" s="27">
        <f t="shared" si="295"/>
        <v>3.1988883426104654E-2</v>
      </c>
      <c r="Q884" s="27">
        <f t="shared" si="295"/>
        <v>3.2102366434524382E-2</v>
      </c>
      <c r="R884" s="27">
        <f t="shared" si="295"/>
        <v>3.2232550506305399E-2</v>
      </c>
      <c r="S884" s="27">
        <f t="shared" si="295"/>
        <v>3.1316675294314346E-2</v>
      </c>
      <c r="T884" s="27">
        <f t="shared" si="295"/>
        <v>3.1855523043926581E-2</v>
      </c>
      <c r="U884" s="27">
        <f t="shared" si="295"/>
        <v>5.4809974953353012E-2</v>
      </c>
      <c r="V884" s="27">
        <f t="shared" si="295"/>
        <v>5.547068361872478E-2</v>
      </c>
      <c r="W884" s="27">
        <f t="shared" si="295"/>
        <v>5.6102411985482069E-2</v>
      </c>
      <c r="X884" s="27">
        <f t="shared" si="295"/>
        <v>5.6694414493540908E-2</v>
      </c>
      <c r="Y884" s="27">
        <f t="shared" si="295"/>
        <v>5.7230881577257239E-2</v>
      </c>
      <c r="Z884" s="27">
        <f t="shared" si="295"/>
        <v>5.7709307923276061E-2</v>
      </c>
      <c r="AA884" s="27">
        <f t="shared" si="295"/>
        <v>5.812690644560041E-2</v>
      </c>
      <c r="AB884" s="27">
        <f t="shared" si="295"/>
        <v>5.8481567731400452E-2</v>
      </c>
      <c r="AC884" s="27">
        <f t="shared" si="295"/>
        <v>5.8771618866617373E-2</v>
      </c>
      <c r="AD884" s="27">
        <f t="shared" si="295"/>
        <v>5.8995301242619896E-2</v>
      </c>
      <c r="AE884" s="27">
        <f t="shared" si="295"/>
        <v>5.9151562049110484E-2</v>
      </c>
      <c r="AF884" s="27">
        <f t="shared" si="295"/>
        <v>5.9239391407555408E-2</v>
      </c>
      <c r="AG884" s="27">
        <f t="shared" si="295"/>
        <v>5.9257813650140552E-2</v>
      </c>
      <c r="AH884" s="27">
        <f t="shared" si="295"/>
        <v>5.9206650601179869E-2</v>
      </c>
      <c r="AI884" s="27">
        <f t="shared" si="295"/>
        <v>5.9086193536455466E-2</v>
      </c>
      <c r="AJ884" s="27">
        <f t="shared" si="295"/>
        <v>1.8693849892589171E-2</v>
      </c>
      <c r="AK884" s="27">
        <f t="shared" si="295"/>
        <v>1.870749608929358E-2</v>
      </c>
      <c r="AL884" s="27">
        <f t="shared" si="295"/>
        <v>1.8720159942669283E-2</v>
      </c>
      <c r="AM884" s="27">
        <f t="shared" si="295"/>
        <v>1.873192711932253E-2</v>
      </c>
      <c r="AN884" s="27">
        <f t="shared" si="295"/>
        <v>1.8742903142558495E-2</v>
      </c>
      <c r="AO884" s="27">
        <f t="shared" si="295"/>
        <v>1.8752743528327825E-2</v>
      </c>
      <c r="AP884" s="27">
        <f t="shared" si="295"/>
        <v>1.8761216942330506E-2</v>
      </c>
      <c r="AQ884" s="27">
        <f t="shared" si="295"/>
        <v>1.8768286287385059E-2</v>
      </c>
      <c r="AR884" s="27">
        <f t="shared" si="295"/>
        <v>1.8773689082058967E-2</v>
      </c>
      <c r="AS884" s="27">
        <f t="shared" si="295"/>
        <v>1.8777140353592202E-2</v>
      </c>
      <c r="AT884" s="27">
        <f t="shared" si="295"/>
        <v>1.8778604903874292E-2</v>
      </c>
      <c r="AU884" s="27">
        <f t="shared" si="295"/>
        <v>1.877812320980005E-2</v>
      </c>
      <c r="AV884" s="27">
        <f t="shared" si="295"/>
        <v>1.8775723499333995E-2</v>
      </c>
      <c r="AW884" s="27">
        <f t="shared" si="295"/>
        <v>1.8771137740323057E-2</v>
      </c>
      <c r="AY884" s="79"/>
      <c r="AZ884" s="79"/>
    </row>
    <row r="885" spans="1:52" x14ac:dyDescent="0.25">
      <c r="A885" s="95" t="str">
        <f t="shared" si="270"/>
        <v>BD MM Volatilisation</v>
      </c>
      <c r="B885" s="95" t="s">
        <v>1228</v>
      </c>
      <c r="C885" s="95" t="s">
        <v>1332</v>
      </c>
      <c r="D885" t="s">
        <v>369</v>
      </c>
      <c r="E885" t="s">
        <v>64</v>
      </c>
      <c r="F885" t="s">
        <v>62</v>
      </c>
      <c r="G885" t="s">
        <v>1156</v>
      </c>
      <c r="H885" t="s">
        <v>1292</v>
      </c>
      <c r="I885" t="s">
        <v>139</v>
      </c>
      <c r="J885" t="s">
        <v>287</v>
      </c>
      <c r="K885" s="27">
        <f t="shared" ref="K885:AW885" si="296">K1533</f>
        <v>2.8967336997006343E-4</v>
      </c>
      <c r="L885" s="27">
        <f t="shared" si="296"/>
        <v>2.9129279224209421E-4</v>
      </c>
      <c r="M885" s="27">
        <f t="shared" si="296"/>
        <v>2.9359047510821973E-4</v>
      </c>
      <c r="N885" s="27">
        <f t="shared" si="296"/>
        <v>2.9506698110336069E-4</v>
      </c>
      <c r="O885" s="27">
        <f t="shared" si="296"/>
        <v>2.960481260901027E-4</v>
      </c>
      <c r="P885" s="27">
        <f t="shared" si="296"/>
        <v>2.9652425341095731E-4</v>
      </c>
      <c r="Q885" s="27">
        <f t="shared" si="296"/>
        <v>2.9757619585915883E-4</v>
      </c>
      <c r="R885" s="27">
        <f t="shared" si="296"/>
        <v>2.9878295053629658E-4</v>
      </c>
      <c r="S885" s="27">
        <f t="shared" si="296"/>
        <v>2.9029315081944787E-4</v>
      </c>
      <c r="T885" s="27">
        <f t="shared" si="296"/>
        <v>2.9528805559707279E-4</v>
      </c>
      <c r="U885" s="27">
        <f t="shared" si="296"/>
        <v>5.0806671449036449E-4</v>
      </c>
      <c r="V885" s="27">
        <f t="shared" si="296"/>
        <v>5.1419122159215467E-4</v>
      </c>
      <c r="W885" s="27">
        <f t="shared" si="296"/>
        <v>5.200470928276717E-4</v>
      </c>
      <c r="X885" s="27">
        <f t="shared" si="296"/>
        <v>5.2553472111970217E-4</v>
      </c>
      <c r="Y885" s="27">
        <f t="shared" si="296"/>
        <v>5.3050755806932593E-4</v>
      </c>
      <c r="Z885" s="27">
        <f t="shared" si="296"/>
        <v>5.3494238041606622E-4</v>
      </c>
      <c r="AA885" s="27">
        <f t="shared" si="296"/>
        <v>5.3881335297888784E-4</v>
      </c>
      <c r="AB885" s="27">
        <f t="shared" si="296"/>
        <v>5.42100922338055E-4</v>
      </c>
      <c r="AC885" s="27">
        <f t="shared" si="296"/>
        <v>5.4478958124419888E-4</v>
      </c>
      <c r="AD885" s="27">
        <f t="shared" si="296"/>
        <v>5.4686302809327551E-4</v>
      </c>
      <c r="AE885" s="27">
        <f t="shared" si="296"/>
        <v>5.4831150375167243E-4</v>
      </c>
      <c r="AF885" s="27">
        <f t="shared" si="296"/>
        <v>5.4912564704618944E-4</v>
      </c>
      <c r="AG885" s="27">
        <f t="shared" si="296"/>
        <v>5.4929641392341823E-4</v>
      </c>
      <c r="AH885" s="27">
        <f t="shared" si="296"/>
        <v>5.4882215276546513E-4</v>
      </c>
      <c r="AI885" s="27">
        <f t="shared" si="296"/>
        <v>5.4770556358322664E-4</v>
      </c>
      <c r="AJ885" s="27">
        <f t="shared" si="296"/>
        <v>1.7328456917170714E-4</v>
      </c>
      <c r="AK885" s="27">
        <f t="shared" si="296"/>
        <v>1.7341106399916873E-4</v>
      </c>
      <c r="AL885" s="27">
        <f t="shared" si="296"/>
        <v>1.7352845289385181E-4</v>
      </c>
      <c r="AM885" s="27">
        <f t="shared" si="296"/>
        <v>1.7363752995119643E-4</v>
      </c>
      <c r="AN885" s="27">
        <f t="shared" si="296"/>
        <v>1.7373927333036077E-4</v>
      </c>
      <c r="AO885" s="27">
        <f t="shared" si="296"/>
        <v>1.7383048980092826E-4</v>
      </c>
      <c r="AP885" s="27">
        <f t="shared" si="296"/>
        <v>1.7390903498575136E-4</v>
      </c>
      <c r="AQ885" s="27">
        <f t="shared" si="296"/>
        <v>1.7397456500868103E-4</v>
      </c>
      <c r="AR885" s="27">
        <f t="shared" si="296"/>
        <v>1.7402464677101302E-4</v>
      </c>
      <c r="AS885" s="27">
        <f t="shared" si="296"/>
        <v>1.7405663868836374E-4</v>
      </c>
      <c r="AT885" s="27">
        <f t="shared" si="296"/>
        <v>1.7407021448821884E-4</v>
      </c>
      <c r="AU885" s="27">
        <f t="shared" si="296"/>
        <v>1.7406574937532841E-4</v>
      </c>
      <c r="AV885" s="27">
        <f t="shared" si="296"/>
        <v>1.7404350501172027E-4</v>
      </c>
      <c r="AW885" s="27">
        <f t="shared" si="296"/>
        <v>1.740009968457137E-4</v>
      </c>
      <c r="AY885" s="79"/>
      <c r="AZ885" s="79"/>
    </row>
    <row r="886" spans="1:52" x14ac:dyDescent="0.25">
      <c r="A886" s="95" t="str">
        <f t="shared" si="270"/>
        <v>BD MM Volatilisation</v>
      </c>
      <c r="B886" s="95" t="s">
        <v>1228</v>
      </c>
      <c r="C886" s="95" t="s">
        <v>1332</v>
      </c>
      <c r="D886" t="s">
        <v>369</v>
      </c>
      <c r="E886" t="s">
        <v>64</v>
      </c>
      <c r="F886" t="s">
        <v>62</v>
      </c>
      <c r="G886" t="s">
        <v>1158</v>
      </c>
      <c r="H886" t="s">
        <v>1293</v>
      </c>
      <c r="I886" t="s">
        <v>139</v>
      </c>
      <c r="J886" t="s">
        <v>287</v>
      </c>
      <c r="K886" s="27">
        <f t="shared" ref="K886:AW886" si="297">K1534</f>
        <v>3.2323215352203878E-3</v>
      </c>
      <c r="L886" s="27">
        <f t="shared" si="297"/>
        <v>3.2042886428129457E-3</v>
      </c>
      <c r="M886" s="27">
        <f t="shared" si="297"/>
        <v>3.193617369300608E-3</v>
      </c>
      <c r="N886" s="27">
        <f t="shared" si="297"/>
        <v>3.1509707896886733E-3</v>
      </c>
      <c r="O886" s="27">
        <f t="shared" si="297"/>
        <v>3.0890682378804119E-3</v>
      </c>
      <c r="P886" s="27">
        <f t="shared" si="297"/>
        <v>3.0091897617382946E-3</v>
      </c>
      <c r="Q886" s="27">
        <f t="shared" si="297"/>
        <v>2.9461872714039491E-3</v>
      </c>
      <c r="R886" s="27">
        <f t="shared" si="297"/>
        <v>2.8865797531671873E-3</v>
      </c>
      <c r="S886" s="27">
        <f t="shared" si="297"/>
        <v>2.5815224060103171E-3</v>
      </c>
      <c r="T886" s="27">
        <f t="shared" si="297"/>
        <v>2.6809806193820299E-3</v>
      </c>
      <c r="U886" s="27">
        <f t="shared" si="297"/>
        <v>8.4496349357244746E-3</v>
      </c>
      <c r="V886" s="27">
        <f t="shared" si="297"/>
        <v>8.490390729273779E-3</v>
      </c>
      <c r="W886" s="27">
        <f t="shared" si="297"/>
        <v>8.5164743363873984E-3</v>
      </c>
      <c r="X886" s="27">
        <f t="shared" si="297"/>
        <v>8.5278804443353062E-3</v>
      </c>
      <c r="Y886" s="27">
        <f t="shared" si="297"/>
        <v>8.5248506776145015E-3</v>
      </c>
      <c r="Z886" s="27">
        <f t="shared" si="297"/>
        <v>8.5072398121281648E-3</v>
      </c>
      <c r="AA886" s="27">
        <f t="shared" si="297"/>
        <v>8.4750047085989932E-3</v>
      </c>
      <c r="AB886" s="27">
        <f t="shared" si="297"/>
        <v>8.4281720385821924E-3</v>
      </c>
      <c r="AC886" s="27">
        <f t="shared" si="297"/>
        <v>8.3668471101216637E-3</v>
      </c>
      <c r="AD886" s="27">
        <f t="shared" si="297"/>
        <v>8.2215560258446178E-3</v>
      </c>
      <c r="AE886" s="27">
        <f t="shared" si="297"/>
        <v>8.0625794404136485E-3</v>
      </c>
      <c r="AF886" s="27">
        <f t="shared" si="297"/>
        <v>7.8906316671852623E-3</v>
      </c>
      <c r="AG886" s="27">
        <f t="shared" si="297"/>
        <v>7.7065081858302149E-3</v>
      </c>
      <c r="AH886" s="27">
        <f t="shared" si="297"/>
        <v>7.5110558523361756E-3</v>
      </c>
      <c r="AI886" s="27">
        <f t="shared" si="297"/>
        <v>7.3051764470657117E-3</v>
      </c>
      <c r="AJ886" s="27">
        <f t="shared" si="297"/>
        <v>-5.6405599805615676E-4</v>
      </c>
      <c r="AK886" s="27">
        <f t="shared" si="297"/>
        <v>-5.5047515962352916E-4</v>
      </c>
      <c r="AL886" s="27">
        <f t="shared" si="297"/>
        <v>-5.3703562288424922E-4</v>
      </c>
      <c r="AM886" s="27">
        <f t="shared" si="297"/>
        <v>-5.2373599978206974E-4</v>
      </c>
      <c r="AN886" s="27">
        <f t="shared" si="297"/>
        <v>-5.1318044022279606E-4</v>
      </c>
      <c r="AO886" s="27">
        <f t="shared" si="297"/>
        <v>-5.0272501169057937E-4</v>
      </c>
      <c r="AP886" s="27">
        <f t="shared" si="297"/>
        <v>-4.9236193773087231E-4</v>
      </c>
      <c r="AQ886" s="27">
        <f t="shared" si="297"/>
        <v>-4.8208865134491532E-4</v>
      </c>
      <c r="AR886" s="27">
        <f t="shared" si="297"/>
        <v>-4.7189764173024049E-4</v>
      </c>
      <c r="AS886" s="27">
        <f t="shared" si="297"/>
        <v>-4.6178155356127546E-4</v>
      </c>
      <c r="AT886" s="27">
        <f t="shared" si="297"/>
        <v>-4.5173920552966836E-4</v>
      </c>
      <c r="AU886" s="27">
        <f t="shared" si="297"/>
        <v>-4.4177121806458731E-4</v>
      </c>
      <c r="AV886" s="27">
        <f t="shared" si="297"/>
        <v>-4.31877971766583E-4</v>
      </c>
      <c r="AW886" s="27">
        <f t="shared" si="297"/>
        <v>-4.220537843353357E-4</v>
      </c>
      <c r="AY886" s="79"/>
      <c r="AZ886" s="79"/>
    </row>
    <row r="887" spans="1:52" x14ac:dyDescent="0.25">
      <c r="A887" s="95" t="str">
        <f t="shared" si="270"/>
        <v>BD MM Volatilisation</v>
      </c>
      <c r="B887" s="95" t="s">
        <v>1228</v>
      </c>
      <c r="C887" s="95" t="s">
        <v>1332</v>
      </c>
      <c r="D887" t="s">
        <v>369</v>
      </c>
      <c r="E887" t="s">
        <v>64</v>
      </c>
      <c r="F887" t="s">
        <v>62</v>
      </c>
      <c r="G887" t="s">
        <v>1160</v>
      </c>
      <c r="H887" t="s">
        <v>1294</v>
      </c>
      <c r="I887" t="s">
        <v>139</v>
      </c>
      <c r="J887" t="s">
        <v>287</v>
      </c>
      <c r="K887" s="27">
        <f t="shared" ref="K887:AW887" si="298">K1535</f>
        <v>1.6090517274103568E-2</v>
      </c>
      <c r="L887" s="27">
        <f t="shared" si="298"/>
        <v>1.5950969356419611E-2</v>
      </c>
      <c r="M887" s="27">
        <f t="shared" si="298"/>
        <v>1.5897847688628834E-2</v>
      </c>
      <c r="N887" s="27">
        <f t="shared" si="298"/>
        <v>1.5685552742581491E-2</v>
      </c>
      <c r="O887" s="27">
        <f t="shared" si="298"/>
        <v>1.5377401443792458E-2</v>
      </c>
      <c r="P887" s="27">
        <f t="shared" si="298"/>
        <v>1.4979765878707448E-2</v>
      </c>
      <c r="Q887" s="27">
        <f t="shared" si="298"/>
        <v>1.4666139078901096E-2</v>
      </c>
      <c r="R887" s="27">
        <f t="shared" si="298"/>
        <v>1.4369412471908493E-2</v>
      </c>
      <c r="S887" s="27">
        <f t="shared" si="298"/>
        <v>1.2850835046817909E-2</v>
      </c>
      <c r="T887" s="27">
        <f t="shared" si="298"/>
        <v>1.3345938669050808E-2</v>
      </c>
      <c r="U887" s="27">
        <f t="shared" si="298"/>
        <v>4.2062336748275767E-2</v>
      </c>
      <c r="V887" s="27">
        <f t="shared" si="298"/>
        <v>4.2265219349211125E-2</v>
      </c>
      <c r="W887" s="27">
        <f t="shared" si="298"/>
        <v>4.2395063712236107E-2</v>
      </c>
      <c r="X887" s="27">
        <f t="shared" si="298"/>
        <v>4.2451843390546674E-2</v>
      </c>
      <c r="Y887" s="27">
        <f t="shared" si="298"/>
        <v>4.2436761192434141E-2</v>
      </c>
      <c r="Z887" s="27">
        <f t="shared" si="298"/>
        <v>4.234909419141579E-2</v>
      </c>
      <c r="AA887" s="27">
        <f t="shared" si="298"/>
        <v>4.2188627639893318E-2</v>
      </c>
      <c r="AB887" s="27">
        <f t="shared" si="298"/>
        <v>4.195549430903911E-2</v>
      </c>
      <c r="AC887" s="27">
        <f t="shared" si="298"/>
        <v>4.1650218422969176E-2</v>
      </c>
      <c r="AD887" s="27">
        <f t="shared" si="298"/>
        <v>4.0926958476252988E-2</v>
      </c>
      <c r="AE887" s="27">
        <f t="shared" si="298"/>
        <v>4.0135572017269229E-2</v>
      </c>
      <c r="AF887" s="27">
        <f t="shared" si="298"/>
        <v>3.9279614902474849E-2</v>
      </c>
      <c r="AG887" s="27">
        <f t="shared" si="298"/>
        <v>3.8363047034758228E-2</v>
      </c>
      <c r="AH887" s="27">
        <f t="shared" si="298"/>
        <v>3.7390084068641902E-2</v>
      </c>
      <c r="AI887" s="27">
        <f t="shared" si="298"/>
        <v>3.6365215072537933E-2</v>
      </c>
      <c r="AJ887" s="27">
        <f t="shared" si="298"/>
        <v>-2.8078743656501674E-3</v>
      </c>
      <c r="AK887" s="27">
        <f t="shared" si="298"/>
        <v>-2.7402688650785463E-3</v>
      </c>
      <c r="AL887" s="27">
        <f t="shared" si="298"/>
        <v>-2.6733667652400826E-3</v>
      </c>
      <c r="AM887" s="27">
        <f t="shared" si="298"/>
        <v>-2.6071611563818981E-3</v>
      </c>
      <c r="AN887" s="27">
        <f t="shared" si="298"/>
        <v>-2.554615513389502E-3</v>
      </c>
      <c r="AO887" s="27">
        <f t="shared" si="298"/>
        <v>-2.5025683232901678E-3</v>
      </c>
      <c r="AP887" s="27">
        <f t="shared" si="298"/>
        <v>-2.4509808748434249E-3</v>
      </c>
      <c r="AQ887" s="27">
        <f t="shared" si="298"/>
        <v>-2.3998403895130306E-3</v>
      </c>
      <c r="AR887" s="27">
        <f t="shared" si="298"/>
        <v>-2.3491094784762676E-3</v>
      </c>
      <c r="AS887" s="27">
        <f t="shared" si="298"/>
        <v>-2.2987515268753948E-3</v>
      </c>
      <c r="AT887" s="27">
        <f t="shared" si="298"/>
        <v>-2.2487606541498821E-3</v>
      </c>
      <c r="AU887" s="27">
        <f t="shared" si="298"/>
        <v>-2.1991399488000989E-3</v>
      </c>
      <c r="AV887" s="27">
        <f t="shared" si="298"/>
        <v>-2.1498913054580166E-3</v>
      </c>
      <c r="AW887" s="27">
        <f t="shared" si="298"/>
        <v>-2.1009864375963051E-3</v>
      </c>
      <c r="AY887" s="79"/>
      <c r="AZ887" s="79"/>
    </row>
    <row r="888" spans="1:52" x14ac:dyDescent="0.25">
      <c r="A888" s="95" t="str">
        <f t="shared" si="270"/>
        <v>BD MM Volatilisation</v>
      </c>
      <c r="B888" s="95" t="s">
        <v>1228</v>
      </c>
      <c r="C888" s="95" t="s">
        <v>1332</v>
      </c>
      <c r="D888" t="s">
        <v>369</v>
      </c>
      <c r="E888" t="s">
        <v>64</v>
      </c>
      <c r="F888" t="s">
        <v>62</v>
      </c>
      <c r="G888" t="s">
        <v>1162</v>
      </c>
      <c r="H888" t="s">
        <v>1295</v>
      </c>
      <c r="I888" t="s">
        <v>139</v>
      </c>
      <c r="J888" t="s">
        <v>287</v>
      </c>
      <c r="K888" s="27">
        <f t="shared" ref="K888:AW888" si="299">K1536</f>
        <v>0.15836052531214873</v>
      </c>
      <c r="L888" s="27">
        <f t="shared" si="299"/>
        <v>0.16370016056893644</v>
      </c>
      <c r="M888" s="27">
        <f t="shared" si="299"/>
        <v>0.17003774892948584</v>
      </c>
      <c r="N888" s="27">
        <f t="shared" si="299"/>
        <v>0.17476418316081979</v>
      </c>
      <c r="O888" s="27">
        <f t="shared" si="299"/>
        <v>0.1784091501709566</v>
      </c>
      <c r="P888" s="27">
        <f t="shared" si="299"/>
        <v>0.18092055691117109</v>
      </c>
      <c r="Q888" s="27">
        <f t="shared" si="299"/>
        <v>0.18434967364231722</v>
      </c>
      <c r="R888" s="27">
        <f t="shared" si="299"/>
        <v>0.18794438918293385</v>
      </c>
      <c r="S888" s="27">
        <f t="shared" si="299"/>
        <v>0.17487533171838066</v>
      </c>
      <c r="T888" s="27">
        <f t="shared" si="299"/>
        <v>0.18598828710895501</v>
      </c>
      <c r="U888" s="27">
        <f t="shared" si="299"/>
        <v>0.60010716171461598</v>
      </c>
      <c r="V888" s="27">
        <f t="shared" si="299"/>
        <v>0.61714803501653059</v>
      </c>
      <c r="W888" s="27">
        <f t="shared" si="299"/>
        <v>0.63339573291461304</v>
      </c>
      <c r="X888" s="27">
        <f t="shared" si="299"/>
        <v>0.64878782379484634</v>
      </c>
      <c r="Y888" s="27">
        <f t="shared" si="299"/>
        <v>0.6632790614565599</v>
      </c>
      <c r="Z888" s="27">
        <f t="shared" si="299"/>
        <v>0.67679301375274348</v>
      </c>
      <c r="AA888" s="27">
        <f t="shared" si="299"/>
        <v>0.68925834109941053</v>
      </c>
      <c r="AB888" s="27">
        <f t="shared" si="299"/>
        <v>0.70060688133816351</v>
      </c>
      <c r="AC888" s="27">
        <f t="shared" si="299"/>
        <v>0.71077490529773002</v>
      </c>
      <c r="AD888" s="27">
        <f t="shared" si="299"/>
        <v>0.72159413752844115</v>
      </c>
      <c r="AE888" s="27">
        <f t="shared" si="299"/>
        <v>0.73115327204335434</v>
      </c>
      <c r="AF888" s="27">
        <f t="shared" si="299"/>
        <v>0.7393963545283444</v>
      </c>
      <c r="AG888" s="27">
        <f t="shared" si="299"/>
        <v>0.74627481362949688</v>
      </c>
      <c r="AH888" s="27">
        <f t="shared" si="299"/>
        <v>0.75174577116771069</v>
      </c>
      <c r="AI888" s="27">
        <f t="shared" si="299"/>
        <v>0.75577335036803739</v>
      </c>
      <c r="AJ888" s="27">
        <f t="shared" si="299"/>
        <v>-6.0331583230930269E-2</v>
      </c>
      <c r="AK888" s="27">
        <f t="shared" si="299"/>
        <v>-6.0883763489548361E-2</v>
      </c>
      <c r="AL888" s="27">
        <f t="shared" si="299"/>
        <v>-6.1432292472249253E-2</v>
      </c>
      <c r="AM888" s="27">
        <f t="shared" si="299"/>
        <v>-6.1977443387012172E-2</v>
      </c>
      <c r="AN888" s="27">
        <f t="shared" si="299"/>
        <v>-6.2441792261108069E-2</v>
      </c>
      <c r="AO888" s="27">
        <f t="shared" si="299"/>
        <v>-6.2901498019431304E-2</v>
      </c>
      <c r="AP888" s="27">
        <f t="shared" si="299"/>
        <v>-6.3355857064212845E-2</v>
      </c>
      <c r="AQ888" s="27">
        <f t="shared" si="299"/>
        <v>-6.3804744436236446E-2</v>
      </c>
      <c r="AR888" s="27">
        <f t="shared" si="299"/>
        <v>-6.4247322567233908E-2</v>
      </c>
      <c r="AS888" s="27">
        <f t="shared" si="299"/>
        <v>-6.4682656506044156E-2</v>
      </c>
      <c r="AT888" s="27">
        <f t="shared" si="299"/>
        <v>-6.5110575477313207E-2</v>
      </c>
      <c r="AU888" s="27">
        <f t="shared" si="299"/>
        <v>-6.5531144171927541E-2</v>
      </c>
      <c r="AV888" s="27">
        <f t="shared" si="299"/>
        <v>-6.5944388466371143E-2</v>
      </c>
      <c r="AW888" s="27">
        <f t="shared" si="299"/>
        <v>-6.6349375385408998E-2</v>
      </c>
      <c r="AY888" s="79"/>
      <c r="AZ888" s="79"/>
    </row>
    <row r="889" spans="1:52" x14ac:dyDescent="0.25">
      <c r="A889" s="95" t="str">
        <f t="shared" si="270"/>
        <v>BD MM Volatilisation</v>
      </c>
      <c r="B889" s="95" t="s">
        <v>1228</v>
      </c>
      <c r="C889" s="95" t="s">
        <v>1332</v>
      </c>
      <c r="D889" t="s">
        <v>369</v>
      </c>
      <c r="E889" t="s">
        <v>64</v>
      </c>
      <c r="F889" t="s">
        <v>62</v>
      </c>
      <c r="G889" t="s">
        <v>1164</v>
      </c>
      <c r="H889" t="s">
        <v>1296</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1.188899025036581E-4</v>
      </c>
      <c r="T889" s="27">
        <f t="shared" si="300"/>
        <v>1.189690287837306E-4</v>
      </c>
      <c r="U889" s="27">
        <f t="shared" si="300"/>
        <v>1.205186108228768E-4</v>
      </c>
      <c r="V889" s="27">
        <f t="shared" si="300"/>
        <v>1.2055641166730559E-4</v>
      </c>
      <c r="W889" s="27">
        <f t="shared" si="300"/>
        <v>1.2071810381709918E-4</v>
      </c>
      <c r="X889" s="27">
        <f t="shared" si="300"/>
        <v>1.2095183374420191E-4</v>
      </c>
      <c r="Y889" s="27">
        <f t="shared" si="300"/>
        <v>1.2116896083678348E-4</v>
      </c>
      <c r="Z889" s="27">
        <f t="shared" si="300"/>
        <v>1.2137217342001694E-4</v>
      </c>
      <c r="AA889" s="27">
        <f t="shared" si="300"/>
        <v>1.2156038787143942E-4</v>
      </c>
      <c r="AB889" s="27">
        <f t="shared" si="300"/>
        <v>1.2173530001872475E-4</v>
      </c>
      <c r="AC889" s="27">
        <f t="shared" si="300"/>
        <v>1.2189956310100272E-4</v>
      </c>
      <c r="AD889" s="27">
        <f t="shared" si="300"/>
        <v>1.2205302234453671E-4</v>
      </c>
      <c r="AE889" s="27">
        <f t="shared" si="300"/>
        <v>1.2219813225383718E-4</v>
      </c>
      <c r="AF889" s="27">
        <f t="shared" si="300"/>
        <v>1.2233524409037175E-4</v>
      </c>
      <c r="AG889" s="27">
        <f t="shared" si="300"/>
        <v>1.2246247857835598E-4</v>
      </c>
      <c r="AH889" s="27">
        <f t="shared" si="300"/>
        <v>1.2258099962950754E-4</v>
      </c>
      <c r="AI889" s="27">
        <f t="shared" si="300"/>
        <v>1.226926980528978E-4</v>
      </c>
      <c r="AJ889" s="27">
        <f t="shared" si="300"/>
        <v>1.2000006421083369E-4</v>
      </c>
      <c r="AK889" s="27">
        <f t="shared" si="300"/>
        <v>1.2011041514130369E-4</v>
      </c>
      <c r="AL889" s="27">
        <f t="shared" si="300"/>
        <v>1.2021334415571778E-4</v>
      </c>
      <c r="AM889" s="27">
        <f t="shared" si="300"/>
        <v>1.2030948030331916E-4</v>
      </c>
      <c r="AN889" s="27">
        <f t="shared" si="300"/>
        <v>1.2039958826810335E-4</v>
      </c>
      <c r="AO889" s="27">
        <f t="shared" si="300"/>
        <v>1.2048129784431056E-4</v>
      </c>
      <c r="AP889" s="27">
        <f t="shared" si="300"/>
        <v>1.2055302618273209E-4</v>
      </c>
      <c r="AQ889" s="27">
        <f t="shared" si="300"/>
        <v>1.2061454144456668E-4</v>
      </c>
      <c r="AR889" s="27">
        <f t="shared" si="300"/>
        <v>1.2066404237348151E-4</v>
      </c>
      <c r="AS889" s="27">
        <f t="shared" si="300"/>
        <v>1.206995710531147E-4</v>
      </c>
      <c r="AT889" s="27">
        <f t="shared" si="300"/>
        <v>1.2072090668873017E-4</v>
      </c>
      <c r="AU889" s="27">
        <f t="shared" si="300"/>
        <v>1.2072835361242823E-4</v>
      </c>
      <c r="AV889" s="27">
        <f t="shared" si="300"/>
        <v>1.2072212964886386E-4</v>
      </c>
      <c r="AW889" s="27">
        <f t="shared" si="300"/>
        <v>1.2070039195556491E-4</v>
      </c>
      <c r="AY889" s="79"/>
      <c r="AZ889" s="79"/>
    </row>
    <row r="890" spans="1:52" x14ac:dyDescent="0.25">
      <c r="A890" s="95" t="str">
        <f t="shared" si="270"/>
        <v>BD MM Volatilisation</v>
      </c>
      <c r="B890" s="95" t="s">
        <v>1228</v>
      </c>
      <c r="C890" s="95" t="s">
        <v>1332</v>
      </c>
      <c r="D890" t="s">
        <v>369</v>
      </c>
      <c r="E890" t="s">
        <v>64</v>
      </c>
      <c r="F890" t="s">
        <v>62</v>
      </c>
      <c r="G890" t="s">
        <v>1166</v>
      </c>
      <c r="H890" t="s">
        <v>1297</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8.1588376197320827E-4</v>
      </c>
      <c r="T890" s="27">
        <f t="shared" si="301"/>
        <v>8.1642676727220354E-4</v>
      </c>
      <c r="U890" s="27">
        <f t="shared" si="301"/>
        <v>8.2706079755535391E-4</v>
      </c>
      <c r="V890" s="27">
        <f t="shared" si="301"/>
        <v>8.2732020642447472E-4</v>
      </c>
      <c r="W890" s="27">
        <f t="shared" si="301"/>
        <v>8.2842982125867857E-4</v>
      </c>
      <c r="X890" s="27">
        <f t="shared" si="301"/>
        <v>8.3003379643398353E-4</v>
      </c>
      <c r="Y890" s="27">
        <f t="shared" si="301"/>
        <v>8.3152383440517541E-4</v>
      </c>
      <c r="Z890" s="27">
        <f t="shared" si="301"/>
        <v>8.3291838384459249E-4</v>
      </c>
      <c r="AA890" s="27">
        <f t="shared" si="301"/>
        <v>8.342100083766216E-4</v>
      </c>
      <c r="AB890" s="27">
        <f t="shared" si="301"/>
        <v>8.3541034564443633E-4</v>
      </c>
      <c r="AC890" s="27">
        <f t="shared" si="301"/>
        <v>8.3653760354186898E-4</v>
      </c>
      <c r="AD890" s="27">
        <f t="shared" si="301"/>
        <v>8.3759071993180138E-4</v>
      </c>
      <c r="AE890" s="27">
        <f t="shared" si="301"/>
        <v>8.385865388887226E-4</v>
      </c>
      <c r="AF890" s="27">
        <f t="shared" si="301"/>
        <v>8.3952747094978998E-4</v>
      </c>
      <c r="AG890" s="27">
        <f t="shared" si="301"/>
        <v>8.404006195563853E-4</v>
      </c>
      <c r="AH890" s="27">
        <f t="shared" si="301"/>
        <v>8.4121397207035167E-4</v>
      </c>
      <c r="AI890" s="27">
        <f t="shared" si="301"/>
        <v>8.4198050419766407E-4</v>
      </c>
      <c r="AJ890" s="27">
        <f t="shared" si="301"/>
        <v>8.2350226355303057E-4</v>
      </c>
      <c r="AK890" s="27">
        <f t="shared" si="301"/>
        <v>8.2425954848970833E-4</v>
      </c>
      <c r="AL890" s="27">
        <f t="shared" si="301"/>
        <v>8.2496590041470697E-4</v>
      </c>
      <c r="AM890" s="27">
        <f t="shared" si="301"/>
        <v>8.256256361880137E-4</v>
      </c>
      <c r="AN890" s="27">
        <f t="shared" si="301"/>
        <v>8.2624400346516431E-4</v>
      </c>
      <c r="AO890" s="27">
        <f t="shared" si="301"/>
        <v>8.2680473667312636E-4</v>
      </c>
      <c r="AP890" s="27">
        <f t="shared" si="301"/>
        <v>8.2729697348516047E-4</v>
      </c>
      <c r="AQ890" s="27">
        <f t="shared" si="301"/>
        <v>8.2771912290397116E-4</v>
      </c>
      <c r="AR890" s="27">
        <f t="shared" si="301"/>
        <v>8.2805882378061209E-4</v>
      </c>
      <c r="AS890" s="27">
        <f t="shared" si="301"/>
        <v>8.2830263988430608E-4</v>
      </c>
      <c r="AT890" s="27">
        <f t="shared" si="301"/>
        <v>8.2844905600782401E-4</v>
      </c>
      <c r="AU890" s="27">
        <f t="shared" si="301"/>
        <v>8.2850016063482762E-4</v>
      </c>
      <c r="AV890" s="27">
        <f t="shared" si="301"/>
        <v>8.2845744859031962E-4</v>
      </c>
      <c r="AW890" s="27">
        <f t="shared" si="301"/>
        <v>8.2830827333984093E-4</v>
      </c>
      <c r="AY890" s="79"/>
      <c r="AZ890" s="79"/>
    </row>
    <row r="891" spans="1:52" x14ac:dyDescent="0.25">
      <c r="A891" s="95" t="str">
        <f t="shared" si="270"/>
        <v>BD MM Volatilisation</v>
      </c>
      <c r="B891" s="95" t="s">
        <v>1228</v>
      </c>
      <c r="C891" s="95" t="s">
        <v>1332</v>
      </c>
      <c r="D891" t="s">
        <v>369</v>
      </c>
      <c r="E891" t="s">
        <v>64</v>
      </c>
      <c r="F891" t="s">
        <v>62</v>
      </c>
      <c r="G891" t="s">
        <v>1168</v>
      </c>
      <c r="H891" t="s">
        <v>1298</v>
      </c>
      <c r="I891" t="s">
        <v>139</v>
      </c>
      <c r="J891" t="s">
        <v>287</v>
      </c>
      <c r="K891" s="27">
        <f t="shared" ref="K891:AW891" si="302">K1539</f>
        <v>1.4486129996083085E-5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1.489070601115726E-5</v>
      </c>
      <c r="R891" s="27">
        <f t="shared" si="302"/>
        <v>1.4988675221399694E-5</v>
      </c>
      <c r="S891" s="27">
        <f t="shared" si="302"/>
        <v>1.4952125307683929E-5</v>
      </c>
      <c r="T891" s="27">
        <f t="shared" si="302"/>
        <v>1.497659485650934E-5</v>
      </c>
      <c r="U891" s="27">
        <f t="shared" si="302"/>
        <v>1.5280249217669806E-5</v>
      </c>
      <c r="V891" s="27">
        <f t="shared" si="302"/>
        <v>1.5293967954982136E-5</v>
      </c>
      <c r="W891" s="27">
        <f t="shared" si="302"/>
        <v>1.5330288500558316E-5</v>
      </c>
      <c r="X891" s="27">
        <f t="shared" si="302"/>
        <v>1.5379307775042966E-5</v>
      </c>
      <c r="Y891" s="27">
        <f t="shared" si="302"/>
        <v>1.5424265287422665E-5</v>
      </c>
      <c r="Z891" s="27">
        <f t="shared" si="302"/>
        <v>1.5465755297522265E-5</v>
      </c>
      <c r="AA891" s="27">
        <f t="shared" si="302"/>
        <v>1.5503650543984476E-5</v>
      </c>
      <c r="AB891" s="27">
        <f t="shared" si="302"/>
        <v>1.5538340165319424E-5</v>
      </c>
      <c r="AC891" s="27">
        <f t="shared" si="302"/>
        <v>1.5570383853796525E-5</v>
      </c>
      <c r="AD891" s="27">
        <f t="shared" si="302"/>
        <v>1.5599807426957594E-5</v>
      </c>
      <c r="AE891" s="27">
        <f t="shared" si="302"/>
        <v>1.5627118939580073E-5</v>
      </c>
      <c r="AF891" s="27">
        <f t="shared" si="302"/>
        <v>1.5652427506297688E-5</v>
      </c>
      <c r="AG891" s="27">
        <f t="shared" si="302"/>
        <v>1.56754241207766E-5</v>
      </c>
      <c r="AH891" s="27">
        <f t="shared" si="302"/>
        <v>1.5696363462061687E-5</v>
      </c>
      <c r="AI891" s="27">
        <f t="shared" si="302"/>
        <v>1.5715630256505464E-5</v>
      </c>
      <c r="AJ891" s="27">
        <f t="shared" si="302"/>
        <v>1.5216731234132435E-5</v>
      </c>
      <c r="AK891" s="27">
        <f t="shared" si="302"/>
        <v>1.5235961154748287E-5</v>
      </c>
      <c r="AL891" s="27">
        <f t="shared" si="302"/>
        <v>1.525346973608994E-5</v>
      </c>
      <c r="AM891" s="27">
        <f t="shared" si="302"/>
        <v>1.5269398678749372E-5</v>
      </c>
      <c r="AN891" s="27">
        <f t="shared" si="302"/>
        <v>1.528391208207959E-5</v>
      </c>
      <c r="AO891" s="27">
        <f t="shared" si="302"/>
        <v>1.5296597939016457E-5</v>
      </c>
      <c r="AP891" s="27">
        <f t="shared" si="302"/>
        <v>1.5307189728189323E-5</v>
      </c>
      <c r="AQ891" s="27">
        <f t="shared" si="302"/>
        <v>1.5315667991874673E-5</v>
      </c>
      <c r="AR891" s="27">
        <f t="shared" si="302"/>
        <v>1.5321726619352006E-5</v>
      </c>
      <c r="AS891" s="27">
        <f t="shared" si="302"/>
        <v>1.5325032079315766E-5</v>
      </c>
      <c r="AT891" s="27">
        <f t="shared" si="302"/>
        <v>1.5325567315367108E-5</v>
      </c>
      <c r="AU891" s="27">
        <f t="shared" si="302"/>
        <v>1.532340963092266E-5</v>
      </c>
      <c r="AV891" s="27">
        <f t="shared" si="302"/>
        <v>1.5318619367085747E-5</v>
      </c>
      <c r="AW891" s="27">
        <f t="shared" si="302"/>
        <v>1.5310883587655619E-5</v>
      </c>
      <c r="AY891" s="79"/>
      <c r="AZ891" s="79"/>
    </row>
    <row r="892" spans="1:52" x14ac:dyDescent="0.25">
      <c r="A892" s="95" t="str">
        <f t="shared" si="270"/>
        <v>BD MM Volatilisation</v>
      </c>
      <c r="B892" s="95" t="s">
        <v>1228</v>
      </c>
      <c r="C892" s="95" t="s">
        <v>1332</v>
      </c>
      <c r="D892" t="s">
        <v>369</v>
      </c>
      <c r="E892" t="s">
        <v>64</v>
      </c>
      <c r="F892" t="s">
        <v>62</v>
      </c>
      <c r="G892" t="s">
        <v>1170</v>
      </c>
      <c r="H892" t="s">
        <v>1299</v>
      </c>
      <c r="I892" t="s">
        <v>139</v>
      </c>
      <c r="J892" t="s">
        <v>287</v>
      </c>
      <c r="K892" s="27">
        <f t="shared" ref="K892:AW892" si="303">K1540</f>
        <v>1.4738364076719787E-3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1.5149984613639169E-3</v>
      </c>
      <c r="R892" s="27">
        <f t="shared" si="303"/>
        <v>1.5249659674490626E-3</v>
      </c>
      <c r="S892" s="27">
        <f t="shared" si="303"/>
        <v>1.5212473349677769E-3</v>
      </c>
      <c r="T892" s="27">
        <f t="shared" si="303"/>
        <v>1.5237368964964909E-3</v>
      </c>
      <c r="U892" s="27">
        <f t="shared" si="303"/>
        <v>1.5546310589089282E-3</v>
      </c>
      <c r="V892" s="27">
        <f t="shared" si="303"/>
        <v>1.5560268198556864E-3</v>
      </c>
      <c r="W892" s="27">
        <f t="shared" si="303"/>
        <v>1.5597221161446995E-3</v>
      </c>
      <c r="X892" s="27">
        <f t="shared" si="303"/>
        <v>1.5647093964902903E-3</v>
      </c>
      <c r="Y892" s="27">
        <f t="shared" si="303"/>
        <v>1.5692834282407637E-3</v>
      </c>
      <c r="Z892" s="27">
        <f t="shared" si="303"/>
        <v>1.5735046721103132E-3</v>
      </c>
      <c r="AA892" s="27">
        <f t="shared" si="303"/>
        <v>1.5773601803743434E-3</v>
      </c>
      <c r="AB892" s="27">
        <f t="shared" si="303"/>
        <v>1.5808895444560981E-3</v>
      </c>
      <c r="AC892" s="27">
        <f t="shared" si="303"/>
        <v>1.5841497081248222E-3</v>
      </c>
      <c r="AD892" s="27">
        <f t="shared" si="303"/>
        <v>1.5871432980884847E-3</v>
      </c>
      <c r="AE892" s="27">
        <f t="shared" si="303"/>
        <v>1.5899220044553674E-3</v>
      </c>
      <c r="AF892" s="27">
        <f t="shared" si="303"/>
        <v>1.5924969286804358E-3</v>
      </c>
      <c r="AG892" s="27">
        <f t="shared" si="303"/>
        <v>1.5948366320850983E-3</v>
      </c>
      <c r="AH892" s="27">
        <f t="shared" si="303"/>
        <v>1.5969670260237814E-3</v>
      </c>
      <c r="AI892" s="27">
        <f t="shared" si="303"/>
        <v>1.5989272530214718E-3</v>
      </c>
      <c r="AJ892" s="27">
        <f t="shared" si="303"/>
        <v>1.54816866234721E-3</v>
      </c>
      <c r="AK892" s="27">
        <f t="shared" si="303"/>
        <v>1.5501251377569953E-3</v>
      </c>
      <c r="AL892" s="27">
        <f t="shared" si="303"/>
        <v>1.5519064820245804E-3</v>
      </c>
      <c r="AM892" s="27">
        <f t="shared" si="303"/>
        <v>1.5535271119397841E-3</v>
      </c>
      <c r="AN892" s="27">
        <f t="shared" si="303"/>
        <v>1.5550037231694973E-3</v>
      </c>
      <c r="AO892" s="27">
        <f t="shared" si="303"/>
        <v>1.5562943976160978E-3</v>
      </c>
      <c r="AP892" s="27">
        <f t="shared" si="303"/>
        <v>1.5573720190725925E-3</v>
      </c>
      <c r="AQ892" s="27">
        <f t="shared" si="303"/>
        <v>1.5582346078866301E-3</v>
      </c>
      <c r="AR892" s="27">
        <f t="shared" si="303"/>
        <v>1.5588510199828238E-3</v>
      </c>
      <c r="AS892" s="27">
        <f t="shared" si="303"/>
        <v>1.5591873214822584E-3</v>
      </c>
      <c r="AT892" s="27">
        <f t="shared" si="303"/>
        <v>1.5592417770462618E-3</v>
      </c>
      <c r="AU892" s="27">
        <f t="shared" si="303"/>
        <v>1.5590222516180525E-3</v>
      </c>
      <c r="AV892" s="27">
        <f t="shared" si="303"/>
        <v>1.5585348843745505E-3</v>
      </c>
      <c r="AW892" s="27">
        <f t="shared" si="303"/>
        <v>1.5577478368077457E-3</v>
      </c>
      <c r="AY892" s="79"/>
      <c r="AZ892" s="79"/>
    </row>
    <row r="893" spans="1:52" x14ac:dyDescent="0.25">
      <c r="A893" s="95" t="str">
        <f t="shared" si="270"/>
        <v>BD MM Volatilisation</v>
      </c>
      <c r="B893" s="95" t="s">
        <v>1228</v>
      </c>
      <c r="C893" s="95" t="s">
        <v>1332</v>
      </c>
      <c r="D893" t="s">
        <v>369</v>
      </c>
      <c r="E893" t="s">
        <v>64</v>
      </c>
      <c r="F893" t="s">
        <v>62</v>
      </c>
      <c r="G893" t="s">
        <v>1172</v>
      </c>
      <c r="H893" t="s">
        <v>1300</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25">
      <c r="A894" s="95" t="str">
        <f t="shared" si="270"/>
        <v>BD MM Volatilisation</v>
      </c>
      <c r="B894" s="95" t="s">
        <v>1228</v>
      </c>
      <c r="C894" s="95" t="s">
        <v>1332</v>
      </c>
      <c r="D894" t="s">
        <v>369</v>
      </c>
      <c r="E894" t="s">
        <v>64</v>
      </c>
      <c r="F894" t="s">
        <v>62</v>
      </c>
      <c r="G894" t="s">
        <v>1174</v>
      </c>
      <c r="H894" t="s">
        <v>1301</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25">
      <c r="A895" s="95" t="str">
        <f t="shared" si="270"/>
        <v>BD MM Volatilisation</v>
      </c>
      <c r="B895" s="95" t="s">
        <v>1228</v>
      </c>
      <c r="C895" s="95" t="s">
        <v>1332</v>
      </c>
      <c r="D895" t="s">
        <v>369</v>
      </c>
      <c r="E895" t="s">
        <v>64</v>
      </c>
      <c r="F895" t="s">
        <v>62</v>
      </c>
      <c r="G895" t="s">
        <v>1176</v>
      </c>
      <c r="H895" t="s">
        <v>1302</v>
      </c>
      <c r="I895" t="s">
        <v>139</v>
      </c>
      <c r="J895" t="s">
        <v>287</v>
      </c>
      <c r="K895" s="27">
        <f t="shared" ref="K895:AW895" si="306">K1543</f>
        <v>0.13075625264316332</v>
      </c>
      <c r="L895" s="27">
        <f t="shared" si="306"/>
        <v>0.13004550543955865</v>
      </c>
      <c r="M895" s="27">
        <f t="shared" si="306"/>
        <v>0.13010384136507711</v>
      </c>
      <c r="N895" s="27">
        <f t="shared" si="306"/>
        <v>0.1289093884029483</v>
      </c>
      <c r="O895" s="27">
        <f t="shared" si="306"/>
        <v>0.12695857121838472</v>
      </c>
      <c r="P895" s="27">
        <f t="shared" si="306"/>
        <v>0.12428257569245393</v>
      </c>
      <c r="Q895" s="27">
        <f t="shared" si="306"/>
        <v>0.12233950618032063</v>
      </c>
      <c r="R895" s="27">
        <f t="shared" si="306"/>
        <v>0.1205683722616282</v>
      </c>
      <c r="S895" s="27">
        <f t="shared" si="306"/>
        <v>0.10847829407061217</v>
      </c>
      <c r="T895" s="27">
        <f t="shared" si="306"/>
        <v>0.1123518575177655</v>
      </c>
      <c r="U895" s="27">
        <f t="shared" si="306"/>
        <v>0.35913477358816853</v>
      </c>
      <c r="V895" s="27">
        <f t="shared" si="306"/>
        <v>0.36011925097262676</v>
      </c>
      <c r="W895" s="27">
        <f t="shared" si="306"/>
        <v>0.36048284734734032</v>
      </c>
      <c r="X895" s="27">
        <f t="shared" si="306"/>
        <v>0.36024196834078215</v>
      </c>
      <c r="Y895" s="27">
        <f t="shared" si="306"/>
        <v>0.35943295375101947</v>
      </c>
      <c r="Z895" s="27">
        <f t="shared" si="306"/>
        <v>0.35804837226792258</v>
      </c>
      <c r="AA895" s="27">
        <f t="shared" si="306"/>
        <v>0.35608623415272644</v>
      </c>
      <c r="AB895" s="27">
        <f t="shared" si="306"/>
        <v>0.35354672339575033</v>
      </c>
      <c r="AC895" s="27">
        <f t="shared" si="306"/>
        <v>0.350433097152205</v>
      </c>
      <c r="AD895" s="27">
        <f t="shared" si="306"/>
        <v>0.34675336928081568</v>
      </c>
      <c r="AE895" s="27">
        <f t="shared" si="306"/>
        <v>0.34251767477610762</v>
      </c>
      <c r="AF895" s="27">
        <f t="shared" si="306"/>
        <v>0.33774033524299119</v>
      </c>
      <c r="AG895" s="27">
        <f t="shared" si="306"/>
        <v>0.33243970303339465</v>
      </c>
      <c r="AH895" s="27">
        <f t="shared" si="306"/>
        <v>0.32663565742792322</v>
      </c>
      <c r="AI895" s="27">
        <f t="shared" si="306"/>
        <v>0.32035050647820129</v>
      </c>
      <c r="AJ895" s="27">
        <f t="shared" si="306"/>
        <v>-2.9850992029554574E-2</v>
      </c>
      <c r="AK895" s="27">
        <f t="shared" si="306"/>
        <v>-2.9527827789556205E-2</v>
      </c>
      <c r="AL895" s="27">
        <f t="shared" si="306"/>
        <v>-2.9203518600220937E-2</v>
      </c>
      <c r="AM895" s="27">
        <f t="shared" si="306"/>
        <v>-2.8878400916482732E-2</v>
      </c>
      <c r="AN895" s="27">
        <f t="shared" si="306"/>
        <v>-2.8552846585961845E-2</v>
      </c>
      <c r="AO895" s="27">
        <f t="shared" si="306"/>
        <v>-2.8225992627032188E-2</v>
      </c>
      <c r="AP895" s="27">
        <f t="shared" si="306"/>
        <v>-2.7897329553488923E-2</v>
      </c>
      <c r="AQ895" s="27">
        <f t="shared" si="306"/>
        <v>-2.756688911429131E-2</v>
      </c>
      <c r="AR895" s="27">
        <f t="shared" si="306"/>
        <v>-2.7234123713642547E-2</v>
      </c>
      <c r="AS895" s="27">
        <f t="shared" si="306"/>
        <v>-2.6898465289903917E-2</v>
      </c>
      <c r="AT895" s="27">
        <f t="shared" si="306"/>
        <v>-2.6560009108900318E-2</v>
      </c>
      <c r="AU895" s="27">
        <f t="shared" si="306"/>
        <v>-2.6219036811035483E-2</v>
      </c>
      <c r="AV895" s="27">
        <f t="shared" si="306"/>
        <v>-2.5875789307707536E-2</v>
      </c>
      <c r="AW895" s="27">
        <f t="shared" si="306"/>
        <v>-2.5529791390037318E-2</v>
      </c>
      <c r="AY895" s="79"/>
      <c r="AZ895" s="79"/>
    </row>
    <row r="896" spans="1:52" x14ac:dyDescent="0.25">
      <c r="A896" s="95" t="str">
        <f t="shared" si="270"/>
        <v>BD MM Volatilisation</v>
      </c>
      <c r="B896" s="95" t="s">
        <v>1228</v>
      </c>
      <c r="C896" s="95" t="s">
        <v>1332</v>
      </c>
      <c r="D896" t="s">
        <v>369</v>
      </c>
      <c r="E896" t="s">
        <v>64</v>
      </c>
      <c r="F896" t="s">
        <v>62</v>
      </c>
      <c r="G896" t="s">
        <v>1178</v>
      </c>
      <c r="H896" t="s">
        <v>1303</v>
      </c>
      <c r="I896" t="s">
        <v>139</v>
      </c>
      <c r="J896" t="s">
        <v>287</v>
      </c>
      <c r="K896" s="27">
        <f t="shared" ref="K896:AW896" si="307">K1544</f>
        <v>1.2724633182830876E-2</v>
      </c>
      <c r="L896" s="27">
        <f t="shared" si="307"/>
        <v>1.2655466337890211E-2</v>
      </c>
      <c r="M896" s="27">
        <f t="shared" si="307"/>
        <v>1.2661143337946407E-2</v>
      </c>
      <c r="N896" s="27">
        <f t="shared" si="307"/>
        <v>1.2544904339887072E-2</v>
      </c>
      <c r="O896" s="27">
        <f t="shared" si="307"/>
        <v>1.2355059245839611E-2</v>
      </c>
      <c r="P896" s="27">
        <f t="shared" si="307"/>
        <v>1.2094642930917438E-2</v>
      </c>
      <c r="Q896" s="27">
        <f t="shared" si="307"/>
        <v>1.1905551806853844E-2</v>
      </c>
      <c r="R896" s="27">
        <f t="shared" si="307"/>
        <v>1.1733192711380723E-2</v>
      </c>
      <c r="S896" s="27">
        <f t="shared" si="307"/>
        <v>1.0556638573260382E-2</v>
      </c>
      <c r="T896" s="27">
        <f t="shared" si="307"/>
        <v>1.0933597020593381E-2</v>
      </c>
      <c r="U896" s="27">
        <f t="shared" si="307"/>
        <v>3.4949443447111525E-2</v>
      </c>
      <c r="V896" s="27">
        <f t="shared" si="307"/>
        <v>3.504524852978097E-2</v>
      </c>
      <c r="W896" s="27">
        <f t="shared" si="307"/>
        <v>3.5080632156959869E-2</v>
      </c>
      <c r="X896" s="27">
        <f t="shared" si="307"/>
        <v>3.5057190853481544E-2</v>
      </c>
      <c r="Y896" s="27">
        <f t="shared" si="307"/>
        <v>3.4978461051378834E-2</v>
      </c>
      <c r="Z896" s="27">
        <f t="shared" si="307"/>
        <v>3.484371956767917E-2</v>
      </c>
      <c r="AA896" s="27">
        <f t="shared" si="307"/>
        <v>3.465277276960857E-2</v>
      </c>
      <c r="AB896" s="27">
        <f t="shared" si="307"/>
        <v>3.4405638562309424E-2</v>
      </c>
      <c r="AC896" s="27">
        <f t="shared" si="307"/>
        <v>3.4102633918044564E-2</v>
      </c>
      <c r="AD896" s="27">
        <f t="shared" si="307"/>
        <v>3.3744538710897186E-2</v>
      </c>
      <c r="AE896" s="27">
        <f t="shared" si="307"/>
        <v>3.3332339234715881E-2</v>
      </c>
      <c r="AF896" s="27">
        <f t="shared" si="307"/>
        <v>3.2867429206171077E-2</v>
      </c>
      <c r="AG896" s="27">
        <f t="shared" si="307"/>
        <v>3.2351594596806102E-2</v>
      </c>
      <c r="AH896" s="27">
        <f t="shared" si="307"/>
        <v>3.1786769972261424E-2</v>
      </c>
      <c r="AI896" s="27">
        <f t="shared" si="307"/>
        <v>3.117512625567229E-2</v>
      </c>
      <c r="AJ896" s="27">
        <f t="shared" si="307"/>
        <v>-2.9049694836107746E-3</v>
      </c>
      <c r="AK896" s="27">
        <f t="shared" si="307"/>
        <v>-2.8735205369740911E-3</v>
      </c>
      <c r="AL896" s="27">
        <f t="shared" si="307"/>
        <v>-2.8419601688181263E-3</v>
      </c>
      <c r="AM896" s="27">
        <f t="shared" si="307"/>
        <v>-2.8103211214823929E-3</v>
      </c>
      <c r="AN896" s="27">
        <f t="shared" si="307"/>
        <v>-2.7786395815696092E-3</v>
      </c>
      <c r="AO896" s="27">
        <f t="shared" si="307"/>
        <v>-2.7468315674390254E-3</v>
      </c>
      <c r="AP896" s="27">
        <f t="shared" si="307"/>
        <v>-2.714847498095948E-3</v>
      </c>
      <c r="AQ896" s="27">
        <f t="shared" si="307"/>
        <v>-2.6826904632118271E-3</v>
      </c>
      <c r="AR896" s="27">
        <f t="shared" si="307"/>
        <v>-2.6503071731312461E-3</v>
      </c>
      <c r="AS896" s="27">
        <f t="shared" si="307"/>
        <v>-2.61764234655154E-3</v>
      </c>
      <c r="AT896" s="27">
        <f t="shared" si="307"/>
        <v>-2.5847052543309036E-3</v>
      </c>
      <c r="AU896" s="27">
        <f t="shared" si="307"/>
        <v>-2.5515233044957585E-3</v>
      </c>
      <c r="AV896" s="27">
        <f t="shared" si="307"/>
        <v>-2.5181199415017898E-3</v>
      </c>
      <c r="AW896" s="27">
        <f t="shared" si="307"/>
        <v>-2.4844489200754436E-3</v>
      </c>
      <c r="AY896" s="79"/>
      <c r="AZ896" s="79"/>
    </row>
    <row r="897" spans="1:52" x14ac:dyDescent="0.25">
      <c r="A897" s="95" t="str">
        <f t="shared" si="270"/>
        <v>BD MM Volatilisation</v>
      </c>
      <c r="B897" s="95" t="s">
        <v>1228</v>
      </c>
      <c r="C897" s="95" t="s">
        <v>1332</v>
      </c>
      <c r="D897" t="s">
        <v>369</v>
      </c>
      <c r="E897" t="s">
        <v>64</v>
      </c>
      <c r="F897" t="s">
        <v>62</v>
      </c>
      <c r="G897" t="s">
        <v>1180</v>
      </c>
      <c r="H897" t="s">
        <v>1304</v>
      </c>
      <c r="I897" t="s">
        <v>139</v>
      </c>
      <c r="J897" t="s">
        <v>287</v>
      </c>
      <c r="K897" s="27">
        <f t="shared" ref="K897:AW897" si="308">K1545</f>
        <v>6.4453339767617121E-2</v>
      </c>
      <c r="L897" s="27">
        <f t="shared" si="308"/>
        <v>6.5763803942104557E-2</v>
      </c>
      <c r="M897" s="27">
        <f t="shared" si="308"/>
        <v>6.7295612361813625E-2</v>
      </c>
      <c r="N897" s="27">
        <f t="shared" si="308"/>
        <v>6.8471619369899747E-2</v>
      </c>
      <c r="O897" s="27">
        <f t="shared" si="308"/>
        <v>6.94156577655035E-2</v>
      </c>
      <c r="P897" s="27">
        <f t="shared" si="308"/>
        <v>7.0122113289878357E-2</v>
      </c>
      <c r="Q897" s="27">
        <f t="shared" si="308"/>
        <v>7.1027984276732931E-2</v>
      </c>
      <c r="R897" s="27">
        <f t="shared" si="308"/>
        <v>7.1969839340941866E-2</v>
      </c>
      <c r="S897" s="27">
        <f t="shared" si="308"/>
        <v>6.9132641817907584E-2</v>
      </c>
      <c r="T897" s="27">
        <f t="shared" si="308"/>
        <v>7.1668538235416565E-2</v>
      </c>
      <c r="U897" s="27">
        <f t="shared" si="308"/>
        <v>0.15927878056001546</v>
      </c>
      <c r="V897" s="27">
        <f t="shared" si="308"/>
        <v>0.16278043280676852</v>
      </c>
      <c r="W897" s="27">
        <f t="shared" si="308"/>
        <v>0.1661384841502746</v>
      </c>
      <c r="X897" s="27">
        <f t="shared" si="308"/>
        <v>0.16932327786154089</v>
      </c>
      <c r="Y897" s="27">
        <f t="shared" si="308"/>
        <v>0.17229459764803176</v>
      </c>
      <c r="Z897" s="27">
        <f t="shared" si="308"/>
        <v>0.17503945749810612</v>
      </c>
      <c r="AA897" s="27">
        <f t="shared" si="308"/>
        <v>0.17754464171079537</v>
      </c>
      <c r="AB897" s="27">
        <f t="shared" si="308"/>
        <v>0.17979875003476928</v>
      </c>
      <c r="AC897" s="27">
        <f t="shared" si="308"/>
        <v>0.18179177836428806</v>
      </c>
      <c r="AD897" s="27">
        <f t="shared" si="308"/>
        <v>0.18351408832752805</v>
      </c>
      <c r="AE897" s="27">
        <f t="shared" si="308"/>
        <v>0.18495811914653704</v>
      </c>
      <c r="AF897" s="27">
        <f t="shared" si="308"/>
        <v>0.18611704996451123</v>
      </c>
      <c r="AG897" s="27">
        <f t="shared" si="308"/>
        <v>0.18698481434150752</v>
      </c>
      <c r="AH897" s="27">
        <f t="shared" si="308"/>
        <v>0.18755776005425462</v>
      </c>
      <c r="AI897" s="27">
        <f t="shared" si="308"/>
        <v>0.18783399692655736</v>
      </c>
      <c r="AJ897" s="27">
        <f t="shared" si="308"/>
        <v>2.4486671101770791E-2</v>
      </c>
      <c r="AK897" s="27">
        <f t="shared" si="308"/>
        <v>2.4666387221284058E-2</v>
      </c>
      <c r="AL897" s="27">
        <f t="shared" si="308"/>
        <v>2.4841648409900843E-2</v>
      </c>
      <c r="AM897" s="27">
        <f t="shared" si="308"/>
        <v>2.5012718687706617E-2</v>
      </c>
      <c r="AN897" s="27">
        <f t="shared" si="308"/>
        <v>2.5179902406593305E-2</v>
      </c>
      <c r="AO897" s="27">
        <f t="shared" si="308"/>
        <v>2.5342514084649829E-2</v>
      </c>
      <c r="AP897" s="27">
        <f t="shared" si="308"/>
        <v>2.5500102306234843E-2</v>
      </c>
      <c r="AQ897" s="27">
        <f t="shared" si="308"/>
        <v>2.5652633826306989E-2</v>
      </c>
      <c r="AR897" s="27">
        <f t="shared" si="308"/>
        <v>2.5799570928013445E-2</v>
      </c>
      <c r="AS897" s="27">
        <f t="shared" si="308"/>
        <v>2.5940314994938186E-2</v>
      </c>
      <c r="AT897" s="27">
        <f t="shared" si="308"/>
        <v>2.6074813676088864E-2</v>
      </c>
      <c r="AU897" s="27">
        <f t="shared" si="308"/>
        <v>2.6203180413111957E-2</v>
      </c>
      <c r="AV897" s="27">
        <f t="shared" si="308"/>
        <v>2.6325499899042631E-2</v>
      </c>
      <c r="AW897" s="27">
        <f t="shared" si="308"/>
        <v>2.6441188397219272E-2</v>
      </c>
      <c r="AY897" s="79"/>
      <c r="AZ897" s="79"/>
    </row>
    <row r="898" spans="1:52" x14ac:dyDescent="0.25">
      <c r="A898" s="95" t="str">
        <f t="shared" si="270"/>
        <v>BD MM Volatilisation</v>
      </c>
      <c r="B898" s="95" t="s">
        <v>1228</v>
      </c>
      <c r="C898" s="95" t="s">
        <v>1332</v>
      </c>
      <c r="D898" t="s">
        <v>369</v>
      </c>
      <c r="E898" t="s">
        <v>64</v>
      </c>
      <c r="F898" t="s">
        <v>62</v>
      </c>
      <c r="G898" t="s">
        <v>1182</v>
      </c>
      <c r="H898" t="s">
        <v>1305</v>
      </c>
      <c r="I898" t="s">
        <v>139</v>
      </c>
      <c r="J898" t="s">
        <v>287</v>
      </c>
      <c r="K898" s="27">
        <f t="shared" ref="K898:AW898" si="309">K1546</f>
        <v>0.31034319165291735</v>
      </c>
      <c r="L898" s="27">
        <f t="shared" si="309"/>
        <v>0.31442985679016994</v>
      </c>
      <c r="M898" s="27">
        <f t="shared" si="309"/>
        <v>0.32099421325528482</v>
      </c>
      <c r="N898" s="27">
        <f t="shared" si="309"/>
        <v>0.32287903178152921</v>
      </c>
      <c r="O898" s="27">
        <f t="shared" si="309"/>
        <v>0.32172327535887091</v>
      </c>
      <c r="P898" s="27">
        <f t="shared" si="309"/>
        <v>0.31753924052538912</v>
      </c>
      <c r="Q898" s="27">
        <f t="shared" si="309"/>
        <v>0.31577785743754255</v>
      </c>
      <c r="R898" s="27">
        <f t="shared" si="309"/>
        <v>0.31441607582114939</v>
      </c>
      <c r="S898" s="27">
        <f t="shared" si="309"/>
        <v>0.27420619396536416</v>
      </c>
      <c r="T898" s="27">
        <f t="shared" si="309"/>
        <v>0.29495818532939488</v>
      </c>
      <c r="U898" s="27">
        <f t="shared" si="309"/>
        <v>1.2825520746937493</v>
      </c>
      <c r="V898" s="27">
        <f t="shared" si="309"/>
        <v>1.3055461044676304</v>
      </c>
      <c r="W898" s="27">
        <f t="shared" si="309"/>
        <v>1.3259738285316456</v>
      </c>
      <c r="X898" s="27">
        <f t="shared" si="309"/>
        <v>1.3439224713343889</v>
      </c>
      <c r="Y898" s="27">
        <f t="shared" si="309"/>
        <v>1.3596359578831905</v>
      </c>
      <c r="Z898" s="27">
        <f t="shared" si="309"/>
        <v>1.3729964225138076</v>
      </c>
      <c r="AA898" s="27">
        <f t="shared" si="309"/>
        <v>1.3839133762561158</v>
      </c>
      <c r="AB898" s="27">
        <f t="shared" si="309"/>
        <v>1.392297876830487</v>
      </c>
      <c r="AC898" s="27">
        <f t="shared" si="309"/>
        <v>1.3980705991762232</v>
      </c>
      <c r="AD898" s="27">
        <f t="shared" si="309"/>
        <v>1.4011774518837516</v>
      </c>
      <c r="AE898" s="27">
        <f t="shared" si="309"/>
        <v>1.4015682854114344</v>
      </c>
      <c r="AF898" s="27">
        <f t="shared" si="309"/>
        <v>1.3992160776881843</v>
      </c>
      <c r="AG898" s="27">
        <f t="shared" si="309"/>
        <v>1.3941175452078094</v>
      </c>
      <c r="AH898" s="27">
        <f t="shared" si="309"/>
        <v>1.3862722906542229</v>
      </c>
      <c r="AI898" s="27">
        <f t="shared" si="309"/>
        <v>1.3756920657497529</v>
      </c>
      <c r="AJ898" s="27">
        <f t="shared" si="309"/>
        <v>-0.29376675967597721</v>
      </c>
      <c r="AK898" s="27">
        <f t="shared" si="309"/>
        <v>-0.29418248669382474</v>
      </c>
      <c r="AL898" s="27">
        <f t="shared" si="309"/>
        <v>-0.29455892044172599</v>
      </c>
      <c r="AM898" s="27">
        <f t="shared" si="309"/>
        <v>-0.29489926202307742</v>
      </c>
      <c r="AN898" s="27">
        <f t="shared" si="309"/>
        <v>-0.2952071711728716</v>
      </c>
      <c r="AO898" s="27">
        <f t="shared" si="309"/>
        <v>-0.29547405449445624</v>
      </c>
      <c r="AP898" s="27">
        <f t="shared" si="309"/>
        <v>-0.29569441698810944</v>
      </c>
      <c r="AQ898" s="27">
        <f t="shared" si="309"/>
        <v>-0.29586800918156786</v>
      </c>
      <c r="AR898" s="27">
        <f t="shared" si="309"/>
        <v>-0.29598849617700645</v>
      </c>
      <c r="AS898" s="27">
        <f t="shared" si="309"/>
        <v>-0.29604896826052718</v>
      </c>
      <c r="AT898" s="27">
        <f t="shared" si="309"/>
        <v>-0.29604922742667927</v>
      </c>
      <c r="AU898" s="27">
        <f t="shared" si="309"/>
        <v>-0.29599106772821226</v>
      </c>
      <c r="AV898" s="27">
        <f t="shared" si="309"/>
        <v>-0.29587591492784127</v>
      </c>
      <c r="AW898" s="27">
        <f t="shared" si="309"/>
        <v>-0.29569729144234697</v>
      </c>
      <c r="AY898" s="79"/>
      <c r="AZ898" s="79"/>
    </row>
    <row r="899" spans="1:52" x14ac:dyDescent="0.25">
      <c r="A899" s="95" t="str">
        <f t="shared" si="270"/>
        <v>BD MM Leaching</v>
      </c>
      <c r="B899" s="95" t="s">
        <v>1228</v>
      </c>
      <c r="C899" s="95" t="s">
        <v>1333</v>
      </c>
      <c r="D899" t="s">
        <v>369</v>
      </c>
      <c r="E899" t="s">
        <v>64</v>
      </c>
      <c r="F899" t="s">
        <v>63</v>
      </c>
      <c r="G899" t="s">
        <v>1152</v>
      </c>
      <c r="H899" t="s">
        <v>1306</v>
      </c>
      <c r="I899" t="s">
        <v>139</v>
      </c>
      <c r="J899" t="s">
        <v>287</v>
      </c>
      <c r="K899" s="27">
        <f t="shared" ref="K899:AW899" si="310">K1547</f>
        <v>8.9211118607918846E-2</v>
      </c>
      <c r="L899" s="27">
        <f t="shared" si="310"/>
        <v>8.9709854381943815E-2</v>
      </c>
      <c r="M899" s="27">
        <f t="shared" si="310"/>
        <v>9.0417475033143083E-2</v>
      </c>
      <c r="N899" s="27">
        <f t="shared" si="310"/>
        <v>9.0872196678668984E-2</v>
      </c>
      <c r="O899" s="27">
        <f t="shared" si="310"/>
        <v>9.1174361291842948E-2</v>
      </c>
      <c r="P899" s="27">
        <f t="shared" si="310"/>
        <v>9.1320994898161756E-2</v>
      </c>
      <c r="Q899" s="27">
        <f t="shared" si="310"/>
        <v>9.1644963105957017E-2</v>
      </c>
      <c r="R899" s="27">
        <f t="shared" si="310"/>
        <v>9.2016609055475665E-2</v>
      </c>
      <c r="S899" s="27">
        <f t="shared" si="310"/>
        <v>8.940199339516991E-2</v>
      </c>
      <c r="T899" s="27">
        <f t="shared" si="310"/>
        <v>9.0940281304058526E-2</v>
      </c>
      <c r="U899" s="27">
        <f t="shared" si="310"/>
        <v>0.1564700266780468</v>
      </c>
      <c r="V899" s="27">
        <f t="shared" si="310"/>
        <v>0.15835619981688001</v>
      </c>
      <c r="W899" s="27">
        <f t="shared" si="310"/>
        <v>0.16015964078695746</v>
      </c>
      <c r="X899" s="27">
        <f t="shared" si="310"/>
        <v>0.161849673455432</v>
      </c>
      <c r="Y899" s="27">
        <f t="shared" si="310"/>
        <v>0.16338116510403111</v>
      </c>
      <c r="Z899" s="27">
        <f t="shared" si="310"/>
        <v>0.16474696363228722</v>
      </c>
      <c r="AA899" s="27">
        <f t="shared" si="310"/>
        <v>0.16593911254285348</v>
      </c>
      <c r="AB899" s="27">
        <f t="shared" si="310"/>
        <v>0.16695158994132034</v>
      </c>
      <c r="AC899" s="27">
        <f t="shared" si="310"/>
        <v>0.16777962003810495</v>
      </c>
      <c r="AD899" s="27">
        <f t="shared" si="310"/>
        <v>0.16841818240508855</v>
      </c>
      <c r="AE899" s="27">
        <f t="shared" si="310"/>
        <v>0.16886427150805067</v>
      </c>
      <c r="AF899" s="27">
        <f t="shared" si="310"/>
        <v>0.1691150043732032</v>
      </c>
      <c r="AG899" s="27">
        <f t="shared" si="310"/>
        <v>0.16916759569059056</v>
      </c>
      <c r="AH899" s="27">
        <f t="shared" si="310"/>
        <v>0.16902153680910736</v>
      </c>
      <c r="AI899" s="27">
        <f t="shared" si="310"/>
        <v>0.16867765925493905</v>
      </c>
      <c r="AJ899" s="27">
        <f t="shared" si="310"/>
        <v>5.3366694545987768E-2</v>
      </c>
      <c r="AK899" s="27">
        <f t="shared" si="310"/>
        <v>5.3405651337415067E-2</v>
      </c>
      <c r="AL899" s="27">
        <f t="shared" si="310"/>
        <v>5.344180376180914E-2</v>
      </c>
      <c r="AM899" s="27">
        <f t="shared" si="310"/>
        <v>5.3475396377869022E-2</v>
      </c>
      <c r="AN899" s="27">
        <f t="shared" si="310"/>
        <v>5.3506730430657977E-2</v>
      </c>
      <c r="AO899" s="27">
        <f t="shared" si="310"/>
        <v>5.353482249647553E-2</v>
      </c>
      <c r="AP899" s="27">
        <f t="shared" si="310"/>
        <v>5.3559012168450083E-2</v>
      </c>
      <c r="AQ899" s="27">
        <f t="shared" si="310"/>
        <v>5.3579193542556233E-2</v>
      </c>
      <c r="AR899" s="27">
        <f t="shared" si="310"/>
        <v>5.3594617293935103E-2</v>
      </c>
      <c r="AS899" s="27">
        <f t="shared" si="310"/>
        <v>5.3604469890097345E-2</v>
      </c>
      <c r="AT899" s="27">
        <f t="shared" si="310"/>
        <v>5.3608650848433942E-2</v>
      </c>
      <c r="AU899" s="27">
        <f t="shared" si="310"/>
        <v>5.3607275721283966E-2</v>
      </c>
      <c r="AV899" s="27">
        <f t="shared" si="310"/>
        <v>5.3600425093073278E-2</v>
      </c>
      <c r="AW899" s="27">
        <f t="shared" si="310"/>
        <v>5.3587333792896791E-2</v>
      </c>
      <c r="AY899" s="79"/>
      <c r="AZ899" s="79"/>
    </row>
    <row r="900" spans="1:52" x14ac:dyDescent="0.25">
      <c r="A900" s="95" t="str">
        <f t="shared" si="270"/>
        <v>BD MM Leaching</v>
      </c>
      <c r="B900" s="95" t="s">
        <v>1228</v>
      </c>
      <c r="C900" s="95" t="s">
        <v>1333</v>
      </c>
      <c r="D900" t="s">
        <v>369</v>
      </c>
      <c r="E900" t="s">
        <v>64</v>
      </c>
      <c r="F900" t="s">
        <v>63</v>
      </c>
      <c r="G900" t="s">
        <v>1154</v>
      </c>
      <c r="H900" t="s">
        <v>1307</v>
      </c>
      <c r="I900" t="s">
        <v>139</v>
      </c>
      <c r="J900" t="s">
        <v>287</v>
      </c>
      <c r="K900" s="27">
        <f t="shared" ref="K900:AW900" si="311">K1548</f>
        <v>2.6939494531157477E-2</v>
      </c>
      <c r="L900" s="27">
        <f t="shared" si="311"/>
        <v>2.7090100081973278E-2</v>
      </c>
      <c r="M900" s="27">
        <f t="shared" si="311"/>
        <v>2.730378356628085E-2</v>
      </c>
      <c r="N900" s="27">
        <f t="shared" si="311"/>
        <v>2.7441097966929517E-2</v>
      </c>
      <c r="O900" s="27">
        <f t="shared" si="311"/>
        <v>2.7532344014183842E-2</v>
      </c>
      <c r="P900" s="27">
        <f t="shared" si="311"/>
        <v>2.757662364319367E-2</v>
      </c>
      <c r="Q900" s="27">
        <f t="shared" si="311"/>
        <v>2.7674453822865853E-2</v>
      </c>
      <c r="R900" s="27">
        <f t="shared" si="311"/>
        <v>2.7786681470952937E-2</v>
      </c>
      <c r="S900" s="27">
        <f t="shared" si="311"/>
        <v>2.699713387440892E-2</v>
      </c>
      <c r="T900" s="27">
        <f t="shared" si="311"/>
        <v>2.7461657796488435E-2</v>
      </c>
      <c r="U900" s="27">
        <f t="shared" si="311"/>
        <v>4.7249978408062936E-2</v>
      </c>
      <c r="V900" s="27">
        <f t="shared" si="311"/>
        <v>4.7819554843728261E-2</v>
      </c>
      <c r="W900" s="27">
        <f t="shared" si="311"/>
        <v>4.8364148263346618E-2</v>
      </c>
      <c r="X900" s="27">
        <f t="shared" si="311"/>
        <v>4.8874495253052513E-2</v>
      </c>
      <c r="Y900" s="27">
        <f t="shared" si="311"/>
        <v>4.9336966876945901E-2</v>
      </c>
      <c r="Z900" s="27">
        <f t="shared" si="311"/>
        <v>4.9749403382134544E-2</v>
      </c>
      <c r="AA900" s="27">
        <f t="shared" si="311"/>
        <v>5.0109402108276212E-2</v>
      </c>
      <c r="AB900" s="27">
        <f t="shared" si="311"/>
        <v>5.0415144596034883E-2</v>
      </c>
      <c r="AC900" s="27">
        <f t="shared" si="311"/>
        <v>5.0665188678118429E-2</v>
      </c>
      <c r="AD900" s="27">
        <f t="shared" si="311"/>
        <v>5.0858018312603365E-2</v>
      </c>
      <c r="AE900" s="27">
        <f t="shared" si="311"/>
        <v>5.0992725904405595E-2</v>
      </c>
      <c r="AF900" s="27">
        <f t="shared" si="311"/>
        <v>5.1068440868582254E-2</v>
      </c>
      <c r="AG900" s="27">
        <f t="shared" si="311"/>
        <v>5.1084322112190127E-2</v>
      </c>
      <c r="AH900" s="27">
        <f t="shared" si="311"/>
        <v>5.104021603549988E-2</v>
      </c>
      <c r="AI900" s="27">
        <f t="shared" si="311"/>
        <v>5.0936373738323673E-2</v>
      </c>
      <c r="AJ900" s="27">
        <f t="shared" si="311"/>
        <v>1.6115387838438942E-2</v>
      </c>
      <c r="AK900" s="27">
        <f t="shared" si="311"/>
        <v>1.6127151801115156E-2</v>
      </c>
      <c r="AL900" s="27">
        <f t="shared" si="311"/>
        <v>1.6138068916094209E-2</v>
      </c>
      <c r="AM900" s="27">
        <f t="shared" si="311"/>
        <v>1.6148213033898736E-2</v>
      </c>
      <c r="AN900" s="27">
        <f t="shared" si="311"/>
        <v>1.6157675122895256E-2</v>
      </c>
      <c r="AO900" s="27">
        <f t="shared" si="311"/>
        <v>1.6166158214075712E-2</v>
      </c>
      <c r="AP900" s="27">
        <f t="shared" si="311"/>
        <v>1.6173462881319406E-2</v>
      </c>
      <c r="AQ900" s="27">
        <f t="shared" si="311"/>
        <v>1.617955714429747E-2</v>
      </c>
      <c r="AR900" s="27">
        <f t="shared" si="311"/>
        <v>1.6184214725912905E-2</v>
      </c>
      <c r="AS900" s="27">
        <f t="shared" si="311"/>
        <v>1.618718995999328E-2</v>
      </c>
      <c r="AT900" s="27">
        <f t="shared" si="311"/>
        <v>1.618845250333991E-2</v>
      </c>
      <c r="AU900" s="27">
        <f t="shared" si="311"/>
        <v>1.6188037249827626E-2</v>
      </c>
      <c r="AV900" s="27">
        <f t="shared" si="311"/>
        <v>1.6185968533908621E-2</v>
      </c>
      <c r="AW900" s="27">
        <f t="shared" si="311"/>
        <v>1.6182015293381945E-2</v>
      </c>
      <c r="AY900" s="79"/>
      <c r="AZ900" s="79"/>
    </row>
    <row r="901" spans="1:52" x14ac:dyDescent="0.25">
      <c r="A901" s="95" t="str">
        <f t="shared" si="270"/>
        <v>BD MM Leaching</v>
      </c>
      <c r="B901" s="95" t="s">
        <v>1228</v>
      </c>
      <c r="C901" s="95" t="s">
        <v>1333</v>
      </c>
      <c r="D901" t="s">
        <v>369</v>
      </c>
      <c r="E901" t="s">
        <v>64</v>
      </c>
      <c r="F901" t="s">
        <v>63</v>
      </c>
      <c r="G901" t="s">
        <v>1156</v>
      </c>
      <c r="H901" t="s">
        <v>1308</v>
      </c>
      <c r="I901" t="s">
        <v>139</v>
      </c>
      <c r="J901" t="s">
        <v>287</v>
      </c>
      <c r="K901" s="27">
        <f t="shared" ref="K901:AW901" si="312">K1549</f>
        <v>1.4483668498503175E-3</v>
      </c>
      <c r="L901" s="27">
        <f t="shared" si="312"/>
        <v>1.4564639612104711E-3</v>
      </c>
      <c r="M901" s="27">
        <f t="shared" si="312"/>
        <v>1.4679523755410987E-3</v>
      </c>
      <c r="N901" s="27">
        <f t="shared" si="312"/>
        <v>1.4753349055168039E-3</v>
      </c>
      <c r="O901" s="27">
        <f t="shared" si="312"/>
        <v>1.4802406304505133E-3</v>
      </c>
      <c r="P901" s="27">
        <f t="shared" si="312"/>
        <v>1.4826212670547866E-3</v>
      </c>
      <c r="Q901" s="27">
        <f t="shared" si="312"/>
        <v>1.4878809792957942E-3</v>
      </c>
      <c r="R901" s="27">
        <f t="shared" si="312"/>
        <v>1.4939147526814829E-3</v>
      </c>
      <c r="S901" s="27">
        <f t="shared" si="312"/>
        <v>1.4514657540972396E-3</v>
      </c>
      <c r="T901" s="27">
        <f t="shared" si="312"/>
        <v>1.476440277985364E-3</v>
      </c>
      <c r="U901" s="27">
        <f t="shared" si="312"/>
        <v>2.5403335724518226E-3</v>
      </c>
      <c r="V901" s="27">
        <f t="shared" si="312"/>
        <v>2.5709561079607732E-3</v>
      </c>
      <c r="W901" s="27">
        <f t="shared" si="312"/>
        <v>2.6002354641383586E-3</v>
      </c>
      <c r="X901" s="27">
        <f t="shared" si="312"/>
        <v>2.6276736055985106E-3</v>
      </c>
      <c r="Y901" s="27">
        <f t="shared" si="312"/>
        <v>2.6525377903466292E-3</v>
      </c>
      <c r="Z901" s="27">
        <f t="shared" si="312"/>
        <v>2.6747119020803316E-3</v>
      </c>
      <c r="AA901" s="27">
        <f t="shared" si="312"/>
        <v>2.6940667648944388E-3</v>
      </c>
      <c r="AB901" s="27">
        <f t="shared" si="312"/>
        <v>2.7105046116902751E-3</v>
      </c>
      <c r="AC901" s="27">
        <f t="shared" si="312"/>
        <v>2.7239479062209941E-3</v>
      </c>
      <c r="AD901" s="27">
        <f t="shared" si="312"/>
        <v>2.7343151404663774E-3</v>
      </c>
      <c r="AE901" s="27">
        <f t="shared" si="312"/>
        <v>2.741557518758363E-3</v>
      </c>
      <c r="AF901" s="27">
        <f t="shared" si="312"/>
        <v>2.7456282352309475E-3</v>
      </c>
      <c r="AG901" s="27">
        <f t="shared" si="312"/>
        <v>2.7464820696170918E-3</v>
      </c>
      <c r="AH901" s="27">
        <f t="shared" si="312"/>
        <v>2.7441107638273262E-3</v>
      </c>
      <c r="AI901" s="27">
        <f t="shared" si="312"/>
        <v>2.738527817916133E-3</v>
      </c>
      <c r="AJ901" s="27">
        <f t="shared" si="312"/>
        <v>8.664228458585355E-4</v>
      </c>
      <c r="AK901" s="27">
        <f t="shared" si="312"/>
        <v>8.6705531999584366E-4</v>
      </c>
      <c r="AL901" s="27">
        <f t="shared" si="312"/>
        <v>8.6764226446925895E-4</v>
      </c>
      <c r="AM901" s="27">
        <f t="shared" si="312"/>
        <v>8.6818764975598228E-4</v>
      </c>
      <c r="AN901" s="27">
        <f t="shared" si="312"/>
        <v>8.6869636665180383E-4</v>
      </c>
      <c r="AO901" s="27">
        <f t="shared" si="312"/>
        <v>8.691524490046414E-4</v>
      </c>
      <c r="AP901" s="27">
        <f t="shared" si="312"/>
        <v>8.6954517492875681E-4</v>
      </c>
      <c r="AQ901" s="27">
        <f t="shared" si="312"/>
        <v>8.6987282504340517E-4</v>
      </c>
      <c r="AR901" s="27">
        <f t="shared" si="312"/>
        <v>8.7012323385506529E-4</v>
      </c>
      <c r="AS901" s="27">
        <f t="shared" si="312"/>
        <v>8.7028319344181889E-4</v>
      </c>
      <c r="AT901" s="27">
        <f t="shared" si="312"/>
        <v>8.7035107244109425E-4</v>
      </c>
      <c r="AU901" s="27">
        <f t="shared" si="312"/>
        <v>8.7032874687664199E-4</v>
      </c>
      <c r="AV901" s="27">
        <f t="shared" si="312"/>
        <v>8.7021752505860126E-4</v>
      </c>
      <c r="AW901" s="27">
        <f t="shared" si="312"/>
        <v>8.7000498422856851E-4</v>
      </c>
      <c r="AY901" s="79"/>
      <c r="AZ901" s="79"/>
    </row>
    <row r="902" spans="1:52" x14ac:dyDescent="0.25">
      <c r="A902" s="95" t="str">
        <f t="shared" si="270"/>
        <v>BD MM Leaching</v>
      </c>
      <c r="B902" s="95" t="s">
        <v>1228</v>
      </c>
      <c r="C902" s="95" t="s">
        <v>1333</v>
      </c>
      <c r="D902" t="s">
        <v>369</v>
      </c>
      <c r="E902" t="s">
        <v>64</v>
      </c>
      <c r="F902" t="s">
        <v>63</v>
      </c>
      <c r="G902" t="s">
        <v>1158</v>
      </c>
      <c r="H902" t="s">
        <v>1309</v>
      </c>
      <c r="I902" t="s">
        <v>139</v>
      </c>
      <c r="J902" t="s">
        <v>287</v>
      </c>
      <c r="K902" s="27">
        <f t="shared" ref="K902:AW902" si="313">K1550</f>
        <v>3.0303014392691133E-2</v>
      </c>
      <c r="L902" s="27">
        <f t="shared" si="313"/>
        <v>3.0040206026371367E-2</v>
      </c>
      <c r="M902" s="27">
        <f t="shared" si="313"/>
        <v>2.9940162837193193E-2</v>
      </c>
      <c r="N902" s="27">
        <f t="shared" si="313"/>
        <v>2.9540351153331305E-2</v>
      </c>
      <c r="O902" s="27">
        <f t="shared" si="313"/>
        <v>2.8960014730128859E-2</v>
      </c>
      <c r="P902" s="27">
        <f t="shared" si="313"/>
        <v>2.8211154016296508E-2</v>
      </c>
      <c r="Q902" s="27">
        <f t="shared" si="313"/>
        <v>2.7620505669412019E-2</v>
      </c>
      <c r="R902" s="27">
        <f t="shared" si="313"/>
        <v>2.7061685185942382E-2</v>
      </c>
      <c r="S902" s="27">
        <f t="shared" si="313"/>
        <v>2.4201772556346722E-2</v>
      </c>
      <c r="T902" s="27">
        <f t="shared" si="313"/>
        <v>2.5134193306706524E-2</v>
      </c>
      <c r="U902" s="27">
        <f t="shared" si="313"/>
        <v>7.9215327522416931E-2</v>
      </c>
      <c r="V902" s="27">
        <f t="shared" si="313"/>
        <v>7.9597413086941654E-2</v>
      </c>
      <c r="W902" s="27">
        <f t="shared" si="313"/>
        <v>7.9841946903631861E-2</v>
      </c>
      <c r="X902" s="27">
        <f t="shared" si="313"/>
        <v>7.9948879165643486E-2</v>
      </c>
      <c r="Y902" s="27">
        <f t="shared" si="313"/>
        <v>7.992047510263596E-2</v>
      </c>
      <c r="Z902" s="27">
        <f t="shared" si="313"/>
        <v>7.9755373238701549E-2</v>
      </c>
      <c r="AA902" s="27">
        <f t="shared" si="313"/>
        <v>7.9453169143115579E-2</v>
      </c>
      <c r="AB902" s="27">
        <f t="shared" si="313"/>
        <v>7.9014112861708063E-2</v>
      </c>
      <c r="AC902" s="27">
        <f t="shared" si="313"/>
        <v>7.8439191657390592E-2</v>
      </c>
      <c r="AD902" s="27">
        <f t="shared" si="313"/>
        <v>7.7077087742293285E-2</v>
      </c>
      <c r="AE902" s="27">
        <f t="shared" si="313"/>
        <v>7.5586682253877949E-2</v>
      </c>
      <c r="AF902" s="27">
        <f t="shared" si="313"/>
        <v>7.3974671879861814E-2</v>
      </c>
      <c r="AG902" s="27">
        <f t="shared" si="313"/>
        <v>7.2248514242158265E-2</v>
      </c>
      <c r="AH902" s="27">
        <f t="shared" si="313"/>
        <v>7.0416148615651625E-2</v>
      </c>
      <c r="AI902" s="27">
        <f t="shared" si="313"/>
        <v>6.8486029191241041E-2</v>
      </c>
      <c r="AJ902" s="27">
        <f t="shared" si="313"/>
        <v>-5.2880249817764688E-3</v>
      </c>
      <c r="AK902" s="27">
        <f t="shared" si="313"/>
        <v>-5.1607046214705845E-3</v>
      </c>
      <c r="AL902" s="27">
        <f t="shared" si="313"/>
        <v>-5.0347089645398375E-3</v>
      </c>
      <c r="AM902" s="27">
        <f t="shared" si="313"/>
        <v>-4.9100249979569036E-3</v>
      </c>
      <c r="AN902" s="27">
        <f t="shared" si="313"/>
        <v>-4.8110666270887118E-3</v>
      </c>
      <c r="AO902" s="27">
        <f t="shared" si="313"/>
        <v>-4.7130469845991819E-3</v>
      </c>
      <c r="AP902" s="27">
        <f t="shared" si="313"/>
        <v>-4.6158931662269266E-3</v>
      </c>
      <c r="AQ902" s="27">
        <f t="shared" si="313"/>
        <v>-4.5195811063585816E-3</v>
      </c>
      <c r="AR902" s="27">
        <f t="shared" si="313"/>
        <v>-4.424040391221005E-3</v>
      </c>
      <c r="AS902" s="27">
        <f t="shared" si="313"/>
        <v>-4.3292020646369571E-3</v>
      </c>
      <c r="AT902" s="27">
        <f t="shared" si="313"/>
        <v>-4.2350550518406409E-3</v>
      </c>
      <c r="AU902" s="27">
        <f t="shared" si="313"/>
        <v>-4.1416051693555066E-3</v>
      </c>
      <c r="AV902" s="27">
        <f t="shared" si="313"/>
        <v>-4.0488559853117164E-3</v>
      </c>
      <c r="AW902" s="27">
        <f t="shared" si="313"/>
        <v>-3.9567542281437719E-3</v>
      </c>
      <c r="AY902" s="79"/>
      <c r="AZ902" s="79"/>
    </row>
    <row r="903" spans="1:52" x14ac:dyDescent="0.25">
      <c r="A903" s="95" t="str">
        <f t="shared" si="270"/>
        <v>BD MM Leaching</v>
      </c>
      <c r="B903" s="95" t="s">
        <v>1228</v>
      </c>
      <c r="C903" s="95" t="s">
        <v>1333</v>
      </c>
      <c r="D903" t="s">
        <v>369</v>
      </c>
      <c r="E903" t="s">
        <v>64</v>
      </c>
      <c r="F903" t="s">
        <v>63</v>
      </c>
      <c r="G903" t="s">
        <v>1160</v>
      </c>
      <c r="H903" t="s">
        <v>1310</v>
      </c>
      <c r="I903" t="s">
        <v>139</v>
      </c>
      <c r="J903" t="s">
        <v>287</v>
      </c>
      <c r="K903" s="27">
        <f t="shared" ref="K903:AW903" si="314">K1551</f>
        <v>4.0226293185258929E-2</v>
      </c>
      <c r="L903" s="27">
        <f t="shared" si="314"/>
        <v>3.9877423391049029E-2</v>
      </c>
      <c r="M903" s="27">
        <f t="shared" si="314"/>
        <v>3.9744619221572089E-2</v>
      </c>
      <c r="N903" s="27">
        <f t="shared" si="314"/>
        <v>3.9213881856453726E-2</v>
      </c>
      <c r="O903" s="27">
        <f t="shared" si="314"/>
        <v>3.8443503609481157E-2</v>
      </c>
      <c r="P903" s="27">
        <f t="shared" si="314"/>
        <v>3.7449414696768615E-2</v>
      </c>
      <c r="Q903" s="27">
        <f t="shared" si="314"/>
        <v>3.6665347697252743E-2</v>
      </c>
      <c r="R903" s="27">
        <f t="shared" si="314"/>
        <v>3.5923531179771234E-2</v>
      </c>
      <c r="S903" s="27">
        <f t="shared" si="314"/>
        <v>3.2127087617044768E-2</v>
      </c>
      <c r="T903" s="27">
        <f t="shared" si="314"/>
        <v>3.336484667262702E-2</v>
      </c>
      <c r="U903" s="27">
        <f t="shared" si="314"/>
        <v>0.10515584187068941</v>
      </c>
      <c r="V903" s="27">
        <f t="shared" si="314"/>
        <v>0.1056630483730278</v>
      </c>
      <c r="W903" s="27">
        <f t="shared" si="314"/>
        <v>0.10598765928059027</v>
      </c>
      <c r="X903" s="27">
        <f t="shared" si="314"/>
        <v>0.10612960847636668</v>
      </c>
      <c r="Y903" s="27">
        <f t="shared" si="314"/>
        <v>0.10609190298108537</v>
      </c>
      <c r="Z903" s="27">
        <f t="shared" si="314"/>
        <v>0.10587273547853948</v>
      </c>
      <c r="AA903" s="27">
        <f t="shared" si="314"/>
        <v>0.10547156909973328</v>
      </c>
      <c r="AB903" s="27">
        <f t="shared" si="314"/>
        <v>0.10488873577259779</v>
      </c>
      <c r="AC903" s="27">
        <f t="shared" si="314"/>
        <v>0.10412554605742294</v>
      </c>
      <c r="AD903" s="27">
        <f t="shared" si="314"/>
        <v>0.10231739619063251</v>
      </c>
      <c r="AE903" s="27">
        <f t="shared" si="314"/>
        <v>0.10033893004317308</v>
      </c>
      <c r="AF903" s="27">
        <f t="shared" si="314"/>
        <v>9.8199037256187116E-2</v>
      </c>
      <c r="AG903" s="27">
        <f t="shared" si="314"/>
        <v>9.5907617586895574E-2</v>
      </c>
      <c r="AH903" s="27">
        <f t="shared" si="314"/>
        <v>9.3475210171604761E-2</v>
      </c>
      <c r="AI903" s="27">
        <f t="shared" si="314"/>
        <v>9.091303768134483E-2</v>
      </c>
      <c r="AJ903" s="27">
        <f t="shared" si="314"/>
        <v>-7.0196859141254189E-3</v>
      </c>
      <c r="AK903" s="27">
        <f t="shared" si="314"/>
        <v>-6.8506721626963654E-3</v>
      </c>
      <c r="AL903" s="27">
        <f t="shared" si="314"/>
        <v>-6.6834169131002059E-3</v>
      </c>
      <c r="AM903" s="27">
        <f t="shared" si="314"/>
        <v>-6.5179028909547456E-3</v>
      </c>
      <c r="AN903" s="27">
        <f t="shared" si="314"/>
        <v>-6.3865387834737544E-3</v>
      </c>
      <c r="AO903" s="27">
        <f t="shared" si="314"/>
        <v>-6.2564208082254193E-3</v>
      </c>
      <c r="AP903" s="27">
        <f t="shared" si="314"/>
        <v>-6.1274521871085615E-3</v>
      </c>
      <c r="AQ903" s="27">
        <f t="shared" si="314"/>
        <v>-5.9996009737825779E-3</v>
      </c>
      <c r="AR903" s="27">
        <f t="shared" si="314"/>
        <v>-5.872773696190668E-3</v>
      </c>
      <c r="AS903" s="27">
        <f t="shared" si="314"/>
        <v>-5.7468788171884874E-3</v>
      </c>
      <c r="AT903" s="27">
        <f t="shared" si="314"/>
        <v>-5.6219016353747063E-3</v>
      </c>
      <c r="AU903" s="27">
        <f t="shared" si="314"/>
        <v>-5.4978498720002471E-3</v>
      </c>
      <c r="AV903" s="27">
        <f t="shared" si="314"/>
        <v>-5.3747282636450412E-3</v>
      </c>
      <c r="AW903" s="27">
        <f t="shared" si="314"/>
        <v>-5.2524660939907621E-3</v>
      </c>
      <c r="AY903" s="79"/>
      <c r="AZ903" s="79"/>
    </row>
    <row r="904" spans="1:52" x14ac:dyDescent="0.25">
      <c r="A904" s="95" t="str">
        <f t="shared" si="270"/>
        <v>BD MM Leaching</v>
      </c>
      <c r="B904" s="95" t="s">
        <v>1228</v>
      </c>
      <c r="C904" s="95" t="s">
        <v>1333</v>
      </c>
      <c r="D904" t="s">
        <v>369</v>
      </c>
      <c r="E904" t="s">
        <v>64</v>
      </c>
      <c r="F904" t="s">
        <v>63</v>
      </c>
      <c r="G904" t="s">
        <v>1162</v>
      </c>
      <c r="H904" t="s">
        <v>1311</v>
      </c>
      <c r="I904" t="s">
        <v>139</v>
      </c>
      <c r="J904" t="s">
        <v>287</v>
      </c>
      <c r="K904" s="27">
        <f t="shared" ref="K904:AW904" si="315">K1552</f>
        <v>4.1968337096859203E-2</v>
      </c>
      <c r="L904" s="27">
        <f t="shared" si="315"/>
        <v>4.3383434779753476E-2</v>
      </c>
      <c r="M904" s="27">
        <f t="shared" si="315"/>
        <v>4.5063007666824861E-2</v>
      </c>
      <c r="N904" s="27">
        <f t="shared" si="315"/>
        <v>4.6315596244033509E-2</v>
      </c>
      <c r="O904" s="27">
        <f t="shared" si="315"/>
        <v>4.7281576900430194E-2</v>
      </c>
      <c r="P904" s="27">
        <f t="shared" si="315"/>
        <v>4.7947144057730852E-2</v>
      </c>
      <c r="Q904" s="27">
        <f t="shared" si="315"/>
        <v>4.8855920576585839E-2</v>
      </c>
      <c r="R904" s="27">
        <f t="shared" si="315"/>
        <v>4.9808583705724517E-2</v>
      </c>
      <c r="S904" s="27">
        <f t="shared" si="315"/>
        <v>4.6345052575542584E-2</v>
      </c>
      <c r="T904" s="27">
        <f t="shared" si="315"/>
        <v>4.9290182096012818E-2</v>
      </c>
      <c r="U904" s="27">
        <f t="shared" si="315"/>
        <v>0.1590390004544035</v>
      </c>
      <c r="V904" s="27">
        <f t="shared" si="315"/>
        <v>0.16355513295491098</v>
      </c>
      <c r="W904" s="27">
        <f t="shared" si="315"/>
        <v>0.16786105995970313</v>
      </c>
      <c r="X904" s="27">
        <f t="shared" si="315"/>
        <v>0.17194023598803351</v>
      </c>
      <c r="Y904" s="27">
        <f t="shared" si="315"/>
        <v>0.17578066999732156</v>
      </c>
      <c r="Z904" s="27">
        <f t="shared" si="315"/>
        <v>0.17936210611821823</v>
      </c>
      <c r="AA904" s="27">
        <f t="shared" si="315"/>
        <v>0.1826656381005505</v>
      </c>
      <c r="AB904" s="27">
        <f t="shared" si="315"/>
        <v>0.18567320176806454</v>
      </c>
      <c r="AC904" s="27">
        <f t="shared" si="315"/>
        <v>0.18836790776441609</v>
      </c>
      <c r="AD904" s="27">
        <f t="shared" si="315"/>
        <v>0.19123519545806747</v>
      </c>
      <c r="AE904" s="27">
        <f t="shared" si="315"/>
        <v>0.19376853499382182</v>
      </c>
      <c r="AF904" s="27">
        <f t="shared" si="315"/>
        <v>0.19595309748984396</v>
      </c>
      <c r="AG904" s="27">
        <f t="shared" si="315"/>
        <v>0.19777601067919534</v>
      </c>
      <c r="AH904" s="27">
        <f t="shared" si="315"/>
        <v>0.19922591108684914</v>
      </c>
      <c r="AI904" s="27">
        <f t="shared" si="315"/>
        <v>0.20029329073357882</v>
      </c>
      <c r="AJ904" s="27">
        <f t="shared" si="315"/>
        <v>-1.5988935485228874E-2</v>
      </c>
      <c r="AK904" s="27">
        <f t="shared" si="315"/>
        <v>-1.6135273009597623E-2</v>
      </c>
      <c r="AL904" s="27">
        <f t="shared" si="315"/>
        <v>-1.6280642881338143E-2</v>
      </c>
      <c r="AM904" s="27">
        <f t="shared" si="315"/>
        <v>-1.6425117505391919E-2</v>
      </c>
      <c r="AN904" s="27">
        <f t="shared" si="315"/>
        <v>-1.6548178161071046E-2</v>
      </c>
      <c r="AO904" s="27">
        <f t="shared" si="315"/>
        <v>-1.6670008309036564E-2</v>
      </c>
      <c r="AP904" s="27">
        <f t="shared" si="315"/>
        <v>-1.6790421483448635E-2</v>
      </c>
      <c r="AQ904" s="27">
        <f t="shared" si="315"/>
        <v>-1.6909384567907186E-2</v>
      </c>
      <c r="AR904" s="27">
        <f t="shared" si="315"/>
        <v>-1.7026675592023126E-2</v>
      </c>
      <c r="AS904" s="27">
        <f t="shared" si="315"/>
        <v>-1.7142046777220185E-2</v>
      </c>
      <c r="AT904" s="27">
        <f t="shared" si="315"/>
        <v>-1.725545286501233E-2</v>
      </c>
      <c r="AU904" s="27">
        <f t="shared" si="315"/>
        <v>-1.7366910999627443E-2</v>
      </c>
      <c r="AV904" s="27">
        <f t="shared" si="315"/>
        <v>-1.7476428038790941E-2</v>
      </c>
      <c r="AW904" s="27">
        <f t="shared" si="315"/>
        <v>-1.7583756727581886E-2</v>
      </c>
      <c r="AY904" s="79"/>
      <c r="AZ904" s="79"/>
    </row>
    <row r="905" spans="1:52" x14ac:dyDescent="0.25">
      <c r="A905" s="95" t="str">
        <f t="shared" si="270"/>
        <v>BD MM Leaching</v>
      </c>
      <c r="B905" s="95" t="s">
        <v>1228</v>
      </c>
      <c r="C905" s="95" t="s">
        <v>1333</v>
      </c>
      <c r="D905" t="s">
        <v>369</v>
      </c>
      <c r="E905" t="s">
        <v>64</v>
      </c>
      <c r="F905" t="s">
        <v>63</v>
      </c>
      <c r="G905" t="s">
        <v>1164</v>
      </c>
      <c r="H905" t="s">
        <v>1312</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4.4583713438871775E-3</v>
      </c>
      <c r="T905" s="27">
        <f t="shared" si="316"/>
        <v>4.4613385793898985E-3</v>
      </c>
      <c r="U905" s="27">
        <f t="shared" si="316"/>
        <v>4.5194479058578802E-3</v>
      </c>
      <c r="V905" s="27">
        <f t="shared" si="316"/>
        <v>4.5208654375239604E-3</v>
      </c>
      <c r="W905" s="27">
        <f t="shared" si="316"/>
        <v>4.5269288931412202E-3</v>
      </c>
      <c r="X905" s="27">
        <f t="shared" si="316"/>
        <v>4.5356937654075719E-3</v>
      </c>
      <c r="Y905" s="27">
        <f t="shared" si="316"/>
        <v>4.5438360313793799E-3</v>
      </c>
      <c r="Z905" s="27">
        <f t="shared" si="316"/>
        <v>4.5514565032506353E-3</v>
      </c>
      <c r="AA905" s="27">
        <f t="shared" si="316"/>
        <v>4.5585145451789771E-3</v>
      </c>
      <c r="AB905" s="27">
        <f t="shared" si="316"/>
        <v>4.5650737507021777E-3</v>
      </c>
      <c r="AC905" s="27">
        <f t="shared" si="316"/>
        <v>4.5712336162876026E-3</v>
      </c>
      <c r="AD905" s="27">
        <f t="shared" si="316"/>
        <v>4.5769883379201265E-3</v>
      </c>
      <c r="AE905" s="27">
        <f t="shared" si="316"/>
        <v>4.5824299595188939E-3</v>
      </c>
      <c r="AF905" s="27">
        <f t="shared" si="316"/>
        <v>4.5875716533889405E-3</v>
      </c>
      <c r="AG905" s="27">
        <f t="shared" si="316"/>
        <v>4.5923429466883485E-3</v>
      </c>
      <c r="AH905" s="27">
        <f t="shared" si="316"/>
        <v>4.5967874861065324E-3</v>
      </c>
      <c r="AI905" s="27">
        <f t="shared" si="316"/>
        <v>4.6009761769836678E-3</v>
      </c>
      <c r="AJ905" s="27">
        <f t="shared" si="316"/>
        <v>4.5000024079062629E-3</v>
      </c>
      <c r="AK905" s="27">
        <f t="shared" si="316"/>
        <v>4.504140567798888E-3</v>
      </c>
      <c r="AL905" s="27">
        <f t="shared" si="316"/>
        <v>4.5080004058394166E-3</v>
      </c>
      <c r="AM905" s="27">
        <f t="shared" si="316"/>
        <v>4.5116055113744672E-3</v>
      </c>
      <c r="AN905" s="27">
        <f t="shared" si="316"/>
        <v>4.5149845600538762E-3</v>
      </c>
      <c r="AO905" s="27">
        <f t="shared" si="316"/>
        <v>4.5180486691616456E-3</v>
      </c>
      <c r="AP905" s="27">
        <f t="shared" si="316"/>
        <v>4.5207384818524527E-3</v>
      </c>
      <c r="AQ905" s="27">
        <f t="shared" si="316"/>
        <v>4.5230453041712505E-3</v>
      </c>
      <c r="AR905" s="27">
        <f t="shared" si="316"/>
        <v>4.5249015890055574E-3</v>
      </c>
      <c r="AS905" s="27">
        <f t="shared" si="316"/>
        <v>4.526233914491801E-3</v>
      </c>
      <c r="AT905" s="27">
        <f t="shared" si="316"/>
        <v>4.5270340008273808E-3</v>
      </c>
      <c r="AU905" s="27">
        <f t="shared" si="316"/>
        <v>4.5273132604660591E-3</v>
      </c>
      <c r="AV905" s="27">
        <f t="shared" si="316"/>
        <v>4.5270798618323943E-3</v>
      </c>
      <c r="AW905" s="27">
        <f t="shared" si="316"/>
        <v>4.5262646983336846E-3</v>
      </c>
      <c r="AY905" s="79"/>
      <c r="AZ905" s="79"/>
    </row>
    <row r="906" spans="1:52" x14ac:dyDescent="0.25">
      <c r="A906" s="95" t="str">
        <f t="shared" si="270"/>
        <v>BD MM Leaching</v>
      </c>
      <c r="B906" s="95" t="s">
        <v>1228</v>
      </c>
      <c r="C906" s="95" t="s">
        <v>1333</v>
      </c>
      <c r="D906" t="s">
        <v>369</v>
      </c>
      <c r="E906" t="s">
        <v>64</v>
      </c>
      <c r="F906" t="s">
        <v>63</v>
      </c>
      <c r="G906" t="s">
        <v>1166</v>
      </c>
      <c r="H906" t="s">
        <v>1313</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3.7085625544236744E-3</v>
      </c>
      <c r="T906" s="27">
        <f t="shared" si="317"/>
        <v>3.7110307603281981E-3</v>
      </c>
      <c r="U906" s="27">
        <f t="shared" si="317"/>
        <v>3.7593672616152451E-3</v>
      </c>
      <c r="V906" s="27">
        <f t="shared" si="317"/>
        <v>3.7605463928385213E-3</v>
      </c>
      <c r="W906" s="27">
        <f t="shared" si="317"/>
        <v>3.7655900966303579E-3</v>
      </c>
      <c r="X906" s="27">
        <f t="shared" si="317"/>
        <v>3.7728808928817431E-3</v>
      </c>
      <c r="Y906" s="27">
        <f t="shared" si="317"/>
        <v>3.7796537927507973E-3</v>
      </c>
      <c r="Z906" s="27">
        <f t="shared" si="317"/>
        <v>3.7859926538390569E-3</v>
      </c>
      <c r="AA906" s="27">
        <f t="shared" si="317"/>
        <v>3.7918636744391884E-3</v>
      </c>
      <c r="AB906" s="27">
        <f t="shared" si="317"/>
        <v>3.7973197529292549E-3</v>
      </c>
      <c r="AC906" s="27">
        <f t="shared" si="317"/>
        <v>3.8024436524630406E-3</v>
      </c>
      <c r="AD906" s="27">
        <f t="shared" si="317"/>
        <v>3.8072305451445519E-3</v>
      </c>
      <c r="AE906" s="27">
        <f t="shared" si="317"/>
        <v>3.8117569949487401E-3</v>
      </c>
      <c r="AF906" s="27">
        <f t="shared" si="317"/>
        <v>3.8160339588626819E-3</v>
      </c>
      <c r="AG906" s="27">
        <f t="shared" si="317"/>
        <v>3.8200028161653869E-3</v>
      </c>
      <c r="AH906" s="27">
        <f t="shared" si="317"/>
        <v>3.8236998730470525E-3</v>
      </c>
      <c r="AI906" s="27">
        <f t="shared" si="317"/>
        <v>3.8271841099893822E-3</v>
      </c>
      <c r="AJ906" s="27">
        <f t="shared" si="317"/>
        <v>3.7431921070592298E-3</v>
      </c>
      <c r="AK906" s="27">
        <f t="shared" si="317"/>
        <v>3.7466343113168547E-3</v>
      </c>
      <c r="AL906" s="27">
        <f t="shared" si="317"/>
        <v>3.7498450018850307E-3</v>
      </c>
      <c r="AM906" s="27">
        <f t="shared" si="317"/>
        <v>3.7528438008546071E-3</v>
      </c>
      <c r="AN906" s="27">
        <f t="shared" si="317"/>
        <v>3.7556545612052921E-3</v>
      </c>
      <c r="AO906" s="27">
        <f t="shared" si="317"/>
        <v>3.7582033485142104E-3</v>
      </c>
      <c r="AP906" s="27">
        <f t="shared" si="317"/>
        <v>3.760440788568911E-3</v>
      </c>
      <c r="AQ906" s="27">
        <f t="shared" si="317"/>
        <v>3.7623596495635048E-3</v>
      </c>
      <c r="AR906" s="27">
        <f t="shared" si="317"/>
        <v>3.7639037444573268E-3</v>
      </c>
      <c r="AS906" s="27">
        <f t="shared" si="317"/>
        <v>3.7650119994741185E-3</v>
      </c>
      <c r="AT906" s="27">
        <f t="shared" si="317"/>
        <v>3.7656775273082915E-3</v>
      </c>
      <c r="AU906" s="27">
        <f t="shared" si="317"/>
        <v>3.7659098210673977E-3</v>
      </c>
      <c r="AV906" s="27">
        <f t="shared" si="317"/>
        <v>3.7657156754105432E-3</v>
      </c>
      <c r="AW906" s="27">
        <f t="shared" si="317"/>
        <v>3.7650376060901856E-3</v>
      </c>
      <c r="AY906" s="79"/>
      <c r="AZ906" s="79"/>
    </row>
    <row r="907" spans="1:52" x14ac:dyDescent="0.25">
      <c r="A907" s="95" t="str">
        <f t="shared" si="270"/>
        <v>BD MM Leaching</v>
      </c>
      <c r="B907" s="95" t="s">
        <v>1228</v>
      </c>
      <c r="C907" s="95" t="s">
        <v>1333</v>
      </c>
      <c r="D907" t="s">
        <v>369</v>
      </c>
      <c r="E907" t="s">
        <v>64</v>
      </c>
      <c r="F907" t="s">
        <v>63</v>
      </c>
      <c r="G907" t="s">
        <v>1168</v>
      </c>
      <c r="H907" t="s">
        <v>1314</v>
      </c>
      <c r="I907" t="s">
        <v>139</v>
      </c>
      <c r="J907" t="s">
        <v>287</v>
      </c>
      <c r="K907" s="27">
        <f t="shared" ref="K907:AW907" si="318">K1555</f>
        <v>5.4322987485311562E-4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5.5840147541839718E-4</v>
      </c>
      <c r="R907" s="27">
        <f t="shared" si="318"/>
        <v>5.620753208024884E-4</v>
      </c>
      <c r="S907" s="27">
        <f t="shared" si="318"/>
        <v>5.6070469903814733E-4</v>
      </c>
      <c r="T907" s="27">
        <f t="shared" si="318"/>
        <v>5.6162230711910024E-4</v>
      </c>
      <c r="U907" s="27">
        <f t="shared" si="318"/>
        <v>5.7300934566261764E-4</v>
      </c>
      <c r="V907" s="27">
        <f t="shared" si="318"/>
        <v>5.735237983118301E-4</v>
      </c>
      <c r="W907" s="27">
        <f t="shared" si="318"/>
        <v>5.7488581877093682E-4</v>
      </c>
      <c r="X907" s="27">
        <f t="shared" si="318"/>
        <v>5.7672404156411123E-4</v>
      </c>
      <c r="Y907" s="27">
        <f t="shared" si="318"/>
        <v>5.7840994827834994E-4</v>
      </c>
      <c r="Z907" s="27">
        <f t="shared" si="318"/>
        <v>5.7996582365708491E-4</v>
      </c>
      <c r="AA907" s="27">
        <f t="shared" si="318"/>
        <v>5.8138689539941784E-4</v>
      </c>
      <c r="AB907" s="27">
        <f t="shared" si="318"/>
        <v>5.8268775619947839E-4</v>
      </c>
      <c r="AC907" s="27">
        <f t="shared" si="318"/>
        <v>5.838893945173696E-4</v>
      </c>
      <c r="AD907" s="27">
        <f t="shared" si="318"/>
        <v>5.8499277851090971E-4</v>
      </c>
      <c r="AE907" s="27">
        <f t="shared" si="318"/>
        <v>5.8601696023425276E-4</v>
      </c>
      <c r="AF907" s="27">
        <f t="shared" si="318"/>
        <v>5.8696603148616325E-4</v>
      </c>
      <c r="AG907" s="27">
        <f t="shared" si="318"/>
        <v>5.8782840452912231E-4</v>
      </c>
      <c r="AH907" s="27">
        <f t="shared" si="318"/>
        <v>5.8861362982731312E-4</v>
      </c>
      <c r="AI907" s="27">
        <f t="shared" si="318"/>
        <v>5.8933613461895486E-4</v>
      </c>
      <c r="AJ907" s="27">
        <f t="shared" si="318"/>
        <v>5.706274212799663E-4</v>
      </c>
      <c r="AK907" s="27">
        <f t="shared" si="318"/>
        <v>5.7134854330306069E-4</v>
      </c>
      <c r="AL907" s="27">
        <f t="shared" si="318"/>
        <v>5.7200511510337268E-4</v>
      </c>
      <c r="AM907" s="27">
        <f t="shared" si="318"/>
        <v>5.7260245045310132E-4</v>
      </c>
      <c r="AN907" s="27">
        <f t="shared" si="318"/>
        <v>5.7314670307798447E-4</v>
      </c>
      <c r="AO907" s="27">
        <f t="shared" si="318"/>
        <v>5.7362242271311709E-4</v>
      </c>
      <c r="AP907" s="27">
        <f t="shared" si="318"/>
        <v>5.7401961480709959E-4</v>
      </c>
      <c r="AQ907" s="27">
        <f t="shared" si="318"/>
        <v>5.743375496953002E-4</v>
      </c>
      <c r="AR907" s="27">
        <f t="shared" si="318"/>
        <v>5.7456474822570021E-4</v>
      </c>
      <c r="AS907" s="27">
        <f t="shared" si="318"/>
        <v>5.7468870297434124E-4</v>
      </c>
      <c r="AT907" s="27">
        <f t="shared" si="318"/>
        <v>5.7470877432626657E-4</v>
      </c>
      <c r="AU907" s="27">
        <f t="shared" si="318"/>
        <v>5.7462786115959977E-4</v>
      </c>
      <c r="AV907" s="27">
        <f t="shared" si="318"/>
        <v>5.7444822626571555E-4</v>
      </c>
      <c r="AW907" s="27">
        <f t="shared" si="318"/>
        <v>5.7415813453708586E-4</v>
      </c>
      <c r="AY907" s="79"/>
      <c r="AZ907" s="79"/>
    </row>
    <row r="908" spans="1:52" x14ac:dyDescent="0.25">
      <c r="A908" s="95" t="str">
        <f t="shared" si="270"/>
        <v>BD MM Leaching</v>
      </c>
      <c r="B908" s="95" t="s">
        <v>1228</v>
      </c>
      <c r="C908" s="95" t="s">
        <v>1333</v>
      </c>
      <c r="D908" t="s">
        <v>369</v>
      </c>
      <c r="E908" t="s">
        <v>64</v>
      </c>
      <c r="F908" t="s">
        <v>63</v>
      </c>
      <c r="G908" t="s">
        <v>1170</v>
      </c>
      <c r="H908" t="s">
        <v>1315</v>
      </c>
      <c r="I908" t="s">
        <v>139</v>
      </c>
      <c r="J908" t="s">
        <v>287</v>
      </c>
      <c r="K908" s="27">
        <f t="shared" ref="K908:AW908" si="319">K1556</f>
        <v>6.6992563985089947E-3</v>
      </c>
      <c r="L908" s="27">
        <f t="shared" si="319"/>
        <v>6.716671231449923E-3</v>
      </c>
      <c r="M908" s="27">
        <f t="shared" si="319"/>
        <v>6.7406943780734313E-3</v>
      </c>
      <c r="N908" s="27">
        <f t="shared" si="319"/>
        <v>6.769960915195136E-3</v>
      </c>
      <c r="O908" s="27">
        <f t="shared" si="319"/>
        <v>6.8044291009834836E-3</v>
      </c>
      <c r="P908" s="27">
        <f t="shared" si="319"/>
        <v>6.8438891439814974E-3</v>
      </c>
      <c r="Q908" s="27">
        <f t="shared" si="319"/>
        <v>6.8863566425632575E-3</v>
      </c>
      <c r="R908" s="27">
        <f t="shared" si="319"/>
        <v>6.9316634884048298E-3</v>
      </c>
      <c r="S908" s="27">
        <f t="shared" si="319"/>
        <v>6.914760613489895E-3</v>
      </c>
      <c r="T908" s="27">
        <f t="shared" si="319"/>
        <v>6.9260768022567764E-3</v>
      </c>
      <c r="U908" s="27">
        <f t="shared" si="319"/>
        <v>7.0665048132223995E-3</v>
      </c>
      <c r="V908" s="27">
        <f t="shared" si="319"/>
        <v>7.0728491811622093E-3</v>
      </c>
      <c r="W908" s="27">
        <f t="shared" si="319"/>
        <v>7.0896459824759074E-3</v>
      </c>
      <c r="X908" s="27">
        <f t="shared" si="319"/>
        <v>7.1123154385922269E-3</v>
      </c>
      <c r="Y908" s="27">
        <f t="shared" si="319"/>
        <v>7.1331064920034711E-3</v>
      </c>
      <c r="Z908" s="27">
        <f t="shared" si="319"/>
        <v>7.1522939641377866E-3</v>
      </c>
      <c r="AA908" s="27">
        <f t="shared" si="319"/>
        <v>7.1698190017015617E-3</v>
      </c>
      <c r="AB908" s="27">
        <f t="shared" si="319"/>
        <v>7.1858615657095356E-3</v>
      </c>
      <c r="AC908" s="27">
        <f t="shared" si="319"/>
        <v>7.2006804914764638E-3</v>
      </c>
      <c r="AD908" s="27">
        <f t="shared" si="319"/>
        <v>7.2142877185840219E-3</v>
      </c>
      <c r="AE908" s="27">
        <f t="shared" si="319"/>
        <v>7.226918202069851E-3</v>
      </c>
      <c r="AF908" s="27">
        <f t="shared" si="319"/>
        <v>7.238622403092889E-3</v>
      </c>
      <c r="AG908" s="27">
        <f t="shared" si="319"/>
        <v>7.2492574185686288E-3</v>
      </c>
      <c r="AH908" s="27">
        <f t="shared" si="319"/>
        <v>7.2589410273808247E-3</v>
      </c>
      <c r="AI908" s="27">
        <f t="shared" si="319"/>
        <v>7.2678511500975998E-3</v>
      </c>
      <c r="AJ908" s="27">
        <f t="shared" si="319"/>
        <v>7.0371302833964079E-3</v>
      </c>
      <c r="AK908" s="27">
        <f t="shared" si="319"/>
        <v>7.046023353440887E-3</v>
      </c>
      <c r="AL908" s="27">
        <f t="shared" si="319"/>
        <v>7.0541203728390007E-3</v>
      </c>
      <c r="AM908" s="27">
        <f t="shared" si="319"/>
        <v>7.0614868724535639E-3</v>
      </c>
      <c r="AN908" s="27">
        <f t="shared" si="319"/>
        <v>7.0681987416795341E-3</v>
      </c>
      <c r="AO908" s="27">
        <f t="shared" si="319"/>
        <v>7.0740654437095336E-3</v>
      </c>
      <c r="AP908" s="27">
        <f t="shared" si="319"/>
        <v>7.0789637230572406E-3</v>
      </c>
      <c r="AQ908" s="27">
        <f t="shared" si="319"/>
        <v>7.0828845813028637E-3</v>
      </c>
      <c r="AR908" s="27">
        <f t="shared" si="319"/>
        <v>7.0856864544673794E-3</v>
      </c>
      <c r="AS908" s="27">
        <f t="shared" si="319"/>
        <v>7.0872150976466278E-3</v>
      </c>
      <c r="AT908" s="27">
        <f t="shared" si="319"/>
        <v>7.0874626229375523E-3</v>
      </c>
      <c r="AU908" s="27">
        <f t="shared" si="319"/>
        <v>7.0864647800820552E-3</v>
      </c>
      <c r="AV908" s="27">
        <f t="shared" si="319"/>
        <v>7.084249474429774E-3</v>
      </c>
      <c r="AW908" s="27">
        <f t="shared" si="319"/>
        <v>7.0806719854897525E-3</v>
      </c>
      <c r="AY908" s="79"/>
      <c r="AZ908" s="79"/>
    </row>
    <row r="909" spans="1:52" x14ac:dyDescent="0.25">
      <c r="A909" s="95" t="str">
        <f t="shared" si="270"/>
        <v>BD MM Leaching</v>
      </c>
      <c r="B909" s="95" t="s">
        <v>1228</v>
      </c>
      <c r="C909" s="95" t="s">
        <v>1333</v>
      </c>
      <c r="D909" t="s">
        <v>369</v>
      </c>
      <c r="E909" t="s">
        <v>64</v>
      </c>
      <c r="F909" t="s">
        <v>63</v>
      </c>
      <c r="G909" t="s">
        <v>1172</v>
      </c>
      <c r="H909" t="s">
        <v>1316</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25">
      <c r="A910" s="95" t="str">
        <f t="shared" si="270"/>
        <v>BD MM Leaching</v>
      </c>
      <c r="B910" s="95" t="s">
        <v>1228</v>
      </c>
      <c r="C910" s="95" t="s">
        <v>1333</v>
      </c>
      <c r="D910" t="s">
        <v>369</v>
      </c>
      <c r="E910" t="s">
        <v>64</v>
      </c>
      <c r="F910" t="s">
        <v>63</v>
      </c>
      <c r="G910" t="s">
        <v>1174</v>
      </c>
      <c r="H910" t="s">
        <v>1317</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25">
      <c r="A911" s="95" t="str">
        <f t="shared" si="270"/>
        <v>BD MM Leaching</v>
      </c>
      <c r="B911" s="95" t="s">
        <v>1228</v>
      </c>
      <c r="C911" s="95" t="s">
        <v>1333</v>
      </c>
      <c r="D911" t="s">
        <v>369</v>
      </c>
      <c r="E911" t="s">
        <v>64</v>
      </c>
      <c r="F911" t="s">
        <v>63</v>
      </c>
      <c r="G911" t="s">
        <v>1176</v>
      </c>
      <c r="H911" t="s">
        <v>1318</v>
      </c>
      <c r="I911" t="s">
        <v>139</v>
      </c>
      <c r="J911" t="s">
        <v>287</v>
      </c>
      <c r="K911" s="27">
        <f t="shared" ref="K911:AW911" si="322">K1559</f>
        <v>2.6875086183165937E-2</v>
      </c>
      <c r="L911" s="27">
        <f t="shared" si="322"/>
        <v>2.6729002214214575E-2</v>
      </c>
      <c r="M911" s="27">
        <f t="shared" si="322"/>
        <v>2.6740992333189318E-2</v>
      </c>
      <c r="N911" s="27">
        <f t="shared" si="322"/>
        <v>2.6495489531984443E-2</v>
      </c>
      <c r="O911" s="27">
        <f t="shared" si="322"/>
        <v>2.609452683304701E-2</v>
      </c>
      <c r="P911" s="27">
        <f t="shared" si="322"/>
        <v>2.5544514050244028E-2</v>
      </c>
      <c r="Q911" s="27">
        <f t="shared" si="322"/>
        <v>2.5145143775072754E-2</v>
      </c>
      <c r="R911" s="27">
        <f t="shared" si="322"/>
        <v>2.4781112413324514E-2</v>
      </c>
      <c r="S911" s="27">
        <f t="shared" si="322"/>
        <v>2.2296168964910698E-2</v>
      </c>
      <c r="T911" s="27">
        <f t="shared" si="322"/>
        <v>2.3092324784413296E-2</v>
      </c>
      <c r="U911" s="27">
        <f t="shared" si="322"/>
        <v>7.381503978929195E-2</v>
      </c>
      <c r="V911" s="27">
        <f t="shared" si="322"/>
        <v>7.4017385099882177E-2</v>
      </c>
      <c r="W911" s="27">
        <f t="shared" si="322"/>
        <v>7.4092117158263957E-2</v>
      </c>
      <c r="X911" s="27">
        <f t="shared" si="322"/>
        <v>7.4042607907806673E-2</v>
      </c>
      <c r="Y911" s="27">
        <f t="shared" si="322"/>
        <v>7.3876326476641427E-2</v>
      </c>
      <c r="Z911" s="27">
        <f t="shared" si="322"/>
        <v>7.3591745464768973E-2</v>
      </c>
      <c r="AA911" s="27">
        <f t="shared" si="322"/>
        <v>7.3188455909713582E-2</v>
      </c>
      <c r="AB911" s="27">
        <f t="shared" si="322"/>
        <v>7.2666495628065958E-2</v>
      </c>
      <c r="AC911" s="27">
        <f t="shared" si="322"/>
        <v>7.2026534081708352E-2</v>
      </c>
      <c r="AD911" s="27">
        <f t="shared" si="322"/>
        <v>7.127021840521014E-2</v>
      </c>
      <c r="AE911" s="27">
        <f t="shared" si="322"/>
        <v>7.0399631702406332E-2</v>
      </c>
      <c r="AF911" s="27">
        <f t="shared" si="322"/>
        <v>6.9417717575292789E-2</v>
      </c>
      <c r="AG911" s="27">
        <f t="shared" si="322"/>
        <v>6.8328248088529983E-2</v>
      </c>
      <c r="AH911" s="27">
        <f t="shared" si="322"/>
        <v>6.7135309145229499E-2</v>
      </c>
      <c r="AI911" s="27">
        <f t="shared" si="322"/>
        <v>6.58434858478079E-2</v>
      </c>
      <c r="AJ911" s="27">
        <f t="shared" si="322"/>
        <v>-6.1354464297522409E-3</v>
      </c>
      <c r="AK911" s="27">
        <f t="shared" si="322"/>
        <v>-6.0690246210378601E-3</v>
      </c>
      <c r="AL911" s="27">
        <f t="shared" si="322"/>
        <v>-6.0023674842876688E-3</v>
      </c>
      <c r="AM911" s="27">
        <f t="shared" si="322"/>
        <v>-5.9355441730233076E-3</v>
      </c>
      <c r="AN911" s="27">
        <f t="shared" si="322"/>
        <v>-5.868631115229209E-3</v>
      </c>
      <c r="AO911" s="27">
        <f t="shared" si="322"/>
        <v>-5.801450937318208E-3</v>
      </c>
      <c r="AP911" s="27">
        <f t="shared" si="322"/>
        <v>-5.7338989216543417E-3</v>
      </c>
      <c r="AQ911" s="27">
        <f t="shared" si="322"/>
        <v>-5.665981593784182E-3</v>
      </c>
      <c r="AR911" s="27">
        <f t="shared" si="322"/>
        <v>-5.5975864031876984E-3</v>
      </c>
      <c r="AS911" s="27">
        <f t="shared" si="322"/>
        <v>-5.528596592882417E-3</v>
      </c>
      <c r="AT911" s="27">
        <f t="shared" si="322"/>
        <v>-5.459031743402367E-3</v>
      </c>
      <c r="AU911" s="27">
        <f t="shared" si="322"/>
        <v>-5.3889497419228856E-3</v>
      </c>
      <c r="AV911" s="27">
        <f t="shared" si="322"/>
        <v>-5.3184001043520557E-3</v>
      </c>
      <c r="AW911" s="27">
        <f t="shared" si="322"/>
        <v>-5.2472851582702085E-3</v>
      </c>
      <c r="AY911" s="79"/>
      <c r="AZ911" s="79"/>
    </row>
    <row r="912" spans="1:52" x14ac:dyDescent="0.25">
      <c r="A912" s="95" t="str">
        <f t="shared" si="270"/>
        <v>BD MM Leaching</v>
      </c>
      <c r="B912" s="95" t="s">
        <v>1228</v>
      </c>
      <c r="C912" s="95" t="s">
        <v>1333</v>
      </c>
      <c r="D912" t="s">
        <v>369</v>
      </c>
      <c r="E912" t="s">
        <v>64</v>
      </c>
      <c r="F912" t="s">
        <v>63</v>
      </c>
      <c r="G912" t="s">
        <v>1178</v>
      </c>
      <c r="H912" t="s">
        <v>1319</v>
      </c>
      <c r="I912" t="s">
        <v>139</v>
      </c>
      <c r="J912" t="s">
        <v>287</v>
      </c>
      <c r="K912" s="27">
        <f t="shared" ref="K912:AW912" si="323">K1560</f>
        <v>4.0166140097319695E-3</v>
      </c>
      <c r="L912" s="27">
        <f t="shared" si="323"/>
        <v>3.9947810410006978E-3</v>
      </c>
      <c r="M912" s="27">
        <f t="shared" si="323"/>
        <v>3.9965730233416695E-3</v>
      </c>
      <c r="N912" s="27">
        <f t="shared" si="323"/>
        <v>3.9598814204188995E-3</v>
      </c>
      <c r="O912" s="27">
        <f t="shared" si="323"/>
        <v>3.8999555700251301E-3</v>
      </c>
      <c r="P912" s="27">
        <f t="shared" si="323"/>
        <v>3.8177534504158584E-3</v>
      </c>
      <c r="Q912" s="27">
        <f t="shared" si="323"/>
        <v>3.7580655955978047E-3</v>
      </c>
      <c r="R912" s="27">
        <f t="shared" si="323"/>
        <v>3.7036593154610871E-3</v>
      </c>
      <c r="S912" s="27">
        <f t="shared" si="323"/>
        <v>3.3322722769129989E-3</v>
      </c>
      <c r="T912" s="27">
        <f t="shared" si="323"/>
        <v>3.4512616857933645E-3</v>
      </c>
      <c r="U912" s="27">
        <f t="shared" si="323"/>
        <v>1.1032021290123588E-2</v>
      </c>
      <c r="V912" s="27">
        <f t="shared" si="323"/>
        <v>1.1062262793491467E-2</v>
      </c>
      <c r="W912" s="27">
        <f t="shared" si="323"/>
        <v>1.1073431867727232E-2</v>
      </c>
      <c r="X912" s="27">
        <f t="shared" si="323"/>
        <v>1.106603246637675E-2</v>
      </c>
      <c r="Y912" s="27">
        <f t="shared" si="323"/>
        <v>1.1041180887430186E-2</v>
      </c>
      <c r="Z912" s="27">
        <f t="shared" si="323"/>
        <v>1.0998648853434082E-2</v>
      </c>
      <c r="AA912" s="27">
        <f t="shared" si="323"/>
        <v>1.0938375242931999E-2</v>
      </c>
      <c r="AB912" s="27">
        <f t="shared" si="323"/>
        <v>1.0860365707799692E-2</v>
      </c>
      <c r="AC912" s="27">
        <f t="shared" si="323"/>
        <v>1.0764720302413055E-2</v>
      </c>
      <c r="AD912" s="27">
        <f t="shared" si="323"/>
        <v>1.0651685199146835E-2</v>
      </c>
      <c r="AE912" s="27">
        <f t="shared" si="323"/>
        <v>1.0521571728130012E-2</v>
      </c>
      <c r="AF912" s="27">
        <f t="shared" si="323"/>
        <v>1.0374819825180263E-2</v>
      </c>
      <c r="AG912" s="27">
        <f t="shared" si="323"/>
        <v>1.0211993243941318E-2</v>
      </c>
      <c r="AH912" s="27">
        <f t="shared" si="323"/>
        <v>1.0033702642759285E-2</v>
      </c>
      <c r="AI912" s="27">
        <f t="shared" si="323"/>
        <v>9.8406332877753449E-3</v>
      </c>
      <c r="AJ912" s="27">
        <f t="shared" si="323"/>
        <v>-9.1697269053370395E-4</v>
      </c>
      <c r="AK912" s="27">
        <f t="shared" si="323"/>
        <v>-9.0704562404485191E-4</v>
      </c>
      <c r="AL912" s="27">
        <f t="shared" si="323"/>
        <v>-8.970833866218835E-4</v>
      </c>
      <c r="AM912" s="27">
        <f t="shared" si="323"/>
        <v>-8.870963135992402E-4</v>
      </c>
      <c r="AN912" s="27">
        <f t="shared" si="323"/>
        <v>-8.7709582751565934E-4</v>
      </c>
      <c r="AO912" s="27">
        <f t="shared" si="323"/>
        <v>-8.6705541901484369E-4</v>
      </c>
      <c r="AP912" s="27">
        <f t="shared" si="323"/>
        <v>-8.5695943753028676E-4</v>
      </c>
      <c r="AQ912" s="27">
        <f t="shared" si="323"/>
        <v>-8.4680885833706668E-4</v>
      </c>
      <c r="AR912" s="27">
        <f t="shared" si="323"/>
        <v>-8.3658686020557013E-4</v>
      </c>
      <c r="AS912" s="27">
        <f t="shared" si="323"/>
        <v>-8.2627599322965283E-4</v>
      </c>
      <c r="AT912" s="27">
        <f t="shared" si="323"/>
        <v>-8.1587918381657311E-4</v>
      </c>
      <c r="AU912" s="27">
        <f t="shared" si="323"/>
        <v>-8.0540508348982262E-4</v>
      </c>
      <c r="AV912" s="27">
        <f t="shared" si="323"/>
        <v>-7.9486109264576715E-4</v>
      </c>
      <c r="AW912" s="27">
        <f t="shared" si="323"/>
        <v>-7.8423261366017795E-4</v>
      </c>
      <c r="AY912" s="79"/>
      <c r="AZ912" s="79"/>
    </row>
    <row r="913" spans="1:52" x14ac:dyDescent="0.25">
      <c r="A913" s="95" t="str">
        <f t="shared" si="270"/>
        <v>BD MM Leaching</v>
      </c>
      <c r="B913" s="95" t="s">
        <v>1228</v>
      </c>
      <c r="C913" s="95" t="s">
        <v>1333</v>
      </c>
      <c r="D913" t="s">
        <v>369</v>
      </c>
      <c r="E913" t="s">
        <v>64</v>
      </c>
      <c r="F913" t="s">
        <v>63</v>
      </c>
      <c r="G913" t="s">
        <v>1180</v>
      </c>
      <c r="H913" t="s">
        <v>1320</v>
      </c>
      <c r="I913" t="s">
        <v>139</v>
      </c>
      <c r="J913" t="s">
        <v>287</v>
      </c>
      <c r="K913" s="27">
        <f t="shared" ref="K913:AW913" si="324">K1561</f>
        <v>1.6726645268412749E-2</v>
      </c>
      <c r="L913" s="27">
        <f t="shared" si="324"/>
        <v>1.7066731126843742E-2</v>
      </c>
      <c r="M913" s="27">
        <f t="shared" si="324"/>
        <v>1.7464259263446445E-2</v>
      </c>
      <c r="N913" s="27">
        <f t="shared" si="324"/>
        <v>1.77694513935726E-2</v>
      </c>
      <c r="O913" s="27">
        <f t="shared" si="324"/>
        <v>1.8014444056791569E-2</v>
      </c>
      <c r="P913" s="27">
        <f t="shared" si="324"/>
        <v>1.8197780265539368E-2</v>
      </c>
      <c r="Q913" s="27">
        <f t="shared" si="324"/>
        <v>1.8432867891885713E-2</v>
      </c>
      <c r="R913" s="27">
        <f t="shared" si="324"/>
        <v>1.8677293946611211E-2</v>
      </c>
      <c r="S913" s="27">
        <f t="shared" si="324"/>
        <v>1.7940997011567712E-2</v>
      </c>
      <c r="T913" s="27">
        <f t="shared" si="324"/>
        <v>1.8599101618187692E-2</v>
      </c>
      <c r="U913" s="27">
        <f t="shared" si="324"/>
        <v>4.1335323674744497E-2</v>
      </c>
      <c r="V913" s="27">
        <f t="shared" si="324"/>
        <v>4.2244056956773843E-2</v>
      </c>
      <c r="W913" s="27">
        <f t="shared" si="324"/>
        <v>4.3115523568410363E-2</v>
      </c>
      <c r="X913" s="27">
        <f t="shared" si="324"/>
        <v>4.3942027126697474E-2</v>
      </c>
      <c r="Y913" s="27">
        <f t="shared" si="324"/>
        <v>4.4713130877516903E-2</v>
      </c>
      <c r="Z913" s="27">
        <f t="shared" si="324"/>
        <v>4.5425464748643458E-2</v>
      </c>
      <c r="AA913" s="27">
        <f t="shared" si="324"/>
        <v>4.6075599059895E-2</v>
      </c>
      <c r="AB913" s="27">
        <f t="shared" si="324"/>
        <v>4.666057526853875E-2</v>
      </c>
      <c r="AC913" s="27">
        <f t="shared" si="324"/>
        <v>4.7177797153361963E-2</v>
      </c>
      <c r="AD913" s="27">
        <f t="shared" si="324"/>
        <v>4.762476340679795E-2</v>
      </c>
      <c r="AE913" s="27">
        <f t="shared" si="324"/>
        <v>4.7999511889239711E-2</v>
      </c>
      <c r="AF913" s="27">
        <f t="shared" si="324"/>
        <v>4.8300272482139597E-2</v>
      </c>
      <c r="AG913" s="27">
        <f t="shared" si="324"/>
        <v>4.8525470849872195E-2</v>
      </c>
      <c r="AH913" s="27">
        <f t="shared" si="324"/>
        <v>4.8674159183630092E-2</v>
      </c>
      <c r="AI913" s="27">
        <f t="shared" si="324"/>
        <v>4.8745846953258828E-2</v>
      </c>
      <c r="AJ913" s="27">
        <f t="shared" si="324"/>
        <v>6.3546724312553964E-3</v>
      </c>
      <c r="AK913" s="27">
        <f t="shared" si="324"/>
        <v>6.4013115626169702E-3</v>
      </c>
      <c r="AL913" s="27">
        <f t="shared" si="324"/>
        <v>6.446794570043473E-3</v>
      </c>
      <c r="AM913" s="27">
        <f t="shared" si="324"/>
        <v>6.4911899708581184E-3</v>
      </c>
      <c r="AN913" s="27">
        <f t="shared" si="324"/>
        <v>6.5345767491159093E-3</v>
      </c>
      <c r="AO913" s="27">
        <f t="shared" si="324"/>
        <v>6.5767770115873272E-3</v>
      </c>
      <c r="AP913" s="27">
        <f t="shared" si="324"/>
        <v>6.6176736088844742E-3</v>
      </c>
      <c r="AQ913" s="27">
        <f t="shared" si="324"/>
        <v>6.6572579134014679E-3</v>
      </c>
      <c r="AR913" s="27">
        <f t="shared" si="324"/>
        <v>6.6953903792422425E-3</v>
      </c>
      <c r="AS913" s="27">
        <f t="shared" si="324"/>
        <v>6.7319156561258262E-3</v>
      </c>
      <c r="AT913" s="27">
        <f t="shared" si="324"/>
        <v>6.7668201581545509E-3</v>
      </c>
      <c r="AU913" s="27">
        <f t="shared" si="324"/>
        <v>6.8001333252020657E-3</v>
      </c>
      <c r="AV913" s="27">
        <f t="shared" si="324"/>
        <v>6.8318771364297487E-3</v>
      </c>
      <c r="AW913" s="27">
        <f t="shared" si="324"/>
        <v>6.8619001030845884E-3</v>
      </c>
      <c r="AY913" s="79"/>
      <c r="AZ913" s="79"/>
    </row>
    <row r="914" spans="1:52" x14ac:dyDescent="0.25">
      <c r="A914" s="95" t="str">
        <f t="shared" si="270"/>
        <v>BD MM Leaching</v>
      </c>
      <c r="B914" s="95" t="s">
        <v>1228</v>
      </c>
      <c r="C914" s="95" t="s">
        <v>1333</v>
      </c>
      <c r="D914" t="s">
        <v>369</v>
      </c>
      <c r="E914" t="s">
        <v>64</v>
      </c>
      <c r="F914" t="s">
        <v>63</v>
      </c>
      <c r="G914" t="s">
        <v>1182</v>
      </c>
      <c r="H914" t="s">
        <v>1321</v>
      </c>
      <c r="I914" t="s">
        <v>139</v>
      </c>
      <c r="J914" t="s">
        <v>287</v>
      </c>
      <c r="K914" s="27">
        <f t="shared" ref="K914:AW914" si="325">K1562</f>
        <v>7.7585797913229351E-2</v>
      </c>
      <c r="L914" s="27">
        <f t="shared" si="325"/>
        <v>7.8607464197542484E-2</v>
      </c>
      <c r="M914" s="27">
        <f t="shared" si="325"/>
        <v>8.0248553313821205E-2</v>
      </c>
      <c r="N914" s="27">
        <f t="shared" si="325"/>
        <v>8.0719757945382303E-2</v>
      </c>
      <c r="O914" s="27">
        <f t="shared" si="325"/>
        <v>8.0430818839717741E-2</v>
      </c>
      <c r="P914" s="27">
        <f t="shared" si="325"/>
        <v>7.938481013134728E-2</v>
      </c>
      <c r="Q914" s="27">
        <f t="shared" si="325"/>
        <v>7.8944464359385638E-2</v>
      </c>
      <c r="R914" s="27">
        <f t="shared" si="325"/>
        <v>7.8604018955287347E-2</v>
      </c>
      <c r="S914" s="27">
        <f t="shared" si="325"/>
        <v>6.8551548491341041E-2</v>
      </c>
      <c r="T914" s="27">
        <f t="shared" si="325"/>
        <v>7.3739546332348721E-2</v>
      </c>
      <c r="U914" s="27">
        <f t="shared" si="325"/>
        <v>0.32063801867343739</v>
      </c>
      <c r="V914" s="27">
        <f t="shared" si="325"/>
        <v>0.3263865261169076</v>
      </c>
      <c r="W914" s="27">
        <f t="shared" si="325"/>
        <v>0.3314934571329114</v>
      </c>
      <c r="X914" s="27">
        <f t="shared" si="325"/>
        <v>0.33598061783359728</v>
      </c>
      <c r="Y914" s="27">
        <f t="shared" si="325"/>
        <v>0.33990898947079762</v>
      </c>
      <c r="Z914" s="27">
        <f t="shared" si="325"/>
        <v>0.3432491056284519</v>
      </c>
      <c r="AA914" s="27">
        <f t="shared" si="325"/>
        <v>0.345978344064029</v>
      </c>
      <c r="AB914" s="27">
        <f t="shared" si="325"/>
        <v>0.34807446920762175</v>
      </c>
      <c r="AC914" s="27">
        <f t="shared" si="325"/>
        <v>0.34951764979405581</v>
      </c>
      <c r="AD914" s="27">
        <f t="shared" si="325"/>
        <v>0.35029436297093797</v>
      </c>
      <c r="AE914" s="27">
        <f t="shared" si="325"/>
        <v>0.3503920713528586</v>
      </c>
      <c r="AF914" s="27">
        <f t="shared" si="325"/>
        <v>0.34980401942204614</v>
      </c>
      <c r="AG914" s="27">
        <f t="shared" si="325"/>
        <v>0.34852938630195235</v>
      </c>
      <c r="AH914" s="27">
        <f t="shared" si="325"/>
        <v>0.34656807266355577</v>
      </c>
      <c r="AI914" s="27">
        <f t="shared" si="325"/>
        <v>0.34392301643743828</v>
      </c>
      <c r="AJ914" s="27">
        <f t="shared" si="325"/>
        <v>-7.3441689918994316E-2</v>
      </c>
      <c r="AK914" s="27">
        <f t="shared" si="325"/>
        <v>-7.3545621673456185E-2</v>
      </c>
      <c r="AL914" s="27">
        <f t="shared" si="325"/>
        <v>-7.3639730110431498E-2</v>
      </c>
      <c r="AM914" s="27">
        <f t="shared" si="325"/>
        <v>-7.3724815505769356E-2</v>
      </c>
      <c r="AN914" s="27">
        <f t="shared" si="325"/>
        <v>-7.3801792793217899E-2</v>
      </c>
      <c r="AO914" s="27">
        <f t="shared" si="325"/>
        <v>-7.386851362361406E-2</v>
      </c>
      <c r="AP914" s="27">
        <f t="shared" si="325"/>
        <v>-7.3923604247027361E-2</v>
      </c>
      <c r="AQ914" s="27">
        <f t="shared" si="325"/>
        <v>-7.3967002295391979E-2</v>
      </c>
      <c r="AR914" s="27">
        <f t="shared" si="325"/>
        <v>-7.3997124044251614E-2</v>
      </c>
      <c r="AS914" s="27">
        <f t="shared" si="325"/>
        <v>-7.4012242065131795E-2</v>
      </c>
      <c r="AT914" s="27">
        <f t="shared" si="325"/>
        <v>-7.4012306856669818E-2</v>
      </c>
      <c r="AU914" s="27">
        <f t="shared" si="325"/>
        <v>-7.3997766932053066E-2</v>
      </c>
      <c r="AV914" s="27">
        <f t="shared" si="325"/>
        <v>-7.3968978731960316E-2</v>
      </c>
      <c r="AW914" s="27">
        <f t="shared" si="325"/>
        <v>-7.3924322860586755E-2</v>
      </c>
      <c r="AY914" s="79"/>
      <c r="AZ914" s="79"/>
    </row>
    <row r="916" spans="1:52" x14ac:dyDescent="0.25">
      <c r="A916" s="95" t="str">
        <f t="shared" ref="A916:A979" si="326">B916&amp;" "&amp;C916</f>
        <v>DS Cattle</v>
      </c>
      <c r="B916" s="95" t="s">
        <v>974</v>
      </c>
      <c r="C916" s="95" t="s">
        <v>1108</v>
      </c>
      <c r="D916" t="s">
        <v>15</v>
      </c>
      <c r="E916" t="s">
        <v>16</v>
      </c>
      <c r="F916" t="s">
        <v>6</v>
      </c>
      <c r="G916" t="s">
        <v>136</v>
      </c>
      <c r="H916" t="s">
        <v>1020</v>
      </c>
      <c r="I916" t="s">
        <v>121</v>
      </c>
      <c r="J916" t="s">
        <v>286</v>
      </c>
      <c r="K916" s="27">
        <f>K1379</f>
        <v>72.246065125367707</v>
      </c>
      <c r="L916" s="27">
        <f t="shared" ref="L916:AW918" si="327">L1379</f>
        <v>72.649957574793405</v>
      </c>
      <c r="M916" s="27">
        <f t="shared" si="327"/>
        <v>73.223011790998029</v>
      </c>
      <c r="N916" s="27">
        <f t="shared" si="327"/>
        <v>73.591260167761035</v>
      </c>
      <c r="O916" s="27">
        <f t="shared" si="327"/>
        <v>73.83596289834658</v>
      </c>
      <c r="P916" s="27">
        <f t="shared" si="327"/>
        <v>73.954711561483919</v>
      </c>
      <c r="Q916" s="27">
        <f t="shared" si="327"/>
        <v>74.217071552078707</v>
      </c>
      <c r="R916" s="27">
        <f t="shared" si="327"/>
        <v>74.518042528471327</v>
      </c>
      <c r="S916" s="27">
        <f t="shared" si="327"/>
        <v>72.400641735612226</v>
      </c>
      <c r="T916" s="27">
        <f t="shared" si="327"/>
        <v>73.646397311613569</v>
      </c>
      <c r="U916" s="27">
        <f t="shared" si="327"/>
        <v>126.71451623908638</v>
      </c>
      <c r="V916" s="27">
        <f t="shared" si="327"/>
        <v>128.24200058803578</v>
      </c>
      <c r="W916" s="27">
        <f t="shared" si="327"/>
        <v>129.70248573615504</v>
      </c>
      <c r="X916" s="27">
        <f t="shared" si="327"/>
        <v>131.07112915343163</v>
      </c>
      <c r="Y916" s="27">
        <f t="shared" si="327"/>
        <v>132.31138089682617</v>
      </c>
      <c r="Z916" s="27">
        <f t="shared" si="327"/>
        <v>133.41744896278323</v>
      </c>
      <c r="AA916" s="27">
        <f t="shared" si="327"/>
        <v>134.38288992099422</v>
      </c>
      <c r="AB916" s="27">
        <f t="shared" si="327"/>
        <v>135.20282704552554</v>
      </c>
      <c r="AC916" s="27">
        <f t="shared" si="327"/>
        <v>135.87339274665732</v>
      </c>
      <c r="AD916" s="27">
        <f t="shared" si="327"/>
        <v>136.39052131842715</v>
      </c>
      <c r="AE916" s="27">
        <f t="shared" si="327"/>
        <v>136.75177878147903</v>
      </c>
      <c r="AF916" s="27">
        <f t="shared" si="327"/>
        <v>136.95483040988077</v>
      </c>
      <c r="AG916" s="27">
        <f t="shared" si="327"/>
        <v>136.99742056904799</v>
      </c>
      <c r="AH916" s="27">
        <f t="shared" si="327"/>
        <v>136.87913733677345</v>
      </c>
      <c r="AI916" s="27">
        <f t="shared" si="327"/>
        <v>136.60065411000454</v>
      </c>
      <c r="AJ916" s="27">
        <f t="shared" si="327"/>
        <v>43.218084806671186</v>
      </c>
      <c r="AK916" s="27">
        <f t="shared" si="327"/>
        <v>43.249633283301115</v>
      </c>
      <c r="AL916" s="27">
        <f t="shared" si="327"/>
        <v>43.278910692305409</v>
      </c>
      <c r="AM916" s="27">
        <f t="shared" si="327"/>
        <v>43.306115085271941</v>
      </c>
      <c r="AN916" s="27">
        <f t="shared" si="327"/>
        <v>43.331490420249878</v>
      </c>
      <c r="AO916" s="27">
        <f t="shared" si="327"/>
        <v>43.354240288744201</v>
      </c>
      <c r="AP916" s="27">
        <f t="shared" si="327"/>
        <v>43.373829871792871</v>
      </c>
      <c r="AQ916" s="27">
        <f t="shared" si="327"/>
        <v>43.390173404871973</v>
      </c>
      <c r="AR916" s="27">
        <f t="shared" si="327"/>
        <v>43.402664060341642</v>
      </c>
      <c r="AS916" s="27">
        <f t="shared" si="327"/>
        <v>43.410643013134724</v>
      </c>
      <c r="AT916" s="27">
        <f t="shared" si="327"/>
        <v>43.414028889166616</v>
      </c>
      <c r="AU916" s="27">
        <f t="shared" si="327"/>
        <v>43.412915266479416</v>
      </c>
      <c r="AV916" s="27">
        <f t="shared" si="327"/>
        <v>43.407367404961896</v>
      </c>
      <c r="AW916" s="27">
        <f t="shared" si="327"/>
        <v>43.396765644330657</v>
      </c>
      <c r="AY916" s="79"/>
      <c r="AZ916" s="79"/>
    </row>
    <row r="917" spans="1:52" x14ac:dyDescent="0.25">
      <c r="A917" s="95" t="str">
        <f t="shared" si="326"/>
        <v>DS Cattle</v>
      </c>
      <c r="B917" s="95" t="s">
        <v>974</v>
      </c>
      <c r="C917" s="95" t="s">
        <v>1108</v>
      </c>
      <c r="D917" t="s">
        <v>15</v>
      </c>
      <c r="E917" t="s">
        <v>16</v>
      </c>
      <c r="F917" t="s">
        <v>6</v>
      </c>
      <c r="G917" t="s">
        <v>137</v>
      </c>
      <c r="H917" t="s">
        <v>1020</v>
      </c>
      <c r="I917" t="s">
        <v>121</v>
      </c>
      <c r="J917" t="s">
        <v>286</v>
      </c>
      <c r="K917" s="27">
        <f t="shared" ref="K917:Z918" si="328">K1380</f>
        <v>57.783598896292567</v>
      </c>
      <c r="L917" s="27">
        <f t="shared" si="328"/>
        <v>58.1066387636453</v>
      </c>
      <c r="M917" s="27">
        <f t="shared" si="328"/>
        <v>58.564977012483297</v>
      </c>
      <c r="N917" s="27">
        <f t="shared" si="328"/>
        <v>58.859508160444918</v>
      </c>
      <c r="O917" s="27">
        <f t="shared" si="328"/>
        <v>59.055225455337663</v>
      </c>
      <c r="P917" s="27">
        <f t="shared" si="328"/>
        <v>59.150202601958618</v>
      </c>
      <c r="Q917" s="27">
        <f t="shared" si="328"/>
        <v>59.360042465716688</v>
      </c>
      <c r="R917" s="27">
        <f t="shared" si="328"/>
        <v>59.600764035107616</v>
      </c>
      <c r="S917" s="27">
        <f t="shared" si="328"/>
        <v>57.907231828129312</v>
      </c>
      <c r="T917" s="27">
        <f t="shared" si="328"/>
        <v>58.903607760874827</v>
      </c>
      <c r="U917" s="27">
        <f t="shared" si="328"/>
        <v>101.34836780371782</v>
      </c>
      <c r="V917" s="27">
        <f t="shared" si="328"/>
        <v>102.57007507299116</v>
      </c>
      <c r="W917" s="27">
        <f t="shared" si="328"/>
        <v>103.73819527229158</v>
      </c>
      <c r="X917" s="27">
        <f t="shared" si="328"/>
        <v>104.83285893485541</v>
      </c>
      <c r="Y917" s="27">
        <f t="shared" si="328"/>
        <v>105.82483281116795</v>
      </c>
      <c r="Z917" s="27">
        <f t="shared" si="328"/>
        <v>106.70948436090084</v>
      </c>
      <c r="AA917" s="27">
        <f t="shared" si="327"/>
        <v>107.48166002182452</v>
      </c>
      <c r="AB917" s="27">
        <f t="shared" si="327"/>
        <v>108.13745930780478</v>
      </c>
      <c r="AC917" s="27">
        <f t="shared" si="327"/>
        <v>108.67378885655694</v>
      </c>
      <c r="AD917" s="27">
        <f t="shared" si="327"/>
        <v>109.087396849146</v>
      </c>
      <c r="AE917" s="27">
        <f t="shared" si="327"/>
        <v>109.37633654858924</v>
      </c>
      <c r="AF917" s="27">
        <f t="shared" si="327"/>
        <v>109.5387406024356</v>
      </c>
      <c r="AG917" s="27">
        <f t="shared" si="327"/>
        <v>109.57280491680314</v>
      </c>
      <c r="AH917" s="27">
        <f t="shared" si="327"/>
        <v>109.47820002949129</v>
      </c>
      <c r="AI917" s="27">
        <f t="shared" si="327"/>
        <v>109.25546453452645</v>
      </c>
      <c r="AJ917" s="27">
        <f t="shared" si="327"/>
        <v>34.566539689062871</v>
      </c>
      <c r="AK917" s="27">
        <f t="shared" si="327"/>
        <v>34.591772682945773</v>
      </c>
      <c r="AL917" s="27">
        <f t="shared" si="327"/>
        <v>34.61518923934495</v>
      </c>
      <c r="AM917" s="27">
        <f t="shared" si="327"/>
        <v>34.636947763199053</v>
      </c>
      <c r="AN917" s="27">
        <f t="shared" si="327"/>
        <v>34.657243376194444</v>
      </c>
      <c r="AO917" s="27">
        <f t="shared" si="327"/>
        <v>34.675439097632541</v>
      </c>
      <c r="AP917" s="27">
        <f t="shared" si="327"/>
        <v>34.691107170453741</v>
      </c>
      <c r="AQ917" s="27">
        <f t="shared" si="327"/>
        <v>34.704178998772043</v>
      </c>
      <c r="AR917" s="27">
        <f t="shared" si="327"/>
        <v>34.714169231795225</v>
      </c>
      <c r="AS917" s="27">
        <f t="shared" si="327"/>
        <v>34.720550930327988</v>
      </c>
      <c r="AT917" s="27">
        <f t="shared" si="327"/>
        <v>34.723259010030318</v>
      </c>
      <c r="AU917" s="27">
        <f t="shared" si="327"/>
        <v>34.722368316169444</v>
      </c>
      <c r="AV917" s="27">
        <f t="shared" si="327"/>
        <v>34.717931044684789</v>
      </c>
      <c r="AW917" s="27">
        <f t="shared" si="327"/>
        <v>34.709451581023373</v>
      </c>
      <c r="AY917" s="79"/>
      <c r="AZ917" s="79"/>
    </row>
    <row r="918" spans="1:52" x14ac:dyDescent="0.25">
      <c r="A918" s="95" t="str">
        <f t="shared" si="326"/>
        <v>DS Cattle</v>
      </c>
      <c r="B918" s="95" t="s">
        <v>974</v>
      </c>
      <c r="C918" s="95" t="s">
        <v>1108</v>
      </c>
      <c r="D918" t="s">
        <v>15</v>
      </c>
      <c r="E918" t="s">
        <v>16</v>
      </c>
      <c r="F918" t="s">
        <v>67</v>
      </c>
      <c r="G918" t="s">
        <v>307</v>
      </c>
      <c r="H918" t="s">
        <v>1020</v>
      </c>
      <c r="I918" t="s">
        <v>121</v>
      </c>
      <c r="J918" t="s">
        <v>286</v>
      </c>
      <c r="K918" s="27">
        <f t="shared" si="328"/>
        <v>26.126191807126649</v>
      </c>
      <c r="L918" s="27">
        <f t="shared" si="327"/>
        <v>26.272250579806308</v>
      </c>
      <c r="M918" s="27">
        <f t="shared" si="327"/>
        <v>26.479482964607669</v>
      </c>
      <c r="N918" s="27">
        <f t="shared" si="327"/>
        <v>26.61265184663991</v>
      </c>
      <c r="O918" s="27">
        <f t="shared" si="327"/>
        <v>26.701143177813606</v>
      </c>
      <c r="P918" s="27">
        <f t="shared" si="327"/>
        <v>26.744086005835896</v>
      </c>
      <c r="Q918" s="27">
        <f t="shared" si="327"/>
        <v>26.838962694620271</v>
      </c>
      <c r="R918" s="27">
        <f t="shared" si="327"/>
        <v>26.947802192577253</v>
      </c>
      <c r="S918" s="27">
        <f t="shared" si="327"/>
        <v>26.182091019923025</v>
      </c>
      <c r="T918" s="27">
        <f t="shared" si="327"/>
        <v>26.632590975414445</v>
      </c>
      <c r="U918" s="27">
        <f t="shared" si="327"/>
        <v>45.823502640107073</v>
      </c>
      <c r="V918" s="27">
        <f t="shared" si="327"/>
        <v>46.375883576200764</v>
      </c>
      <c r="W918" s="27">
        <f t="shared" si="327"/>
        <v>46.904035732930822</v>
      </c>
      <c r="X918" s="27">
        <f t="shared" si="327"/>
        <v>47.398975358684552</v>
      </c>
      <c r="Y918" s="27">
        <f t="shared" si="327"/>
        <v>47.847484974825178</v>
      </c>
      <c r="Z918" s="27">
        <f t="shared" si="327"/>
        <v>48.2474700313509</v>
      </c>
      <c r="AA918" s="27">
        <f t="shared" si="327"/>
        <v>48.5966004041803</v>
      </c>
      <c r="AB918" s="27">
        <f t="shared" si="327"/>
        <v>48.893112533223132</v>
      </c>
      <c r="AC918" s="27">
        <f t="shared" si="327"/>
        <v>49.135607790184835</v>
      </c>
      <c r="AD918" s="27">
        <f t="shared" si="327"/>
        <v>49.322615902412963</v>
      </c>
      <c r="AE918" s="27">
        <f t="shared" si="327"/>
        <v>49.453256675098231</v>
      </c>
      <c r="AF918" s="27">
        <f t="shared" si="327"/>
        <v>49.526685806237325</v>
      </c>
      <c r="AG918" s="27">
        <f t="shared" si="327"/>
        <v>49.542087595463748</v>
      </c>
      <c r="AH918" s="27">
        <f t="shared" si="327"/>
        <v>49.499313080220467</v>
      </c>
      <c r="AI918" s="27">
        <f t="shared" si="327"/>
        <v>49.398605779622059</v>
      </c>
      <c r="AJ918" s="27">
        <f t="shared" si="327"/>
        <v>15.628864648010964</v>
      </c>
      <c r="AK918" s="27">
        <f t="shared" si="327"/>
        <v>15.640273456922923</v>
      </c>
      <c r="AL918" s="27">
        <f t="shared" si="327"/>
        <v>15.650860984450333</v>
      </c>
      <c r="AM918" s="27">
        <f t="shared" si="327"/>
        <v>15.660698851570245</v>
      </c>
      <c r="AN918" s="27">
        <f t="shared" si="327"/>
        <v>15.669875280316276</v>
      </c>
      <c r="AO918" s="27">
        <f t="shared" si="327"/>
        <v>15.678102267167921</v>
      </c>
      <c r="AP918" s="27">
        <f t="shared" si="327"/>
        <v>15.685186406674521</v>
      </c>
      <c r="AQ918" s="27">
        <f t="shared" si="327"/>
        <v>15.691096683992601</v>
      </c>
      <c r="AR918" s="27">
        <f t="shared" si="327"/>
        <v>15.695613653325545</v>
      </c>
      <c r="AS918" s="27">
        <f t="shared" si="327"/>
        <v>15.698499065157048</v>
      </c>
      <c r="AT918" s="27">
        <f t="shared" si="327"/>
        <v>15.699723492348907</v>
      </c>
      <c r="AU918" s="27">
        <f t="shared" si="327"/>
        <v>15.699320775330669</v>
      </c>
      <c r="AV918" s="27">
        <f t="shared" si="327"/>
        <v>15.697314513897963</v>
      </c>
      <c r="AW918" s="27">
        <f t="shared" si="327"/>
        <v>15.693480621612418</v>
      </c>
      <c r="AY918" s="79"/>
      <c r="AZ918" s="79"/>
    </row>
    <row r="919" spans="1:52" x14ac:dyDescent="0.25">
      <c r="A919" s="95" t="str">
        <f t="shared" si="326"/>
        <v>DS Cattle</v>
      </c>
      <c r="B919" s="95" t="s">
        <v>974</v>
      </c>
      <c r="C919" s="95" t="s">
        <v>1108</v>
      </c>
      <c r="D919" t="s">
        <v>15</v>
      </c>
      <c r="E919" t="s">
        <v>16</v>
      </c>
      <c r="F919" t="s">
        <v>67</v>
      </c>
      <c r="G919" t="s">
        <v>122</v>
      </c>
      <c r="H919" t="s">
        <v>1020</v>
      </c>
      <c r="I919" t="s">
        <v>121</v>
      </c>
      <c r="J919" t="s">
        <v>286</v>
      </c>
      <c r="K919" s="93">
        <f>IF('Net zero activities &amp; levers'!$C$12="Off",('Activity data'!AD8*EF!$H7)*kgtoGg,('Net zero Activity data'!AD8*EF!$H7)*kgtoGg)</f>
        <v>463.23498593143177</v>
      </c>
      <c r="L919" s="93">
        <f>IF('Net zero activities &amp; levers'!$C$12="Off",('Activity data'!AE8*EF!$H7)*kgtoGg,('Net zero Activity data'!AE8*EF!$H7)*kgtoGg)</f>
        <v>459.21749683621613</v>
      </c>
      <c r="M919" s="93">
        <f>IF('Net zero activities &amp; levers'!$C$12="Off",('Activity data'!AF8*EF!$H7)*kgtoGg,('Net zero Activity data'!AF8*EF!$H7)*kgtoGg)</f>
        <v>457.68816035731243</v>
      </c>
      <c r="N919" s="93">
        <f>IF('Net zero activities &amp; levers'!$C$12="Off",('Activity data'!AG8*EF!$H7)*kgtoGg,('Net zero Activity data'!AG8*EF!$H7)*kgtoGg)</f>
        <v>451.57633407663542</v>
      </c>
      <c r="O919" s="93">
        <f>IF('Net zero activities &amp; levers'!$C$12="Off",('Activity data'!AH8*EF!$H7)*kgtoGg,('Net zero Activity data'!AH8*EF!$H7)*kgtoGg)</f>
        <v>442.70486896910717</v>
      </c>
      <c r="P919" s="93">
        <f>IF('Net zero activities &amp; levers'!$C$12="Off",('Activity data'!AI8*EF!$H7)*kgtoGg,('Net zero Activity data'!AI8*EF!$H7)*kgtoGg)</f>
        <v>431.25721304480419</v>
      </c>
      <c r="Q919" s="93">
        <f>IF('Net zero activities &amp; levers'!$C$12="Off",('Activity data'!AJ8*EF!$H7)*kgtoGg,('Net zero Activity data'!AJ8*EF!$H7)*kgtoGg)</f>
        <v>422.22811200839209</v>
      </c>
      <c r="R919" s="93">
        <f>IF('Net zero activities &amp; levers'!$C$12="Off",('Activity data'!AK8*EF!$H7)*kgtoGg,('Net zero Activity data'!AK8*EF!$H7)*kgtoGg)</f>
        <v>413.6855559628558</v>
      </c>
      <c r="S919" s="93">
        <f>IF('Net zero activities &amp; levers'!$C$12="Off",('Activity data'!AL8*EF!$H7)*kgtoGg,('Net zero Activity data'!AL8*EF!$H7)*kgtoGg)</f>
        <v>369.96675064639845</v>
      </c>
      <c r="T919" s="93">
        <f>IF('Net zero activities &amp; levers'!$C$12="Off",('Activity data'!AM8*EF!$H7)*kgtoGg,('Net zero Activity data'!AM8*EF!$H7)*kgtoGg)</f>
        <v>384.22044526495358</v>
      </c>
      <c r="U919" s="93">
        <f>IF('Net zero activities &amp; levers'!$C$12="Off",('Activity data'!AN8*EF!$H7)*kgtoGg,('Net zero Activity data'!AN8*EF!$H7)*kgtoGg)</f>
        <v>1210.9459030996998</v>
      </c>
      <c r="V919" s="93">
        <f>IF('Net zero activities &amp; levers'!$C$12="Off",('Activity data'!AO8*EF!$H7)*kgtoGg,('Net zero Activity data'!AO8*EF!$H7)*kgtoGg)</f>
        <v>1216.7867544029255</v>
      </c>
      <c r="W919" s="93">
        <f>IF('Net zero activities &amp; levers'!$C$12="Off",('Activity data'!AP8*EF!$H7)*kgtoGg,('Net zero Activity data'!AP8*EF!$H7)*kgtoGg)</f>
        <v>1220.5248847970281</v>
      </c>
      <c r="X919" s="93">
        <f>IF('Net zero activities &amp; levers'!$C$12="Off",('Activity data'!AQ8*EF!$H7)*kgtoGg,('Net zero Activity data'!AQ8*EF!$H7)*kgtoGg)</f>
        <v>1222.1595328966084</v>
      </c>
      <c r="Y919" s="93">
        <f>IF('Net zero activities &amp; levers'!$C$12="Off",('Activity data'!AR8*EF!$H7)*kgtoGg,('Net zero Activity data'!AR8*EF!$H7)*kgtoGg)</f>
        <v>1221.7253267296187</v>
      </c>
      <c r="Z919" s="93">
        <f>IF('Net zero activities &amp; levers'!$C$12="Off",('Activity data'!AS8*EF!$H7)*kgtoGg,('Net zero Activity data'!AS8*EF!$H7)*kgtoGg)</f>
        <v>1219.2014537371233</v>
      </c>
      <c r="AA919" s="93">
        <f>IF('Net zero activities &amp; levers'!$C$12="Off",('Activity data'!AT8*EF!$H7)*kgtoGg,('Net zero Activity data'!AT8*EF!$H7)*kgtoGg)</f>
        <v>1214.5817314826613</v>
      </c>
      <c r="AB919" s="93">
        <f>IF('Net zero activities &amp; levers'!$C$12="Off",('Activity data'!AU8*EF!$H7)*kgtoGg,('Net zero Activity data'!AU8*EF!$H7)*kgtoGg)</f>
        <v>1207.8699823574666</v>
      </c>
      <c r="AC919" s="93">
        <f>IF('Net zero activities &amp; levers'!$C$12="Off",('Activity data'!AV8*EF!$H7)*kgtoGg,('Net zero Activity data'!AV8*EF!$H7)*kgtoGg)</f>
        <v>1199.081298415254</v>
      </c>
      <c r="AD919" s="93">
        <f>IF('Net zero activities &amp; levers'!$C$12="Off",('Activity data'!AW8*EF!$H7)*kgtoGg,('Net zero Activity data'!AW8*EF!$H7)*kgtoGg)</f>
        <v>1178.2591392805034</v>
      </c>
      <c r="AE919" s="93">
        <f>IF('Net zero activities &amp; levers'!$C$12="Off",('Activity data'!AX8*EF!$H7)*kgtoGg,('Net zero Activity data'!AX8*EF!$H7)*kgtoGg)</f>
        <v>1155.4756644581196</v>
      </c>
      <c r="AF919" s="93">
        <f>IF('Net zero activities &amp; levers'!$C$12="Off",('Activity data'!AY8*EF!$H7)*kgtoGg,('Net zero Activity data'!AY8*EF!$H7)*kgtoGg)</f>
        <v>1130.8332446231877</v>
      </c>
      <c r="AG919" s="93">
        <f>IF('Net zero activities &amp; levers'!$C$12="Off",('Activity data'!AZ8*EF!$H7)*kgtoGg,('Net zero Activity data'!AZ8*EF!$H7)*kgtoGg)</f>
        <v>1104.4458826711734</v>
      </c>
      <c r="AH919" s="93">
        <f>IF('Net zero activities &amp; levers'!$C$12="Off",('Activity data'!BA8*EF!$H7)*kgtoGg,('Net zero Activity data'!BA8*EF!$H7)*kgtoGg)</f>
        <v>1076.4349444121476</v>
      </c>
      <c r="AI919" s="93">
        <f>IF('Net zero activities &amp; levers'!$C$12="Off",('Activity data'!BB8*EF!$H7)*kgtoGg,('Net zero Activity data'!BB8*EF!$H7)*kgtoGg)</f>
        <v>1046.9296670550386</v>
      </c>
      <c r="AJ919" s="93">
        <f>IF('Net zero activities &amp; levers'!$C$12="Off",('Activity data'!BC8*EF!$H7)*kgtoGg,('Net zero Activity data'!BC8*EF!$H7)*kgtoGg)</f>
        <v>-80.836782317903939</v>
      </c>
      <c r="AK919" s="93">
        <f>IF('Net zero activities &amp; levers'!$C$12="Off",('Activity data'!BD8*EF!$H7)*kgtoGg,('Net zero Activity data'!BD8*EF!$H7)*kgtoGg)</f>
        <v>-78.890466200610106</v>
      </c>
      <c r="AL919" s="93">
        <f>IF('Net zero activities &amp; levers'!$C$12="Off",('Activity data'!BE8*EF!$H7)*kgtoGg,('Net zero Activity data'!BE8*EF!$H7)*kgtoGg)</f>
        <v>-76.96440050927697</v>
      </c>
      <c r="AM919" s="93">
        <f>IF('Net zero activities &amp; levers'!$C$12="Off",('Activity data'!BF8*EF!$H7)*kgtoGg,('Net zero Activity data'!BF8*EF!$H7)*kgtoGg)</f>
        <v>-75.058386316845628</v>
      </c>
      <c r="AN919" s="93">
        <f>IF('Net zero activities &amp; levers'!$C$12="Off",('Activity data'!BG8*EF!$H7)*kgtoGg,('Net zero Activity data'!BG8*EF!$H7)*kgtoGg)</f>
        <v>-73.545633197869449</v>
      </c>
      <c r="AO919" s="93">
        <f>IF('Net zero activities &amp; levers'!$C$12="Off",('Activity data'!BH8*EF!$H7)*kgtoGg,('Net zero Activity data'!BH8*EF!$H7)*kgtoGg)</f>
        <v>-72.047230196727966</v>
      </c>
      <c r="AP919" s="93">
        <f>IF('Net zero activities &amp; levers'!$C$12="Off",('Activity data'!BI8*EF!$H7)*kgtoGg,('Net zero Activity data'!BI8*EF!$H7)*kgtoGg)</f>
        <v>-70.562062843287677</v>
      </c>
      <c r="AQ919" s="93">
        <f>IF('Net zero activities &amp; levers'!$C$12="Off",('Activity data'!BJ8*EF!$H7)*kgtoGg,('Net zero Activity data'!BJ8*EF!$H7)*kgtoGg)</f>
        <v>-69.089763252231094</v>
      </c>
      <c r="AR919" s="93">
        <f>IF('Net zero activities &amp; levers'!$C$12="Off",('Activity data'!BK8*EF!$H7)*kgtoGg,('Net zero Activity data'!BK8*EF!$H7)*kgtoGg)</f>
        <v>-67.629255024927176</v>
      </c>
      <c r="AS919" s="93">
        <f>IF('Net zero activities &amp; levers'!$C$12="Off",('Activity data'!BL8*EF!$H7)*kgtoGg,('Net zero Activity data'!BL8*EF!$H7)*kgtoGg)</f>
        <v>-66.179484044667291</v>
      </c>
      <c r="AT919" s="93">
        <f>IF('Net zero activities &amp; levers'!$C$12="Off",('Activity data'!BM8*EF!$H7)*kgtoGg,('Net zero Activity data'!BM8*EF!$H7)*kgtoGg)</f>
        <v>-64.740281014136201</v>
      </c>
      <c r="AU919" s="93">
        <f>IF('Net zero activities &amp; levers'!$C$12="Off",('Activity data'!BN8*EF!$H7)*kgtoGg,('Net zero Activity data'!BN8*EF!$H7)*kgtoGg)</f>
        <v>-63.311734849146887</v>
      </c>
      <c r="AV919" s="93">
        <f>IF('Net zero activities &amp; levers'!$C$12="Off",('Activity data'!BO8*EF!$H7)*kgtoGg,('Net zero Activity data'!BO8*EF!$H7)*kgtoGg)</f>
        <v>-61.893900094857884</v>
      </c>
      <c r="AW919" s="93">
        <f>IF('Net zero activities &amp; levers'!$C$12="Off",('Activity data'!BP8*EF!$H7)*kgtoGg,('Net zero Activity data'!BP8*EF!$H7)*kgtoGg)</f>
        <v>-60.485962401496174</v>
      </c>
      <c r="AY919" s="79"/>
      <c r="AZ919" s="79"/>
    </row>
    <row r="920" spans="1:52" x14ac:dyDescent="0.25">
      <c r="A920" s="95" t="str">
        <f t="shared" si="326"/>
        <v>DS Cattle</v>
      </c>
      <c r="B920" s="95" t="s">
        <v>974</v>
      </c>
      <c r="C920" s="95" t="s">
        <v>1108</v>
      </c>
      <c r="D920" t="s">
        <v>15</v>
      </c>
      <c r="E920" t="s">
        <v>16</v>
      </c>
      <c r="F920" t="s">
        <v>67</v>
      </c>
      <c r="G920" t="s">
        <v>123</v>
      </c>
      <c r="H920" t="s">
        <v>1020</v>
      </c>
      <c r="I920" t="s">
        <v>121</v>
      </c>
      <c r="J920" t="s">
        <v>286</v>
      </c>
      <c r="K920" s="93">
        <f>IF('Net zero activities &amp; levers'!$C$12="Off",('Activity data'!AD9*EF!$H8)*kgtoGg,('Net zero Activity data'!AD9*EF!$H8)*kgtoGg)</f>
        <v>326.20040935577731</v>
      </c>
      <c r="L920" s="93">
        <f>IF('Net zero activities &amp; levers'!$C$12="Off",('Activity data'!AE9*EF!$H8)*kgtoGg,('Net zero Activity data'!AE9*EF!$H8)*kgtoGg)</f>
        <v>323.37137738012325</v>
      </c>
      <c r="M920" s="93">
        <f>IF('Net zero activities &amp; levers'!$C$12="Off",('Activity data'!AF9*EF!$H8)*kgtoGg,('Net zero Activity data'!AF9*EF!$H8)*kgtoGg)</f>
        <v>322.29445054900742</v>
      </c>
      <c r="N920" s="93">
        <f>IF('Net zero activities &amp; levers'!$C$12="Off",('Activity data'!AG9*EF!$H8)*kgtoGg,('Net zero Activity data'!AG9*EF!$H8)*kgtoGg)</f>
        <v>317.99063003627231</v>
      </c>
      <c r="O920" s="93">
        <f>IF('Net zero activities &amp; levers'!$C$12="Off",('Activity data'!AH9*EF!$H8)*kgtoGg,('Net zero Activity data'!AH9*EF!$H8)*kgtoGg)</f>
        <v>311.74352945546792</v>
      </c>
      <c r="P920" s="93">
        <f>IF('Net zero activities &amp; levers'!$C$12="Off",('Activity data'!AI9*EF!$H8)*kgtoGg,('Net zero Activity data'!AI9*EF!$H8)*kgtoGg)</f>
        <v>303.68232906672068</v>
      </c>
      <c r="Q920" s="93">
        <f>IF('Net zero activities &amp; levers'!$C$12="Off",('Activity data'!AJ9*EF!$H8)*kgtoGg,('Net zero Activity data'!AJ9*EF!$H8)*kgtoGg)</f>
        <v>297.32422455466593</v>
      </c>
      <c r="R920" s="93">
        <f>IF('Net zero activities &amp; levers'!$C$12="Off",('Activity data'!AK9*EF!$H8)*kgtoGg,('Net zero Activity data'!AK9*EF!$H8)*kgtoGg)</f>
        <v>291.30873487096767</v>
      </c>
      <c r="S920" s="93">
        <f>IF('Net zero activities &amp; levers'!$C$12="Off",('Activity data'!AL9*EF!$H8)*kgtoGg,('Net zero Activity data'!AL9*EF!$H8)*kgtoGg)</f>
        <v>260.52286458075423</v>
      </c>
      <c r="T920" s="93">
        <f>IF('Net zero activities &amp; levers'!$C$12="Off",('Activity data'!AM9*EF!$H8)*kgtoGg,('Net zero Activity data'!AM9*EF!$H8)*kgtoGg)</f>
        <v>270.56001885582697</v>
      </c>
      <c r="U920" s="93">
        <f>IF('Net zero activities &amp; levers'!$C$12="Off",('Activity data'!AN9*EF!$H8)*kgtoGg,('Net zero Activity data'!AN9*EF!$H8)*kgtoGg)</f>
        <v>852.72283246173731</v>
      </c>
      <c r="V920" s="93">
        <f>IF('Net zero activities &amp; levers'!$C$12="Off",('Activity data'!AO9*EF!$H8)*kgtoGg,('Net zero Activity data'!AO9*EF!$H8)*kgtoGg)</f>
        <v>856.83583805061244</v>
      </c>
      <c r="W920" s="93">
        <f>IF('Net zero activities &amp; levers'!$C$12="Off",('Activity data'!AP9*EF!$H8)*kgtoGg,('Net zero Activity data'!AP9*EF!$H8)*kgtoGg)</f>
        <v>859.46815145917253</v>
      </c>
      <c r="X920" s="93">
        <f>IF('Net zero activities &amp; levers'!$C$12="Off",('Activity data'!AQ9*EF!$H8)*kgtoGg,('Net zero Activity data'!AQ9*EF!$H8)*kgtoGg)</f>
        <v>860.61923653571034</v>
      </c>
      <c r="Y920" s="93">
        <f>IF('Net zero activities &amp; levers'!$C$12="Off",('Activity data'!AR9*EF!$H8)*kgtoGg,('Net zero Activity data'!AR9*EF!$H8)*kgtoGg)</f>
        <v>860.31347761482039</v>
      </c>
      <c r="Z920" s="93">
        <f>IF('Net zero activities &amp; levers'!$C$12="Off",('Activity data'!AS9*EF!$H8)*kgtoGg,('Net zero Activity data'!AS9*EF!$H8)*kgtoGg)</f>
        <v>858.53621892685965</v>
      </c>
      <c r="AA920" s="93">
        <f>IF('Net zero activities &amp; levers'!$C$12="Off",('Activity data'!AT9*EF!$H8)*kgtoGg,('Net zero Activity data'!AT9*EF!$H8)*kgtoGg)</f>
        <v>855.28310692910031</v>
      </c>
      <c r="AB920" s="93">
        <f>IF('Net zero activities &amp; levers'!$C$12="Off",('Activity data'!AU9*EF!$H8)*kgtoGg,('Net zero Activity data'!AU9*EF!$H8)*kgtoGg)</f>
        <v>850.55683326967551</v>
      </c>
      <c r="AC920" s="93">
        <f>IF('Net zero activities &amp; levers'!$C$12="Off",('Activity data'!AV9*EF!$H8)*kgtoGg,('Net zero Activity data'!AV9*EF!$H8)*kgtoGg)</f>
        <v>844.36802545783894</v>
      </c>
      <c r="AD920" s="93">
        <f>IF('Net zero activities &amp; levers'!$C$12="Off",('Activity data'!AW9*EF!$H8)*kgtoGg,('Net zero Activity data'!AW9*EF!$H8)*kgtoGg)</f>
        <v>829.70549555464197</v>
      </c>
      <c r="AE920" s="93">
        <f>IF('Net zero activities &amp; levers'!$C$12="Off",('Activity data'!AX9*EF!$H8)*kgtoGg,('Net zero Activity data'!AX9*EF!$H8)*kgtoGg)</f>
        <v>813.66184807696902</v>
      </c>
      <c r="AF920" s="93">
        <f>IF('Net zero activities &amp; levers'!$C$12="Off",('Activity data'!AY9*EF!$H8)*kgtoGg,('Net zero Activity data'!AY9*EF!$H8)*kgtoGg)</f>
        <v>796.30917031773436</v>
      </c>
      <c r="AG920" s="93">
        <f>IF('Net zero activities &amp; levers'!$C$12="Off",('Activity data'!AZ9*EF!$H8)*kgtoGg,('Net zero Activity data'!AZ9*EF!$H8)*kgtoGg)</f>
        <v>777.72774073667881</v>
      </c>
      <c r="AH920" s="93">
        <f>IF('Net zero activities &amp; levers'!$C$12="Off",('Activity data'!BA9*EF!$H8)*kgtoGg,('Net zero Activity data'!BA9*EF!$H8)*kgtoGg)</f>
        <v>758.0030226043441</v>
      </c>
      <c r="AI920" s="93">
        <f>IF('Net zero activities &amp; levers'!$C$12="Off",('Activity data'!BB9*EF!$H8)*kgtoGg,('Net zero Activity data'!BB9*EF!$H8)*kgtoGg)</f>
        <v>737.22602206606996</v>
      </c>
      <c r="AJ920" s="93">
        <f>IF('Net zero activities &amp; levers'!$C$12="Off",('Activity data'!BC9*EF!$H8)*kgtoGg,('Net zero Activity data'!BC9*EF!$H8)*kgtoGg)</f>
        <v>-56.923575040610757</v>
      </c>
      <c r="AK920" s="93">
        <f>IF('Net zero activities &amp; levers'!$C$12="Off",('Activity data'!BD9*EF!$H8)*kgtoGg,('Net zero Activity data'!BD9*EF!$H8)*kgtoGg)</f>
        <v>-55.553019850526375</v>
      </c>
      <c r="AL920" s="93">
        <f>IF('Net zero activities &amp; levers'!$C$12="Off",('Activity data'!BE9*EF!$H8)*kgtoGg,('Net zero Activity data'!BE9*EF!$H8)*kgtoGg)</f>
        <v>-54.19672458777611</v>
      </c>
      <c r="AM920" s="93">
        <f>IF('Net zero activities &amp; levers'!$C$12="Off",('Activity data'!BF9*EF!$H8)*kgtoGg,('Net zero Activity data'!BF9*EF!$H8)*kgtoGg)</f>
        <v>-52.854549172076716</v>
      </c>
      <c r="AN920" s="93">
        <f>IF('Net zero activities &amp; levers'!$C$12="Off",('Activity data'!BG9*EF!$H8)*kgtoGg,('Net zero Activity data'!BG9*EF!$H8)*kgtoGg)</f>
        <v>-51.78929999692631</v>
      </c>
      <c r="AO920" s="93">
        <f>IF('Net zero activities &amp; levers'!$C$12="Off",('Activity data'!BH9*EF!$H8)*kgtoGg,('Net zero Activity data'!BH9*EF!$H8)*kgtoGg)</f>
        <v>-50.734155875267454</v>
      </c>
      <c r="AP920" s="93">
        <f>IF('Net zero activities &amp; levers'!$C$12="Off",('Activity data'!BI9*EF!$H8)*kgtoGg,('Net zero Activity data'!BI9*EF!$H8)*kgtoGg)</f>
        <v>-49.688332020491153</v>
      </c>
      <c r="AQ920" s="93">
        <f>IF('Net zero activities &amp; levers'!$C$12="Off",('Activity data'!BJ9*EF!$H8)*kgtoGg,('Net zero Activity data'!BJ9*EF!$H8)*kgtoGg)</f>
        <v>-48.651569375434605</v>
      </c>
      <c r="AR920" s="93">
        <f>IF('Net zero activities &amp; levers'!$C$12="Off",('Activity data'!BK9*EF!$H8)*kgtoGg,('Net zero Activity data'!BK9*EF!$H8)*kgtoGg)</f>
        <v>-47.623109962646353</v>
      </c>
      <c r="AS920" s="93">
        <f>IF('Net zero activities &amp; levers'!$C$12="Off",('Activity data'!BL9*EF!$H8)*kgtoGg,('Net zero Activity data'!BL9*EF!$H8)*kgtoGg)</f>
        <v>-46.60221149513962</v>
      </c>
      <c r="AT920" s="93">
        <f>IF('Net zero activities &amp; levers'!$C$12="Off",('Activity data'!BM9*EF!$H8)*kgtoGg,('Net zero Activity data'!BM9*EF!$H8)*kgtoGg)</f>
        <v>-45.588754757278259</v>
      </c>
      <c r="AU920" s="93">
        <f>IF('Net zero activities &amp; levers'!$C$12="Off",('Activity data'!BN9*EF!$H8)*kgtoGg,('Net zero Activity data'!BN9*EF!$H8)*kgtoGg)</f>
        <v>-44.582802361722123</v>
      </c>
      <c r="AV920" s="93">
        <f>IF('Net zero activities &amp; levers'!$C$12="Off",('Activity data'!BO9*EF!$H8)*kgtoGg,('Net zero Activity data'!BO9*EF!$H8)*kgtoGg)</f>
        <v>-43.584392718033477</v>
      </c>
      <c r="AW920" s="93">
        <f>IF('Net zero activities &amp; levers'!$C$12="Off",('Activity data'!BP9*EF!$H8)*kgtoGg,('Net zero Activity data'!BP9*EF!$H8)*kgtoGg)</f>
        <v>-42.59295237809765</v>
      </c>
      <c r="AY920" s="79"/>
      <c r="AZ920" s="79"/>
    </row>
    <row r="921" spans="1:52" x14ac:dyDescent="0.25">
      <c r="A921" s="95" t="str">
        <f t="shared" si="326"/>
        <v>DS Cattle</v>
      </c>
      <c r="B921" s="95" t="s">
        <v>974</v>
      </c>
      <c r="C921" s="95" t="s">
        <v>1108</v>
      </c>
      <c r="D921" t="s">
        <v>15</v>
      </c>
      <c r="E921" t="s">
        <v>16</v>
      </c>
      <c r="F921" t="s">
        <v>67</v>
      </c>
      <c r="G921" t="s">
        <v>135</v>
      </c>
      <c r="H921" t="s">
        <v>1020</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32.967337371253549</v>
      </c>
      <c r="M921" s="93">
        <f>IF('Net zero activities &amp; levers'!$C$12="Off",('Activity data'!AF10*EF!$H9)*kgtoGg,('Net zero Activity data'!AF10*EF!$H9)*kgtoGg)</f>
        <v>34.243655078433662</v>
      </c>
      <c r="N921" s="93">
        <f>IF('Net zero activities &amp; levers'!$C$12="Off",('Activity data'!AG10*EF!$H9)*kgtoGg,('Net zero Activity data'!AG10*EF!$H9)*kgtoGg)</f>
        <v>35.195504797614667</v>
      </c>
      <c r="O921" s="93">
        <f>IF('Net zero activities &amp; levers'!$C$12="Off",('Activity data'!AH10*EF!$H9)*kgtoGg,('Net zero Activity data'!AH10*EF!$H9)*kgtoGg)</f>
        <v>35.929559405213332</v>
      </c>
      <c r="P921" s="93">
        <f>IF('Net zero activities &amp; levers'!$C$12="Off",('Activity data'!AI10*EF!$H9)*kgtoGg,('Net zero Activity data'!AI10*EF!$H9)*kgtoGg)</f>
        <v>36.435327957872921</v>
      </c>
      <c r="Q921" s="93">
        <f>IF('Net zero activities &amp; levers'!$C$12="Off",('Activity data'!AJ10*EF!$H9)*kgtoGg,('Net zero Activity data'!AJ10*EF!$H9)*kgtoGg)</f>
        <v>37.125912791560353</v>
      </c>
      <c r="R921" s="93">
        <f>IF('Net zero activities &amp; levers'!$C$12="Off",('Activity data'!AK10*EF!$H9)*kgtoGg,('Net zero Activity data'!AK10*EF!$H9)*kgtoGg)</f>
        <v>37.849847328761314</v>
      </c>
      <c r="S921" s="93">
        <f>IF('Net zero activities &amp; levers'!$C$12="Off",('Activity data'!AL10*EF!$H9)*kgtoGg,('Net zero Activity data'!AL10*EF!$H9)*kgtoGg)</f>
        <v>35.21788884404873</v>
      </c>
      <c r="T921" s="93">
        <f>IF('Net zero activities &amp; levers'!$C$12="Off",('Activity data'!AM10*EF!$H9)*kgtoGg,('Net zero Activity data'!AM10*EF!$H9)*kgtoGg)</f>
        <v>37.455910775606171</v>
      </c>
      <c r="U921" s="93">
        <f>IF('Net zero activities &amp; levers'!$C$12="Off",('Activity data'!AN10*EF!$H9)*kgtoGg,('Net zero Activity data'!AN10*EF!$H9)*kgtoGg)</f>
        <v>120.85470894098397</v>
      </c>
      <c r="V921" s="93">
        <f>IF('Net zero activities &amp; levers'!$C$12="Off",('Activity data'!AO10*EF!$H9)*kgtoGg,('Net zero Activity data'!AO10*EF!$H9)*kgtoGg)</f>
        <v>124.28654564348025</v>
      </c>
      <c r="W921" s="93">
        <f>IF('Net zero activities &amp; levers'!$C$12="Off",('Activity data'!AP10*EF!$H9)*kgtoGg,('Net zero Activity data'!AP10*EF!$H9)*kgtoGg)</f>
        <v>127.55864590441264</v>
      </c>
      <c r="X921" s="93">
        <f>IF('Net zero activities &amp; levers'!$C$12="Off",('Activity data'!AQ10*EF!$H9)*kgtoGg,('Net zero Activity data'!AQ10*EF!$H9)*kgtoGg)</f>
        <v>130.65843671178916</v>
      </c>
      <c r="Y921" s="93">
        <f>IF('Net zero activities &amp; levers'!$C$12="Off",('Activity data'!AR10*EF!$H9)*kgtoGg,('Net zero Activity data'!AR10*EF!$H9)*kgtoGg)</f>
        <v>133.57680599902966</v>
      </c>
      <c r="Z921" s="93">
        <f>IF('Net zero activities &amp; levers'!$C$12="Off",('Activity data'!AS10*EF!$H9)*kgtoGg,('Net zero Activity data'!AS10*EF!$H9)*kgtoGg)</f>
        <v>136.29836120715478</v>
      </c>
      <c r="AA921" s="93">
        <f>IF('Net zero activities &amp; levers'!$C$12="Off",('Activity data'!AT10*EF!$H9)*kgtoGg,('Net zero Activity data'!AT10*EF!$H9)*kgtoGg)</f>
        <v>138.8087353610496</v>
      </c>
      <c r="AB921" s="93">
        <f>IF('Net zero activities &amp; levers'!$C$12="Off",('Activity data'!AU10*EF!$H9)*kgtoGg,('Net zero Activity data'!AU10*EF!$H9)*kgtoGg)</f>
        <v>141.09420138271955</v>
      </c>
      <c r="AC921" s="93">
        <f>IF('Net zero activities &amp; levers'!$C$12="Off",('Activity data'!AV10*EF!$H9)*kgtoGg,('Net zero Activity data'!AV10*EF!$H9)*kgtoGg)</f>
        <v>143.14192494700313</v>
      </c>
      <c r="AD921" s="93">
        <f>IF('Net zero activities &amp; levers'!$C$12="Off",('Activity data'!AW10*EF!$H9)*kgtoGg,('Net zero Activity data'!AW10*EF!$H9)*kgtoGg)</f>
        <v>145.32079439837173</v>
      </c>
      <c r="AE921" s="93">
        <f>IF('Net zero activities &amp; levers'!$C$12="Off",('Activity data'!AX10*EF!$H9)*kgtoGg,('Net zero Activity data'!AX10*EF!$H9)*kgtoGg)</f>
        <v>147.24589460251983</v>
      </c>
      <c r="AF921" s="93">
        <f>IF('Net zero activities &amp; levers'!$C$12="Off",('Activity data'!AY10*EF!$H9)*kgtoGg,('Net zero Activity data'!AY10*EF!$H9)*kgtoGg)</f>
        <v>148.90595700146477</v>
      </c>
      <c r="AG921" s="93">
        <f>IF('Net zero activities &amp; levers'!$C$12="Off",('Activity data'!AZ10*EF!$H9)*kgtoGg,('Net zero Activity data'!AZ10*EF!$H9)*kgtoGg)</f>
        <v>150.29119988084832</v>
      </c>
      <c r="AH921" s="93">
        <f>IF('Net zero activities &amp; levers'!$C$12="Off",('Activity data'!BA10*EF!$H9)*kgtoGg,('Net zero Activity data'!BA10*EF!$H9)*kgtoGg)</f>
        <v>151.39298806651198</v>
      </c>
      <c r="AI921" s="93">
        <f>IF('Net zero activities &amp; levers'!$C$12="Off",('Activity data'!BB10*EF!$H9)*kgtoGg,('Net zero Activity data'!BB10*EF!$H9)*kgtoGg)</f>
        <v>152.2040963869018</v>
      </c>
      <c r="AJ921" s="93">
        <f>IF('Net zero activities &amp; levers'!$C$12="Off",('Activity data'!BC10*EF!$H9)*kgtoGg,('Net zero Activity data'!BC10*EF!$H9)*kgtoGg)</f>
        <v>-12.150089844770541</v>
      </c>
      <c r="AK921" s="93">
        <f>IF('Net zero activities &amp; levers'!$C$12="Off",('Activity data'!BD10*EF!$H9)*kgtoGg,('Net zero Activity data'!BD10*EF!$H9)*kgtoGg)</f>
        <v>-12.261292624366734</v>
      </c>
      <c r="AL921" s="93">
        <f>IF('Net zero activities &amp; levers'!$C$12="Off",('Activity data'!BE10*EF!$H9)*kgtoGg,('Net zero Activity data'!BE10*EF!$H9)*kgtoGg)</f>
        <v>-12.371760078813706</v>
      </c>
      <c r="AM921" s="93">
        <f>IF('Net zero activities &amp; levers'!$C$12="Off",('Activity data'!BF10*EF!$H9)*kgtoGg,('Net zero Activity data'!BF10*EF!$H9)*kgtoGg)</f>
        <v>-12.481547229069234</v>
      </c>
      <c r="AN921" s="93">
        <f>IF('Net zero activities &amp; levers'!$C$12="Off",('Activity data'!BG10*EF!$H9)*kgtoGg,('Net zero Activity data'!BG10*EF!$H9)*kgtoGg)</f>
        <v>-12.575061773814197</v>
      </c>
      <c r="AO921" s="93">
        <f>IF('Net zero activities &amp; levers'!$C$12="Off",('Activity data'!BH10*EF!$H9)*kgtoGg,('Net zero Activity data'!BH10*EF!$H9)*kgtoGg)</f>
        <v>-12.667641248223251</v>
      </c>
      <c r="AP921" s="93">
        <f>IF('Net zero activities &amp; levers'!$C$12="Off",('Activity data'!BI10*EF!$H9)*kgtoGg,('Net zero Activity data'!BI10*EF!$H9)*kgtoGg)</f>
        <v>-12.759143955764493</v>
      </c>
      <c r="AQ921" s="93">
        <f>IF('Net zero activities &amp; levers'!$C$12="Off",('Activity data'!BJ10*EF!$H9)*kgtoGg,('Net zero Activity data'!BJ10*EF!$H9)*kgtoGg)</f>
        <v>-12.849544731083009</v>
      </c>
      <c r="AR921" s="93">
        <f>IF('Net zero activities &amp; levers'!$C$12="Off",('Activity data'!BK10*EF!$H9)*kgtoGg,('Net zero Activity data'!BK10*EF!$H9)*kgtoGg)</f>
        <v>-12.938674897522816</v>
      </c>
      <c r="AS921" s="93">
        <f>IF('Net zero activities &amp; levers'!$C$12="Off",('Activity data'!BL10*EF!$H9)*kgtoGg,('Net zero Activity data'!BL10*EF!$H9)*kgtoGg)</f>
        <v>-13.02634616662869</v>
      </c>
      <c r="AT921" s="93">
        <f>IF('Net zero activities &amp; levers'!$C$12="Off",('Activity data'!BM10*EF!$H9)*kgtoGg,('Net zero Activity data'!BM10*EF!$H9)*kgtoGg)</f>
        <v>-13.112524146200343</v>
      </c>
      <c r="AU921" s="93">
        <f>IF('Net zero activities &amp; levers'!$C$12="Off",('Activity data'!BN10*EF!$H9)*kgtoGg,('Net zero Activity data'!BN10*EF!$H9)*kgtoGg)</f>
        <v>-13.197221864241371</v>
      </c>
      <c r="AV921" s="93">
        <f>IF('Net zero activities &amp; levers'!$C$12="Off",('Activity data'!BO10*EF!$H9)*kgtoGg,('Net zero Activity data'!BO10*EF!$H9)*kgtoGg)</f>
        <v>-13.28044453197926</v>
      </c>
      <c r="AW921" s="93">
        <f>IF('Net zero activities &amp; levers'!$C$12="Off",('Activity data'!BP10*EF!$H9)*kgtoGg,('Net zero Activity data'!BP10*EF!$H9)*kgtoGg)</f>
        <v>-13.362004258887673</v>
      </c>
      <c r="AY921" s="79"/>
      <c r="AZ921" s="79"/>
    </row>
    <row r="922" spans="1:52" x14ac:dyDescent="0.25">
      <c r="A922" s="95" t="str">
        <f t="shared" si="326"/>
        <v>DS Sheep</v>
      </c>
      <c r="B922" s="95" t="s">
        <v>974</v>
      </c>
      <c r="C922" s="95" t="s">
        <v>152</v>
      </c>
      <c r="D922" t="s">
        <v>15</v>
      </c>
      <c r="E922" t="s">
        <v>16</v>
      </c>
      <c r="F922" t="s">
        <v>18</v>
      </c>
      <c r="G922" t="s">
        <v>122</v>
      </c>
      <c r="H922" t="s">
        <v>1020</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134.51556530099631</v>
      </c>
      <c r="T922" s="93">
        <f>IF('Net zero activities &amp; levers'!$C$12="Off",('Activity data'!AM11*EF!$H10)*kgtoGg,('Net zero Activity data'!AM11*EF!$H10)*kgtoGg)</f>
        <v>134.60509112337468</v>
      </c>
      <c r="U922" s="93">
        <f>IF('Net zero activities &amp; levers'!$C$12="Off",('Activity data'!AN11*EF!$H10)*kgtoGg,('Net zero Activity data'!AN11*EF!$H10)*kgtoGg)</f>
        <v>136.35833424652054</v>
      </c>
      <c r="V922" s="93">
        <f>IF('Net zero activities &amp; levers'!$C$12="Off",('Activity data'!AO11*EF!$H10)*kgtoGg,('Net zero Activity data'!AO11*EF!$H10)*kgtoGg)</f>
        <v>136.40110324414033</v>
      </c>
      <c r="W922" s="93">
        <f>IF('Net zero activities &amp; levers'!$C$12="Off",('Activity data'!AP11*EF!$H10)*kgtoGg,('Net zero Activity data'!AP11*EF!$H10)*kgtoGg)</f>
        <v>136.58404654274005</v>
      </c>
      <c r="X922" s="93">
        <f>IF('Net zero activities &amp; levers'!$C$12="Off",('Activity data'!AQ11*EF!$H10)*kgtoGg,('Net zero Activity data'!AQ11*EF!$H10)*kgtoGg)</f>
        <v>136.84849552124783</v>
      </c>
      <c r="Y922" s="93">
        <f>IF('Net zero activities &amp; levers'!$C$12="Off",('Activity data'!AR11*EF!$H10)*kgtoGg,('Net zero Activity data'!AR11*EF!$H10)*kgtoGg)</f>
        <v>137.09415955987274</v>
      </c>
      <c r="Z922" s="93">
        <f>IF('Net zero activities &amp; levers'!$C$12="Off",('Activity data'!AS11*EF!$H10)*kgtoGg,('Net zero Activity data'!AS11*EF!$H10)*kgtoGg)</f>
        <v>137.32408030952666</v>
      </c>
      <c r="AA922" s="93">
        <f>IF('Net zero activities &amp; levers'!$C$12="Off",('Activity data'!AT11*EF!$H10)*kgtoGg,('Net zero Activity data'!AT11*EF!$H10)*kgtoGg)</f>
        <v>137.53703172758449</v>
      </c>
      <c r="AB922" s="93">
        <f>IF('Net zero activities &amp; levers'!$C$12="Off",('Activity data'!AU11*EF!$H10)*kgtoGg,('Net zero Activity data'!AU11*EF!$H10)*kgtoGg)</f>
        <v>137.73493252382224</v>
      </c>
      <c r="AC922" s="93">
        <f>IF('Net zero activities &amp; levers'!$C$12="Off",('Activity data'!AV11*EF!$H10)*kgtoGg,('Net zero Activity data'!AV11*EF!$H10)*kgtoGg)</f>
        <v>137.92078465176073</v>
      </c>
      <c r="AD922" s="93">
        <f>IF('Net zero activities &amp; levers'!$C$12="Off",('Activity data'!AW11*EF!$H10)*kgtoGg,('Net zero Activity data'!AW11*EF!$H10)*kgtoGg)</f>
        <v>138.09441299579947</v>
      </c>
      <c r="AE922" s="93">
        <f>IF('Net zero activities &amp; levers'!$C$12="Off",('Activity data'!AX11*EF!$H10)*kgtoGg,('Net zero Activity data'!AX11*EF!$H10)*kgtoGg)</f>
        <v>138.25859465521103</v>
      </c>
      <c r="AF922" s="93">
        <f>IF('Net zero activities &amp; levers'!$C$12="Off",('Activity data'!AY11*EF!$H10)*kgtoGg,('Net zero Activity data'!AY11*EF!$H10)*kgtoGg)</f>
        <v>138.41372705764812</v>
      </c>
      <c r="AG922" s="93">
        <f>IF('Net zero activities &amp; levers'!$C$12="Off",('Activity data'!AZ11*EF!$H10)*kgtoGg,('Net zero Activity data'!AZ11*EF!$H10)*kgtoGg)</f>
        <v>138.55768393469623</v>
      </c>
      <c r="AH922" s="93">
        <f>IF('Net zero activities &amp; levers'!$C$12="Off",('Activity data'!BA11*EF!$H10)*kgtoGg,('Net zero Activity data'!BA11*EF!$H10)*kgtoGg)</f>
        <v>138.69178217062699</v>
      </c>
      <c r="AI922" s="93">
        <f>IF('Net zero activities &amp; levers'!$C$12="Off",('Activity data'!BB11*EF!$H10)*kgtoGg,('Net zero Activity data'!BB11*EF!$H10)*kgtoGg)</f>
        <v>138.81816108295814</v>
      </c>
      <c r="AJ922" s="93">
        <f>IF('Net zero activities &amp; levers'!$C$12="Off",('Activity data'!BC11*EF!$H10)*kgtoGg,('Net zero Activity data'!BC11*EF!$H10)*kgtoGg)</f>
        <v>135.77163521502163</v>
      </c>
      <c r="AK922" s="93">
        <f>IF('Net zero activities &amp; levers'!$C$12="Off",('Activity data'!BD11*EF!$H10)*kgtoGg,('Net zero Activity data'!BD11*EF!$H10)*kgtoGg)</f>
        <v>135.89648953385836</v>
      </c>
      <c r="AL922" s="93">
        <f>IF('Net zero activities &amp; levers'!$C$12="Off",('Activity data'!BE11*EF!$H10)*kgtoGg,('Net zero Activity data'!BE11*EF!$H10)*kgtoGg)</f>
        <v>136.01294647652736</v>
      </c>
      <c r="AM922" s="93">
        <f>IF('Net zero activities &amp; levers'!$C$12="Off",('Activity data'!BF11*EF!$H10)*kgtoGg,('Net zero Activity data'!BF11*EF!$H10)*kgtoGg)</f>
        <v>136.12171776801748</v>
      </c>
      <c r="AN922" s="93">
        <f>IF('Net zero activities &amp; levers'!$C$12="Off",('Activity data'!BG11*EF!$H10)*kgtoGg,('Net zero Activity data'!BG11*EF!$H10)*kgtoGg)</f>
        <v>136.22366859450332</v>
      </c>
      <c r="AO922" s="93">
        <f>IF('Net zero activities &amp; levers'!$C$12="Off",('Activity data'!BH11*EF!$H10)*kgtoGg,('Net zero Activity data'!BH11*EF!$H10)*kgtoGg)</f>
        <v>136.31611723482146</v>
      </c>
      <c r="AP922" s="93">
        <f>IF('Net zero activities &amp; levers'!$C$12="Off",('Activity data'!BI11*EF!$H10)*kgtoGg,('Net zero Activity data'!BI11*EF!$H10)*kgtoGg)</f>
        <v>136.39727280638544</v>
      </c>
      <c r="AQ922" s="93">
        <f>IF('Net zero activities &amp; levers'!$C$12="Off",('Activity data'!BJ11*EF!$H10)*kgtoGg,('Net zero Activity data'!BJ11*EF!$H10)*kgtoGg)</f>
        <v>136.46687299989276</v>
      </c>
      <c r="AR922" s="93">
        <f>IF('Net zero activities &amp; levers'!$C$12="Off",('Activity data'!BK11*EF!$H10)*kgtoGg,('Net zero Activity data'!BK11*EF!$H10)*kgtoGg)</f>
        <v>136.52287982045266</v>
      </c>
      <c r="AS922" s="93">
        <f>IF('Net zero activities &amp; levers'!$C$12="Off",('Activity data'!BL11*EF!$H10)*kgtoGg,('Net zero Activity data'!BL11*EF!$H10)*kgtoGg)</f>
        <v>136.56307802336653</v>
      </c>
      <c r="AT922" s="93">
        <f>IF('Net zero activities &amp; levers'!$C$12="Off",('Activity data'!BM11*EF!$H10)*kgtoGg,('Net zero Activity data'!BM11*EF!$H10)*kgtoGg)</f>
        <v>136.58721779491506</v>
      </c>
      <c r="AU922" s="93">
        <f>IF('Net zero activities &amp; levers'!$C$12="Off",('Activity data'!BN11*EF!$H10)*kgtoGg,('Net zero Activity data'!BN11*EF!$H10)*kgtoGg)</f>
        <v>136.59564346547165</v>
      </c>
      <c r="AV922" s="93">
        <f>IF('Net zero activities &amp; levers'!$C$12="Off",('Activity data'!BO11*EF!$H10)*kgtoGg,('Net zero Activity data'!BO11*EF!$H10)*kgtoGg)</f>
        <v>136.58860148831764</v>
      </c>
      <c r="AW922" s="93">
        <f>IF('Net zero activities &amp; levers'!$C$12="Off",('Activity data'!BP11*EF!$H10)*kgtoGg,('Net zero Activity data'!BP11*EF!$H10)*kgtoGg)</f>
        <v>136.56400681676968</v>
      </c>
      <c r="AY922" s="79"/>
      <c r="AZ922" s="79"/>
    </row>
    <row r="923" spans="1:52" x14ac:dyDescent="0.25">
      <c r="A923" s="95" t="str">
        <f t="shared" si="326"/>
        <v>DS Sheep</v>
      </c>
      <c r="B923" s="95" t="s">
        <v>974</v>
      </c>
      <c r="C923" s="95" t="s">
        <v>152</v>
      </c>
      <c r="D923" t="s">
        <v>15</v>
      </c>
      <c r="E923" t="s">
        <v>16</v>
      </c>
      <c r="F923" t="s">
        <v>18</v>
      </c>
      <c r="G923" t="s">
        <v>123</v>
      </c>
      <c r="H923" t="s">
        <v>1020</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14.577965145623706</v>
      </c>
      <c r="T923" s="93">
        <f>IF('Net zero activities &amp; levers'!$C$12="Off",('Activity data'!AM12*EF!$H11)*kgtoGg,('Net zero Activity data'!AM12*EF!$H11)*kgtoGg)</f>
        <v>14.587667400640397</v>
      </c>
      <c r="U923" s="93">
        <f>IF('Net zero activities &amp; levers'!$C$12="Off",('Activity data'!AN12*EF!$H11)*kgtoGg,('Net zero Activity data'!AN12*EF!$H11)*kgtoGg)</f>
        <v>14.777673048565481</v>
      </c>
      <c r="V923" s="93">
        <f>IF('Net zero activities &amp; levers'!$C$12="Off",('Activity data'!AO12*EF!$H11)*kgtoGg,('Net zero Activity data'!AO12*EF!$H11)*kgtoGg)</f>
        <v>14.782308088051206</v>
      </c>
      <c r="W923" s="93">
        <f>IF('Net zero activities &amp; levers'!$C$12="Off",('Activity data'!AP12*EF!$H11)*kgtoGg,('Net zero Activity data'!AP12*EF!$H11)*kgtoGg)</f>
        <v>14.802134351462762</v>
      </c>
      <c r="X923" s="93">
        <f>IF('Net zero activities &amp; levers'!$C$12="Off",('Activity data'!AQ12*EF!$H11)*kgtoGg,('Net zero Activity data'!AQ12*EF!$H11)*kgtoGg)</f>
        <v>14.830793696445298</v>
      </c>
      <c r="Y923" s="93">
        <f>IF('Net zero activities &amp; levers'!$C$12="Off",('Activity data'!AR12*EF!$H11)*kgtoGg,('Net zero Activity data'!AR12*EF!$H11)*kgtoGg)</f>
        <v>14.857417245806248</v>
      </c>
      <c r="Z923" s="93">
        <f>IF('Net zero activities &amp; levers'!$C$12="Off",('Activity data'!AS12*EF!$H11)*kgtoGg,('Net zero Activity data'!AS12*EF!$H11)*kgtoGg)</f>
        <v>14.882334634862383</v>
      </c>
      <c r="AA923" s="93">
        <f>IF('Net zero activities &amp; levers'!$C$12="Off",('Activity data'!AT12*EF!$H11)*kgtoGg,('Net zero Activity data'!AT12*EF!$H11)*kgtoGg)</f>
        <v>14.905412992695631</v>
      </c>
      <c r="AB923" s="93">
        <f>IF('Net zero activities &amp; levers'!$C$12="Off",('Activity data'!AU12*EF!$H11)*kgtoGg,('Net zero Activity data'!AU12*EF!$H11)*kgtoGg)</f>
        <v>14.926860257206538</v>
      </c>
      <c r="AC923" s="93">
        <f>IF('Net zero activities &amp; levers'!$C$12="Off",('Activity data'!AV12*EF!$H11)*kgtoGg,('Net zero Activity data'!AV12*EF!$H11)*kgtoGg)</f>
        <v>14.947001761554121</v>
      </c>
      <c r="AD923" s="93">
        <f>IF('Net zero activities &amp; levers'!$C$12="Off",('Activity data'!AW12*EF!$H11)*kgtoGg,('Net zero Activity data'!AW12*EF!$H11)*kgtoGg)</f>
        <v>14.965818527792479</v>
      </c>
      <c r="AE923" s="93">
        <f>IF('Net zero activities &amp; levers'!$C$12="Off",('Activity data'!AX12*EF!$H11)*kgtoGg,('Net zero Activity data'!AX12*EF!$H11)*kgtoGg)</f>
        <v>14.983611520767653</v>
      </c>
      <c r="AF923" s="93">
        <f>IF('Net zero activities &amp; levers'!$C$12="Off",('Activity data'!AY12*EF!$H11)*kgtoGg,('Net zero Activity data'!AY12*EF!$H11)*kgtoGg)</f>
        <v>15.000423811231022</v>
      </c>
      <c r="AG923" s="93">
        <f>IF('Net zero activities &amp; levers'!$C$12="Off",('Activity data'!AZ12*EF!$H11)*kgtoGg,('Net zero Activity data'!AZ12*EF!$H11)*kgtoGg)</f>
        <v>15.016024967360309</v>
      </c>
      <c r="AH923" s="93">
        <f>IF('Net zero activities &amp; levers'!$C$12="Off",('Activity data'!BA12*EF!$H11)*kgtoGg,('Net zero Activity data'!BA12*EF!$H11)*kgtoGg)</f>
        <v>15.030557704929484</v>
      </c>
      <c r="AI923" s="93">
        <f>IF('Net zero activities &amp; levers'!$C$12="Off",('Activity data'!BB12*EF!$H11)*kgtoGg,('Net zero Activity data'!BB12*EF!$H11)*kgtoGg)</f>
        <v>15.044253869941933</v>
      </c>
      <c r="AJ923" s="93">
        <f>IF('Net zero activities &amp; levers'!$C$12="Off",('Activity data'!BC12*EF!$H11)*kgtoGg,('Net zero Activity data'!BC12*EF!$H11)*kgtoGg)</f>
        <v>14.714090235580054</v>
      </c>
      <c r="AK923" s="93">
        <f>IF('Net zero activities &amp; levers'!$C$12="Off",('Activity data'!BD12*EF!$H11)*kgtoGg,('Net zero Activity data'!BD12*EF!$H11)*kgtoGg)</f>
        <v>14.727621174577411</v>
      </c>
      <c r="AL923" s="93">
        <f>IF('Net zero activities &amp; levers'!$C$12="Off",('Activity data'!BE12*EF!$H11)*kgtoGg,('Net zero Activity data'!BE12*EF!$H11)*kgtoGg)</f>
        <v>14.740242057873667</v>
      </c>
      <c r="AM923" s="93">
        <f>IF('Net zero activities &amp; levers'!$C$12="Off",('Activity data'!BF12*EF!$H11)*kgtoGg,('Net zero Activity data'!BF12*EF!$H11)*kgtoGg)</f>
        <v>14.752030017821943</v>
      </c>
      <c r="AN923" s="93">
        <f>IF('Net zero activities &amp; levers'!$C$12="Off",('Activity data'!BG12*EF!$H11)*kgtoGg,('Net zero Activity data'!BG12*EF!$H11)*kgtoGg)</f>
        <v>14.763078817949665</v>
      </c>
      <c r="AO923" s="93">
        <f>IF('Net zero activities &amp; levers'!$C$12="Off",('Activity data'!BH12*EF!$H11)*kgtoGg,('Net zero Activity data'!BH12*EF!$H11)*kgtoGg)</f>
        <v>14.773097829900454</v>
      </c>
      <c r="AP923" s="93">
        <f>IF('Net zero activities &amp; levers'!$C$12="Off",('Activity data'!BI12*EF!$H11)*kgtoGg,('Net zero Activity data'!BI12*EF!$H11)*kgtoGg)</f>
        <v>14.781892968894116</v>
      </c>
      <c r="AQ923" s="93">
        <f>IF('Net zero activities &amp; levers'!$C$12="Off",('Activity data'!BJ12*EF!$H11)*kgtoGg,('Net zero Activity data'!BJ12*EF!$H11)*kgtoGg)</f>
        <v>14.789435807470511</v>
      </c>
      <c r="AR923" s="93">
        <f>IF('Net zero activities &amp; levers'!$C$12="Off",('Activity data'!BK12*EF!$H11)*kgtoGg,('Net zero Activity data'!BK12*EF!$H11)*kgtoGg)</f>
        <v>14.795505480346009</v>
      </c>
      <c r="AS923" s="93">
        <f>IF('Net zero activities &amp; levers'!$C$12="Off",('Activity data'!BL12*EF!$H11)*kgtoGg,('Net zero Activity data'!BL12*EF!$H11)*kgtoGg)</f>
        <v>14.799861912998866</v>
      </c>
      <c r="AT923" s="93">
        <f>IF('Net zero activities &amp; levers'!$C$12="Off",('Activity data'!BM12*EF!$H11)*kgtoGg,('Net zero Activity data'!BM12*EF!$H11)*kgtoGg)</f>
        <v>14.802478032162998</v>
      </c>
      <c r="AU923" s="93">
        <f>IF('Net zero activities &amp; levers'!$C$12="Off",('Activity data'!BN12*EF!$H11)*kgtoGg,('Net zero Activity data'!BN12*EF!$H11)*kgtoGg)</f>
        <v>14.803391154234989</v>
      </c>
      <c r="AV923" s="93">
        <f>IF('Net zero activities &amp; levers'!$C$12="Off",('Activity data'!BO12*EF!$H11)*kgtoGg,('Net zero Activity data'!BO12*EF!$H11)*kgtoGg)</f>
        <v>14.802627988297443</v>
      </c>
      <c r="AW923" s="93">
        <f>IF('Net zero activities &amp; levers'!$C$12="Off",('Activity data'!BP12*EF!$H11)*kgtoGg,('Net zero Activity data'!BP12*EF!$H11)*kgtoGg)</f>
        <v>14.799962569884396</v>
      </c>
      <c r="AY923" s="79"/>
      <c r="AZ923" s="79"/>
    </row>
    <row r="924" spans="1:52" x14ac:dyDescent="0.25">
      <c r="A924" s="95" t="str">
        <f t="shared" si="326"/>
        <v>DS Goats</v>
      </c>
      <c r="B924" s="95" t="s">
        <v>974</v>
      </c>
      <c r="C924" s="95" t="s">
        <v>153</v>
      </c>
      <c r="D924" t="s">
        <v>15</v>
      </c>
      <c r="E924" t="s">
        <v>16</v>
      </c>
      <c r="F924" t="s">
        <v>19</v>
      </c>
      <c r="G924" t="s">
        <v>122</v>
      </c>
      <c r="H924" t="s">
        <v>1020</v>
      </c>
      <c r="I924" t="s">
        <v>121</v>
      </c>
      <c r="J924" t="s">
        <v>286</v>
      </c>
      <c r="K924" s="27">
        <f t="shared" ref="K924:Z927" si="329">K1387</f>
        <v>15.123414197798359</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15.545788610572222</v>
      </c>
      <c r="R924" s="27">
        <f t="shared" si="329"/>
        <v>15.648067752449878</v>
      </c>
      <c r="S924" s="27">
        <f t="shared" si="329"/>
        <v>15.609909908763072</v>
      </c>
      <c r="T924" s="27">
        <f t="shared" si="329"/>
        <v>15.635455939498677</v>
      </c>
      <c r="U924" s="27">
        <f t="shared" si="329"/>
        <v>15.95246888070791</v>
      </c>
      <c r="V924" s="27">
        <f t="shared" si="329"/>
        <v>15.966791142533616</v>
      </c>
      <c r="W924" s="27">
        <f t="shared" si="329"/>
        <v>16.004709527553434</v>
      </c>
      <c r="X924" s="27">
        <f t="shared" si="329"/>
        <v>16.055885293055152</v>
      </c>
      <c r="Y924" s="27">
        <f t="shared" si="329"/>
        <v>16.102820608505493</v>
      </c>
      <c r="Z924" s="27">
        <f t="shared" si="329"/>
        <v>16.146135876832972</v>
      </c>
      <c r="AA924" s="27">
        <f t="shared" ref="L924:AW927" si="330">AA1387</f>
        <v>16.185698238107559</v>
      </c>
      <c r="AB924" s="27">
        <f t="shared" si="330"/>
        <v>16.22191395009931</v>
      </c>
      <c r="AC924" s="27">
        <f t="shared" si="330"/>
        <v>16.25536732746065</v>
      </c>
      <c r="AD924" s="27">
        <f t="shared" si="330"/>
        <v>16.286085323517181</v>
      </c>
      <c r="AE924" s="27">
        <f t="shared" si="330"/>
        <v>16.31459834375584</v>
      </c>
      <c r="AF924" s="27">
        <f t="shared" si="330"/>
        <v>16.341020303059434</v>
      </c>
      <c r="AG924" s="27">
        <f t="shared" si="330"/>
        <v>16.365028601066268</v>
      </c>
      <c r="AH924" s="27">
        <f t="shared" si="330"/>
        <v>16.386889120844085</v>
      </c>
      <c r="AI924" s="27">
        <f t="shared" si="330"/>
        <v>16.407003513902541</v>
      </c>
      <c r="AJ924" s="27">
        <f t="shared" si="330"/>
        <v>15.886156568564889</v>
      </c>
      <c r="AK924" s="27">
        <f t="shared" si="330"/>
        <v>15.906232465615583</v>
      </c>
      <c r="AL924" s="27">
        <f t="shared" si="330"/>
        <v>15.924511297002383</v>
      </c>
      <c r="AM924" s="27">
        <f t="shared" si="330"/>
        <v>15.941140997111155</v>
      </c>
      <c r="AN924" s="27">
        <f t="shared" si="330"/>
        <v>15.956292884471127</v>
      </c>
      <c r="AO924" s="27">
        <f t="shared" si="330"/>
        <v>15.969536826708435</v>
      </c>
      <c r="AP924" s="27">
        <f t="shared" si="330"/>
        <v>15.980594577453482</v>
      </c>
      <c r="AQ924" s="27">
        <f t="shared" si="330"/>
        <v>15.989445822984647</v>
      </c>
      <c r="AR924" s="27">
        <f t="shared" si="330"/>
        <v>15.995770985939464</v>
      </c>
      <c r="AS924" s="27">
        <f t="shared" si="330"/>
        <v>15.999221862064399</v>
      </c>
      <c r="AT924" s="27">
        <f t="shared" si="330"/>
        <v>15.999780644603296</v>
      </c>
      <c r="AU924" s="27">
        <f t="shared" si="330"/>
        <v>15.99752803776004</v>
      </c>
      <c r="AV924" s="27">
        <f t="shared" si="330"/>
        <v>15.992527037206958</v>
      </c>
      <c r="AW924" s="27">
        <f t="shared" si="330"/>
        <v>15.984450939829935</v>
      </c>
      <c r="AY924" s="79"/>
      <c r="AZ924" s="79"/>
    </row>
    <row r="925" spans="1:52" x14ac:dyDescent="0.25">
      <c r="A925" s="95" t="str">
        <f t="shared" si="326"/>
        <v>DS Goats</v>
      </c>
      <c r="B925" s="95" t="s">
        <v>974</v>
      </c>
      <c r="C925" s="95" t="s">
        <v>153</v>
      </c>
      <c r="D925" t="s">
        <v>15</v>
      </c>
      <c r="E925" t="s">
        <v>16</v>
      </c>
      <c r="F925" t="s">
        <v>19</v>
      </c>
      <c r="G925" t="s">
        <v>123</v>
      </c>
      <c r="H925" t="s">
        <v>1020</v>
      </c>
      <c r="I925" t="s">
        <v>121</v>
      </c>
      <c r="J925" t="s">
        <v>286</v>
      </c>
      <c r="K925" s="27">
        <f t="shared" si="329"/>
        <v>22.381101687842744</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23.101065436464115</v>
      </c>
      <c r="T925" s="27">
        <f t="shared" si="330"/>
        <v>23.138870941499981</v>
      </c>
      <c r="U925" s="27">
        <f t="shared" si="330"/>
        <v>23.608017576034321</v>
      </c>
      <c r="V925" s="27">
        <f t="shared" si="330"/>
        <v>23.62921305439183</v>
      </c>
      <c r="W925" s="27">
        <f t="shared" si="330"/>
        <v>23.685328374640804</v>
      </c>
      <c r="X925" s="27">
        <f t="shared" si="330"/>
        <v>23.761063258091507</v>
      </c>
      <c r="Y925" s="27">
        <f t="shared" si="330"/>
        <v>23.830522710441766</v>
      </c>
      <c r="Z925" s="27">
        <f t="shared" si="330"/>
        <v>23.894624864386248</v>
      </c>
      <c r="AA925" s="27">
        <f t="shared" si="330"/>
        <v>23.953173100856997</v>
      </c>
      <c r="AB925" s="27">
        <f t="shared" si="330"/>
        <v>24.006768639680701</v>
      </c>
      <c r="AC925" s="27">
        <f t="shared" si="330"/>
        <v>24.0562762066053</v>
      </c>
      <c r="AD925" s="27">
        <f t="shared" si="330"/>
        <v>24.101735689787876</v>
      </c>
      <c r="AE925" s="27">
        <f t="shared" si="330"/>
        <v>24.143932034941329</v>
      </c>
      <c r="AF925" s="27">
        <f t="shared" si="330"/>
        <v>24.183033824407083</v>
      </c>
      <c r="AG925" s="27">
        <f t="shared" si="330"/>
        <v>24.218563642741437</v>
      </c>
      <c r="AH925" s="27">
        <f t="shared" si="330"/>
        <v>24.250914969610982</v>
      </c>
      <c r="AI925" s="27">
        <f t="shared" si="330"/>
        <v>24.280682208049512</v>
      </c>
      <c r="AJ925" s="27">
        <f t="shared" si="330"/>
        <v>23.509882156226475</v>
      </c>
      <c r="AK925" s="27">
        <f t="shared" si="330"/>
        <v>23.53959242452235</v>
      </c>
      <c r="AL925" s="27">
        <f t="shared" si="330"/>
        <v>23.566643219974505</v>
      </c>
      <c r="AM925" s="27">
        <f t="shared" si="330"/>
        <v>23.591253470299264</v>
      </c>
      <c r="AN925" s="27">
        <f t="shared" si="330"/>
        <v>23.613676709346407</v>
      </c>
      <c r="AO925" s="27">
        <f t="shared" si="330"/>
        <v>23.633276385324617</v>
      </c>
      <c r="AP925" s="27">
        <f t="shared" si="330"/>
        <v>23.649640722148757</v>
      </c>
      <c r="AQ925" s="27">
        <f t="shared" si="330"/>
        <v>23.662739657594557</v>
      </c>
      <c r="AR925" s="27">
        <f t="shared" si="330"/>
        <v>23.672100249947082</v>
      </c>
      <c r="AS925" s="27">
        <f t="shared" si="330"/>
        <v>23.67720719262908</v>
      </c>
      <c r="AT925" s="27">
        <f t="shared" si="330"/>
        <v>23.678034133468028</v>
      </c>
      <c r="AU925" s="27">
        <f t="shared" si="330"/>
        <v>23.674700506407216</v>
      </c>
      <c r="AV925" s="27">
        <f t="shared" si="330"/>
        <v>23.667299538579741</v>
      </c>
      <c r="AW925" s="27">
        <f t="shared" si="330"/>
        <v>23.655347742889163</v>
      </c>
      <c r="AY925" s="79"/>
      <c r="AZ925" s="79"/>
    </row>
    <row r="926" spans="1:52" x14ac:dyDescent="0.25">
      <c r="A926" s="95" t="str">
        <f t="shared" si="326"/>
        <v>DS Horses</v>
      </c>
      <c r="B926" s="95" t="s">
        <v>974</v>
      </c>
      <c r="C926" s="95" t="s">
        <v>3</v>
      </c>
      <c r="D926" t="s">
        <v>15</v>
      </c>
      <c r="E926" t="s">
        <v>16</v>
      </c>
      <c r="F926" t="s">
        <v>20</v>
      </c>
      <c r="G926" t="s">
        <v>3</v>
      </c>
      <c r="H926" t="s">
        <v>1020</v>
      </c>
      <c r="I926" t="s">
        <v>121</v>
      </c>
      <c r="J926" t="s">
        <v>286</v>
      </c>
      <c r="K926" s="27">
        <f t="shared" si="329"/>
        <v>5.5526214800767901</v>
      </c>
      <c r="L926" s="27">
        <f t="shared" si="330"/>
        <v>5.5795235710196529</v>
      </c>
      <c r="M926" s="27">
        <f t="shared" si="330"/>
        <v>5.6203482259438022</v>
      </c>
      <c r="N926" s="27">
        <f t="shared" si="330"/>
        <v>5.6290756550083767</v>
      </c>
      <c r="O926" s="27">
        <f t="shared" si="330"/>
        <v>5.6165815405282284</v>
      </c>
      <c r="P926" s="27">
        <f t="shared" si="330"/>
        <v>5.5833231296706112</v>
      </c>
      <c r="Q926" s="27">
        <f t="shared" si="330"/>
        <v>5.5648827699457364</v>
      </c>
      <c r="R926" s="27">
        <f t="shared" si="330"/>
        <v>5.5483103177944031</v>
      </c>
      <c r="S926" s="27">
        <f t="shared" si="330"/>
        <v>5.301317756839599</v>
      </c>
      <c r="T926" s="27">
        <f t="shared" si="330"/>
        <v>5.4334519326298842</v>
      </c>
      <c r="U926" s="27">
        <f t="shared" si="330"/>
        <v>11.663279711908721</v>
      </c>
      <c r="V926" s="27">
        <f t="shared" si="330"/>
        <v>11.812653235838557</v>
      </c>
      <c r="W926" s="27">
        <f t="shared" si="330"/>
        <v>11.932954790442608</v>
      </c>
      <c r="X926" s="27">
        <f t="shared" si="330"/>
        <v>12.029772886609605</v>
      </c>
      <c r="Y926" s="27">
        <f t="shared" si="330"/>
        <v>12.113873667726716</v>
      </c>
      <c r="Z926" s="27">
        <f t="shared" si="330"/>
        <v>12.184301808011908</v>
      </c>
      <c r="AA926" s="27">
        <f t="shared" si="330"/>
        <v>12.240662308750712</v>
      </c>
      <c r="AB926" s="27">
        <f t="shared" si="330"/>
        <v>12.282268429354316</v>
      </c>
      <c r="AC926" s="27">
        <f t="shared" si="330"/>
        <v>12.308384588149881</v>
      </c>
      <c r="AD926" s="27">
        <f t="shared" si="330"/>
        <v>12.31872545788376</v>
      </c>
      <c r="AE926" s="27">
        <f t="shared" si="330"/>
        <v>12.312750989800492</v>
      </c>
      <c r="AF926" s="27">
        <f t="shared" si="330"/>
        <v>12.290286651516004</v>
      </c>
      <c r="AG926" s="27">
        <f t="shared" si="330"/>
        <v>12.251535501678408</v>
      </c>
      <c r="AH926" s="27">
        <f t="shared" si="330"/>
        <v>12.196396092630039</v>
      </c>
      <c r="AI926" s="27">
        <f t="shared" si="330"/>
        <v>12.124769930026071</v>
      </c>
      <c r="AJ926" s="27">
        <f t="shared" si="330"/>
        <v>1.7851056965565462</v>
      </c>
      <c r="AK926" s="27">
        <f t="shared" si="330"/>
        <v>1.7851056965565462</v>
      </c>
      <c r="AL926" s="27">
        <f t="shared" si="330"/>
        <v>1.7851056965565462</v>
      </c>
      <c r="AM926" s="27">
        <f t="shared" si="330"/>
        <v>1.7851056965565462</v>
      </c>
      <c r="AN926" s="27">
        <f t="shared" si="330"/>
        <v>1.7851056965565462</v>
      </c>
      <c r="AO926" s="27">
        <f t="shared" si="330"/>
        <v>1.7851056965565462</v>
      </c>
      <c r="AP926" s="27">
        <f t="shared" si="330"/>
        <v>1.7851056965565462</v>
      </c>
      <c r="AQ926" s="27">
        <f t="shared" si="330"/>
        <v>1.7851056965565462</v>
      </c>
      <c r="AR926" s="27">
        <f t="shared" si="330"/>
        <v>1.7851056965565462</v>
      </c>
      <c r="AS926" s="27">
        <f t="shared" si="330"/>
        <v>1.7851056965565462</v>
      </c>
      <c r="AT926" s="27">
        <f t="shared" si="330"/>
        <v>1.7851056965565462</v>
      </c>
      <c r="AU926" s="27">
        <f t="shared" si="330"/>
        <v>1.7851056965565462</v>
      </c>
      <c r="AV926" s="27">
        <f t="shared" si="330"/>
        <v>1.7851056965565462</v>
      </c>
      <c r="AW926" s="27">
        <f t="shared" si="330"/>
        <v>1.7851056965565462</v>
      </c>
      <c r="AY926" s="79"/>
      <c r="AZ926" s="79"/>
    </row>
    <row r="927" spans="1:52" x14ac:dyDescent="0.25">
      <c r="A927" s="95" t="str">
        <f t="shared" si="326"/>
        <v>DS Mules&amp;Asses</v>
      </c>
      <c r="B927" s="95" t="s">
        <v>974</v>
      </c>
      <c r="C927" s="95" t="s">
        <v>1323</v>
      </c>
      <c r="D927" t="s">
        <v>15</v>
      </c>
      <c r="E927" t="s">
        <v>16</v>
      </c>
      <c r="F927" t="s">
        <v>140</v>
      </c>
      <c r="G927" t="s">
        <v>124</v>
      </c>
      <c r="H927" t="s">
        <v>1020</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25">
      <c r="A928" s="95" t="str">
        <f t="shared" si="326"/>
        <v>DS Swine</v>
      </c>
      <c r="B928" s="95" t="s">
        <v>974</v>
      </c>
      <c r="C928" s="95" t="s">
        <v>155</v>
      </c>
      <c r="D928" t="s">
        <v>15</v>
      </c>
      <c r="E928" t="s">
        <v>16</v>
      </c>
      <c r="F928" t="s">
        <v>21</v>
      </c>
      <c r="G928" t="s">
        <v>122</v>
      </c>
      <c r="H928" t="s">
        <v>1020</v>
      </c>
      <c r="I928" t="s">
        <v>121</v>
      </c>
      <c r="J928" t="s">
        <v>286</v>
      </c>
      <c r="K928" s="93">
        <f>IF('Net zero activities &amp; levers'!$C$12="Off",('Activity data'!AD17*EF!$H16)*kgtoGg,('Net zero Activity data'!AD17*EF!$H16)*kgtoGg)</f>
        <v>1.8400999552016302</v>
      </c>
      <c r="L928" s="93">
        <f>IF('Net zero activities &amp; levers'!$C$12="Off",('Activity data'!AE17*EF!$H16)*kgtoGg,('Net zero Activity data'!AE17*EF!$H16)*kgtoGg)</f>
        <v>1.8300977880312248</v>
      </c>
      <c r="M928" s="93">
        <f>IF('Net zero activities &amp; levers'!$C$12="Off",('Activity data'!AF17*EF!$H16)*kgtoGg,('Net zero Activity data'!AF17*EF!$H16)*kgtoGg)</f>
        <v>1.8309187348828151</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1.7489975228040082</v>
      </c>
      <c r="Q928" s="93">
        <f>IF('Net zero activities &amp; levers'!$C$12="Off",('Activity data'!AJ17*EF!$H16)*kgtoGg,('Net zero Activity data'!AJ17*EF!$H16)*kgtoGg)</f>
        <v>1.721653192801009</v>
      </c>
      <c r="R928" s="93">
        <f>IF('Net zero activities &amp; levers'!$C$12="Off",('Activity data'!AK17*EF!$H16)*kgtoGg,('Net zero Activity data'!AK17*EF!$H16)*kgtoGg)</f>
        <v>1.6967284692901872</v>
      </c>
      <c r="S928" s="93">
        <f>IF('Net zero activities &amp; levers'!$C$12="Off",('Activity data'!AL17*EF!$H16)*kgtoGg,('Net zero Activity data'!AL17*EF!$H16)*kgtoGg)</f>
        <v>1.5265878305982445</v>
      </c>
      <c r="T928" s="93">
        <f>IF('Net zero activities &amp; levers'!$C$12="Off",('Activity data'!AM17*EF!$H16)*kgtoGg,('Net zero Activity data'!AM17*EF!$H16)*kgtoGg)</f>
        <v>1.5810995176609606</v>
      </c>
      <c r="U928" s="93">
        <f>IF('Net zero activities &amp; levers'!$C$12="Off",('Activity data'!AN17*EF!$H16)*kgtoGg,('Net zero Activity data'!AN17*EF!$H16)*kgtoGg)</f>
        <v>5.0540136125986557</v>
      </c>
      <c r="V928" s="93">
        <f>IF('Net zero activities &amp; levers'!$C$12="Off",('Activity data'!AO17*EF!$H16)*kgtoGg,('Net zero Activity data'!AO17*EF!$H16)*kgtoGg)</f>
        <v>5.0678679159640359</v>
      </c>
      <c r="W928" s="93">
        <f>IF('Net zero activities &amp; levers'!$C$12="Off",('Activity data'!AP17*EF!$H16)*kgtoGg,('Net zero Activity data'!AP17*EF!$H16)*kgtoGg)</f>
        <v>5.0729847165704873</v>
      </c>
      <c r="X928" s="93">
        <f>IF('Net zero activities &amp; levers'!$C$12="Off",('Activity data'!AQ17*EF!$H16)*kgtoGg,('Net zero Activity data'!AQ17*EF!$H16)*kgtoGg)</f>
        <v>5.0695948867136602</v>
      </c>
      <c r="Y928" s="93">
        <f>IF('Net zero activities &amp; levers'!$C$12="Off",('Activity data'!AR17*EF!$H16)*kgtoGg,('Net zero Activity data'!AR17*EF!$H16)*kgtoGg)</f>
        <v>5.0582098272592386</v>
      </c>
      <c r="Z928" s="93">
        <f>IF('Net zero activities &amp; levers'!$C$12="Off",('Activity data'!AS17*EF!$H16)*kgtoGg,('Net zero Activity data'!AS17*EF!$H16)*kgtoGg)</f>
        <v>5.0387249592432335</v>
      </c>
      <c r="AA928" s="93">
        <f>IF('Net zero activities &amp; levers'!$C$12="Off",('Activity data'!AT17*EF!$H16)*kgtoGg,('Net zero Activity data'!AT17*EF!$H16)*kgtoGg)</f>
        <v>5.0111122815709459</v>
      </c>
      <c r="AB928" s="93">
        <f>IF('Net zero activities &amp; levers'!$C$12="Off",('Activity data'!AU17*EF!$H16)*kgtoGg,('Net zero Activity data'!AU17*EF!$H16)*kgtoGg)</f>
        <v>4.9753743834920021</v>
      </c>
      <c r="AC928" s="93">
        <f>IF('Net zero activities &amp; levers'!$C$12="Off",('Activity data'!AV17*EF!$H16)*kgtoGg,('Net zero Activity data'!AV17*EF!$H16)*kgtoGg)</f>
        <v>4.9315571021349269</v>
      </c>
      <c r="AD928" s="93">
        <f>IF('Net zero activities &amp; levers'!$C$12="Off",('Activity data'!AW17*EF!$H16)*kgtoGg,('Net zero Activity data'!AW17*EF!$H16)*kgtoGg)</f>
        <v>4.8797732145240138</v>
      </c>
      <c r="AE928" s="93">
        <f>IF('Net zero activities &amp; levers'!$C$12="Off",('Activity data'!AX17*EF!$H16)*kgtoGg,('Net zero Activity data'!AX17*EF!$H16)*kgtoGg)</f>
        <v>4.8201653478957827</v>
      </c>
      <c r="AF928" s="93">
        <f>IF('Net zero activities &amp; levers'!$C$12="Off",('Activity data'!AY17*EF!$H16)*kgtoGg,('Net zero Activity data'!AY17*EF!$H16)*kgtoGg)</f>
        <v>4.7529350466048701</v>
      </c>
      <c r="AG928" s="93">
        <f>IF('Net zero activities &amp; levers'!$C$12="Off",('Activity data'!AZ17*EF!$H16)*kgtoGg,('Net zero Activity data'!AZ17*EF!$H16)*kgtoGg)</f>
        <v>4.6783405786979539</v>
      </c>
      <c r="AH928" s="93">
        <f>IF('Net zero activities &amp; levers'!$C$12="Off",('Activity data'!BA17*EF!$H16)*kgtoGg,('Net zero Activity data'!BA17*EF!$H16)*kgtoGg)</f>
        <v>4.5966617003060959</v>
      </c>
      <c r="AI928" s="93">
        <f>IF('Net zero activities &amp; levers'!$C$12="Off",('Activity data'!BB17*EF!$H16)*kgtoGg,('Net zero Activity data'!BB17*EF!$H16)*kgtoGg)</f>
        <v>4.5082123470458679</v>
      </c>
      <c r="AJ928" s="93">
        <f>IF('Net zero activities &amp; levers'!$C$12="Off",('Activity data'!BC17*EF!$H16)*kgtoGg,('Net zero Activity data'!BC17*EF!$H16)*kgtoGg)</f>
        <v>-0.42008552544106242</v>
      </c>
      <c r="AK928" s="93">
        <f>IF('Net zero activities &amp; levers'!$C$12="Off",('Activity data'!BD17*EF!$H16)*kgtoGg,('Net zero Activity data'!BD17*EF!$H16)*kgtoGg)</f>
        <v>-0.41553771612775497</v>
      </c>
      <c r="AL928" s="93">
        <f>IF('Net zero activities &amp; levers'!$C$12="Off",('Activity data'!BE17*EF!$H16)*kgtoGg,('Net zero Activity data'!BE17*EF!$H16)*kgtoGg)</f>
        <v>-0.41097379422953517</v>
      </c>
      <c r="AM928" s="93">
        <f>IF('Net zero activities &amp; levers'!$C$12="Off",('Activity data'!BF17*EF!$H16)*kgtoGg,('Net zero Activity data'!BF17*EF!$H16)*kgtoGg)</f>
        <v>-0.40639849459231969</v>
      </c>
      <c r="AN928" s="93">
        <f>IF('Net zero activities &amp; levers'!$C$12="Off",('Activity data'!BG17*EF!$H16)*kgtoGg,('Net zero Activity data'!BG17*EF!$H16)*kgtoGg)</f>
        <v>-0.40181705013442426</v>
      </c>
      <c r="AO928" s="93">
        <f>IF('Net zero activities &amp; levers'!$C$12="Off",('Activity data'!BH17*EF!$H16)*kgtoGg,('Net zero Activity data'!BH17*EF!$H16)*kgtoGg)</f>
        <v>-0.39721731633182522</v>
      </c>
      <c r="AP928" s="93">
        <f>IF('Net zero activities &amp; levers'!$C$12="Off",('Activity data'!BI17*EF!$H16)*kgtoGg,('Net zero Activity data'!BI17*EF!$H16)*kgtoGg)</f>
        <v>-0.39259212331291987</v>
      </c>
      <c r="AQ928" s="93">
        <f>IF('Net zero activities &amp; levers'!$C$12="Off",('Activity data'!BJ17*EF!$H16)*kgtoGg,('Net zero Activity data'!BJ17*EF!$H16)*kgtoGg)</f>
        <v>-0.38794191787285037</v>
      </c>
      <c r="AR928" s="93">
        <f>IF('Net zero activities &amp; levers'!$C$12="Off",('Activity data'!BK17*EF!$H16)*kgtoGg,('Net zero Activity data'!BK17*EF!$H16)*kgtoGg)</f>
        <v>-0.38325899383328277</v>
      </c>
      <c r="AS928" s="93">
        <f>IF('Net zero activities &amp; levers'!$C$12="Off",('Activity data'!BL17*EF!$H16)*kgtoGg,('Net zero Activity data'!BL17*EF!$H16)*kgtoGg)</f>
        <v>-0.37853535700522173</v>
      </c>
      <c r="AT928" s="93">
        <f>IF('Net zero activities &amp; levers'!$C$12="Off",('Activity data'!BM17*EF!$H16)*kgtoGg,('Net zero Activity data'!BM17*EF!$H16)*kgtoGg)</f>
        <v>-0.37377234804073223</v>
      </c>
      <c r="AU928" s="93">
        <f>IF('Net zero activities &amp; levers'!$C$12="Off",('Activity data'!BN17*EF!$H16)*kgtoGg,('Net zero Activity data'!BN17*EF!$H16)*kgtoGg)</f>
        <v>-0.36897393039459231</v>
      </c>
      <c r="AV928" s="93">
        <f>IF('Net zero activities &amp; levers'!$C$12="Off",('Activity data'!BO17*EF!$H16)*kgtoGg,('Net zero Activity data'!BO17*EF!$H16)*kgtoGg)</f>
        <v>-0.36414349435249727</v>
      </c>
      <c r="AW928" s="93">
        <f>IF('Net zero activities &amp; levers'!$C$12="Off",('Activity data'!BP17*EF!$H16)*kgtoGg,('Net zero Activity data'!BP17*EF!$H16)*kgtoGg)</f>
        <v>-0.35927435241905337</v>
      </c>
      <c r="AY928" s="79"/>
      <c r="AZ928" s="79"/>
    </row>
    <row r="929" spans="1:52" x14ac:dyDescent="0.25">
      <c r="A929" s="95" t="str">
        <f t="shared" si="326"/>
        <v>DS Swine</v>
      </c>
      <c r="B929" s="95" t="s">
        <v>974</v>
      </c>
      <c r="C929" s="95" t="s">
        <v>155</v>
      </c>
      <c r="D929" t="s">
        <v>15</v>
      </c>
      <c r="E929" t="s">
        <v>16</v>
      </c>
      <c r="F929" t="s">
        <v>21</v>
      </c>
      <c r="G929" t="s">
        <v>123</v>
      </c>
      <c r="H929" t="s">
        <v>1020</v>
      </c>
      <c r="I929" t="s">
        <v>121</v>
      </c>
      <c r="J929" t="s">
        <v>286</v>
      </c>
      <c r="K929" s="93">
        <f>IF('Net zero activities &amp; levers'!$C$12="Off",('Activity data'!AD18*EF!$H17)*kgtoGg,('Net zero Activity data'!AD18*EF!$H17)*kgtoGg)</f>
        <v>0.25496723934882604</v>
      </c>
      <c r="L929" s="93">
        <f>IF('Net zero activities &amp; levers'!$C$12="Off",('Activity data'!AE18*EF!$H17)*kgtoGg,('Net zero Activity data'!AE18*EF!$H17)*kgtoGg)</f>
        <v>0.25358132281546891</v>
      </c>
      <c r="M929" s="93">
        <f>IF('Net zero activities &amp; levers'!$C$12="Off",('Activity data'!AF18*EF!$H17)*kgtoGg,('Net zero Activity data'!AF18*EF!$H17)*kgtoGg)</f>
        <v>0.25369507454499335</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0.24234393830437845</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0.23510145332951485</v>
      </c>
      <c r="S929" s="93">
        <f>IF('Net zero activities &amp; levers'!$C$12="Off",('Activity data'!AL18*EF!$H17)*kgtoGg,('Net zero Activity data'!AL18*EF!$H17)*kgtoGg)</f>
        <v>0.21152649000988519</v>
      </c>
      <c r="T929" s="93">
        <f>IF('Net zero activities &amp; levers'!$C$12="Off",('Activity data'!AM18*EF!$H17)*kgtoGg,('Net zero Activity data'!AM18*EF!$H17)*kgtoGg)</f>
        <v>0.21907971793282416</v>
      </c>
      <c r="U929" s="93">
        <f>IF('Net zero activities &amp; levers'!$C$12="Off",('Activity data'!AN18*EF!$H17)*kgtoGg,('Net zero Activity data'!AN18*EF!$H17)*kgtoGg)</f>
        <v>0.70029233726842122</v>
      </c>
      <c r="V929" s="93">
        <f>IF('Net zero activities &amp; levers'!$C$12="Off",('Activity data'!AO18*EF!$H17)*kgtoGg,('Net zero Activity data'!AO18*EF!$H17)*kgtoGg)</f>
        <v>0.70221201205140604</v>
      </c>
      <c r="W929" s="93">
        <f>IF('Net zero activities &amp; levers'!$C$12="Off",('Activity data'!AP18*EF!$H17)*kgtoGg,('Net zero Activity data'!AP18*EF!$H17)*kgtoGg)</f>
        <v>0.7029210042565508</v>
      </c>
      <c r="X929" s="93">
        <f>IF('Net zero activities &amp; levers'!$C$12="Off",('Activity data'!AQ18*EF!$H17)*kgtoGg,('Net zero Activity data'!AQ18*EF!$H17)*kgtoGg)</f>
        <v>0.70245130392423227</v>
      </c>
      <c r="Y929" s="93">
        <f>IF('Net zero activities &amp; levers'!$C$12="Off",('Activity data'!AR18*EF!$H17)*kgtoGg,('Net zero Activity data'!AR18*EF!$H17)*kgtoGg)</f>
        <v>0.70087377158925745</v>
      </c>
      <c r="Z929" s="93">
        <f>IF('Net zero activities &amp; levers'!$C$12="Off",('Activity data'!AS18*EF!$H17)*kgtoGg,('Net zero Activity data'!AS18*EF!$H17)*kgtoGg)</f>
        <v>0.6981739166204699</v>
      </c>
      <c r="AA929" s="93">
        <f>IF('Net zero activities &amp; levers'!$C$12="Off",('Activity data'!AT18*EF!$H17)*kgtoGg,('Net zero Activity data'!AT18*EF!$H17)*kgtoGg)</f>
        <v>0.69434785914069519</v>
      </c>
      <c r="AB929" s="93">
        <f>IF('Net zero activities &amp; levers'!$C$12="Off",('Activity data'!AU18*EF!$H17)*kgtoGg,('Net zero Activity data'!AU18*EF!$H17)*kgtoGg)</f>
        <v>0.68939595792056851</v>
      </c>
      <c r="AC929" s="93">
        <f>IF('Net zero activities &amp; levers'!$C$12="Off",('Activity data'!AV18*EF!$H17)*kgtoGg,('Net zero Activity data'!AV18*EF!$H17)*kgtoGg)</f>
        <v>0.68332456422708854</v>
      </c>
      <c r="AD929" s="93">
        <f>IF('Net zero activities &amp; levers'!$C$12="Off",('Activity data'!AW18*EF!$H17)*kgtoGg,('Net zero Activity data'!AW18*EF!$H17)*kgtoGg)</f>
        <v>0.67614930462796652</v>
      </c>
      <c r="AE929" s="93">
        <f>IF('Net zero activities &amp; levers'!$C$12="Off",('Activity data'!AX18*EF!$H17)*kgtoGg,('Net zero Activity data'!AX18*EF!$H17)*kgtoGg)</f>
        <v>0.66788994178481698</v>
      </c>
      <c r="AF929" s="93">
        <f>IF('Net zero activities &amp; levers'!$C$12="Off",('Activity data'!AY18*EF!$H17)*kgtoGg,('Net zero Activity data'!AY18*EF!$H17)*kgtoGg)</f>
        <v>0.65857440201086193</v>
      </c>
      <c r="AG929" s="93">
        <f>IF('Net zero activities &amp; levers'!$C$12="Off",('Activity data'!AZ18*EF!$H17)*kgtoGg,('Net zero Activity data'!AZ18*EF!$H17)*kgtoGg)</f>
        <v>0.64823847134624946</v>
      </c>
      <c r="AH929" s="93">
        <f>IF('Net zero activities &amp; levers'!$C$12="Off",('Activity data'!BA18*EF!$H17)*kgtoGg,('Net zero Activity data'!BA18*EF!$H17)*kgtoGg)</f>
        <v>0.63692091325501032</v>
      </c>
      <c r="AI929" s="93">
        <f>IF('Net zero activities &amp; levers'!$C$12="Off",('Activity data'!BB18*EF!$H17)*kgtoGg,('Net zero Activity data'!BB18*EF!$H17)*kgtoGg)</f>
        <v>0.62466522716621964</v>
      </c>
      <c r="AJ929" s="93">
        <f>IF('Net zero activities &amp; levers'!$C$12="Off",('Activity data'!BC18*EF!$H17)*kgtoGg,('Net zero Activity data'!BC18*EF!$H17)*kgtoGg)</f>
        <v>-5.8207732905668316E-2</v>
      </c>
      <c r="AK929" s="93">
        <f>IF('Net zero activities &amp; levers'!$C$12="Off",('Activity data'!BD18*EF!$H17)*kgtoGg,('Net zero Activity data'!BD18*EF!$H17)*kgtoGg)</f>
        <v>-5.7577581058524868E-2</v>
      </c>
      <c r="AL929" s="93">
        <f>IF('Net zero activities &amp; levers'!$C$12="Off",('Activity data'!BE18*EF!$H17)*kgtoGg,('Net zero Activity data'!BE18*EF!$H17)*kgtoGg)</f>
        <v>-5.6945196625438323E-2</v>
      </c>
      <c r="AM929" s="93">
        <f>IF('Net zero activities &amp; levers'!$C$12="Off",('Activity data'!BF18*EF!$H17)*kgtoGg,('Net zero Activity data'!BF18*EF!$H17)*kgtoGg)</f>
        <v>-5.6311235674351458E-2</v>
      </c>
      <c r="AN929" s="93">
        <f>IF('Net zero activities &amp; levers'!$C$12="Off",('Activity data'!BG18*EF!$H17)*kgtoGg,('Net zero Activity data'!BG18*EF!$H17)*kgtoGg)</f>
        <v>-5.5676423286927873E-2</v>
      </c>
      <c r="AO929" s="93">
        <f>IF('Net zero activities &amp; levers'!$C$12="Off",('Activity data'!BH18*EF!$H17)*kgtoGg,('Net zero Activity data'!BH18*EF!$H17)*kgtoGg)</f>
        <v>-5.5039076698188007E-2</v>
      </c>
      <c r="AP929" s="93">
        <f>IF('Net zero activities &amp; levers'!$C$12="Off",('Activity data'!BI18*EF!$H17)*kgtoGg,('Net zero Activity data'!BI18*EF!$H17)*kgtoGg)</f>
        <v>-5.4398202439073888E-2</v>
      </c>
      <c r="AQ929" s="93">
        <f>IF('Net zero activities &amp; levers'!$C$12="Off",('Activity data'!BJ18*EF!$H17)*kgtoGg,('Net zero Activity data'!BJ18*EF!$H17)*kgtoGg)</f>
        <v>-5.3753862418246326E-2</v>
      </c>
      <c r="AR929" s="93">
        <f>IF('Net zero activities &amp; levers'!$C$12="Off",('Activity data'!BK18*EF!$H17)*kgtoGg,('Net zero Activity data'!BK18*EF!$H17)*kgtoGg)</f>
        <v>-5.3104988855115366E-2</v>
      </c>
      <c r="AS929" s="93">
        <f>IF('Net zero activities &amp; levers'!$C$12="Off",('Activity data'!BL18*EF!$H17)*kgtoGg,('Net zero Activity data'!BL18*EF!$H17)*kgtoGg)</f>
        <v>-5.2450474061865898E-2</v>
      </c>
      <c r="AT929" s="93">
        <f>IF('Net zero activities &amp; levers'!$C$12="Off",('Activity data'!BM18*EF!$H17)*kgtoGg,('Net zero Activity data'!BM18*EF!$H17)*kgtoGg)</f>
        <v>-5.1790503801426135E-2</v>
      </c>
      <c r="AU929" s="93">
        <f>IF('Net zero activities &amp; levers'!$C$12="Off",('Activity data'!BN18*EF!$H17)*kgtoGg,('Net zero Activity data'!BN18*EF!$H17)*kgtoGg)</f>
        <v>-5.1125627256529457E-2</v>
      </c>
      <c r="AV929" s="93">
        <f>IF('Net zero activities &amp; levers'!$C$12="Off",('Activity data'!BO18*EF!$H17)*kgtoGg,('Net zero Activity data'!BO18*EF!$H17)*kgtoGg)</f>
        <v>-5.0456314190669899E-2</v>
      </c>
      <c r="AW929" s="93">
        <f>IF('Net zero activities &amp; levers'!$C$12="Off",('Activity data'!BP18*EF!$H17)*kgtoGg,('Net zero Activity data'!BP18*EF!$H17)*kgtoGg)</f>
        <v>-4.9781637973620729E-2</v>
      </c>
      <c r="AY929" s="79"/>
      <c r="AZ929" s="79"/>
    </row>
    <row r="930" spans="1:52" x14ac:dyDescent="0.25">
      <c r="A930" s="95" t="str">
        <f t="shared" si="326"/>
        <v>DS Cattle MMCH4</v>
      </c>
      <c r="B930" s="95" t="s">
        <v>974</v>
      </c>
      <c r="C930" s="95" t="s">
        <v>1229</v>
      </c>
      <c r="D930" t="s">
        <v>15</v>
      </c>
      <c r="E930" t="s">
        <v>22</v>
      </c>
      <c r="F930" t="s">
        <v>6</v>
      </c>
      <c r="G930" t="s">
        <v>136</v>
      </c>
      <c r="H930" t="s">
        <v>1227</v>
      </c>
      <c r="I930" t="s">
        <v>121</v>
      </c>
      <c r="J930" t="s">
        <v>286</v>
      </c>
      <c r="K930" s="27">
        <f t="shared" ref="K930:Z932" si="331">K1393</f>
        <v>7.351330651107908</v>
      </c>
      <c r="L930" s="27">
        <f t="shared" si="331"/>
        <v>7.3924283487896005</v>
      </c>
      <c r="M930" s="27">
        <f t="shared" si="331"/>
        <v>7.4507389435191715</v>
      </c>
      <c r="N930" s="27">
        <f t="shared" si="331"/>
        <v>7.4882097119910753</v>
      </c>
      <c r="O930" s="27">
        <f t="shared" si="331"/>
        <v>7.5131092090175455</v>
      </c>
      <c r="P930" s="27">
        <f t="shared" si="331"/>
        <v>7.5251923679492423</v>
      </c>
      <c r="Q930" s="27">
        <f t="shared" si="331"/>
        <v>7.5518885629203734</v>
      </c>
      <c r="R930" s="27">
        <f t="shared" si="331"/>
        <v>7.5825135825669054</v>
      </c>
      <c r="S930" s="27">
        <f t="shared" si="331"/>
        <v>7.3670594492211752</v>
      </c>
      <c r="T930" s="27">
        <f t="shared" si="331"/>
        <v>7.4938201403917679</v>
      </c>
      <c r="U930" s="27">
        <f t="shared" si="331"/>
        <v>12.893716848831154</v>
      </c>
      <c r="V930" s="27">
        <f t="shared" si="331"/>
        <v>13.049144587269693</v>
      </c>
      <c r="W930" s="27">
        <f t="shared" si="331"/>
        <v>13.19775488481636</v>
      </c>
      <c r="X930" s="27">
        <f t="shared" si="331"/>
        <v>13.337019913111025</v>
      </c>
      <c r="Y930" s="27">
        <f t="shared" si="331"/>
        <v>13.463220566952655</v>
      </c>
      <c r="Z930" s="27">
        <f t="shared" si="331"/>
        <v>13.575767486447466</v>
      </c>
      <c r="AA930" s="27">
        <f t="shared" ref="L930:AW932" si="332">AA1393</f>
        <v>13.674005026382902</v>
      </c>
      <c r="AB930" s="27">
        <f t="shared" si="332"/>
        <v>13.757436960081838</v>
      </c>
      <c r="AC930" s="27">
        <f t="shared" si="332"/>
        <v>13.825669744576842</v>
      </c>
      <c r="AD930" s="27">
        <f t="shared" si="332"/>
        <v>13.878289677767924</v>
      </c>
      <c r="AE930" s="27">
        <f t="shared" si="332"/>
        <v>13.915049092366717</v>
      </c>
      <c r="AF930" s="27">
        <f t="shared" si="332"/>
        <v>13.935710420523995</v>
      </c>
      <c r="AG930" s="27">
        <f t="shared" si="332"/>
        <v>13.940044142256493</v>
      </c>
      <c r="AH930" s="27">
        <f t="shared" si="332"/>
        <v>13.928008342806061</v>
      </c>
      <c r="AI930" s="27">
        <f t="shared" si="332"/>
        <v>13.899671543047996</v>
      </c>
      <c r="AJ930" s="27">
        <f t="shared" si="332"/>
        <v>4.3976157174808597</v>
      </c>
      <c r="AK930" s="27">
        <f t="shared" si="332"/>
        <v>4.4008259031545416</v>
      </c>
      <c r="AL930" s="27">
        <f t="shared" si="332"/>
        <v>4.403804998470318</v>
      </c>
      <c r="AM930" s="27">
        <f t="shared" si="332"/>
        <v>4.4065731559819081</v>
      </c>
      <c r="AN930" s="27">
        <f t="shared" si="332"/>
        <v>4.4091551994119804</v>
      </c>
      <c r="AO930" s="27">
        <f t="shared" si="332"/>
        <v>4.4114700909604787</v>
      </c>
      <c r="AP930" s="27">
        <f t="shared" si="332"/>
        <v>4.4134634106251305</v>
      </c>
      <c r="AQ930" s="27">
        <f t="shared" si="332"/>
        <v>4.4151264315171801</v>
      </c>
      <c r="AR930" s="27">
        <f t="shared" si="332"/>
        <v>4.4163974064588221</v>
      </c>
      <c r="AS930" s="27">
        <f t="shared" si="332"/>
        <v>4.4172092973227706</v>
      </c>
      <c r="AT930" s="27">
        <f t="shared" si="332"/>
        <v>4.4175538239653074</v>
      </c>
      <c r="AU930" s="27">
        <f t="shared" si="332"/>
        <v>4.4174405083324073</v>
      </c>
      <c r="AV930" s="27">
        <f t="shared" si="332"/>
        <v>4.4168759908828958</v>
      </c>
      <c r="AW930" s="27">
        <f t="shared" si="332"/>
        <v>4.4157972186653511</v>
      </c>
      <c r="AY930" s="79"/>
      <c r="AZ930" s="79"/>
    </row>
    <row r="931" spans="1:52" x14ac:dyDescent="0.25">
      <c r="A931" s="95" t="str">
        <f t="shared" si="326"/>
        <v>DS Cattle MMCH4</v>
      </c>
      <c r="B931" s="95" t="s">
        <v>974</v>
      </c>
      <c r="C931" s="95" t="s">
        <v>1229</v>
      </c>
      <c r="D931" t="s">
        <v>15</v>
      </c>
      <c r="E931" t="s">
        <v>22</v>
      </c>
      <c r="F931" t="s">
        <v>6</v>
      </c>
      <c r="G931" t="s">
        <v>137</v>
      </c>
      <c r="H931" t="s">
        <v>1227</v>
      </c>
      <c r="I931" t="s">
        <v>121</v>
      </c>
      <c r="J931" t="s">
        <v>286</v>
      </c>
      <c r="K931" s="27">
        <f t="shared" si="331"/>
        <v>2.0944490884992821</v>
      </c>
      <c r="L931" s="27">
        <f t="shared" si="332"/>
        <v>2.1061581299686476</v>
      </c>
      <c r="M931" s="27">
        <f t="shared" si="332"/>
        <v>2.1227712545548472</v>
      </c>
      <c r="N931" s="27">
        <f t="shared" si="332"/>
        <v>2.1334469567638776</v>
      </c>
      <c r="O931" s="27">
        <f t="shared" si="332"/>
        <v>2.1405410097083362</v>
      </c>
      <c r="P931" s="27">
        <f t="shared" si="332"/>
        <v>2.1439835920667925</v>
      </c>
      <c r="Q931" s="27">
        <f t="shared" si="332"/>
        <v>2.151589537694508</v>
      </c>
      <c r="R931" s="27">
        <f t="shared" si="332"/>
        <v>2.1603148348588097</v>
      </c>
      <c r="S931" s="27">
        <f t="shared" si="332"/>
        <v>2.0989303407289799</v>
      </c>
      <c r="T931" s="27">
        <f t="shared" si="332"/>
        <v>2.1350454097797478</v>
      </c>
      <c r="U931" s="27">
        <f t="shared" si="332"/>
        <v>3.6735163718057389</v>
      </c>
      <c r="V931" s="27">
        <f t="shared" si="332"/>
        <v>3.7177988970450366</v>
      </c>
      <c r="W931" s="27">
        <f t="shared" si="332"/>
        <v>3.7601390823815941</v>
      </c>
      <c r="X931" s="27">
        <f t="shared" si="332"/>
        <v>3.7998167306081263</v>
      </c>
      <c r="Y931" s="27">
        <f t="shared" si="332"/>
        <v>3.8357722408349422</v>
      </c>
      <c r="Z931" s="27">
        <f t="shared" si="332"/>
        <v>3.8678377000200475</v>
      </c>
      <c r="AA931" s="27">
        <f t="shared" si="332"/>
        <v>3.8958263099383315</v>
      </c>
      <c r="AB931" s="27">
        <f t="shared" si="332"/>
        <v>3.919596691897838</v>
      </c>
      <c r="AC931" s="27">
        <f t="shared" si="332"/>
        <v>3.9390367225635514</v>
      </c>
      <c r="AD931" s="27">
        <f t="shared" si="332"/>
        <v>3.9540285351128004</v>
      </c>
      <c r="AE931" s="27">
        <f t="shared" si="332"/>
        <v>3.9645015672826429</v>
      </c>
      <c r="AF931" s="27">
        <f t="shared" si="332"/>
        <v>3.9703881342158924</v>
      </c>
      <c r="AG931" s="27">
        <f t="shared" si="332"/>
        <v>3.9716228439525687</v>
      </c>
      <c r="AH931" s="27">
        <f t="shared" si="332"/>
        <v>3.9681937546645596</v>
      </c>
      <c r="AI931" s="27">
        <f t="shared" si="332"/>
        <v>3.9601203884617591</v>
      </c>
      <c r="AJ931" s="27">
        <f t="shared" si="332"/>
        <v>1.2529136109065901</v>
      </c>
      <c r="AK931" s="27">
        <f t="shared" si="332"/>
        <v>1.2538282168163573</v>
      </c>
      <c r="AL931" s="27">
        <f t="shared" si="332"/>
        <v>1.2546769833546632</v>
      </c>
      <c r="AM931" s="27">
        <f t="shared" si="332"/>
        <v>1.2554656521347973</v>
      </c>
      <c r="AN931" s="27">
        <f t="shared" si="332"/>
        <v>1.2562012956210231</v>
      </c>
      <c r="AO931" s="27">
        <f t="shared" si="332"/>
        <v>1.2568608255379636</v>
      </c>
      <c r="AP931" s="27">
        <f t="shared" si="332"/>
        <v>1.2574287372199238</v>
      </c>
      <c r="AQ931" s="27">
        <f t="shared" si="332"/>
        <v>1.257902544311023</v>
      </c>
      <c r="AR931" s="27">
        <f t="shared" si="332"/>
        <v>1.2582646545784513</v>
      </c>
      <c r="AS931" s="27">
        <f t="shared" si="332"/>
        <v>1.2584959683583183</v>
      </c>
      <c r="AT931" s="27">
        <f t="shared" si="332"/>
        <v>1.2585941265757443</v>
      </c>
      <c r="AU931" s="27">
        <f t="shared" si="332"/>
        <v>1.2585618421043605</v>
      </c>
      <c r="AV931" s="27">
        <f t="shared" si="332"/>
        <v>1.2584010068605544</v>
      </c>
      <c r="AW931" s="27">
        <f t="shared" si="332"/>
        <v>1.2580936565868464</v>
      </c>
      <c r="AY931" s="79"/>
      <c r="AZ931" s="79"/>
    </row>
    <row r="932" spans="1:52" x14ac:dyDescent="0.25">
      <c r="A932" s="95" t="str">
        <f t="shared" si="326"/>
        <v>DS Cattle MMCH4</v>
      </c>
      <c r="B932" s="95" t="s">
        <v>974</v>
      </c>
      <c r="C932" s="95" t="s">
        <v>1229</v>
      </c>
      <c r="D932" t="s">
        <v>15</v>
      </c>
      <c r="E932" t="s">
        <v>22</v>
      </c>
      <c r="F932" t="s">
        <v>67</v>
      </c>
      <c r="G932" t="s">
        <v>307</v>
      </c>
      <c r="H932" t="s">
        <v>1227</v>
      </c>
      <c r="I932" t="s">
        <v>121</v>
      </c>
      <c r="J932" t="s">
        <v>286</v>
      </c>
      <c r="K932" s="27">
        <f t="shared" si="331"/>
        <v>0.43258377187145641</v>
      </c>
      <c r="L932" s="27">
        <f t="shared" si="332"/>
        <v>0.43500213637199753</v>
      </c>
      <c r="M932" s="27">
        <f t="shared" si="332"/>
        <v>0.43843338143569016</v>
      </c>
      <c r="N932" s="27">
        <f t="shared" si="332"/>
        <v>0.44063832189202168</v>
      </c>
      <c r="O932" s="27">
        <f t="shared" si="332"/>
        <v>0.44210351490980404</v>
      </c>
      <c r="P932" s="27">
        <f t="shared" si="332"/>
        <v>0.44281453971808249</v>
      </c>
      <c r="Q932" s="27">
        <f t="shared" si="332"/>
        <v>0.44438545813589125</v>
      </c>
      <c r="R932" s="27">
        <f t="shared" si="332"/>
        <v>0.44618756541973903</v>
      </c>
      <c r="S932" s="27">
        <f t="shared" si="332"/>
        <v>0.43350932169879508</v>
      </c>
      <c r="T932" s="27">
        <f t="shared" si="332"/>
        <v>0.44096846352141772</v>
      </c>
      <c r="U932" s="27">
        <f t="shared" si="332"/>
        <v>0.75872150670699801</v>
      </c>
      <c r="V932" s="27">
        <f t="shared" si="332"/>
        <v>0.76786754033521754</v>
      </c>
      <c r="W932" s="27">
        <f t="shared" si="332"/>
        <v>0.77661240655096708</v>
      </c>
      <c r="X932" s="27">
        <f t="shared" si="332"/>
        <v>0.78480735711007588</v>
      </c>
      <c r="Y932" s="27">
        <f t="shared" si="332"/>
        <v>0.79223354393833789</v>
      </c>
      <c r="Z932" s="27">
        <f t="shared" si="332"/>
        <v>0.79885628657612706</v>
      </c>
      <c r="AA932" s="27">
        <f t="shared" si="332"/>
        <v>0.80463700405184546</v>
      </c>
      <c r="AB932" s="27">
        <f t="shared" si="332"/>
        <v>0.80954649626310582</v>
      </c>
      <c r="AC932" s="27">
        <f t="shared" si="332"/>
        <v>0.81356160545666301</v>
      </c>
      <c r="AD932" s="27">
        <f t="shared" si="332"/>
        <v>0.81665798762959563</v>
      </c>
      <c r="AE932" s="27">
        <f t="shared" si="332"/>
        <v>0.81882106897821283</v>
      </c>
      <c r="AF932" s="27">
        <f t="shared" si="332"/>
        <v>0.82003686999306757</v>
      </c>
      <c r="AG932" s="27">
        <f t="shared" si="332"/>
        <v>0.82029188473560344</v>
      </c>
      <c r="AH932" s="27">
        <f t="shared" si="332"/>
        <v>0.81958364676198259</v>
      </c>
      <c r="AI932" s="27">
        <f t="shared" si="332"/>
        <v>0.81791618813389544</v>
      </c>
      <c r="AJ932" s="27">
        <f t="shared" si="332"/>
        <v>0.2587745381881813</v>
      </c>
      <c r="AK932" s="27">
        <f t="shared" si="332"/>
        <v>0.25896343925834608</v>
      </c>
      <c r="AL932" s="27">
        <f t="shared" si="332"/>
        <v>0.25913874198238679</v>
      </c>
      <c r="AM932" s="27">
        <f t="shared" si="332"/>
        <v>0.25930163222285196</v>
      </c>
      <c r="AN932" s="27">
        <f t="shared" si="332"/>
        <v>0.25945357071387171</v>
      </c>
      <c r="AO932" s="27">
        <f t="shared" si="332"/>
        <v>0.25958978884430933</v>
      </c>
      <c r="AP932" s="27">
        <f t="shared" si="332"/>
        <v>0.25970708430821976</v>
      </c>
      <c r="AQ932" s="27">
        <f t="shared" si="332"/>
        <v>0.25980494357810247</v>
      </c>
      <c r="AR932" s="27">
        <f t="shared" si="332"/>
        <v>0.25987973318563101</v>
      </c>
      <c r="AS932" s="27">
        <f t="shared" si="332"/>
        <v>0.25992750832035744</v>
      </c>
      <c r="AT932" s="27">
        <f t="shared" si="332"/>
        <v>0.2599477817431719</v>
      </c>
      <c r="AU932" s="27">
        <f t="shared" si="332"/>
        <v>0.25994111376614593</v>
      </c>
      <c r="AV932" s="27">
        <f t="shared" si="332"/>
        <v>0.25990789514230944</v>
      </c>
      <c r="AW932" s="27">
        <f t="shared" si="332"/>
        <v>0.2598444155660255</v>
      </c>
      <c r="AY932" s="79"/>
      <c r="AZ932" s="79"/>
    </row>
    <row r="933" spans="1:52" x14ac:dyDescent="0.25">
      <c r="A933" s="95" t="str">
        <f t="shared" si="326"/>
        <v>DS Cattle MMCH4</v>
      </c>
      <c r="B933" s="95" t="s">
        <v>974</v>
      </c>
      <c r="C933" s="95" t="s">
        <v>1229</v>
      </c>
      <c r="D933" t="s">
        <v>15</v>
      </c>
      <c r="E933" t="s">
        <v>22</v>
      </c>
      <c r="F933" t="s">
        <v>67</v>
      </c>
      <c r="G933" t="s">
        <v>122</v>
      </c>
      <c r="H933" t="s">
        <v>1227</v>
      </c>
      <c r="I933" t="s">
        <v>121</v>
      </c>
      <c r="J933" t="s">
        <v>286</v>
      </c>
      <c r="K933" s="93">
        <f>IF('Net zero activities &amp; levers'!$C$12="Off",('Activity data'!AD8*EF!$H21)*kgtoGg,('Net zero Activity data'!AD8*EF!$H21)*kgtoGg)</f>
        <v>9.4871637196006525E-2</v>
      </c>
      <c r="L933" s="93">
        <f>IF('Net zero activities &amp; levers'!$C$12="Off",('Activity data'!AE8*EF!$H21)*kgtoGg,('Net zero Activity data'!AE8*EF!$H21)*kgtoGg)</f>
        <v>9.4048845784615531E-2</v>
      </c>
      <c r="M933" s="93">
        <f>IF('Net zero activities &amp; levers'!$C$12="Off",('Activity data'!AF8*EF!$H21)*kgtoGg,('Net zero Activity data'!AF8*EF!$H21)*kgtoGg)</f>
        <v>9.3735634002294232E-2</v>
      </c>
      <c r="N933" s="93">
        <f>IF('Net zero activities &amp; levers'!$C$12="Off",('Activity data'!AG8*EF!$H21)*kgtoGg,('Net zero Activity data'!AG8*EF!$H21)*kgtoGg)</f>
        <v>9.2483917307495112E-2</v>
      </c>
      <c r="O933" s="93">
        <f>IF('Net zero activities &amp; levers'!$C$12="Off",('Activity data'!AH8*EF!$H21)*kgtoGg,('Net zero Activity data'!AH8*EF!$H21)*kgtoGg)</f>
        <v>9.0667019955957343E-2</v>
      </c>
      <c r="P933" s="93">
        <f>IF('Net zero activities &amp; levers'!$C$12="Off",('Activity data'!AI8*EF!$H21)*kgtoGg,('Net zero Activity data'!AI8*EF!$H21)*kgtoGg)</f>
        <v>8.8322512540543879E-2</v>
      </c>
      <c r="Q933" s="93">
        <f>IF('Net zero activities &amp; levers'!$C$12="Off",('Activity data'!AJ8*EF!$H21)*kgtoGg,('Net zero Activity data'!AJ8*EF!$H21)*kgtoGg)</f>
        <v>8.6473330972337878E-2</v>
      </c>
      <c r="R933" s="93">
        <f>IF('Net zero activities &amp; levers'!$C$12="Off",('Activity data'!AK8*EF!$H21)*kgtoGg,('Net zero Activity data'!AK8*EF!$H21)*kgtoGg)</f>
        <v>8.4723794986300269E-2</v>
      </c>
      <c r="S933" s="93">
        <f>IF('Net zero activities &amp; levers'!$C$12="Off",('Activity data'!AL8*EF!$H21)*kgtoGg,('Net zero Activity data'!AL8*EF!$H21)*kgtoGg)</f>
        <v>7.5770078702790261E-2</v>
      </c>
      <c r="T933" s="93">
        <f>IF('Net zero activities &amp; levers'!$C$12="Off",('Activity data'!AM8*EF!$H21)*kgtoGg,('Net zero Activity data'!AM8*EF!$H21)*kgtoGg)</f>
        <v>7.8689269579177143E-2</v>
      </c>
      <c r="U933" s="93">
        <f>IF('Net zero activities &amp; levers'!$C$12="Off",('Activity data'!AN8*EF!$H21)*kgtoGg,('Net zero Activity data'!AN8*EF!$H21)*kgtoGg)</f>
        <v>0.24800462804394147</v>
      </c>
      <c r="V933" s="93">
        <f>IF('Net zero activities &amp; levers'!$C$12="Off",('Activity data'!AO8*EF!$H21)*kgtoGg,('Net zero Activity data'!AO8*EF!$H21)*kgtoGg)</f>
        <v>0.24920084841283532</v>
      </c>
      <c r="W933" s="93">
        <f>IF('Net zero activities &amp; levers'!$C$12="Off",('Activity data'!AP8*EF!$H21)*kgtoGg,('Net zero Activity data'!AP8*EF!$H21)*kgtoGg)</f>
        <v>0.24996642649158854</v>
      </c>
      <c r="X933" s="93">
        <f>IF('Net zero activities &amp; levers'!$C$12="Off",('Activity data'!AQ8*EF!$H21)*kgtoGg,('Net zero Activity data'!AQ8*EF!$H21)*kgtoGg)</f>
        <v>0.2503012063466436</v>
      </c>
      <c r="Y933" s="93">
        <f>IF('Net zero activities &amp; levers'!$C$12="Off",('Activity data'!AR8*EF!$H21)*kgtoGg,('Net zero Activity data'!AR8*EF!$H21)*kgtoGg)</f>
        <v>0.25021227988125561</v>
      </c>
      <c r="Z933" s="93">
        <f>IF('Net zero activities &amp; levers'!$C$12="Off",('Activity data'!AS8*EF!$H21)*kgtoGg,('Net zero Activity data'!AS8*EF!$H21)*kgtoGg)</f>
        <v>0.2496953846333905</v>
      </c>
      <c r="AA933" s="93">
        <f>IF('Net zero activities &amp; levers'!$C$12="Off",('Activity data'!AT8*EF!$H21)*kgtoGg,('Net zero Activity data'!AT8*EF!$H21)*kgtoGg)</f>
        <v>0.24874925442521903</v>
      </c>
      <c r="AB933" s="93">
        <f>IF('Net zero activities &amp; levers'!$C$12="Off",('Activity data'!AU8*EF!$H21)*kgtoGg,('Net zero Activity data'!AU8*EF!$H21)*kgtoGg)</f>
        <v>0.24737467209164213</v>
      </c>
      <c r="AC933" s="93">
        <f>IF('Net zero activities &amp; levers'!$C$12="Off",('Activity data'!AV8*EF!$H21)*kgtoGg,('Net zero Activity data'!AV8*EF!$H21)*kgtoGg)</f>
        <v>0.24557472852149176</v>
      </c>
      <c r="AD933" s="93">
        <f>IF('Net zero activities &amp; levers'!$C$12="Off",('Activity data'!AW8*EF!$H21)*kgtoGg,('Net zero Activity data'!AW8*EF!$H21)*kgtoGg)</f>
        <v>0.24131030034343104</v>
      </c>
      <c r="AE933" s="93">
        <f>IF('Net zero activities &amp; levers'!$C$12="Off",('Activity data'!AX8*EF!$H21)*kgtoGg,('Net zero Activity data'!AX8*EF!$H21)*kgtoGg)</f>
        <v>0.23664419000405892</v>
      </c>
      <c r="AF933" s="93">
        <f>IF('Net zero activities &amp; levers'!$C$12="Off",('Activity data'!AY8*EF!$H21)*kgtoGg,('Net zero Activity data'!AY8*EF!$H21)*kgtoGg)</f>
        <v>0.23159736326339173</v>
      </c>
      <c r="AG933" s="93">
        <f>IF('Net zero activities &amp; levers'!$C$12="Off",('Activity data'!AZ8*EF!$H21)*kgtoGg,('Net zero Activity data'!AZ8*EF!$H21)*kgtoGg)</f>
        <v>0.22619316818810492</v>
      </c>
      <c r="AH933" s="93">
        <f>IF('Net zero activities &amp; levers'!$C$12="Off",('Activity data'!BA8*EF!$H21)*kgtoGg,('Net zero Activity data'!BA8*EF!$H21)*kgtoGg)</f>
        <v>0.22045646078746098</v>
      </c>
      <c r="AI933" s="93">
        <f>IF('Net zero activities &amp; levers'!$C$12="Off",('Activity data'!BB8*EF!$H21)*kgtoGg,('Net zero Activity data'!BB8*EF!$H21)*kgtoGg)</f>
        <v>0.21441370915210514</v>
      </c>
      <c r="AJ933" s="93">
        <f>IF('Net zero activities &amp; levers'!$C$12="Off",('Activity data'!BC8*EF!$H21)*kgtoGg,('Net zero Activity data'!BC8*EF!$H21)*kgtoGg)</f>
        <v>-1.6555567081653722E-2</v>
      </c>
      <c r="AK933" s="93">
        <f>IF('Net zero activities &amp; levers'!$C$12="Off",('Activity data'!BD8*EF!$H21)*kgtoGg,('Net zero Activity data'!BD8*EF!$H21)*kgtoGg)</f>
        <v>-1.6156956868356984E-2</v>
      </c>
      <c r="AL933" s="93">
        <f>IF('Net zero activities &amp; levers'!$C$12="Off",('Activity data'!BE8*EF!$H21)*kgtoGg,('Net zero Activity data'!BE8*EF!$H21)*kgtoGg)</f>
        <v>-1.5762493990911713E-2</v>
      </c>
      <c r="AM933" s="93">
        <f>IF('Net zero activities &amp; levers'!$C$12="Off",('Activity data'!BF8*EF!$H21)*kgtoGg,('Net zero Activity data'!BF8*EF!$H21)*kgtoGg)</f>
        <v>-1.5372137708578686E-2</v>
      </c>
      <c r="AN933" s="93">
        <f>IF('Net zero activities &amp; levers'!$C$12="Off",('Activity data'!BG8*EF!$H21)*kgtoGg,('Net zero Activity data'!BG8*EF!$H21)*kgtoGg)</f>
        <v>-1.5062322238181812E-2</v>
      </c>
      <c r="AO933" s="93">
        <f>IF('Net zero activities &amp; levers'!$C$12="Off",('Activity data'!BH8*EF!$H21)*kgtoGg,('Net zero Activity data'!BH8*EF!$H21)*kgtoGg)</f>
        <v>-1.4755445706367474E-2</v>
      </c>
      <c r="AP933" s="93">
        <f>IF('Net zero activities &amp; levers'!$C$12="Off",('Activity data'!BI8*EF!$H21)*kgtoGg,('Net zero Activity data'!BI8*EF!$H21)*kgtoGg)</f>
        <v>-1.4451279866976845E-2</v>
      </c>
      <c r="AQ933" s="93">
        <f>IF('Net zero activities &amp; levers'!$C$12="Off",('Activity data'!BJ8*EF!$H21)*kgtoGg,('Net zero Activity data'!BJ8*EF!$H21)*kgtoGg)</f>
        <v>-1.4149749376213728E-2</v>
      </c>
      <c r="AR933" s="93">
        <f>IF('Net zero activities &amp; levers'!$C$12="Off",('Activity data'!BK8*EF!$H21)*kgtoGg,('Net zero Activity data'!BK8*EF!$H21)*kgtoGg)</f>
        <v>-1.3850633785054411E-2</v>
      </c>
      <c r="AS933" s="93">
        <f>IF('Net zero activities &amp; levers'!$C$12="Off",('Activity data'!BL8*EF!$H21)*kgtoGg,('Net zero Activity data'!BL8*EF!$H21)*kgtoGg)</f>
        <v>-1.3553717207866358E-2</v>
      </c>
      <c r="AT933" s="93">
        <f>IF('Net zero activities &amp; levers'!$C$12="Off",('Activity data'!BM8*EF!$H21)*kgtoGg,('Net zero Activity data'!BM8*EF!$H21)*kgtoGg)</f>
        <v>-1.3258964972152997E-2</v>
      </c>
      <c r="AU933" s="93">
        <f>IF('Net zero activities &amp; levers'!$C$12="Off",('Activity data'!BN8*EF!$H21)*kgtoGg,('Net zero Activity data'!BN8*EF!$H21)*kgtoGg)</f>
        <v>-1.296639528808627E-2</v>
      </c>
      <c r="AV933" s="93">
        <f>IF('Net zero activities &amp; levers'!$C$12="Off",('Activity data'!BO8*EF!$H21)*kgtoGg,('Net zero Activity data'!BO8*EF!$H21)*kgtoGg)</f>
        <v>-1.26760193266456E-2</v>
      </c>
      <c r="AW933" s="93">
        <f>IF('Net zero activities &amp; levers'!$C$12="Off",('Activity data'!BP8*EF!$H21)*kgtoGg,('Net zero Activity data'!BP8*EF!$H21)*kgtoGg)</f>
        <v>-1.2387670307042478E-2</v>
      </c>
      <c r="AY933" s="79"/>
      <c r="AZ933" s="79"/>
    </row>
    <row r="934" spans="1:52" x14ac:dyDescent="0.25">
      <c r="A934" s="95" t="str">
        <f t="shared" si="326"/>
        <v>DS Cattle MMCH4</v>
      </c>
      <c r="B934" s="95" t="s">
        <v>974</v>
      </c>
      <c r="C934" s="95" t="s">
        <v>1229</v>
      </c>
      <c r="D934" t="s">
        <v>15</v>
      </c>
      <c r="E934" t="s">
        <v>22</v>
      </c>
      <c r="F934" t="s">
        <v>67</v>
      </c>
      <c r="G934" t="s">
        <v>123</v>
      </c>
      <c r="H934" t="s">
        <v>1227</v>
      </c>
      <c r="I934" t="s">
        <v>121</v>
      </c>
      <c r="J934" t="s">
        <v>286</v>
      </c>
      <c r="K934" s="93">
        <f>IF('Net zero activities &amp; levers'!$C$12="Off",('Activity data'!AD9*EF!$H22)*kgtoGg,('Net zero Activity data'!AD9*EF!$H22)*kgtoGg)</f>
        <v>6.968944973410629E-2</v>
      </c>
      <c r="L934" s="93">
        <f>IF('Net zero activities &amp; levers'!$C$12="Off",('Activity data'!AE9*EF!$H22)*kgtoGg,('Net zero Activity data'!AE9*EF!$H22)*kgtoGg)</f>
        <v>6.908505539244103E-2</v>
      </c>
      <c r="M934" s="93">
        <f>IF('Net zero activities &amp; levers'!$C$12="Off",('Activity data'!AF9*EF!$H22)*kgtoGg,('Net zero Activity data'!AF9*EF!$H22)*kgtoGg)</f>
        <v>6.8854980763127779E-2</v>
      </c>
      <c r="N934" s="93">
        <f>IF('Net zero activities &amp; levers'!$C$12="Off",('Activity data'!AG9*EF!$H22)*kgtoGg,('Net zero Activity data'!AG9*EF!$H22)*kgtoGg)</f>
        <v>6.7935512624264296E-2</v>
      </c>
      <c r="O934" s="93">
        <f>IF('Net zero activities &amp; levers'!$C$12="Off",('Activity data'!AH9*EF!$H22)*kgtoGg,('Net zero Activity data'!AH9*EF!$H22)*kgtoGg)</f>
        <v>6.660088216573827E-2</v>
      </c>
      <c r="P934" s="93">
        <f>IF('Net zero activities &amp; levers'!$C$12="Off",('Activity data'!AI9*EF!$H22)*kgtoGg,('Net zero Activity data'!AI9*EF!$H22)*kgtoGg)</f>
        <v>6.487868745605771E-2</v>
      </c>
      <c r="Q934" s="93">
        <f>IF('Net zero activities &amp; levers'!$C$12="Off",('Activity data'!AJ9*EF!$H22)*kgtoGg,('Net zero Activity data'!AJ9*EF!$H22)*kgtoGg)</f>
        <v>6.3520342119606055E-2</v>
      </c>
      <c r="R934" s="93">
        <f>IF('Net zero activities &amp; levers'!$C$12="Off",('Activity data'!AK9*EF!$H22)*kgtoGg,('Net zero Activity data'!AK9*EF!$H22)*kgtoGg)</f>
        <v>6.2235193009075984E-2</v>
      </c>
      <c r="S934" s="93">
        <f>IF('Net zero activities &amp; levers'!$C$12="Off",('Activity data'!AL9*EF!$H22)*kgtoGg,('Net zero Activity data'!AL9*EF!$H22)*kgtoGg)</f>
        <v>5.5658100220174651E-2</v>
      </c>
      <c r="T934" s="93">
        <f>IF('Net zero activities &amp; levers'!$C$12="Off",('Activity data'!AM9*EF!$H22)*kgtoGg,('Net zero Activity data'!AM9*EF!$H22)*kgtoGg)</f>
        <v>5.7802437683476982E-2</v>
      </c>
      <c r="U934" s="93">
        <f>IF('Net zero activities &amp; levers'!$C$12="Off",('Activity data'!AN9*EF!$H22)*kgtoGg,('Net zero Activity data'!AN9*EF!$H22)*kgtoGg)</f>
        <v>0.182175690972702</v>
      </c>
      <c r="V934" s="93">
        <f>IF('Net zero activities &amp; levers'!$C$12="Off",('Activity data'!AO9*EF!$H22)*kgtoGg,('Net zero Activity data'!AO9*EF!$H22)*kgtoGg)</f>
        <v>0.18305439341457844</v>
      </c>
      <c r="W934" s="93">
        <f>IF('Net zero activities &amp; levers'!$C$12="Off",('Activity data'!AP9*EF!$H22)*kgtoGg,('Net zero Activity data'!AP9*EF!$H22)*kgtoGg)</f>
        <v>0.18361676080501965</v>
      </c>
      <c r="X934" s="93">
        <f>IF('Net zero activities &amp; levers'!$C$12="Off",('Activity data'!AQ9*EF!$H22)*kgtoGg,('Net zero Activity data'!AQ9*EF!$H22)*kgtoGg)</f>
        <v>0.18386267860058431</v>
      </c>
      <c r="Y934" s="93">
        <f>IF('Net zero activities &amp; levers'!$C$12="Off",('Activity data'!AR9*EF!$H22)*kgtoGg,('Net zero Activity data'!AR9*EF!$H22)*kgtoGg)</f>
        <v>0.18379735627008756</v>
      </c>
      <c r="Z934" s="93">
        <f>IF('Net zero activities &amp; levers'!$C$12="Off",('Activity data'!AS9*EF!$H22)*kgtoGg,('Net zero Activity data'!AS9*EF!$H22)*kgtoGg)</f>
        <v>0.18341766275515989</v>
      </c>
      <c r="AA934" s="93">
        <f>IF('Net zero activities &amp; levers'!$C$12="Off",('Activity data'!AT9*EF!$H22)*kgtoGg,('Net zero Activity data'!AT9*EF!$H22)*kgtoGg)</f>
        <v>0.18272266796500922</v>
      </c>
      <c r="AB934" s="93">
        <f>IF('Net zero activities &amp; levers'!$C$12="Off",('Activity data'!AU9*EF!$H22)*kgtoGg,('Net zero Activity data'!AU9*EF!$H22)*kgtoGg)</f>
        <v>0.18171294694329559</v>
      </c>
      <c r="AC934" s="93">
        <f>IF('Net zero activities &amp; levers'!$C$12="Off",('Activity data'!AV9*EF!$H22)*kgtoGg,('Net zero Activity data'!AV9*EF!$H22)*kgtoGg)</f>
        <v>0.1803907701509096</v>
      </c>
      <c r="AD934" s="93">
        <f>IF('Net zero activities &amp; levers'!$C$12="Off",('Activity data'!AW9*EF!$H22)*kgtoGg,('Net zero Activity data'!AW9*EF!$H22)*kgtoGg)</f>
        <v>0.17725826751953122</v>
      </c>
      <c r="AE934" s="93">
        <f>IF('Net zero activities &amp; levers'!$C$12="Off",('Activity data'!AX9*EF!$H22)*kgtoGg,('Net zero Activity data'!AX9*EF!$H22)*kgtoGg)</f>
        <v>0.17383070295376282</v>
      </c>
      <c r="AF934" s="93">
        <f>IF('Net zero activities &amp; levers'!$C$12="Off",('Activity data'!AY9*EF!$H22)*kgtoGg,('Net zero Activity data'!AY9*EF!$H22)*kgtoGg)</f>
        <v>0.17012347718159837</v>
      </c>
      <c r="AG934" s="93">
        <f>IF('Net zero activities &amp; levers'!$C$12="Off",('Activity data'!AZ9*EF!$H22)*kgtoGg,('Net zero Activity data'!AZ9*EF!$H22)*kgtoGg)</f>
        <v>0.16615374089176904</v>
      </c>
      <c r="AH934" s="93">
        <f>IF('Net zero activities &amp; levers'!$C$12="Off",('Activity data'!BA9*EF!$H22)*kgtoGg,('Net zero Activity data'!BA9*EF!$H22)*kgtoGg)</f>
        <v>0.16193975245589462</v>
      </c>
      <c r="AI934" s="93">
        <f>IF('Net zero activities &amp; levers'!$C$12="Off",('Activity data'!BB9*EF!$H22)*kgtoGg,('Net zero Activity data'!BB9*EF!$H22)*kgtoGg)</f>
        <v>0.1575009544252694</v>
      </c>
      <c r="AJ934" s="93">
        <f>IF('Net zero activities &amp; levers'!$C$12="Off",('Activity data'!BC9*EF!$H22)*kgtoGg,('Net zero Activity data'!BC9*EF!$H22)*kgtoGg)</f>
        <v>-1.2161151573392443E-2</v>
      </c>
      <c r="AK934" s="93">
        <f>IF('Net zero activities &amp; levers'!$C$12="Off",('Activity data'!BD9*EF!$H22)*kgtoGg,('Net zero Activity data'!BD9*EF!$H22)*kgtoGg)</f>
        <v>-1.1868346186618603E-2</v>
      </c>
      <c r="AL934" s="93">
        <f>IF('Net zero activities &amp; levers'!$C$12="Off",('Activity data'!BE9*EF!$H22)*kgtoGg,('Net zero Activity data'!BE9*EF!$H22)*kgtoGg)</f>
        <v>-1.1578587290470338E-2</v>
      </c>
      <c r="AM934" s="93">
        <f>IF('Net zero activities &amp; levers'!$C$12="Off",('Activity data'!BF9*EF!$H22)*kgtoGg,('Net zero Activity data'!BF9*EF!$H22)*kgtoGg)</f>
        <v>-1.1291844958198401E-2</v>
      </c>
      <c r="AN934" s="93">
        <f>IF('Net zero activities &amp; levers'!$C$12="Off",('Activity data'!BG9*EF!$H22)*kgtoGg,('Net zero Activity data'!BG9*EF!$H22)*kgtoGg)</f>
        <v>-1.1064265143100825E-2</v>
      </c>
      <c r="AO934" s="93">
        <f>IF('Net zero activities &amp; levers'!$C$12="Off",('Activity data'!BH9*EF!$H22)*kgtoGg,('Net zero Activity data'!BH9*EF!$H22)*kgtoGg)</f>
        <v>-1.0838844171453966E-2</v>
      </c>
      <c r="AP934" s="93">
        <f>IF('Net zero activities &amp; levers'!$C$12="Off",('Activity data'!BI9*EF!$H22)*kgtoGg,('Net zero Activity data'!BI9*EF!$H22)*kgtoGg)</f>
        <v>-1.0615414381460443E-2</v>
      </c>
      <c r="AQ934" s="93">
        <f>IF('Net zero activities &amp; levers'!$C$12="Off",('Activity data'!BJ9*EF!$H22)*kgtoGg,('Net zero Activity data'!BJ9*EF!$H22)*kgtoGg)</f>
        <v>-1.039392042815254E-2</v>
      </c>
      <c r="AR934" s="93">
        <f>IF('Net zero activities &amp; levers'!$C$12="Off",('Activity data'!BK9*EF!$H22)*kgtoGg,('Net zero Activity data'!BK9*EF!$H22)*kgtoGg)</f>
        <v>-1.017420037724082E-2</v>
      </c>
      <c r="AS934" s="93">
        <f>IF('Net zero activities &amp; levers'!$C$12="Off",('Activity data'!BL9*EF!$H22)*kgtoGg,('Net zero Activity data'!BL9*EF!$H22)*kgtoGg)</f>
        <v>-9.956095646546443E-3</v>
      </c>
      <c r="AT934" s="93">
        <f>IF('Net zero activities &amp; levers'!$C$12="Off",('Activity data'!BM9*EF!$H22)*kgtoGg,('Net zero Activity data'!BM9*EF!$H22)*kgtoGg)</f>
        <v>-9.739580766843E-3</v>
      </c>
      <c r="AU934" s="93">
        <f>IF('Net zero activities &amp; levers'!$C$12="Off",('Activity data'!BN9*EF!$H22)*kgtoGg,('Net zero Activity data'!BN9*EF!$H22)*kgtoGg)</f>
        <v>-9.5246691146980388E-3</v>
      </c>
      <c r="AV934" s="93">
        <f>IF('Net zero activities &amp; levers'!$C$12="Off",('Activity data'!BO9*EF!$H22)*kgtoGg,('Net zero Activity data'!BO9*EF!$H22)*kgtoGg)</f>
        <v>-9.3113688959297666E-3</v>
      </c>
      <c r="AW934" s="93">
        <f>IF('Net zero activities &amp; levers'!$C$12="Off",('Activity data'!BP9*EF!$H22)*kgtoGg,('Net zero Activity data'!BP9*EF!$H22)*kgtoGg)</f>
        <v>-9.0995575990930264E-3</v>
      </c>
      <c r="AY934" s="79"/>
      <c r="AZ934" s="79"/>
    </row>
    <row r="935" spans="1:52" x14ac:dyDescent="0.25">
      <c r="A935" s="95" t="str">
        <f t="shared" si="326"/>
        <v>DS Cattle MMCH4</v>
      </c>
      <c r="B935" s="95" t="s">
        <v>974</v>
      </c>
      <c r="C935" s="95" t="s">
        <v>1229</v>
      </c>
      <c r="D935" t="s">
        <v>15</v>
      </c>
      <c r="E935" t="s">
        <v>22</v>
      </c>
      <c r="F935" t="s">
        <v>67</v>
      </c>
      <c r="G935" t="s">
        <v>135</v>
      </c>
      <c r="H935" t="s">
        <v>1227</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0.48695387967725956</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0.51986569055899423</v>
      </c>
      <c r="O935" s="93">
        <f>IF('Net zero activities &amp; levers'!$C$12="Off",('Activity data'!AH10*EF!$H23)*kgtoGg,('Net zero Activity data'!AH10*EF!$H23)*kgtoGg)</f>
        <v>0.5307082628613855</v>
      </c>
      <c r="P935" s="93">
        <f>IF('Net zero activities &amp; levers'!$C$12="Off",('Activity data'!AI10*EF!$H23)*kgtoGg,('Net zero Activity data'!AI10*EF!$H23)*kgtoGg)</f>
        <v>0.53817886796858139</v>
      </c>
      <c r="Q935" s="93">
        <f>IF('Net zero activities &amp; levers'!$C$12="Off",('Activity data'!AJ10*EF!$H23)*kgtoGg,('Net zero Activity data'!AJ10*EF!$H23)*kgtoGg)</f>
        <v>0.54837935702304763</v>
      </c>
      <c r="R935" s="93">
        <f>IF('Net zero activities &amp; levers'!$C$12="Off",('Activity data'!AK10*EF!$H23)*kgtoGg,('Net zero Activity data'!AK10*EF!$H23)*kgtoGg)</f>
        <v>0.55907244781022658</v>
      </c>
      <c r="S935" s="93">
        <f>IF('Net zero activities &amp; levers'!$C$12="Off",('Activity data'!AL10*EF!$H23)*kgtoGg,('Net zero Activity data'!AL10*EF!$H23)*kgtoGg)</f>
        <v>0.52019632078645839</v>
      </c>
      <c r="T935" s="93">
        <f>IF('Net zero activities &amp; levers'!$C$12="Off",('Activity data'!AM10*EF!$H23)*kgtoGg,('Net zero Activity data'!AM10*EF!$H23)*kgtoGg)</f>
        <v>0.55325369057346974</v>
      </c>
      <c r="U935" s="93">
        <f>IF('Net zero activities &amp; levers'!$C$12="Off",('Activity data'!AN10*EF!$H23)*kgtoGg,('Net zero Activity data'!AN10*EF!$H23)*kgtoGg)</f>
        <v>1.7851204886019707</v>
      </c>
      <c r="V935" s="93">
        <f>IF('Net zero activities &amp; levers'!$C$12="Off",('Activity data'!AO10*EF!$H23)*kgtoGg,('Net zero Activity data'!AO10*EF!$H23)*kgtoGg)</f>
        <v>1.8358114551753451</v>
      </c>
      <c r="W935" s="93">
        <f>IF('Net zero activities &amp; levers'!$C$12="Off",('Activity data'!AP10*EF!$H23)*kgtoGg,('Net zero Activity data'!AP10*EF!$H23)*kgtoGg)</f>
        <v>1.8841429870431068</v>
      </c>
      <c r="X935" s="93">
        <f>IF('Net zero activities &amp; levers'!$C$12="Off",('Activity data'!AQ10*EF!$H23)*kgtoGg,('Net zero Activity data'!AQ10*EF!$H23)*kgtoGg)</f>
        <v>1.9299293707853407</v>
      </c>
      <c r="Y935" s="93">
        <f>IF('Net zero activities &amp; levers'!$C$12="Off",('Activity data'!AR10*EF!$H23)*kgtoGg,('Net zero Activity data'!AR10*EF!$H23)*kgtoGg)</f>
        <v>1.9730360139075687</v>
      </c>
      <c r="Z935" s="93">
        <f>IF('Net zero activities &amp; levers'!$C$12="Off",('Activity data'!AS10*EF!$H23)*kgtoGg,('Net zero Activity data'!AS10*EF!$H23)*kgtoGg)</f>
        <v>2.0132355560309785</v>
      </c>
      <c r="AA935" s="93">
        <f>IF('Net zero activities &amp; levers'!$C$12="Off",('Activity data'!AT10*EF!$H23)*kgtoGg,('Net zero Activity data'!AT10*EF!$H23)*kgtoGg)</f>
        <v>2.0503157854688139</v>
      </c>
      <c r="AB935" s="93">
        <f>IF('Net zero activities &amp; levers'!$C$12="Off",('Activity data'!AU10*EF!$H23)*kgtoGg,('Net zero Activity data'!AU10*EF!$H23)*kgtoGg)</f>
        <v>2.0840739423253991</v>
      </c>
      <c r="AC935" s="93">
        <f>IF('Net zero activities &amp; levers'!$C$12="Off",('Activity data'!AV10*EF!$H23)*kgtoGg,('Net zero Activity data'!AV10*EF!$H23)*kgtoGg)</f>
        <v>2.1143204533767861</v>
      </c>
      <c r="AD935" s="93">
        <f>IF('Net zero activities &amp; levers'!$C$12="Off",('Activity data'!AW10*EF!$H23)*kgtoGg,('Net zero Activity data'!AW10*EF!$H23)*kgtoGg)</f>
        <v>2.1465040938299391</v>
      </c>
      <c r="AE935" s="93">
        <f>IF('Net zero activities &amp; levers'!$C$12="Off",('Activity data'!AX10*EF!$H23)*kgtoGg,('Net zero Activity data'!AX10*EF!$H23)*kgtoGg)</f>
        <v>2.1749393600032643</v>
      </c>
      <c r="AF935" s="93">
        <f>IF('Net zero activities &amp; levers'!$C$12="Off",('Activity data'!AY10*EF!$H23)*kgtoGg,('Net zero Activity data'!AY10*EF!$H23)*kgtoGg)</f>
        <v>2.1994598063034698</v>
      </c>
      <c r="AG935" s="93">
        <f>IF('Net zero activities &amp; levers'!$C$12="Off",('Activity data'!AZ10*EF!$H23)*kgtoGg,('Net zero Activity data'!AZ10*EF!$H23)*kgtoGg)</f>
        <v>2.2199209490040412</v>
      </c>
      <c r="AH935" s="93">
        <f>IF('Net zero activities &amp; levers'!$C$12="Off",('Activity data'!BA10*EF!$H23)*kgtoGg,('Net zero Activity data'!BA10*EF!$H23)*kgtoGg)</f>
        <v>2.2361952396921123</v>
      </c>
      <c r="AI935" s="93">
        <f>IF('Net zero activities &amp; levers'!$C$12="Off",('Activity data'!BB10*EF!$H23)*kgtoGg,('Net zero Activity data'!BB10*EF!$H23)*kgtoGg)</f>
        <v>2.2481759568184136</v>
      </c>
      <c r="AJ935" s="93">
        <f>IF('Net zero activities &amp; levers'!$C$12="Off",('Activity data'!BC10*EF!$H23)*kgtoGg,('Net zero Activity data'!BC10*EF!$H23)*kgtoGg)</f>
        <v>-0.17946652232513363</v>
      </c>
      <c r="AK935" s="93">
        <f>IF('Net zero activities &amp; levers'!$C$12="Off",('Activity data'!BD10*EF!$H23)*kgtoGg,('Net zero Activity data'!BD10*EF!$H23)*kgtoGg)</f>
        <v>-0.18110907611543389</v>
      </c>
      <c r="AL935" s="93">
        <f>IF('Net zero activities &amp; levers'!$C$12="Off",('Activity data'!BE10*EF!$H23)*kgtoGg,('Net zero Activity data'!BE10*EF!$H23)*kgtoGg)</f>
        <v>-0.18274076856651822</v>
      </c>
      <c r="AM935" s="93">
        <f>IF('Net zero activities &amp; levers'!$C$12="Off",('Activity data'!BF10*EF!$H23)*kgtoGg,('Net zero Activity data'!BF10*EF!$H23)*kgtoGg)</f>
        <v>-0.18436241238183759</v>
      </c>
      <c r="AN935" s="93">
        <f>IF('Net zero activities &amp; levers'!$C$12="Off",('Activity data'!BG10*EF!$H23)*kgtoGg,('Net zero Activity data'!BG10*EF!$H23)*kgtoGg)</f>
        <v>-0.18574369682883446</v>
      </c>
      <c r="AO935" s="93">
        <f>IF('Net zero activities &amp; levers'!$C$12="Off",('Activity data'!BH10*EF!$H23)*kgtoGg,('Net zero Activity data'!BH10*EF!$H23)*kgtoGg)</f>
        <v>-0.18711116954081883</v>
      </c>
      <c r="AP935" s="93">
        <f>IF('Net zero activities &amp; levers'!$C$12="Off",('Activity data'!BI10*EF!$H23)*kgtoGg,('Net zero Activity data'!BI10*EF!$H23)*kgtoGg)</f>
        <v>-0.18846273754694579</v>
      </c>
      <c r="AQ935" s="93">
        <f>IF('Net zero activities &amp; levers'!$C$12="Off",('Activity data'!BJ10*EF!$H23)*kgtoGg,('Net zero Activity data'!BJ10*EF!$H23)*kgtoGg)</f>
        <v>-0.18979802913484242</v>
      </c>
      <c r="AR935" s="93">
        <f>IF('Net zero activities &amp; levers'!$C$12="Off",('Activity data'!BK10*EF!$H23)*kgtoGg,('Net zero Activity data'!BK10*EF!$H23)*kgtoGg)</f>
        <v>-0.19111455281570203</v>
      </c>
      <c r="AS935" s="93">
        <f>IF('Net zero activities &amp; levers'!$C$12="Off",('Activity data'!BL10*EF!$H23)*kgtoGg,('Net zero Activity data'!BL10*EF!$H23)*kgtoGg)</f>
        <v>-0.19240952741879389</v>
      </c>
      <c r="AT935" s="93">
        <f>IF('Net zero activities &amp; levers'!$C$12="Off",('Activity data'!BM10*EF!$H23)*kgtoGg,('Net zero Activity data'!BM10*EF!$H23)*kgtoGg)</f>
        <v>-0.19368244494387601</v>
      </c>
      <c r="AU935" s="93">
        <f>IF('Net zero activities &amp; levers'!$C$12="Off",('Activity data'!BN10*EF!$H23)*kgtoGg,('Net zero Activity data'!BN10*EF!$H23)*kgtoGg)</f>
        <v>-0.19493349782495742</v>
      </c>
      <c r="AV935" s="93">
        <f>IF('Net zero activities &amp; levers'!$C$12="Off",('Activity data'!BO10*EF!$H23)*kgtoGg,('Net zero Activity data'!BO10*EF!$H23)*kgtoGg)</f>
        <v>-0.19616276303602645</v>
      </c>
      <c r="AW935" s="93">
        <f>IF('Net zero activities &amp; levers'!$C$12="Off",('Activity data'!BP10*EF!$H23)*kgtoGg,('Net zero Activity data'!BP10*EF!$H23)*kgtoGg)</f>
        <v>-0.19736746528407936</v>
      </c>
      <c r="AY935" s="79"/>
      <c r="AZ935" s="79"/>
    </row>
    <row r="936" spans="1:52" x14ac:dyDescent="0.25">
      <c r="A936" s="95" t="str">
        <f t="shared" si="326"/>
        <v>DS Sheep MMCH4</v>
      </c>
      <c r="B936" s="95" t="s">
        <v>974</v>
      </c>
      <c r="C936" s="95" t="s">
        <v>1324</v>
      </c>
      <c r="D936" t="s">
        <v>15</v>
      </c>
      <c r="E936" t="s">
        <v>22</v>
      </c>
      <c r="F936" t="s">
        <v>18</v>
      </c>
      <c r="G936" t="s">
        <v>122</v>
      </c>
      <c r="H936" t="s">
        <v>1227</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3.6578192116978575E-2</v>
      </c>
      <c r="T936" s="93">
        <f>IF('Net zero activities &amp; levers'!$C$12="Off",('Activity data'!AM11*EF!$H24)*kgtoGg,IF('Net zero activities &amp; levers'!$C$12="PB",('Activity data'!AM11*EF!$H24)*kgtoGg,IF('Net zero activities &amp; levers'!$C$12="MS",('Net zero Activity data'!AM11*EF!$H24)*kgtoGg,"ERROR")))</f>
        <v>3.6602536457524273E-2</v>
      </c>
      <c r="U936" s="93">
        <f>IF('Net zero activities &amp; levers'!$C$12="Off",('Activity data'!AN11*EF!$H24)*kgtoGg,IF('Net zero activities &amp; levers'!$C$12="PB",('Activity data'!AN11*EF!$H24)*kgtoGg,IF('Net zero activities &amp; levers'!$C$12="MS",('Net zero Activity data'!AN11*EF!$H24)*kgtoGg,"ERROR")))</f>
        <v>3.7079287706665597E-2</v>
      </c>
      <c r="V936" s="93">
        <f>IF('Net zero activities &amp; levers'!$C$12="Off",('Activity data'!AO11*EF!$H24)*kgtoGg,IF('Net zero activities &amp; levers'!$C$12="PB",('Activity data'!AO11*EF!$H24)*kgtoGg,IF('Net zero activities &amp; levers'!$C$12="MS",('Net zero Activity data'!AO11*EF!$H24)*kgtoGg,"ERROR")))</f>
        <v>3.7090917681294085E-2</v>
      </c>
      <c r="W936" s="93">
        <f>IF('Net zero activities &amp; levers'!$C$12="Off",('Activity data'!AP11*EF!$H24)*kgtoGg,IF('Net zero activities &amp; levers'!$C$12="PB",('Activity data'!AP11*EF!$H24)*kgtoGg,IF('Net zero activities &amp; levers'!$C$12="MS",('Net zero Activity data'!AP11*EF!$H24)*kgtoGg,"ERROR")))</f>
        <v>3.7140664601717173E-2</v>
      </c>
      <c r="X936" s="93">
        <f>IF('Net zero activities &amp; levers'!$C$12="Off",('Activity data'!AQ11*EF!$H24)*kgtoGg,IF('Net zero activities &amp; levers'!$C$12="PB",('Activity data'!AQ11*EF!$H24)*kgtoGg,IF('Net zero activities &amp; levers'!$C$12="MS",('Net zero Activity data'!AQ11*EF!$H24)*kgtoGg,"ERROR")))</f>
        <v>3.7212574982641126E-2</v>
      </c>
      <c r="Y936" s="93">
        <f>IF('Net zero activities &amp; levers'!$C$12="Off",('Activity data'!AR11*EF!$H24)*kgtoGg,IF('Net zero activities &amp; levers'!$C$12="PB",('Activity data'!AR11*EF!$H24)*kgtoGg,IF('Net zero activities &amp; levers'!$C$12="MS",('Net zero Activity data'!AR11*EF!$H24)*kgtoGg,"ERROR")))</f>
        <v>3.7279377262220796E-2</v>
      </c>
      <c r="Z936" s="93">
        <f>IF('Net zero activities &amp; levers'!$C$12="Off",('Activity data'!AS11*EF!$H24)*kgtoGg,IF('Net zero activities &amp; levers'!$C$12="PB",('Activity data'!AS11*EF!$H24)*kgtoGg,IF('Net zero activities &amp; levers'!$C$12="MS",('Net zero Activity data'!AS11*EF!$H24)*kgtoGg,"ERROR")))</f>
        <v>3.7341898542443672E-2</v>
      </c>
      <c r="AA936" s="93">
        <f>IF('Net zero activities &amp; levers'!$C$12="Off",('Activity data'!AT11*EF!$H24)*kgtoGg,IF('Net zero activities &amp; levers'!$C$12="PB",('Activity data'!AT11*EF!$H24)*kgtoGg,IF('Net zero activities &amp; levers'!$C$12="MS",('Net zero Activity data'!AT11*EF!$H24)*kgtoGg,"ERROR")))</f>
        <v>3.7399805431240309E-2</v>
      </c>
      <c r="AB936" s="93">
        <f>IF('Net zero activities &amp; levers'!$C$12="Off",('Activity data'!AU11*EF!$H24)*kgtoGg,IF('Net zero activities &amp; levers'!$C$12="PB",('Activity data'!AU11*EF!$H24)*kgtoGg,IF('Net zero activities &amp; levers'!$C$12="MS",('Net zero Activity data'!AU11*EF!$H24)*kgtoGg,"ERROR")))</f>
        <v>3.7453619674437284E-2</v>
      </c>
      <c r="AC936" s="93">
        <f>IF('Net zero activities &amp; levers'!$C$12="Off",('Activity data'!AV11*EF!$H24)*kgtoGg,IF('Net zero activities &amp; levers'!$C$12="PB",('Activity data'!AV11*EF!$H24)*kgtoGg,IF('Net zero activities &amp; levers'!$C$12="MS",('Net zero Activity data'!AV11*EF!$H24)*kgtoGg,"ERROR")))</f>
        <v>3.7504157579295157E-2</v>
      </c>
      <c r="AD936" s="93">
        <f>IF('Net zero activities &amp; levers'!$C$12="Off",('Activity data'!AW11*EF!$H24)*kgtoGg,IF('Net zero activities &amp; levers'!$C$12="PB",('Activity data'!AW11*EF!$H24)*kgtoGg,IF('Net zero activities &amp; levers'!$C$12="MS",('Net zero Activity data'!AW11*EF!$H24)*kgtoGg,"ERROR")))</f>
        <v>3.755137152744302E-2</v>
      </c>
      <c r="AE936" s="93">
        <f>IF('Net zero activities &amp; levers'!$C$12="Off",('Activity data'!AX11*EF!$H24)*kgtoGg,IF('Net zero activities &amp; levers'!$C$12="PB",('Activity data'!AX11*EF!$H24)*kgtoGg,IF('Net zero activities &amp; levers'!$C$12="MS",('Net zero Activity data'!AX11*EF!$H24)*kgtoGg,"ERROR")))</f>
        <v>3.7596016682571363E-2</v>
      </c>
      <c r="AF936" s="93">
        <f>IF('Net zero activities &amp; levers'!$C$12="Off",('Activity data'!AY11*EF!$H24)*kgtoGg,IF('Net zero activities &amp; levers'!$C$12="PB",('Activity data'!AY11*EF!$H24)*kgtoGg,IF('Net zero activities &amp; levers'!$C$12="MS",('Net zero Activity data'!AY11*EF!$H24)*kgtoGg,"ERROR")))</f>
        <v>3.7638201115333593E-2</v>
      </c>
      <c r="AG936" s="93">
        <f>IF('Net zero activities &amp; levers'!$C$12="Off",('Activity data'!AZ11*EF!$H24)*kgtoGg,IF('Net zero activities &amp; levers'!$C$12="PB",('Activity data'!AZ11*EF!$H24)*kgtoGg,IF('Net zero activities &amp; levers'!$C$12="MS",('Net zero Activity data'!AZ11*EF!$H24)*kgtoGg,"ERROR")))</f>
        <v>3.7677346639447794E-2</v>
      </c>
      <c r="AH936" s="93">
        <f>IF('Net zero activities &amp; levers'!$C$12="Off",('Activity data'!BA11*EF!$H24)*kgtoGg,IF('Net zero activities &amp; levers'!$C$12="PB",('Activity data'!BA11*EF!$H24)*kgtoGg,IF('Net zero activities &amp; levers'!$C$12="MS",('Net zero Activity data'!BA11*EF!$H24)*kgtoGg,"ERROR")))</f>
        <v>3.7713811349129885E-2</v>
      </c>
      <c r="AI936" s="93">
        <f>IF('Net zero activities &amp; levers'!$C$12="Off",('Activity data'!BB11*EF!$H24)*kgtoGg,IF('Net zero activities &amp; levers'!$C$12="PB",('Activity data'!BB11*EF!$H24)*kgtoGg,IF('Net zero activities &amp; levers'!$C$12="MS",('Net zero Activity data'!BB11*EF!$H24)*kgtoGg,"ERROR")))</f>
        <v>3.7748176979043722E-2</v>
      </c>
      <c r="AJ936" s="93">
        <f>IF('Net zero activities &amp; levers'!$C$12="Off",('Activity data'!BC11*EF!$H24)*kgtoGg,IF('Net zero activities &amp; levers'!$C$12="PB",('Activity data'!BC11*EF!$H24)*kgtoGg,IF('Net zero activities &amp; levers'!$C$12="MS",('Net zero Activity data'!BC11*EF!$H24)*kgtoGg,"ERROR")))</f>
        <v>3.6919749367433322E-2</v>
      </c>
      <c r="AK936" s="93">
        <f>IF('Net zero activities &amp; levers'!$C$12="Off",('Activity data'!BD11*EF!$H24)*kgtoGg,IF('Net zero activities &amp; levers'!$C$12="PB",('Activity data'!BD11*EF!$H24)*kgtoGg,IF('Net zero activities &amp; levers'!$C$12="MS",('Net zero Activity data'!BD11*EF!$H24)*kgtoGg,"ERROR")))</f>
        <v>3.6953700421728228E-2</v>
      </c>
      <c r="AL936" s="93">
        <f>IF('Net zero activities &amp; levers'!$C$12="Off",('Activity data'!BE11*EF!$H24)*kgtoGg,IF('Net zero activities &amp; levers'!$C$12="PB",('Activity data'!BE11*EF!$H24)*kgtoGg,IF('Net zero activities &amp; levers'!$C$12="MS",('Net zero Activity data'!BE11*EF!$H24)*kgtoGg,"ERROR")))</f>
        <v>3.6985368016573254E-2</v>
      </c>
      <c r="AM936" s="93">
        <f>IF('Net zero activities &amp; levers'!$C$12="Off",('Activity data'!BF11*EF!$H24)*kgtoGg,IF('Net zero activities &amp; levers'!$C$12="PB",('Activity data'!BF11*EF!$H24)*kgtoGg,IF('Net zero activities &amp; levers'!$C$12="MS",('Net zero Activity data'!BF11*EF!$H24)*kgtoGg,"ERROR")))</f>
        <v>3.7014945688034803E-2</v>
      </c>
      <c r="AN936" s="93">
        <f>IF('Net zero activities &amp; levers'!$C$12="Off",('Activity data'!BG11*EF!$H24)*kgtoGg,IF('Net zero activities &amp; levers'!$C$12="PB",('Activity data'!BG11*EF!$H24)*kgtoGg,IF('Net zero activities &amp; levers'!$C$12="MS",('Net zero Activity data'!BG11*EF!$H24)*kgtoGg,"ERROR")))</f>
        <v>3.7042668702165847E-2</v>
      </c>
      <c r="AO936" s="93">
        <f>IF('Net zero activities &amp; levers'!$C$12="Off",('Activity data'!BH11*EF!$H24)*kgtoGg,IF('Net zero activities &amp; levers'!$C$12="PB",('Activity data'!BH11*EF!$H24)*kgtoGg,IF('Net zero activities &amp; levers'!$C$12="MS",('Net zero Activity data'!BH11*EF!$H24)*kgtoGg,"ERROR")))</f>
        <v>3.7067807831001554E-2</v>
      </c>
      <c r="AP936" s="93">
        <f>IF('Net zero activities &amp; levers'!$C$12="Off",('Activity data'!BI11*EF!$H24)*kgtoGg,IF('Net zero activities &amp; levers'!$C$12="PB",('Activity data'!BI11*EF!$H24)*kgtoGg,IF('Net zero activities &amp; levers'!$C$12="MS",('Net zero Activity data'!BI11*EF!$H24)*kgtoGg,"ERROR")))</f>
        <v>3.7089876088168584E-2</v>
      </c>
      <c r="AQ936" s="93">
        <f>IF('Net zero activities &amp; levers'!$C$12="Off",('Activity data'!BJ11*EF!$H24)*kgtoGg,IF('Net zero activities &amp; levers'!$C$12="PB",('Activity data'!BJ11*EF!$H24)*kgtoGg,IF('Net zero activities &amp; levers'!$C$12="MS",('Net zero Activity data'!BJ11*EF!$H24)*kgtoGg,"ERROR")))</f>
        <v>3.710880214511815E-2</v>
      </c>
      <c r="AR936" s="93">
        <f>IF('Net zero activities &amp; levers'!$C$12="Off",('Activity data'!BK11*EF!$H24)*kgtoGg,IF('Net zero activities &amp; levers'!$C$12="PB",('Activity data'!BK11*EF!$H24)*kgtoGg,IF('Net zero activities &amp; levers'!$C$12="MS",('Net zero Activity data'!BK11*EF!$H24)*kgtoGg,"ERROR")))</f>
        <v>3.7124031819377158E-2</v>
      </c>
      <c r="AS936" s="93">
        <f>IF('Net zero activities &amp; levers'!$C$12="Off",('Activity data'!BL11*EF!$H24)*kgtoGg,IF('Net zero activities &amp; levers'!$C$12="PB",('Activity data'!BL11*EF!$H24)*kgtoGg,IF('Net zero activities &amp; levers'!$C$12="MS",('Net zero Activity data'!BL11*EF!$H24)*kgtoGg,"ERROR")))</f>
        <v>3.7134962729756575E-2</v>
      </c>
      <c r="AT936" s="93">
        <f>IF('Net zero activities &amp; levers'!$C$12="Off",('Activity data'!BM11*EF!$H24)*kgtoGg,IF('Net zero activities &amp; levers'!$C$12="PB",('Activity data'!BM11*EF!$H24)*kgtoGg,IF('Net zero activities &amp; levers'!$C$12="MS",('Net zero Activity data'!BM11*EF!$H24)*kgtoGg,"ERROR")))</f>
        <v>3.7141526945573433E-2</v>
      </c>
      <c r="AU936" s="93">
        <f>IF('Net zero activities &amp; levers'!$C$12="Off",('Activity data'!BN11*EF!$H24)*kgtoGg,IF('Net zero activities &amp; levers'!$C$12="PB",('Activity data'!BN11*EF!$H24)*kgtoGg,IF('Net zero activities &amp; levers'!$C$12="MS",('Net zero Activity data'!BN11*EF!$H24)*kgtoGg,"ERROR")))</f>
        <v>3.7143818098984892E-2</v>
      </c>
      <c r="AV936" s="93">
        <f>IF('Net zero activities &amp; levers'!$C$12="Off",('Activity data'!BO11*EF!$H24)*kgtoGg,IF('Net zero activities &amp; levers'!$C$12="PB",('Activity data'!BO11*EF!$H24)*kgtoGg,IF('Net zero activities &amp; levers'!$C$12="MS",('Net zero Activity data'!BO11*EF!$H24)*kgtoGg,"ERROR")))</f>
        <v>3.7141903206885624E-2</v>
      </c>
      <c r="AW936" s="93">
        <f>IF('Net zero activities &amp; levers'!$C$12="Off",('Activity data'!BP11*EF!$H24)*kgtoGg,IF('Net zero activities &amp; levers'!$C$12="PB",('Activity data'!BP11*EF!$H24)*kgtoGg,IF('Net zero activities &amp; levers'!$C$12="MS",('Net zero Activity data'!BP11*EF!$H24)*kgtoGg,"ERROR")))</f>
        <v>3.7135215292227401E-2</v>
      </c>
      <c r="AY936" s="79"/>
      <c r="AZ936" s="79"/>
    </row>
    <row r="937" spans="1:52" x14ac:dyDescent="0.25">
      <c r="A937" s="95" t="str">
        <f t="shared" si="326"/>
        <v>DS Sheep MMCH4</v>
      </c>
      <c r="B937" s="95" t="s">
        <v>974</v>
      </c>
      <c r="C937" s="95" t="s">
        <v>1324</v>
      </c>
      <c r="D937" t="s">
        <v>15</v>
      </c>
      <c r="E937" t="s">
        <v>22</v>
      </c>
      <c r="F937" t="s">
        <v>18</v>
      </c>
      <c r="G937" t="s">
        <v>123</v>
      </c>
      <c r="H937" t="s">
        <v>1227</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4.1774038907199012E-3</v>
      </c>
      <c r="T937" s="93">
        <f>IF('Net zero activities &amp; levers'!$C$12="Off",('Activity data'!AM12*EF!$H25)*kgtoGg,IF('Net zero activities &amp; levers'!$C$12="PB",('Activity data'!AM12*EF!$H25)*kgtoGg,IF('Net zero activities &amp; levers'!$C$12="MS",('Net zero Activity data'!AM12*EF!$H25)*kgtoGg,"ERROR")))</f>
        <v>4.1801841304481904E-3</v>
      </c>
      <c r="U937" s="93">
        <f>IF('Net zero activities &amp; levers'!$C$12="Off",('Activity data'!AN12*EF!$H25)*kgtoGg,IF('Net zero activities &amp; levers'!$C$12="PB",('Activity data'!AN12*EF!$H25)*kgtoGg,IF('Net zero activities &amp; levers'!$C$12="MS",('Net zero Activity data'!AN12*EF!$H25)*kgtoGg,"ERROR")))</f>
        <v>4.2346313955480986E-3</v>
      </c>
      <c r="V937" s="93">
        <f>IF('Net zero activities &amp; levers'!$C$12="Off",('Activity data'!AO12*EF!$H25)*kgtoGg,IF('Net zero activities &amp; levers'!$C$12="PB",('Activity data'!AO12*EF!$H25)*kgtoGg,IF('Net zero activities &amp; levers'!$C$12="MS",('Net zero Activity data'!AO12*EF!$H25)*kgtoGg,"ERROR")))</f>
        <v>4.2359595940852672E-3</v>
      </c>
      <c r="W937" s="93">
        <f>IF('Net zero activities &amp; levers'!$C$12="Off",('Activity data'!AP12*EF!$H25)*kgtoGg,IF('Net zero activities &amp; levers'!$C$12="PB",('Activity data'!AP12*EF!$H25)*kgtoGg,IF('Net zero activities &amp; levers'!$C$12="MS",('Net zero Activity data'!AP12*EF!$H25)*kgtoGg,"ERROR")))</f>
        <v>4.24164092951765E-3</v>
      </c>
      <c r="X937" s="93">
        <f>IF('Net zero activities &amp; levers'!$C$12="Off",('Activity data'!AQ12*EF!$H25)*kgtoGg,IF('Net zero activities &amp; levers'!$C$12="PB",('Activity data'!AQ12*EF!$H25)*kgtoGg,IF('Net zero activities &amp; levers'!$C$12="MS",('Net zero Activity data'!AQ12*EF!$H25)*kgtoGg,"ERROR")))</f>
        <v>4.2498534377819787E-3</v>
      </c>
      <c r="Y937" s="93">
        <f>IF('Net zero activities &amp; levers'!$C$12="Off",('Activity data'!AR12*EF!$H25)*kgtoGg,IF('Net zero activities &amp; levers'!$C$12="PB",('Activity data'!AR12*EF!$H25)*kgtoGg,IF('Net zero activities &amp; levers'!$C$12="MS",('Net zero Activity data'!AR12*EF!$H25)*kgtoGg,"ERROR")))</f>
        <v>4.2574825765248842E-3</v>
      </c>
      <c r="Z937" s="93">
        <f>IF('Net zero activities &amp; levers'!$C$12="Off",('Activity data'!AS12*EF!$H25)*kgtoGg,IF('Net zero activities &amp; levers'!$C$12="PB",('Activity data'!AS12*EF!$H25)*kgtoGg,IF('Net zero activities &amp; levers'!$C$12="MS",('Net zero Activity data'!AS12*EF!$H25)*kgtoGg,"ERROR")))</f>
        <v>4.2646228047357425E-3</v>
      </c>
      <c r="AA937" s="93">
        <f>IF('Net zero activities &amp; levers'!$C$12="Off",('Activity data'!AT12*EF!$H25)*kgtoGg,IF('Net zero activities &amp; levers'!$C$12="PB",('Activity data'!AT12*EF!$H25)*kgtoGg,IF('Net zero activities &amp; levers'!$C$12="MS",('Net zero Activity data'!AT12*EF!$H25)*kgtoGg,"ERROR")))</f>
        <v>4.2712360474510998E-3</v>
      </c>
      <c r="AB937" s="93">
        <f>IF('Net zero activities &amp; levers'!$C$12="Off",('Activity data'!AU12*EF!$H25)*kgtoGg,IF('Net zero activities &amp; levers'!$C$12="PB",('Activity data'!AU12*EF!$H25)*kgtoGg,IF('Net zero activities &amp; levers'!$C$12="MS",('Net zero Activity data'!AU12*EF!$H25)*kgtoGg,"ERROR")))</f>
        <v>4.2773818905312679E-3</v>
      </c>
      <c r="AC937" s="93">
        <f>IF('Net zero activities &amp; levers'!$C$12="Off",('Activity data'!AV12*EF!$H25)*kgtoGg,IF('Net zero activities &amp; levers'!$C$12="PB",('Activity data'!AV12*EF!$H25)*kgtoGg,IF('Net zero activities &amp; levers'!$C$12="MS",('Net zero Activity data'!AV12*EF!$H25)*kgtoGg,"ERROR")))</f>
        <v>4.2831535601563532E-3</v>
      </c>
      <c r="AD937" s="93">
        <f>IF('Net zero activities &amp; levers'!$C$12="Off",('Activity data'!AW12*EF!$H25)*kgtoGg,IF('Net zero activities &amp; levers'!$C$12="PB",('Activity data'!AW12*EF!$H25)*kgtoGg,IF('Net zero activities &amp; levers'!$C$12="MS",('Net zero Activity data'!AW12*EF!$H25)*kgtoGg,"ERROR")))</f>
        <v>4.2885456180814241E-3</v>
      </c>
      <c r="AE937" s="93">
        <f>IF('Net zero activities &amp; levers'!$C$12="Off",('Activity data'!AX12*EF!$H25)*kgtoGg,IF('Net zero activities &amp; levers'!$C$12="PB",('Activity data'!AX12*EF!$H25)*kgtoGg,IF('Net zero activities &amp; levers'!$C$12="MS",('Net zero Activity data'!AX12*EF!$H25)*kgtoGg,"ERROR")))</f>
        <v>4.2936443075994434E-3</v>
      </c>
      <c r="AF937" s="93">
        <f>IF('Net zero activities &amp; levers'!$C$12="Off",('Activity data'!AY12*EF!$H25)*kgtoGg,IF('Net zero activities &amp; levers'!$C$12="PB",('Activity data'!AY12*EF!$H25)*kgtoGg,IF('Net zero activities &amp; levers'!$C$12="MS",('Net zero Activity data'!AY12*EF!$H25)*kgtoGg,"ERROR")))</f>
        <v>4.2984619708941515E-3</v>
      </c>
      <c r="AG937" s="93">
        <f>IF('Net zero activities &amp; levers'!$C$12="Off",('Activity data'!AZ12*EF!$H25)*kgtoGg,IF('Net zero activities &amp; levers'!$C$12="PB",('Activity data'!AZ12*EF!$H25)*kgtoGg,IF('Net zero activities &amp; levers'!$C$12="MS",('Net zero Activity data'!AZ12*EF!$H25)*kgtoGg,"ERROR")))</f>
        <v>4.3029325763362138E-3</v>
      </c>
      <c r="AH937" s="93">
        <f>IF('Net zero activities &amp; levers'!$C$12="Off",('Activity data'!BA12*EF!$H25)*kgtoGg,IF('Net zero activities &amp; levers'!$C$12="PB",('Activity data'!BA12*EF!$H25)*kgtoGg,IF('Net zero activities &amp; levers'!$C$12="MS",('Net zero Activity data'!BA12*EF!$H25)*kgtoGg,"ERROR")))</f>
        <v>4.3070970199919519E-3</v>
      </c>
      <c r="AI937" s="93">
        <f>IF('Net zero activities &amp; levers'!$C$12="Off",('Activity data'!BB12*EF!$H25)*kgtoGg,IF('Net zero activities &amp; levers'!$C$12="PB",('Activity data'!BB12*EF!$H25)*kgtoGg,IF('Net zero activities &amp; levers'!$C$12="MS",('Net zero Activity data'!BB12*EF!$H25)*kgtoGg,"ERROR")))</f>
        <v>4.3110217387328335E-3</v>
      </c>
      <c r="AJ937" s="93">
        <f>IF('Net zero activities &amp; levers'!$C$12="Off",('Activity data'!BC12*EF!$H25)*kgtoGg,IF('Net zero activities &amp; levers'!$C$12="PB",('Activity data'!BC12*EF!$H25)*kgtoGg,IF('Net zero activities &amp; levers'!$C$12="MS",('Net zero Activity data'!BC12*EF!$H25)*kgtoGg,"ERROR")))</f>
        <v>4.2164113567638812E-3</v>
      </c>
      <c r="AK937" s="93">
        <f>IF('Net zero activities &amp; levers'!$C$12="Off",('Activity data'!BD12*EF!$H25)*kgtoGg,IF('Net zero activities &amp; levers'!$C$12="PB",('Activity data'!BD12*EF!$H25)*kgtoGg,IF('Net zero activities &amp; levers'!$C$12="MS",('Net zero Activity data'!BD12*EF!$H25)*kgtoGg,"ERROR")))</f>
        <v>4.2202887289929962E-3</v>
      </c>
      <c r="AL937" s="93">
        <f>IF('Net zero activities &amp; levers'!$C$12="Off",('Activity data'!BE12*EF!$H25)*kgtoGg,IF('Net zero activities &amp; levers'!$C$12="PB",('Activity data'!BE12*EF!$H25)*kgtoGg,IF('Net zero activities &amp; levers'!$C$12="MS",('Net zero Activity data'!BE12*EF!$H25)*kgtoGg,"ERROR")))</f>
        <v>4.2239053192687616E-3</v>
      </c>
      <c r="AM937" s="93">
        <f>IF('Net zero activities &amp; levers'!$C$12="Off",('Activity data'!BF12*EF!$H25)*kgtoGg,IF('Net zero activities &amp; levers'!$C$12="PB",('Activity data'!BF12*EF!$H25)*kgtoGg,IF('Net zero activities &amp; levers'!$C$12="MS",('Net zero Activity data'!BF12*EF!$H25)*kgtoGg,"ERROR")))</f>
        <v>4.2272832303324572E-3</v>
      </c>
      <c r="AN937" s="93">
        <f>IF('Net zero activities &amp; levers'!$C$12="Off",('Activity data'!BG12*EF!$H25)*kgtoGg,IF('Net zero activities &amp; levers'!$C$12="PB",('Activity data'!BG12*EF!$H25)*kgtoGg,IF('Net zero activities &amp; levers'!$C$12="MS",('Net zero Activity data'!BG12*EF!$H25)*kgtoGg,"ERROR")))</f>
        <v>4.2304493306887332E-3</v>
      </c>
      <c r="AO937" s="93">
        <f>IF('Net zero activities &amp; levers'!$C$12="Off",('Activity data'!BH12*EF!$H25)*kgtoGg,IF('Net zero activities &amp; levers'!$C$12="PB",('Activity data'!BH12*EF!$H25)*kgtoGg,IF('Net zero activities &amp; levers'!$C$12="MS",('Net zero Activity data'!BH12*EF!$H25)*kgtoGg,"ERROR")))</f>
        <v>4.2333203390281212E-3</v>
      </c>
      <c r="AP937" s="93">
        <f>IF('Net zero activities &amp; levers'!$C$12="Off",('Activity data'!BI12*EF!$H25)*kgtoGg,IF('Net zero activities &amp; levers'!$C$12="PB",('Activity data'!BI12*EF!$H25)*kgtoGg,IF('Net zero activities &amp; levers'!$C$12="MS",('Net zero Activity data'!BI12*EF!$H25)*kgtoGg,"ERROR")))</f>
        <v>4.235840639185552E-3</v>
      </c>
      <c r="AQ937" s="93">
        <f>IF('Net zero activities &amp; levers'!$C$12="Off",('Activity data'!BJ12*EF!$H25)*kgtoGg,IF('Net zero activities &amp; levers'!$C$12="PB",('Activity data'!BJ12*EF!$H25)*kgtoGg,IF('Net zero activities &amp; levers'!$C$12="MS",('Net zero Activity data'!BJ12*EF!$H25)*kgtoGg,"ERROR")))</f>
        <v>4.2380020851007644E-3</v>
      </c>
      <c r="AR937" s="93">
        <f>IF('Net zero activities &amp; levers'!$C$12="Off",('Activity data'!BK12*EF!$H25)*kgtoGg,IF('Net zero activities &amp; levers'!$C$12="PB",('Activity data'!BK12*EF!$H25)*kgtoGg,IF('Net zero activities &amp; levers'!$C$12="MS",('Net zero Activity data'!BK12*EF!$H25)*kgtoGg,"ERROR")))</f>
        <v>4.2397413864938057E-3</v>
      </c>
      <c r="AS937" s="93">
        <f>IF('Net zero activities &amp; levers'!$C$12="Off",('Activity data'!BL12*EF!$H25)*kgtoGg,IF('Net zero activities &amp; levers'!$C$12="PB",('Activity data'!BL12*EF!$H25)*kgtoGg,IF('Net zero activities &amp; levers'!$C$12="MS",('Net zero Activity data'!BL12*EF!$H25)*kgtoGg,"ERROR")))</f>
        <v>4.2409897485616204E-3</v>
      </c>
      <c r="AT937" s="93">
        <f>IF('Net zero activities &amp; levers'!$C$12="Off",('Activity data'!BM12*EF!$H25)*kgtoGg,IF('Net zero activities &amp; levers'!$C$12="PB",('Activity data'!BM12*EF!$H25)*kgtoGg,IF('Net zero activities &amp; levers'!$C$12="MS",('Net zero Activity data'!BM12*EF!$H25)*kgtoGg,"ERROR")))</f>
        <v>4.241739413296421E-3</v>
      </c>
      <c r="AU937" s="93">
        <f>IF('Net zero activities &amp; levers'!$C$12="Off",('Activity data'!BN12*EF!$H25)*kgtoGg,IF('Net zero activities &amp; levers'!$C$12="PB",('Activity data'!BN12*EF!$H25)*kgtoGg,IF('Net zero activities &amp; levers'!$C$12="MS",('Net zero Activity data'!BN12*EF!$H25)*kgtoGg,"ERROR")))</f>
        <v>4.2420010739368554E-3</v>
      </c>
      <c r="AV937" s="93">
        <f>IF('Net zero activities &amp; levers'!$C$12="Off",('Activity data'!BO12*EF!$H25)*kgtoGg,IF('Net zero activities &amp; levers'!$C$12="PB",('Activity data'!BO12*EF!$H25)*kgtoGg,IF('Net zero activities &amp; levers'!$C$12="MS",('Net zero Activity data'!BO12*EF!$H25)*kgtoGg,"ERROR")))</f>
        <v>4.2417823841317337E-3</v>
      </c>
      <c r="AW937" s="93">
        <f>IF('Net zero activities &amp; levers'!$C$12="Off",('Activity data'!BP12*EF!$H25)*kgtoGg,IF('Net zero activities &amp; levers'!$C$12="PB",('Activity data'!BP12*EF!$H25)*kgtoGg,IF('Net zero activities &amp; levers'!$C$12="MS",('Net zero Activity data'!BP12*EF!$H25)*kgtoGg,"ERROR")))</f>
        <v>4.2410185923996346E-3</v>
      </c>
      <c r="AY937" s="79"/>
      <c r="AZ937" s="79"/>
    </row>
    <row r="938" spans="1:52" x14ac:dyDescent="0.25">
      <c r="A938" s="95" t="str">
        <f t="shared" si="326"/>
        <v>DS Goats MMCH4</v>
      </c>
      <c r="B938" s="95" t="s">
        <v>974</v>
      </c>
      <c r="C938" s="95" t="s">
        <v>1325</v>
      </c>
      <c r="D938" t="s">
        <v>15</v>
      </c>
      <c r="E938" t="s">
        <v>22</v>
      </c>
      <c r="F938" t="s">
        <v>19</v>
      </c>
      <c r="G938" t="s">
        <v>122</v>
      </c>
      <c r="H938" t="s">
        <v>1227</v>
      </c>
      <c r="I938" t="s">
        <v>121</v>
      </c>
      <c r="J938" t="s">
        <v>286</v>
      </c>
      <c r="K938" s="27">
        <f t="shared" ref="K938:Z941" si="333">K1401</f>
        <v>1.5789672763163301E-2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1.6230654784419023E-2</v>
      </c>
      <c r="R938" s="27">
        <f t="shared" si="333"/>
        <v>1.6337439810579345E-2</v>
      </c>
      <c r="S938" s="27">
        <f t="shared" si="333"/>
        <v>1.6297600931786334E-2</v>
      </c>
      <c r="T938" s="27">
        <f t="shared" si="333"/>
        <v>1.6324272387083224E-2</v>
      </c>
      <c r="U938" s="27">
        <f t="shared" si="333"/>
        <v>1.6655251261159847E-2</v>
      </c>
      <c r="V938" s="27">
        <f t="shared" si="333"/>
        <v>1.6670204486965774E-2</v>
      </c>
      <c r="W938" s="27">
        <f t="shared" si="333"/>
        <v>1.6709793357794805E-2</v>
      </c>
      <c r="X938" s="27">
        <f t="shared" si="333"/>
        <v>1.6763223659981074E-2</v>
      </c>
      <c r="Y938" s="27">
        <f t="shared" si="333"/>
        <v>1.6812226700055496E-2</v>
      </c>
      <c r="Z938" s="27">
        <f t="shared" si="333"/>
        <v>1.6857450212656173E-2</v>
      </c>
      <c r="AA938" s="27">
        <f t="shared" ref="L938:AW941" si="334">AA1401</f>
        <v>1.6898755484739163E-2</v>
      </c>
      <c r="AB938" s="27">
        <f t="shared" si="334"/>
        <v>1.6936566671667971E-2</v>
      </c>
      <c r="AC938" s="27">
        <f t="shared" si="334"/>
        <v>1.697149382994385E-2</v>
      </c>
      <c r="AD938" s="27">
        <f t="shared" si="334"/>
        <v>1.7003565100315018E-2</v>
      </c>
      <c r="AE938" s="27">
        <f t="shared" si="334"/>
        <v>1.7033334255161247E-2</v>
      </c>
      <c r="AF938" s="27">
        <f t="shared" si="334"/>
        <v>1.7060920227859537E-2</v>
      </c>
      <c r="AG938" s="27">
        <f t="shared" si="334"/>
        <v>1.7085986205962782E-2</v>
      </c>
      <c r="AH938" s="27">
        <f t="shared" si="334"/>
        <v>1.7108809785956688E-2</v>
      </c>
      <c r="AI938" s="27">
        <f t="shared" si="334"/>
        <v>1.712981031401661E-2</v>
      </c>
      <c r="AJ938" s="27">
        <f t="shared" si="334"/>
        <v>1.6586017575220102E-2</v>
      </c>
      <c r="AK938" s="27">
        <f t="shared" si="334"/>
        <v>1.6606977911339412E-2</v>
      </c>
      <c r="AL938" s="27">
        <f t="shared" si="334"/>
        <v>1.6626062012476617E-2</v>
      </c>
      <c r="AM938" s="27">
        <f t="shared" si="334"/>
        <v>1.664342433023323E-2</v>
      </c>
      <c r="AN938" s="27">
        <f t="shared" si="334"/>
        <v>1.6659243730537236E-2</v>
      </c>
      <c r="AO938" s="27">
        <f t="shared" si="334"/>
        <v>1.6673071131631082E-2</v>
      </c>
      <c r="AP938" s="27">
        <f t="shared" si="334"/>
        <v>1.6684616029064781E-2</v>
      </c>
      <c r="AQ938" s="27">
        <f t="shared" si="334"/>
        <v>1.6693857214200334E-2</v>
      </c>
      <c r="AR938" s="27">
        <f t="shared" si="334"/>
        <v>1.6700461030767416E-2</v>
      </c>
      <c r="AS938" s="27">
        <f t="shared" si="334"/>
        <v>1.6704063934453468E-2</v>
      </c>
      <c r="AT938" s="27">
        <f t="shared" si="334"/>
        <v>1.6704647334029751E-2</v>
      </c>
      <c r="AU938" s="27">
        <f t="shared" si="334"/>
        <v>1.6702295489105456E-2</v>
      </c>
      <c r="AV938" s="27">
        <f t="shared" si="334"/>
        <v>1.6697074170612902E-2</v>
      </c>
      <c r="AW938" s="27">
        <f t="shared" si="334"/>
        <v>1.668864228260674E-2</v>
      </c>
      <c r="AY938" s="79"/>
      <c r="AZ938" s="79"/>
    </row>
    <row r="939" spans="1:52" x14ac:dyDescent="0.25">
      <c r="A939" s="95" t="str">
        <f t="shared" si="326"/>
        <v>DS Goats MMCH4</v>
      </c>
      <c r="B939" s="95" t="s">
        <v>974</v>
      </c>
      <c r="C939" s="95" t="s">
        <v>1325</v>
      </c>
      <c r="D939" t="s">
        <v>15</v>
      </c>
      <c r="E939" t="s">
        <v>22</v>
      </c>
      <c r="F939" t="s">
        <v>19</v>
      </c>
      <c r="G939" t="s">
        <v>123</v>
      </c>
      <c r="H939" t="s">
        <v>1227</v>
      </c>
      <c r="I939" t="s">
        <v>121</v>
      </c>
      <c r="J939" t="s">
        <v>286</v>
      </c>
      <c r="K939" s="27">
        <f t="shared" si="333"/>
        <v>2.6592218800664803E-2</v>
      </c>
      <c r="L939" s="27">
        <f t="shared" si="334"/>
        <v>2.6661345733624896E-2</v>
      </c>
      <c r="M939" s="27">
        <f t="shared" si="334"/>
        <v>2.6756703894783639E-2</v>
      </c>
      <c r="N939" s="27">
        <f t="shared" si="334"/>
        <v>2.6872875319249701E-2</v>
      </c>
      <c r="O939" s="27">
        <f t="shared" si="334"/>
        <v>2.7009694315810229E-2</v>
      </c>
      <c r="P939" s="27">
        <f t="shared" si="334"/>
        <v>2.7166328132291764E-2</v>
      </c>
      <c r="Q939" s="27">
        <f t="shared" si="334"/>
        <v>2.7334899828466052E-2</v>
      </c>
      <c r="R939" s="27">
        <f t="shared" si="334"/>
        <v>2.7514742110372921E-2</v>
      </c>
      <c r="S939" s="27">
        <f t="shared" si="334"/>
        <v>2.7447647358155608E-2</v>
      </c>
      <c r="T939" s="27">
        <f t="shared" si="334"/>
        <v>2.7492566159553547E-2</v>
      </c>
      <c r="U939" s="27">
        <f t="shared" si="334"/>
        <v>2.8049985098492974E-2</v>
      </c>
      <c r="V939" s="27">
        <f t="shared" si="334"/>
        <v>2.80751686129566E-2</v>
      </c>
      <c r="W939" s="27">
        <f t="shared" si="334"/>
        <v>2.81418423136056E-2</v>
      </c>
      <c r="X939" s="27">
        <f t="shared" si="334"/>
        <v>2.8231827097181202E-2</v>
      </c>
      <c r="Y939" s="27">
        <f t="shared" si="334"/>
        <v>2.8314355695658353E-2</v>
      </c>
      <c r="Z939" s="27">
        <f t="shared" si="334"/>
        <v>2.8390518993026845E-2</v>
      </c>
      <c r="AA939" s="27">
        <f t="shared" si="334"/>
        <v>2.8460083375349849E-2</v>
      </c>
      <c r="AB939" s="27">
        <f t="shared" si="334"/>
        <v>2.8523763184995402E-2</v>
      </c>
      <c r="AC939" s="27">
        <f t="shared" si="334"/>
        <v>2.8582585850220259E-2</v>
      </c>
      <c r="AD939" s="27">
        <f t="shared" si="334"/>
        <v>2.8636598764339351E-2</v>
      </c>
      <c r="AE939" s="27">
        <f t="shared" si="334"/>
        <v>2.8686734564558631E-2</v>
      </c>
      <c r="AF939" s="27">
        <f t="shared" si="334"/>
        <v>2.873319355283693E-2</v>
      </c>
      <c r="AG939" s="27">
        <f t="shared" si="334"/>
        <v>2.8775408485608011E-2</v>
      </c>
      <c r="AH939" s="27">
        <f t="shared" si="334"/>
        <v>2.8813846877721389E-2</v>
      </c>
      <c r="AI939" s="27">
        <f t="shared" si="334"/>
        <v>2.884921497213825E-2</v>
      </c>
      <c r="AJ939" s="27">
        <f t="shared" si="334"/>
        <v>2.7933385004716402E-2</v>
      </c>
      <c r="AK939" s="27">
        <f t="shared" si="334"/>
        <v>2.7968685409771071E-2</v>
      </c>
      <c r="AL939" s="27">
        <f t="shared" si="334"/>
        <v>2.8000825948759214E-2</v>
      </c>
      <c r="AM939" s="27">
        <f t="shared" si="334"/>
        <v>2.8030066741750678E-2</v>
      </c>
      <c r="AN939" s="27">
        <f t="shared" si="334"/>
        <v>2.8056709026267227E-2</v>
      </c>
      <c r="AO939" s="27">
        <f t="shared" si="334"/>
        <v>2.8079996480088933E-2</v>
      </c>
      <c r="AP939" s="27">
        <f t="shared" si="334"/>
        <v>2.8099439849384365E-2</v>
      </c>
      <c r="AQ939" s="27">
        <f t="shared" si="334"/>
        <v>2.8115003415570192E-2</v>
      </c>
      <c r="AR939" s="27">
        <f t="shared" si="334"/>
        <v>2.8126125250563565E-2</v>
      </c>
      <c r="AS939" s="27">
        <f t="shared" si="334"/>
        <v>2.8132193090256906E-2</v>
      </c>
      <c r="AT939" s="27">
        <f t="shared" si="334"/>
        <v>2.8133175624183573E-2</v>
      </c>
      <c r="AU939" s="27">
        <f t="shared" si="334"/>
        <v>2.8129214758385396E-2</v>
      </c>
      <c r="AV939" s="27">
        <f t="shared" si="334"/>
        <v>2.8120421261150549E-2</v>
      </c>
      <c r="AW939" s="27">
        <f t="shared" si="334"/>
        <v>2.8106220674847984E-2</v>
      </c>
      <c r="AY939" s="79"/>
      <c r="AZ939" s="79"/>
    </row>
    <row r="940" spans="1:52" x14ac:dyDescent="0.25">
      <c r="A940" s="95" t="str">
        <f t="shared" si="326"/>
        <v>DS Horses MMCH4</v>
      </c>
      <c r="B940" s="95" t="s">
        <v>974</v>
      </c>
      <c r="C940" s="95" t="s">
        <v>1326</v>
      </c>
      <c r="D940" t="s">
        <v>15</v>
      </c>
      <c r="E940" t="s">
        <v>22</v>
      </c>
      <c r="F940" t="s">
        <v>20</v>
      </c>
      <c r="G940" t="s">
        <v>3</v>
      </c>
      <c r="H940" t="s">
        <v>1227</v>
      </c>
      <c r="I940" t="s">
        <v>121</v>
      </c>
      <c r="J940" t="s">
        <v>286</v>
      </c>
      <c r="K940" s="27">
        <f t="shared" si="333"/>
        <v>4.1336182129460552E-3</v>
      </c>
      <c r="L940" s="27">
        <f t="shared" si="334"/>
        <v>4.1536453250924088E-3</v>
      </c>
      <c r="M940" s="27">
        <f t="shared" si="334"/>
        <v>4.1840370126470534E-3</v>
      </c>
      <c r="N940" s="27">
        <f t="shared" si="334"/>
        <v>4.1905340987284578E-3</v>
      </c>
      <c r="O940" s="27">
        <f t="shared" si="334"/>
        <v>4.1812329246154597E-3</v>
      </c>
      <c r="P940" s="27">
        <f t="shared" si="334"/>
        <v>4.1564738854214557E-3</v>
      </c>
      <c r="Q940" s="27">
        <f t="shared" si="334"/>
        <v>4.142746062070715E-3</v>
      </c>
      <c r="R940" s="27">
        <f t="shared" si="334"/>
        <v>4.130408792135833E-3</v>
      </c>
      <c r="S940" s="27">
        <f t="shared" si="334"/>
        <v>3.9465365523139234E-3</v>
      </c>
      <c r="T940" s="27">
        <f t="shared" si="334"/>
        <v>4.0449031054022467E-3</v>
      </c>
      <c r="U940" s="27">
        <f t="shared" si="334"/>
        <v>8.6826637855320493E-3</v>
      </c>
      <c r="V940" s="27">
        <f t="shared" si="334"/>
        <v>8.7938640755687025E-3</v>
      </c>
      <c r="W940" s="27">
        <f t="shared" si="334"/>
        <v>8.8834218995517203E-3</v>
      </c>
      <c r="X940" s="27">
        <f t="shared" si="334"/>
        <v>8.9554975933649264E-3</v>
      </c>
      <c r="Y940" s="27">
        <f t="shared" si="334"/>
        <v>9.018105952641001E-3</v>
      </c>
      <c r="Z940" s="27">
        <f t="shared" si="334"/>
        <v>9.0705357904088645E-3</v>
      </c>
      <c r="AA940" s="27">
        <f t="shared" si="334"/>
        <v>9.1124930520699761E-3</v>
      </c>
      <c r="AB940" s="27">
        <f t="shared" si="334"/>
        <v>9.143466497408213E-3</v>
      </c>
      <c r="AC940" s="27">
        <f t="shared" si="334"/>
        <v>9.1629085267338015E-3</v>
      </c>
      <c r="AD940" s="27">
        <f t="shared" si="334"/>
        <v>9.1706067297579116E-3</v>
      </c>
      <c r="AE940" s="27">
        <f t="shared" si="334"/>
        <v>9.1661590701848112E-3</v>
      </c>
      <c r="AF940" s="27">
        <f t="shared" si="334"/>
        <v>9.149435618350802E-3</v>
      </c>
      <c r="AG940" s="27">
        <f t="shared" si="334"/>
        <v>9.120587540138371E-3</v>
      </c>
      <c r="AH940" s="27">
        <f t="shared" si="334"/>
        <v>9.0795393134023624E-3</v>
      </c>
      <c r="AI940" s="27">
        <f t="shared" si="334"/>
        <v>9.0262176145749634E-3</v>
      </c>
      <c r="AJ940" s="27">
        <f t="shared" si="334"/>
        <v>1.3289120185476511E-3</v>
      </c>
      <c r="AK940" s="27">
        <f t="shared" si="334"/>
        <v>1.3289120185476511E-3</v>
      </c>
      <c r="AL940" s="27">
        <f t="shared" si="334"/>
        <v>1.3289120185476511E-3</v>
      </c>
      <c r="AM940" s="27">
        <f t="shared" si="334"/>
        <v>1.3289120185476511E-3</v>
      </c>
      <c r="AN940" s="27">
        <f t="shared" si="334"/>
        <v>1.3289120185476511E-3</v>
      </c>
      <c r="AO940" s="27">
        <f t="shared" si="334"/>
        <v>1.3289120185476511E-3</v>
      </c>
      <c r="AP940" s="27">
        <f t="shared" si="334"/>
        <v>1.3289120185476511E-3</v>
      </c>
      <c r="AQ940" s="27">
        <f t="shared" si="334"/>
        <v>1.3289120185476511E-3</v>
      </c>
      <c r="AR940" s="27">
        <f t="shared" si="334"/>
        <v>1.3289120185476511E-3</v>
      </c>
      <c r="AS940" s="27">
        <f t="shared" si="334"/>
        <v>1.3289120185476511E-3</v>
      </c>
      <c r="AT940" s="27">
        <f t="shared" si="334"/>
        <v>1.3289120185476511E-3</v>
      </c>
      <c r="AU940" s="27">
        <f t="shared" si="334"/>
        <v>1.3289120185476511E-3</v>
      </c>
      <c r="AV940" s="27">
        <f t="shared" si="334"/>
        <v>1.3289120185476511E-3</v>
      </c>
      <c r="AW940" s="27">
        <f t="shared" si="334"/>
        <v>1.3289120185476511E-3</v>
      </c>
      <c r="AY940" s="79"/>
      <c r="AZ940" s="79"/>
    </row>
    <row r="941" spans="1:52" x14ac:dyDescent="0.25">
      <c r="A941" s="95" t="str">
        <f t="shared" si="326"/>
        <v>DS Mules MMCH4</v>
      </c>
      <c r="B941" s="95" t="s">
        <v>974</v>
      </c>
      <c r="C941" s="95" t="s">
        <v>1327</v>
      </c>
      <c r="D941" t="s">
        <v>15</v>
      </c>
      <c r="E941" t="s">
        <v>22</v>
      </c>
      <c r="F941" t="s">
        <v>140</v>
      </c>
      <c r="G941" t="s">
        <v>124</v>
      </c>
      <c r="H941" t="s">
        <v>1227</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25">
      <c r="A942" s="95" t="str">
        <f t="shared" si="326"/>
        <v>DS Swine MMCH4</v>
      </c>
      <c r="B942" s="95" t="s">
        <v>974</v>
      </c>
      <c r="C942" s="95" t="s">
        <v>1230</v>
      </c>
      <c r="D942" t="s">
        <v>15</v>
      </c>
      <c r="E942" t="s">
        <v>22</v>
      </c>
      <c r="F942" t="s">
        <v>21</v>
      </c>
      <c r="G942" t="s">
        <v>122</v>
      </c>
      <c r="H942" t="s">
        <v>1227</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23.279067868377393</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23.162916433064304</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22.12653281137495</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21.465278056857681</v>
      </c>
      <c r="S942" s="93">
        <f>IF('Net zero activities &amp; levers'!$C$12="Off",('Activity data'!AL17*EF!$H30)*kgtoGg,IF('Net zero activities &amp; levers'!$C$12="PB",('Activity data'!AL17*EF!$H30)*kgtoGg,IF('Net zero activities &amp; levers'!$C$12="MS",('Net zero Activity data'!AL17*EF!$H30)*kgtoGg,"ERROR")))</f>
        <v>19.312832226900145</v>
      </c>
      <c r="T942" s="93">
        <f>IF('Net zero activities &amp; levers'!$C$12="Off",('Activity data'!AM17*EF!$H30)*kgtoGg,IF('Net zero activities &amp; levers'!$C$12="PB",('Activity data'!AM17*EF!$H30)*kgtoGg,IF('Net zero activities &amp; levers'!$C$12="MS",('Net zero Activity data'!AM17*EF!$H30)*kgtoGg,"ERROR")))</f>
        <v>20.002458493758922</v>
      </c>
      <c r="U942" s="93">
        <f>IF('Net zero activities &amp; levers'!$C$12="Off",('Activity data'!AN17*EF!$H30)*kgtoGg,IF('Net zero activities &amp; levers'!$C$12="PB",('Activity data'!AN17*EF!$H30)*kgtoGg,IF('Net zero activities &amp; levers'!$C$12="MS",('Net zero Activity data'!AN17*EF!$H30)*kgtoGg,"ERROR")))</f>
        <v>63.938225509328625</v>
      </c>
      <c r="V942" s="93">
        <f>IF('Net zero activities &amp; levers'!$C$12="Off",('Activity data'!AO17*EF!$H30)*kgtoGg,IF('Net zero activities &amp; levers'!$C$12="PB",('Activity data'!AO17*EF!$H30)*kgtoGg,IF('Net zero activities &amp; levers'!$C$12="MS",('Net zero Activity data'!AO17*EF!$H30)*kgtoGg,"ERROR")))</f>
        <v>64.113496025150383</v>
      </c>
      <c r="W942" s="93">
        <f>IF('Net zero activities &amp; levers'!$C$12="Off",('Activity data'!AP17*EF!$H30)*kgtoGg,IF('Net zero activities &amp; levers'!$C$12="PB",('Activity data'!AP17*EF!$H30)*kgtoGg,IF('Net zero activities &amp; levers'!$C$12="MS",('Net zero Activity data'!AP17*EF!$H30)*kgtoGg,"ERROR")))</f>
        <v>64.178228567667873</v>
      </c>
      <c r="X942" s="93">
        <f>IF('Net zero activities &amp; levers'!$C$12="Off",('Activity data'!AQ17*EF!$H30)*kgtoGg,IF('Net zero activities &amp; levers'!$C$12="PB",('Activity data'!AQ17*EF!$H30)*kgtoGg,IF('Net zero activities &amp; levers'!$C$12="MS",('Net zero Activity data'!AQ17*EF!$H30)*kgtoGg,"ERROR")))</f>
        <v>64.135343897693133</v>
      </c>
      <c r="Y942" s="93">
        <f>IF('Net zero activities &amp; levers'!$C$12="Off",('Activity data'!AR17*EF!$H30)*kgtoGg,IF('Net zero activities &amp; levers'!$C$12="PB",('Activity data'!AR17*EF!$H30)*kgtoGg,IF('Net zero activities &amp; levers'!$C$12="MS",('Net zero Activity data'!AR17*EF!$H30)*kgtoGg,"ERROR")))</f>
        <v>63.991311737388052</v>
      </c>
      <c r="Z942" s="93">
        <f>IF('Net zero activities &amp; levers'!$C$12="Off",('Activity data'!AS17*EF!$H30)*kgtoGg,IF('Net zero activities &amp; levers'!$C$12="PB",('Activity data'!AS17*EF!$H30)*kgtoGg,IF('Net zero activities &amp; levers'!$C$12="MS",('Net zero Activity data'!AS17*EF!$H30)*kgtoGg,"ERROR")))</f>
        <v>63.744809060362954</v>
      </c>
      <c r="AA942" s="93">
        <f>IF('Net zero activities &amp; levers'!$C$12="Off",('Activity data'!AT17*EF!$H30)*kgtoGg,IF('Net zero activities &amp; levers'!$C$12="PB",('Activity data'!AT17*EF!$H30)*kgtoGg,IF('Net zero activities &amp; levers'!$C$12="MS",('Net zero Activity data'!AT17*EF!$H30)*kgtoGg,"ERROR")))</f>
        <v>63.395481625326759</v>
      </c>
      <c r="AB942" s="93">
        <f>IF('Net zero activities &amp; levers'!$C$12="Off",('Activity data'!AU17*EF!$H30)*kgtoGg,IF('Net zero activities &amp; levers'!$C$12="PB",('Activity data'!AU17*EF!$H30)*kgtoGg,IF('Net zero activities &amp; levers'!$C$12="MS",('Net zero Activity data'!AU17*EF!$H30)*kgtoGg,"ERROR")))</f>
        <v>62.943362188824892</v>
      </c>
      <c r="AC942" s="93">
        <f>IF('Net zero activities &amp; levers'!$C$12="Off",('Activity data'!AV17*EF!$H30)*kgtoGg,IF('Net zero activities &amp; levers'!$C$12="PB",('Activity data'!AV17*EF!$H30)*kgtoGg,IF('Net zero activities &amp; levers'!$C$12="MS",('Net zero Activity data'!AV17*EF!$H30)*kgtoGg,"ERROR")))</f>
        <v>62.389030635456976</v>
      </c>
      <c r="AD942" s="93">
        <f>IF('Net zero activities &amp; levers'!$C$12="Off",('Activity data'!AW17*EF!$H30)*kgtoGg,IF('Net zero activities &amp; levers'!$C$12="PB",('Activity data'!AW17*EF!$H30)*kgtoGg,IF('Net zero activities &amp; levers'!$C$12="MS",('Net zero Activity data'!AW17*EF!$H30)*kgtoGg,"ERROR")))</f>
        <v>61.733913705110233</v>
      </c>
      <c r="AE942" s="93">
        <f>IF('Net zero activities &amp; levers'!$C$12="Off",('Activity data'!AX17*EF!$H30)*kgtoGg,IF('Net zero activities &amp; levers'!$C$12="PB",('Activity data'!AX17*EF!$H30)*kgtoGg,IF('Net zero activities &amp; levers'!$C$12="MS",('Net zero Activity data'!AX17*EF!$H30)*kgtoGg,"ERROR")))</f>
        <v>60.979815772111941</v>
      </c>
      <c r="AF942" s="93">
        <f>IF('Net zero activities &amp; levers'!$C$12="Off",('Activity data'!AY17*EF!$H30)*kgtoGg,IF('Net zero activities &amp; levers'!$C$12="PB",('Activity data'!AY17*EF!$H30)*kgtoGg,IF('Net zero activities &amp; levers'!$C$12="MS",('Net zero Activity data'!AY17*EF!$H30)*kgtoGg,"ERROR")))</f>
        <v>60.129286570076758</v>
      </c>
      <c r="AG942" s="93">
        <f>IF('Net zero activities &amp; levers'!$C$12="Off",('Activity data'!AZ17*EF!$H30)*kgtoGg,IF('Net zero activities &amp; levers'!$C$12="PB",('Activity data'!AZ17*EF!$H30)*kgtoGg,IF('Net zero activities &amp; levers'!$C$12="MS",('Net zero Activity data'!AZ17*EF!$H30)*kgtoGg,"ERROR")))</f>
        <v>59.185593442917096</v>
      </c>
      <c r="AH942" s="93">
        <f>IF('Net zero activities &amp; levers'!$C$12="Off",('Activity data'!BA17*EF!$H30)*kgtoGg,IF('Net zero activities &amp; levers'!$C$12="PB",('Activity data'!BA17*EF!$H30)*kgtoGg,IF('Net zero activities &amp; levers'!$C$12="MS",('Net zero Activity data'!BA17*EF!$H30)*kgtoGg,"ERROR")))</f>
        <v>58.152275579872715</v>
      </c>
      <c r="AI942" s="93">
        <f>IF('Net zero activities &amp; levers'!$C$12="Off",('Activity data'!BB17*EF!$H30)*kgtoGg,IF('Net zero activities &amp; levers'!$C$12="PB",('Activity data'!BB17*EF!$H30)*kgtoGg,IF('Net zero activities &amp; levers'!$C$12="MS",('Net zero Activity data'!BB17*EF!$H30)*kgtoGg,"ERROR")))</f>
        <v>57.033304574173563</v>
      </c>
      <c r="AJ942" s="93">
        <f>IF('Net zero activities &amp; levers'!$C$12="Off",('Activity data'!BC17*EF!$H30)*kgtoGg,IF('Net zero activities &amp; levers'!$C$12="PB",('Activity data'!BC17*EF!$H30)*kgtoGg,IF('Net zero activities &amp; levers'!$C$12="MS",('Net zero Activity data'!BC17*EF!$H30)*kgtoGg,"ERROR")))</f>
        <v>-5.3144936119483299</v>
      </c>
      <c r="AK942" s="93">
        <f>IF('Net zero activities &amp; levers'!$C$12="Off",('Activity data'!BD17*EF!$H30)*kgtoGg,IF('Net zero activities &amp; levers'!$C$12="PB",('Activity data'!BD17*EF!$H30)*kgtoGg,IF('Net zero activities &amp; levers'!$C$12="MS",('Net zero Activity data'!BD17*EF!$H30)*kgtoGg,"ERROR")))</f>
        <v>-5.2569593669429695</v>
      </c>
      <c r="AL942" s="93">
        <f>IF('Net zero activities &amp; levers'!$C$12="Off",('Activity data'!BE17*EF!$H30)*kgtoGg,IF('Net zero activities &amp; levers'!$C$12="PB",('Activity data'!BE17*EF!$H30)*kgtoGg,IF('Net zero activities &amp; levers'!$C$12="MS",('Net zero Activity data'!BE17*EF!$H30)*kgtoGg,"ERROR")))</f>
        <v>-5.1992212819469339</v>
      </c>
      <c r="AM942" s="93">
        <f>IF('Net zero activities &amp; levers'!$C$12="Off",('Activity data'!BF17*EF!$H30)*kgtoGg,IF('Net zero activities &amp; levers'!$C$12="PB",('Activity data'!BF17*EF!$H30)*kgtoGg,IF('Net zero activities &amp; levers'!$C$12="MS",('Net zero Activity data'!BF17*EF!$H30)*kgtoGg,"ERROR")))</f>
        <v>-5.1413392574015706</v>
      </c>
      <c r="AN942" s="93">
        <f>IF('Net zero activities &amp; levers'!$C$12="Off",('Activity data'!BG17*EF!$H30)*kgtoGg,IF('Net zero activities &amp; levers'!$C$12="PB",('Activity data'!BG17*EF!$H30)*kgtoGg,IF('Net zero activities &amp; levers'!$C$12="MS",('Net zero Activity data'!BG17*EF!$H30)*kgtoGg,"ERROR")))</f>
        <v>-5.0833794948522248</v>
      </c>
      <c r="AO942" s="93">
        <f>IF('Net zero activities &amp; levers'!$C$12="Off",('Activity data'!BH17*EF!$H30)*kgtoGg,IF('Net zero activities &amp; levers'!$C$12="PB",('Activity data'!BH17*EF!$H30)*kgtoGg,IF('Net zero activities &amp; levers'!$C$12="MS",('Net zero Activity data'!BH17*EF!$H30)*kgtoGg,"ERROR")))</f>
        <v>-5.0251883541674571</v>
      </c>
      <c r="AP942" s="93">
        <f>IF('Net zero activities &amp; levers'!$C$12="Off",('Activity data'!BI17*EF!$H30)*kgtoGg,IF('Net zero activities &amp; levers'!$C$12="PB",('Activity data'!BI17*EF!$H30)*kgtoGg,IF('Net zero activities &amp; levers'!$C$12="MS",('Net zero Activity data'!BI17*EF!$H30)*kgtoGg,"ERROR")))</f>
        <v>-4.9666751294444857</v>
      </c>
      <c r="AQ942" s="93">
        <f>IF('Net zero activities &amp; levers'!$C$12="Off",('Activity data'!BJ17*EF!$H30)*kgtoGg,IF('Net zero activities &amp; levers'!$C$12="PB",('Activity data'!BJ17*EF!$H30)*kgtoGg,IF('Net zero activities &amp; levers'!$C$12="MS",('Net zero Activity data'!BJ17*EF!$H30)*kgtoGg,"ERROR")))</f>
        <v>-4.9078454730797514</v>
      </c>
      <c r="AR942" s="93">
        <f>IF('Net zero activities &amp; levers'!$C$12="Off",('Activity data'!BK17*EF!$H30)*kgtoGg,IF('Net zero activities &amp; levers'!$C$12="PB",('Activity data'!BK17*EF!$H30)*kgtoGg,IF('Net zero activities &amp; levers'!$C$12="MS",('Net zero Activity data'!BK17*EF!$H30)*kgtoGg,"ERROR")))</f>
        <v>-4.8486018943647</v>
      </c>
      <c r="AS942" s="93">
        <f>IF('Net zero activities &amp; levers'!$C$12="Off",('Activity data'!BL17*EF!$H30)*kgtoGg,IF('Net zero activities &amp; levers'!$C$12="PB",('Activity data'!BL17*EF!$H30)*kgtoGg,IF('Net zero activities &amp; levers'!$C$12="MS",('Net zero Activity data'!BL17*EF!$H30)*kgtoGg,"ERROR")))</f>
        <v>-4.7888432589736398</v>
      </c>
      <c r="AT942" s="93">
        <f>IF('Net zero activities &amp; levers'!$C$12="Off",('Activity data'!BM17*EF!$H30)*kgtoGg,IF('Net zero activities &amp; levers'!$C$12="PB",('Activity data'!BM17*EF!$H30)*kgtoGg,IF('Net zero activities &amp; levers'!$C$12="MS",('Net zero Activity data'!BM17*EF!$H30)*kgtoGg,"ERROR")))</f>
        <v>-4.7285865274691332</v>
      </c>
      <c r="AU942" s="93">
        <f>IF('Net zero activities &amp; levers'!$C$12="Off",('Activity data'!BN17*EF!$H30)*kgtoGg,IF('Net zero activities &amp; levers'!$C$12="PB",('Activity data'!BN17*EF!$H30)*kgtoGg,IF('Net zero activities &amp; levers'!$C$12="MS",('Net zero Activity data'!BN17*EF!$H30)*kgtoGg,"ERROR")))</f>
        <v>-4.667881841438601</v>
      </c>
      <c r="AV942" s="93">
        <f>IF('Net zero activities &amp; levers'!$C$12="Off",('Activity data'!BO17*EF!$H30)*kgtoGg,IF('Net zero activities &amp; levers'!$C$12="PB",('Activity data'!BO17*EF!$H30)*kgtoGg,IF('Net zero activities &amp; levers'!$C$12="MS",('Net zero Activity data'!BO17*EF!$H30)*kgtoGg,"ERROR")))</f>
        <v>-4.6067720913188221</v>
      </c>
      <c r="AW942" s="93">
        <f>IF('Net zero activities &amp; levers'!$C$12="Off",('Activity data'!BP17*EF!$H30)*kgtoGg,IF('Net zero activities &amp; levers'!$C$12="PB",('Activity data'!BP17*EF!$H30)*kgtoGg,IF('Net zero activities &amp; levers'!$C$12="MS",('Net zero Activity data'!BP17*EF!$H30)*kgtoGg,"ERROR")))</f>
        <v>-4.5451726737388229</v>
      </c>
      <c r="AY942" s="79"/>
      <c r="AZ942" s="79"/>
    </row>
    <row r="943" spans="1:52" x14ac:dyDescent="0.25">
      <c r="A943" s="95" t="str">
        <f t="shared" si="326"/>
        <v>DS Swine MMCH4</v>
      </c>
      <c r="B943" s="95" t="s">
        <v>974</v>
      </c>
      <c r="C943" s="95" t="s">
        <v>1230</v>
      </c>
      <c r="D943" t="s">
        <v>15</v>
      </c>
      <c r="E943" t="s">
        <v>22</v>
      </c>
      <c r="F943" t="s">
        <v>21</v>
      </c>
      <c r="G943" t="s">
        <v>123</v>
      </c>
      <c r="H943" t="s">
        <v>1227</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7.7932061732677776E-2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7.7543217949140597E-2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7.4073684167079393E-2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7.1859980996426681E-2</v>
      </c>
      <c r="S943" s="93">
        <f>IF('Net zero activities &amp; levers'!$C$12="Off",('Activity data'!AL18*EF!$H31)*kgtoGg,IF('Net zero activities &amp; levers'!$C$12="PB",('Activity data'!AL18*EF!$H31)*kgtoGg,IF('Net zero activities &amp; levers'!$C$12="MS",('Net zero Activity data'!AL18*EF!$H31)*kgtoGg,"ERROR")))</f>
        <v>6.4654170942306688E-2</v>
      </c>
      <c r="T943" s="93">
        <f>IF('Net zero activities &amp; levers'!$C$12="Off",('Activity data'!AM18*EF!$H31)*kgtoGg,IF('Net zero activities &amp; levers'!$C$12="PB",('Activity data'!AM18*EF!$H31)*kgtoGg,IF('Net zero activities &amp; levers'!$C$12="MS",('Net zero Activity data'!AM18*EF!$H31)*kgtoGg,"ERROR")))</f>
        <v>6.6962854309922146E-2</v>
      </c>
      <c r="U943" s="93">
        <f>IF('Net zero activities &amp; levers'!$C$12="Off",('Activity data'!AN18*EF!$H31)*kgtoGg,IF('Net zero activities &amp; levers'!$C$12="PB",('Activity data'!AN18*EF!$H31)*kgtoGg,IF('Net zero activities &amp; levers'!$C$12="MS",('Net zero Activity data'!AN18*EF!$H31)*kgtoGg,"ERROR")))</f>
        <v>0.21404799219815959</v>
      </c>
      <c r="V943" s="93">
        <f>IF('Net zero activities &amp; levers'!$C$12="Off",('Activity data'!AO18*EF!$H31)*kgtoGg,IF('Net zero activities &amp; levers'!$C$12="PB",('Activity data'!AO18*EF!$H31)*kgtoGg,IF('Net zero activities &amp; levers'!$C$12="MS",('Net zero Activity data'!AO18*EF!$H31)*kgtoGg,"ERROR")))</f>
        <v>0.21463475077183489</v>
      </c>
      <c r="W943" s="93">
        <f>IF('Net zero activities &amp; levers'!$C$12="Off",('Activity data'!AP18*EF!$H31)*kgtoGg,IF('Net zero activities &amp; levers'!$C$12="PB",('Activity data'!AP18*EF!$H31)*kgtoGg,IF('Net zero activities &amp; levers'!$C$12="MS",('Net zero Activity data'!AP18*EF!$H31)*kgtoGg,"ERROR")))</f>
        <v>0.21485145792386132</v>
      </c>
      <c r="X943" s="93">
        <f>IF('Net zero activities &amp; levers'!$C$12="Off",('Activity data'!AQ18*EF!$H31)*kgtoGg,IF('Net zero activities &amp; levers'!$C$12="PB",('Activity data'!AQ18*EF!$H31)*kgtoGg,IF('Net zero activities &amp; levers'!$C$12="MS",('Net zero Activity data'!AQ18*EF!$H31)*kgtoGg,"ERROR")))</f>
        <v>0.21470789157632744</v>
      </c>
      <c r="Y943" s="93">
        <f>IF('Net zero activities &amp; levers'!$C$12="Off",('Activity data'!AR18*EF!$H31)*kgtoGg,IF('Net zero activities &amp; levers'!$C$12="PB",('Activity data'!AR18*EF!$H31)*kgtoGg,IF('Net zero activities &amp; levers'!$C$12="MS",('Net zero Activity data'!AR18*EF!$H31)*kgtoGg,"ERROR")))</f>
        <v>0.21422571061994838</v>
      </c>
      <c r="Z943" s="93">
        <f>IF('Net zero activities &amp; levers'!$C$12="Off",('Activity data'!AS18*EF!$H31)*kgtoGg,IF('Net zero activities &amp; levers'!$C$12="PB",('Activity data'!AS18*EF!$H31)*kgtoGg,IF('Net zero activities &amp; levers'!$C$12="MS",('Net zero Activity data'!AS18*EF!$H31)*kgtoGg,"ERROR")))</f>
        <v>0.21340048591800548</v>
      </c>
      <c r="AA943" s="93">
        <f>IF('Net zero activities &amp; levers'!$C$12="Off",('Activity data'!AT18*EF!$H31)*kgtoGg,IF('Net zero activities &amp; levers'!$C$12="PB",('Activity data'!AT18*EF!$H31)*kgtoGg,IF('Net zero activities &amp; levers'!$C$12="MS",('Net zero Activity data'!AT18*EF!$H31)*kgtoGg,"ERROR")))</f>
        <v>0.21223103156587736</v>
      </c>
      <c r="AB943" s="93">
        <f>IF('Net zero activities &amp; levers'!$C$12="Off",('Activity data'!AU18*EF!$H31)*kgtoGg,IF('Net zero activities &amp; levers'!$C$12="PB",('Activity data'!AU18*EF!$H31)*kgtoGg,IF('Net zero activities &amp; levers'!$C$12="MS",('Net zero Activity data'!AU18*EF!$H31)*kgtoGg,"ERROR")))</f>
        <v>0.21071745722367313</v>
      </c>
      <c r="AC943" s="93">
        <f>IF('Net zero activities &amp; levers'!$C$12="Off",('Activity data'!AV18*EF!$H31)*kgtoGg,IF('Net zero activities &amp; levers'!$C$12="PB",('Activity data'!AV18*EF!$H31)*kgtoGg,IF('Net zero activities &amp; levers'!$C$12="MS",('Net zero Activity data'!AV18*EF!$H31)*kgtoGg,"ERROR")))</f>
        <v>0.20886170418915742</v>
      </c>
      <c r="AD943" s="93">
        <f>IF('Net zero activities &amp; levers'!$C$12="Off",('Activity data'!AW18*EF!$H31)*kgtoGg,IF('Net zero activities &amp; levers'!$C$12="PB",('Activity data'!AW18*EF!$H31)*kgtoGg,IF('Net zero activities &amp; levers'!$C$12="MS",('Net zero Activity data'!AW18*EF!$H31)*kgtoGg,"ERROR")))</f>
        <v>0.20666854880396013</v>
      </c>
      <c r="AE943" s="93">
        <f>IF('Net zero activities &amp; levers'!$C$12="Off",('Activity data'!AX18*EF!$H31)*kgtoGg,IF('Net zero activities &amp; levers'!$C$12="PB",('Activity data'!AX18*EF!$H31)*kgtoGg,IF('Net zero activities &amp; levers'!$C$12="MS",('Net zero Activity data'!AX18*EF!$H31)*kgtoGg,"ERROR")))</f>
        <v>0.20414403162830727</v>
      </c>
      <c r="AF943" s="93">
        <f>IF('Net zero activities &amp; levers'!$C$12="Off",('Activity data'!AY18*EF!$H31)*kgtoGg,IF('Net zero activities &amp; levers'!$C$12="PB",('Activity data'!AY18*EF!$H31)*kgtoGg,IF('Net zero activities &amp; levers'!$C$12="MS",('Net zero Activity data'!AY18*EF!$H31)*kgtoGg,"ERROR")))</f>
        <v>0.20129668848496379</v>
      </c>
      <c r="AG943" s="93">
        <f>IF('Net zero activities &amp; levers'!$C$12="Off",('Activity data'!AZ18*EF!$H31)*kgtoGg,IF('Net zero activities &amp; levers'!$C$12="PB",('Activity data'!AZ18*EF!$H31)*kgtoGg,IF('Net zero activities &amp; levers'!$C$12="MS",('Net zero Activity data'!AZ18*EF!$H31)*kgtoGg,"ERROR")))</f>
        <v>0.19813745756307569</v>
      </c>
      <c r="AH943" s="93">
        <f>IF('Net zero activities &amp; levers'!$C$12="Off",('Activity data'!BA18*EF!$H31)*kgtoGg,IF('Net zero activities &amp; levers'!$C$12="PB",('Activity data'!BA18*EF!$H31)*kgtoGg,IF('Net zero activities &amp; levers'!$C$12="MS",('Net zero Activity data'!BA18*EF!$H31)*kgtoGg,"ERROR")))</f>
        <v>0.19467818711687174</v>
      </c>
      <c r="AI943" s="93">
        <f>IF('Net zero activities &amp; levers'!$C$12="Off",('Activity data'!BB18*EF!$H31)*kgtoGg,IF('Net zero activities &amp; levers'!$C$12="PB",('Activity data'!BB18*EF!$H31)*kgtoGg,IF('Net zero activities &amp; levers'!$C$12="MS",('Net zero Activity data'!BB18*EF!$H31)*kgtoGg,"ERROR")))</f>
        <v>0.19093217297290849</v>
      </c>
      <c r="AJ943" s="93">
        <f>IF('Net zero activities &amp; levers'!$C$12="Off",('Activity data'!BC18*EF!$H31)*kgtoGg,IF('Net zero activities &amp; levers'!$C$12="PB",('Activity data'!BC18*EF!$H31)*kgtoGg,IF('Net zero activities &amp; levers'!$C$12="MS",('Net zero Activity data'!BC18*EF!$H31)*kgtoGg,"ERROR")))</f>
        <v>-1.7791496059294212E-2</v>
      </c>
      <c r="AK943" s="93">
        <f>IF('Net zero activities &amp; levers'!$C$12="Off",('Activity data'!BD18*EF!$H31)*kgtoGg,IF('Net zero activities &amp; levers'!$C$12="PB",('Activity data'!BD18*EF!$H31)*kgtoGg,IF('Net zero activities &amp; levers'!$C$12="MS",('Net zero Activity data'!BD18*EF!$H31)*kgtoGg,"ERROR")))</f>
        <v>-1.759888687241214E-2</v>
      </c>
      <c r="AL943" s="93">
        <f>IF('Net zero activities &amp; levers'!$C$12="Off",('Activity data'!BE18*EF!$H31)*kgtoGg,IF('Net zero activities &amp; levers'!$C$12="PB",('Activity data'!BE18*EF!$H31)*kgtoGg,IF('Net zero activities &amp; levers'!$C$12="MS",('Net zero Activity data'!BE18*EF!$H31)*kgtoGg,"ERROR")))</f>
        <v>-1.7405595284034153E-2</v>
      </c>
      <c r="AM943" s="93">
        <f>IF('Net zero activities &amp; levers'!$C$12="Off",('Activity data'!BF18*EF!$H31)*kgtoGg,IF('Net zero activities &amp; levers'!$C$12="PB",('Activity data'!BF18*EF!$H31)*kgtoGg,IF('Net zero activities &amp; levers'!$C$12="MS",('Net zero Activity data'!BF18*EF!$H31)*kgtoGg,"ERROR")))</f>
        <v>-1.7211821824736444E-2</v>
      </c>
      <c r="AN943" s="93">
        <f>IF('Net zero activities &amp; levers'!$C$12="Off",('Activity data'!BG18*EF!$H31)*kgtoGg,IF('Net zero activities &amp; levers'!$C$12="PB",('Activity data'!BG18*EF!$H31)*kgtoGg,IF('Net zero activities &amp; levers'!$C$12="MS",('Net zero Activity data'!BG18*EF!$H31)*kgtoGg,"ERROR")))</f>
        <v>-1.7017788119497636E-2</v>
      </c>
      <c r="AO943" s="93">
        <f>IF('Net zero activities &amp; levers'!$C$12="Off",('Activity data'!BH18*EF!$H31)*kgtoGg,IF('Net zero activities &amp; levers'!$C$12="PB",('Activity data'!BH18*EF!$H31)*kgtoGg,IF('Net zero activities &amp; levers'!$C$12="MS",('Net zero Activity data'!BH18*EF!$H31)*kgtoGg,"ERROR")))</f>
        <v>-1.6822979822456646E-2</v>
      </c>
      <c r="AP943" s="93">
        <f>IF('Net zero activities &amp; levers'!$C$12="Off",('Activity data'!BI18*EF!$H31)*kgtoGg,IF('Net zero activities &amp; levers'!$C$12="PB",('Activity data'!BI18*EF!$H31)*kgtoGg,IF('Net zero activities &amp; levers'!$C$12="MS",('Net zero Activity data'!BI18*EF!$H31)*kgtoGg,"ERROR")))</f>
        <v>-1.6627093274633003E-2</v>
      </c>
      <c r="AQ943" s="93">
        <f>IF('Net zero activities &amp; levers'!$C$12="Off",('Activity data'!BJ18*EF!$H31)*kgtoGg,IF('Net zero activities &amp; levers'!$C$12="PB",('Activity data'!BJ18*EF!$H31)*kgtoGg,IF('Net zero activities &amp; levers'!$C$12="MS",('Net zero Activity data'!BJ18*EF!$H31)*kgtoGg,"ERROR")))</f>
        <v>-1.6430147398730621E-2</v>
      </c>
      <c r="AR943" s="93">
        <f>IF('Net zero activities &amp; levers'!$C$12="Off",('Activity data'!BK18*EF!$H31)*kgtoGg,IF('Net zero activities &amp; levers'!$C$12="PB",('Activity data'!BK18*EF!$H31)*kgtoGg,IF('Net zero activities &amp; levers'!$C$12="MS",('Net zero Activity data'!BK18*EF!$H31)*kgtoGg,"ERROR")))</f>
        <v>-1.6231815822063071E-2</v>
      </c>
      <c r="AS943" s="93">
        <f>IF('Net zero activities &amp; levers'!$C$12="Off",('Activity data'!BL18*EF!$H31)*kgtoGg,IF('Net zero activities &amp; levers'!$C$12="PB",('Activity data'!BL18*EF!$H31)*kgtoGg,IF('Net zero activities &amp; levers'!$C$12="MS",('Net zero Activity data'!BL18*EF!$H31)*kgtoGg,"ERROR")))</f>
        <v>-1.6031759974093191E-2</v>
      </c>
      <c r="AT943" s="93">
        <f>IF('Net zero activities &amp; levers'!$C$12="Off",('Activity data'!BM18*EF!$H31)*kgtoGg,IF('Net zero activities &amp; levers'!$C$12="PB",('Activity data'!BM18*EF!$H31)*kgtoGg,IF('Net zero activities &amp; levers'!$C$12="MS",('Net zero Activity data'!BM18*EF!$H31)*kgtoGg,"ERROR")))</f>
        <v>-1.5830036634225372E-2</v>
      </c>
      <c r="AU943" s="93">
        <f>IF('Net zero activities &amp; levers'!$C$12="Off",('Activity data'!BN18*EF!$H31)*kgtoGg,IF('Net zero activities &amp; levers'!$C$12="PB",('Activity data'!BN18*EF!$H31)*kgtoGg,IF('Net zero activities &amp; levers'!$C$12="MS",('Net zero Activity data'!BN18*EF!$H31)*kgtoGg,"ERROR")))</f>
        <v>-1.5626813663016086E-2</v>
      </c>
      <c r="AV943" s="93">
        <f>IF('Net zero activities &amp; levers'!$C$12="Off",('Activity data'!BO18*EF!$H31)*kgtoGg,IF('Net zero activities &amp; levers'!$C$12="PB",('Activity data'!BO18*EF!$H31)*kgtoGg,IF('Net zero activities &amp; levers'!$C$12="MS",('Net zero Activity data'!BO18*EF!$H31)*kgtoGg,"ERROR")))</f>
        <v>-1.5422234646118577E-2</v>
      </c>
      <c r="AW943" s="93">
        <f>IF('Net zero activities &amp; levers'!$C$12="Off",('Activity data'!BP18*EF!$H31)*kgtoGg,IF('Net zero activities &amp; levers'!$C$12="PB",('Activity data'!BP18*EF!$H31)*kgtoGg,IF('Net zero activities &amp; levers'!$C$12="MS",('Net zero Activity data'!BP18*EF!$H31)*kgtoGg,"ERROR")))</f>
        <v>-1.5216016354188486E-2</v>
      </c>
      <c r="AY943" s="79"/>
      <c r="AZ943" s="79"/>
    </row>
    <row r="944" spans="1:52" x14ac:dyDescent="0.25">
      <c r="A944" s="95" t="str">
        <f t="shared" si="326"/>
        <v>DS Poultry MMCH4</v>
      </c>
      <c r="B944" s="95" t="s">
        <v>974</v>
      </c>
      <c r="C944" s="95" t="s">
        <v>1231</v>
      </c>
      <c r="D944" t="s">
        <v>15</v>
      </c>
      <c r="E944" t="s">
        <v>22</v>
      </c>
      <c r="F944" t="s">
        <v>28</v>
      </c>
      <c r="G944" t="s">
        <v>131</v>
      </c>
      <c r="H944" t="s">
        <v>1227</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0.59052015237226141</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0.60475451589519713</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0.62068986953889782</v>
      </c>
      <c r="S944" s="93">
        <f>IF('Net zero activities &amp; levers'!$C$12="Off",('Activity data'!AL19*EF!$H32)*kgtoGg,IF('Net zero activities &amp; levers'!$C$12="PB",('Activity data'!AL19*EF!$H32)*kgtoGg,IF('Net zero activities &amp; levers'!$C$12="MS",('Net zero Activity data'!AL19*EF!$H32)*kgtoGg,"ERROR")))</f>
        <v>0.59622101179856346</v>
      </c>
      <c r="T944" s="93">
        <f>IF('Net zero activities &amp; levers'!$C$12="Off",('Activity data'!AM19*EF!$H32)*kgtoGg,IF('Net zero activities &amp; levers'!$C$12="PB",('Activity data'!AM19*EF!$H32)*kgtoGg,IF('Net zero activities &amp; levers'!$C$12="MS",('Net zero Activity data'!AM19*EF!$H32)*kgtoGg,"ERROR")))</f>
        <v>0.61809135680643945</v>
      </c>
      <c r="U944" s="93">
        <f>IF('Net zero activities &amp; levers'!$C$12="Off",('Activity data'!AN19*EF!$H32)*kgtoGg,IF('Net zero activities &amp; levers'!$C$12="PB",('Activity data'!AN19*EF!$H32)*kgtoGg,IF('Net zero activities &amp; levers'!$C$12="MS",('Net zero Activity data'!AN19*EF!$H32)*kgtoGg,"ERROR")))</f>
        <v>1.373668837271812</v>
      </c>
      <c r="V944" s="93">
        <f>IF('Net zero activities &amp; levers'!$C$12="Off",('Activity data'!AO19*EF!$H32)*kgtoGg,IF('Net zero activities &amp; levers'!$C$12="PB",('Activity data'!AO19*EF!$H32)*kgtoGg,IF('Net zero activities &amp; levers'!$C$12="MS",('Net zero Activity data'!AO19*EF!$H32)*kgtoGg,"ERROR")))</f>
        <v>1.4038681554321815</v>
      </c>
      <c r="W944" s="93">
        <f>IF('Net zero activities &amp; levers'!$C$12="Off",('Activity data'!AP19*EF!$H32)*kgtoGg,IF('Net zero activities &amp; levers'!$C$12="PB",('Activity data'!AP19*EF!$H32)*kgtoGg,IF('Net zero activities &amp; levers'!$C$12="MS",('Net zero Activity data'!AP19*EF!$H32)*kgtoGg,"ERROR")))</f>
        <v>1.4328290155562637</v>
      </c>
      <c r="X944" s="93">
        <f>IF('Net zero activities &amp; levers'!$C$12="Off",('Activity data'!AQ19*EF!$H32)*kgtoGg,IF('Net zero activities &amp; levers'!$C$12="PB",('Activity data'!AQ19*EF!$H32)*kgtoGg,IF('Net zero activities &amp; levers'!$C$12="MS",('Net zero Activity data'!AQ19*EF!$H32)*kgtoGg,"ERROR")))</f>
        <v>1.460295648957926</v>
      </c>
      <c r="Y944" s="93">
        <f>IF('Net zero activities &amp; levers'!$C$12="Off",('Activity data'!AR19*EF!$H32)*kgtoGg,IF('Net zero activities &amp; levers'!$C$12="PB",('Activity data'!AR19*EF!$H32)*kgtoGg,IF('Net zero activities &amp; levers'!$C$12="MS",('Net zero Activity data'!AR19*EF!$H32)*kgtoGg,"ERROR")))</f>
        <v>1.4859212180508141</v>
      </c>
      <c r="Z944" s="93">
        <f>IF('Net zero activities &amp; levers'!$C$12="Off",('Activity data'!AS19*EF!$H32)*kgtoGg,IF('Net zero activities &amp; levers'!$C$12="PB",('Activity data'!AS19*EF!$H32)*kgtoGg,IF('Net zero activities &amp; levers'!$C$12="MS",('Net zero Activity data'!AS19*EF!$H32)*kgtoGg,"ERROR")))</f>
        <v>1.5095937275054243</v>
      </c>
      <c r="AA944" s="93">
        <f>IF('Net zero activities &amp; levers'!$C$12="Off",('Activity data'!AT19*EF!$H32)*kgtoGg,IF('Net zero activities &amp; levers'!$C$12="PB",('Activity data'!AT19*EF!$H32)*kgtoGg,IF('Net zero activities &amp; levers'!$C$12="MS",('Net zero Activity data'!AT19*EF!$H32)*kgtoGg,"ERROR")))</f>
        <v>1.5311992010813591</v>
      </c>
      <c r="AB944" s="93">
        <f>IF('Net zero activities &amp; levers'!$C$12="Off",('Activity data'!AU19*EF!$H32)*kgtoGg,IF('Net zero activities &amp; levers'!$C$12="PB",('Activity data'!AU19*EF!$H32)*kgtoGg,IF('Net zero activities &amp; levers'!$C$12="MS",('Net zero Activity data'!AU19*EF!$H32)*kgtoGg,"ERROR")))</f>
        <v>1.5506393195302268</v>
      </c>
      <c r="AC944" s="93">
        <f>IF('Net zero activities &amp; levers'!$C$12="Off",('Activity data'!AV19*EF!$H32)*kgtoGg,IF('Net zero activities &amp; levers'!$C$12="PB",('Activity data'!AV19*EF!$H32)*kgtoGg,IF('Net zero activities &amp; levers'!$C$12="MS",('Net zero Activity data'!AV19*EF!$H32)*kgtoGg,"ERROR")))</f>
        <v>1.5678278043895033</v>
      </c>
      <c r="AD944" s="93">
        <f>IF('Net zero activities &amp; levers'!$C$12="Off",('Activity data'!AW19*EF!$H32)*kgtoGg,IF('Net zero activities &amp; levers'!$C$12="PB",('Activity data'!AW19*EF!$H32)*kgtoGg,IF('Net zero activities &amp; levers'!$C$12="MS",('Net zero Activity data'!AW19*EF!$H32)*kgtoGg,"ERROR")))</f>
        <v>1.5826815313976288</v>
      </c>
      <c r="AE944" s="93">
        <f>IF('Net zero activities &amp; levers'!$C$12="Off",('Activity data'!AX19*EF!$H32)*kgtoGg,IF('Net zero activities &amp; levers'!$C$12="PB",('Activity data'!AX19*EF!$H32)*kgtoGg,IF('Net zero activities &amp; levers'!$C$12="MS",('Net zero Activity data'!AX19*EF!$H32)*kgtoGg,"ERROR")))</f>
        <v>1.5951352940969563</v>
      </c>
      <c r="AF944" s="93">
        <f>IF('Net zero activities &amp; levers'!$C$12="Off",('Activity data'!AY19*EF!$H32)*kgtoGg,IF('Net zero activities &amp; levers'!$C$12="PB",('Activity data'!AY19*EF!$H32)*kgtoGg,IF('Net zero activities &amp; levers'!$C$12="MS",('Net zero Activity data'!AY19*EF!$H32)*kgtoGg,"ERROR")))</f>
        <v>1.6051302673357504</v>
      </c>
      <c r="AG944" s="93">
        <f>IF('Net zero activities &amp; levers'!$C$12="Off",('Activity data'!AZ19*EF!$H32)*kgtoGg,IF('Net zero activities &amp; levers'!$C$12="PB",('Activity data'!AZ19*EF!$H32)*kgtoGg,IF('Net zero activities &amp; levers'!$C$12="MS",('Net zero Activity data'!AZ19*EF!$H32)*kgtoGg,"ERROR")))</f>
        <v>1.6126141322836316</v>
      </c>
      <c r="AH944" s="93">
        <f>IF('Net zero activities &amp; levers'!$C$12="Off",('Activity data'!BA19*EF!$H32)*kgtoGg,IF('Net zero activities &amp; levers'!$C$12="PB",('Activity data'!BA19*EF!$H32)*kgtoGg,IF('Net zero activities &amp; levers'!$C$12="MS",('Net zero Activity data'!BA19*EF!$H32)*kgtoGg,"ERROR")))</f>
        <v>1.6175553910519496</v>
      </c>
      <c r="AI944" s="93">
        <f>IF('Net zero activities &amp; levers'!$C$12="Off",('Activity data'!BB19*EF!$H32)*kgtoGg,IF('Net zero activities &amp; levers'!$C$12="PB",('Activity data'!BB19*EF!$H32)*kgtoGg,IF('Net zero activities &amp; levers'!$C$12="MS",('Net zero Activity data'!BB19*EF!$H32)*kgtoGg,"ERROR")))</f>
        <v>1.6199377421840562</v>
      </c>
      <c r="AJ944" s="93">
        <f>IF('Net zero activities &amp; levers'!$C$12="Off",('Activity data'!BC19*EF!$H32)*kgtoGg,IF('Net zero activities &amp; levers'!$C$12="PB",('Activity data'!BC19*EF!$H32)*kgtoGg,IF('Net zero activities &amp; levers'!$C$12="MS",('Net zero Activity data'!BC19*EF!$H32)*kgtoGg,"ERROR")))</f>
        <v>0.21118052827101272</v>
      </c>
      <c r="AK944" s="93">
        <f>IF('Net zero activities &amp; levers'!$C$12="Off",('Activity data'!BD19*EF!$H32)*kgtoGg,IF('Net zero activities &amp; levers'!$C$12="PB",('Activity data'!BD19*EF!$H32)*kgtoGg,IF('Net zero activities &amp; levers'!$C$12="MS",('Net zero Activity data'!BD19*EF!$H32)*kgtoGg,"ERROR")))</f>
        <v>0.21273045495969528</v>
      </c>
      <c r="AL944" s="93">
        <f>IF('Net zero activities &amp; levers'!$C$12="Off",('Activity data'!BE19*EF!$H32)*kgtoGg,IF('Net zero activities &amp; levers'!$C$12="PB",('Activity data'!BE19*EF!$H32)*kgtoGg,IF('Net zero activities &amp; levers'!$C$12="MS",('Net zero Activity data'!BE19*EF!$H32)*kgtoGg,"ERROR")))</f>
        <v>0.21424196096407097</v>
      </c>
      <c r="AM944" s="93">
        <f>IF('Net zero activities &amp; levers'!$C$12="Off",('Activity data'!BF19*EF!$H32)*kgtoGg,IF('Net zero activities &amp; levers'!$C$12="PB",('Activity data'!BF19*EF!$H32)*kgtoGg,IF('Net zero activities &amp; levers'!$C$12="MS",('Net zero Activity data'!BF19*EF!$H32)*kgtoGg,"ERROR")))</f>
        <v>0.21571732327397183</v>
      </c>
      <c r="AN944" s="93">
        <f>IF('Net zero activities &amp; levers'!$C$12="Off",('Activity data'!BG19*EF!$H32)*kgtoGg,IF('Net zero activities &amp; levers'!$C$12="PB",('Activity data'!BG19*EF!$H32)*kgtoGg,IF('Net zero activities &amp; levers'!$C$12="MS",('Net zero Activity data'!BG19*EF!$H32)*kgtoGg,"ERROR")))</f>
        <v>0.21715916671304386</v>
      </c>
      <c r="AO944" s="93">
        <f>IF('Net zero activities &amp; levers'!$C$12="Off",('Activity data'!BH19*EF!$H32)*kgtoGg,IF('Net zero activities &amp; levers'!$C$12="PB",('Activity data'!BH19*EF!$H32)*kgtoGg,IF('Net zero activities &amp; levers'!$C$12="MS",('Net zero Activity data'!BH19*EF!$H32)*kgtoGg,"ERROR")))</f>
        <v>0.2185615794759829</v>
      </c>
      <c r="AP944" s="93">
        <f>IF('Net zero activities &amp; levers'!$C$12="Off",('Activity data'!BI19*EF!$H32)*kgtoGg,IF('Net zero activities &amp; levers'!$C$12="PB",('Activity data'!BI19*EF!$H32)*kgtoGg,IF('Net zero activities &amp; levers'!$C$12="MS",('Net zero Activity data'!BI19*EF!$H32)*kgtoGg,"ERROR")))</f>
        <v>0.21992066841646388</v>
      </c>
      <c r="AQ944" s="93">
        <f>IF('Net zero activities &amp; levers'!$C$12="Off",('Activity data'!BJ19*EF!$H32)*kgtoGg,IF('Net zero activities &amp; levers'!$C$12="PB",('Activity data'!BJ19*EF!$H32)*kgtoGg,IF('Net zero activities &amp; levers'!$C$12="MS",('Net zero Activity data'!BJ19*EF!$H32)*kgtoGg,"ERROR")))</f>
        <v>0.22123614681909931</v>
      </c>
      <c r="AR944" s="93">
        <f>IF('Net zero activities &amp; levers'!$C$12="Off",('Activity data'!BK19*EF!$H32)*kgtoGg,IF('Net zero activities &amp; levers'!$C$12="PB",('Activity data'!BK19*EF!$H32)*kgtoGg,IF('Net zero activities &amp; levers'!$C$12="MS",('Net zero Activity data'!BK19*EF!$H32)*kgtoGg,"ERROR")))</f>
        <v>0.22250337724956543</v>
      </c>
      <c r="AS944" s="93">
        <f>IF('Net zero activities &amp; levers'!$C$12="Off",('Activity data'!BL19*EF!$H32)*kgtoGg,IF('Net zero activities &amp; levers'!$C$12="PB",('Activity data'!BL19*EF!$H32)*kgtoGg,IF('Net zero activities &amp; levers'!$C$12="MS",('Net zero Activity data'!BL19*EF!$H32)*kgtoGg,"ERROR")))</f>
        <v>0.22371719705711082</v>
      </c>
      <c r="AT944" s="93">
        <f>IF('Net zero activities &amp; levers'!$C$12="Off",('Activity data'!BM19*EF!$H32)*kgtoGg,IF('Net zero activities &amp; levers'!$C$12="PB",('Activity data'!BM19*EF!$H32)*kgtoGg,IF('Net zero activities &amp; levers'!$C$12="MS",('Net zero Activity data'!BM19*EF!$H32)*kgtoGg,"ERROR")))</f>
        <v>0.22487715475079265</v>
      </c>
      <c r="AU944" s="93">
        <f>IF('Net zero activities &amp; levers'!$C$12="Off",('Activity data'!BN19*EF!$H32)*kgtoGg,IF('Net zero activities &amp; levers'!$C$12="PB",('Activity data'!BN19*EF!$H32)*kgtoGg,IF('Net zero activities &amp; levers'!$C$12="MS",('Net zero Activity data'!BN19*EF!$H32)*kgtoGg,"ERROR")))</f>
        <v>0.22598422868600801</v>
      </c>
      <c r="AV944" s="93">
        <f>IF('Net zero activities &amp; levers'!$C$12="Off",('Activity data'!BO19*EF!$H32)*kgtoGg,IF('Net zero activities &amp; levers'!$C$12="PB",('Activity data'!BO19*EF!$H32)*kgtoGg,IF('Net zero activities &amp; levers'!$C$12="MS",('Net zero Activity data'!BO19*EF!$H32)*kgtoGg,"ERROR")))</f>
        <v>0.22703914928135227</v>
      </c>
      <c r="AW944" s="93">
        <f>IF('Net zero activities &amp; levers'!$C$12="Off",('Activity data'!BP19*EF!$H32)*kgtoGg,IF('Net zero activities &amp; levers'!$C$12="PB",('Activity data'!BP19*EF!$H32)*kgtoGg,IF('Net zero activities &amp; levers'!$C$12="MS",('Net zero Activity data'!BP19*EF!$H32)*kgtoGg,"ERROR")))</f>
        <v>0.22803688221361912</v>
      </c>
      <c r="AY944" s="79"/>
      <c r="AZ944" s="79"/>
    </row>
    <row r="945" spans="1:52" x14ac:dyDescent="0.25">
      <c r="A945" s="95" t="str">
        <f t="shared" si="326"/>
        <v>DS Poultry MMCH4</v>
      </c>
      <c r="B945" s="95" t="s">
        <v>974</v>
      </c>
      <c r="C945" s="95" t="s">
        <v>1231</v>
      </c>
      <c r="D945" t="s">
        <v>15</v>
      </c>
      <c r="E945" t="s">
        <v>22</v>
      </c>
      <c r="F945" t="s">
        <v>28</v>
      </c>
      <c r="G945" t="s">
        <v>132</v>
      </c>
      <c r="H945" t="s">
        <v>1227</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2.2100196981344116</v>
      </c>
      <c r="L945" s="93">
        <f>IF('Net zero activities &amp; levers'!$C$12="Off",('Activity data'!AE20*EF!$H33)*kgtoGg,IF('Net zero activities &amp; levers'!$C$12="PB",('Activity data'!AE20*EF!$H33)*kgtoGg,IF('Net zero activities &amp; levers'!$C$12="MS",('Net zero Activity data'!AE20*EF!$H33)*kgtoGg,"ERROR")))</f>
        <v>2.2391217074451495</v>
      </c>
      <c r="M945" s="93">
        <f>IF('Net zero activities &amp; levers'!$C$12="Off",('Activity data'!AF20*EF!$H33)*kgtoGg,IF('Net zero activities &amp; levers'!$C$12="PB",('Activity data'!AF20*EF!$H33)*kgtoGg,IF('Net zero activities &amp; levers'!$C$12="MS",('Net zero Activity data'!AF20*EF!$H33)*kgtoGg,"ERROR")))</f>
        <v>2.2858678822724832</v>
      </c>
      <c r="N945" s="93">
        <f>IF('Net zero activities &amp; levers'!$C$12="Off",('Activity data'!AG20*EF!$H33)*kgtoGg,IF('Net zero activities &amp; levers'!$C$12="PB",('Activity data'!AG20*EF!$H33)*kgtoGg,IF('Net zero activities &amp; levers'!$C$12="MS",('Net zero Activity data'!AG20*EF!$H33)*kgtoGg,"ERROR")))</f>
        <v>2.29929007480786</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2.2612642885898926</v>
      </c>
      <c r="Q945" s="93">
        <f>IF('Net zero activities &amp; levers'!$C$12="Off",('Activity data'!AJ20*EF!$H33)*kgtoGg,IF('Net zero activities &amp; levers'!$C$12="PB",('Activity data'!AJ20*EF!$H33)*kgtoGg,IF('Net zero activities &amp; levers'!$C$12="MS",('Net zero Activity data'!AJ20*EF!$H33)*kgtoGg,"ERROR")))</f>
        <v>2.2487211059946213</v>
      </c>
      <c r="R945" s="93">
        <f>IF('Net zero activities &amp; levers'!$C$12="Off",('Activity data'!AK20*EF!$H33)*kgtoGg,IF('Net zero activities &amp; levers'!$C$12="PB",('Activity data'!AK20*EF!$H33)*kgtoGg,IF('Net zero activities &amp; levers'!$C$12="MS",('Net zero Activity data'!AK20*EF!$H33)*kgtoGg,"ERROR")))</f>
        <v>2.2390235702415184</v>
      </c>
      <c r="S945" s="93">
        <f>IF('Net zero activities &amp; levers'!$C$12="Off",('Activity data'!AL20*EF!$H33)*kgtoGg,IF('Net zero activities &amp; levers'!$C$12="PB",('Activity data'!AL20*EF!$H33)*kgtoGg,IF('Net zero activities &amp; levers'!$C$12="MS",('Net zero Activity data'!AL20*EF!$H33)*kgtoGg,"ERROR")))</f>
        <v>1.9526804721775937</v>
      </c>
      <c r="T945" s="93">
        <f>IF('Net zero activities &amp; levers'!$C$12="Off",('Activity data'!AM20*EF!$H33)*kgtoGg,IF('Net zero activities &amp; levers'!$C$12="PB",('Activity data'!AM20*EF!$H33)*kgtoGg,IF('Net zero activities &amp; levers'!$C$12="MS",('Net zero Activity data'!AM20*EF!$H33)*kgtoGg,"ERROR")))</f>
        <v>2.100459804618418</v>
      </c>
      <c r="U945" s="93">
        <f>IF('Net zero activities &amp; levers'!$C$12="Off",('Activity data'!AN20*EF!$H33)*kgtoGg,IF('Net zero activities &amp; levers'!$C$12="PB",('Activity data'!AN20*EF!$H33)*kgtoGg,IF('Net zero activities &amp; levers'!$C$12="MS",('Net zero Activity data'!AN20*EF!$H33)*kgtoGg,"ERROR")))</f>
        <v>9.1333253803948828</v>
      </c>
      <c r="V945" s="93">
        <f>IF('Net zero activities &amp; levers'!$C$12="Off",('Activity data'!AO20*EF!$H33)*kgtoGg,IF('Net zero activities &amp; levers'!$C$12="PB",('Activity data'!AO20*EF!$H33)*kgtoGg,IF('Net zero activities &amp; levers'!$C$12="MS",('Net zero Activity data'!AO20*EF!$H33)*kgtoGg,"ERROR")))</f>
        <v>9.2970707439361586</v>
      </c>
      <c r="W945" s="93">
        <f>IF('Net zero activities &amp; levers'!$C$12="Off",('Activity data'!AP20*EF!$H33)*kgtoGg,IF('Net zero activities &amp; levers'!$C$12="PB",('Activity data'!AP20*EF!$H33)*kgtoGg,IF('Net zero activities &amp; levers'!$C$12="MS",('Net zero Activity data'!AP20*EF!$H33)*kgtoGg,"ERROR")))</f>
        <v>9.4425409001496003</v>
      </c>
      <c r="X945" s="93">
        <f>IF('Net zero activities &amp; levers'!$C$12="Off",('Activity data'!AQ20*EF!$H33)*kgtoGg,IF('Net zero activities &amp; levers'!$C$12="PB",('Activity data'!AQ20*EF!$H33)*kgtoGg,IF('Net zero activities &amp; levers'!$C$12="MS",('Net zero Activity data'!AQ20*EF!$H33)*kgtoGg,"ERROR")))</f>
        <v>9.5703569928358032</v>
      </c>
      <c r="Y945" s="93">
        <f>IF('Net zero activities &amp; levers'!$C$12="Off",('Activity data'!AR20*EF!$H33)*kgtoGg,IF('Net zero activities &amp; levers'!$C$12="PB",('Activity data'!AR20*EF!$H33)*kgtoGg,IF('Net zero activities &amp; levers'!$C$12="MS",('Net zero Activity data'!AR20*EF!$H33)*kgtoGg,"ERROR")))</f>
        <v>9.6822560637136306</v>
      </c>
      <c r="Z945" s="93">
        <f>IF('Net zero activities &amp; levers'!$C$12="Off",('Activity data'!AS20*EF!$H33)*kgtoGg,IF('Net zero activities &amp; levers'!$C$12="PB",('Activity data'!AS20*EF!$H33)*kgtoGg,IF('Net zero activities &amp; levers'!$C$12="MS",('Net zero Activity data'!AS20*EF!$H33)*kgtoGg,"ERROR")))</f>
        <v>9.7773987663862059</v>
      </c>
      <c r="AA945" s="93">
        <f>IF('Net zero activities &amp; levers'!$C$12="Off",('Activity data'!AT20*EF!$H33)*kgtoGg,IF('Net zero activities &amp; levers'!$C$12="PB",('Activity data'!AT20*EF!$H33)*kgtoGg,IF('Net zero activities &amp; levers'!$C$12="MS",('Net zero Activity data'!AT20*EF!$H33)*kgtoGg,"ERROR")))</f>
        <v>9.8551407097026438</v>
      </c>
      <c r="AB945" s="93">
        <f>IF('Net zero activities &amp; levers'!$C$12="Off",('Activity data'!AU20*EF!$H33)*kgtoGg,IF('Net zero activities &amp; levers'!$C$12="PB",('Activity data'!AU20*EF!$H33)*kgtoGg,IF('Net zero activities &amp; levers'!$C$12="MS",('Net zero Activity data'!AU20*EF!$H33)*kgtoGg,"ERROR")))</f>
        <v>9.9148485168231666</v>
      </c>
      <c r="AC945" s="93">
        <f>IF('Net zero activities &amp; levers'!$C$12="Off",('Activity data'!AV20*EF!$H33)*kgtoGg,IF('Net zero activities &amp; levers'!$C$12="PB",('Activity data'!AV20*EF!$H33)*kgtoGg,IF('Net zero activities &amp; levers'!$C$12="MS",('Net zero Activity data'!AV20*EF!$H33)*kgtoGg,"ERROR")))</f>
        <v>9.9559572971640158</v>
      </c>
      <c r="AD945" s="93">
        <f>IF('Net zero activities &amp; levers'!$C$12="Off",('Activity data'!AW20*EF!$H33)*kgtoGg,IF('Net zero activities &amp; levers'!$C$12="PB",('Activity data'!AW20*EF!$H33)*kgtoGg,IF('Net zero activities &amp; levers'!$C$12="MS",('Net zero Activity data'!AW20*EF!$H33)*kgtoGg,"ERROR")))</f>
        <v>9.9780818543236887</v>
      </c>
      <c r="AE945" s="93">
        <f>IF('Net zero activities &amp; levers'!$C$12="Off",('Activity data'!AX20*EF!$H33)*kgtoGg,IF('Net zero activities &amp; levers'!$C$12="PB",('Activity data'!AX20*EF!$H33)*kgtoGg,IF('Net zero activities &amp; levers'!$C$12="MS",('Net zero Activity data'!AX20*EF!$H33)*kgtoGg,"ERROR")))</f>
        <v>9.9808650627783955</v>
      </c>
      <c r="AF945" s="93">
        <f>IF('Net zero activities &amp; levers'!$C$12="Off",('Activity data'!AY20*EF!$H33)*kgtoGg,IF('Net zero activities &amp; levers'!$C$12="PB",('Activity data'!AY20*EF!$H33)*kgtoGg,IF('Net zero activities &amp; levers'!$C$12="MS",('Net zero Activity data'!AY20*EF!$H33)*kgtoGg,"ERROR")))</f>
        <v>9.9641144926279814</v>
      </c>
      <c r="AG945" s="93">
        <f>IF('Net zero activities &amp; levers'!$C$12="Off",('Activity data'!AZ20*EF!$H33)*kgtoGg,IF('Net zero activities &amp; levers'!$C$12="PB",('Activity data'!AZ20*EF!$H33)*kgtoGg,IF('Net zero activities &amp; levers'!$C$12="MS",('Net zero Activity data'!AZ20*EF!$H33)*kgtoGg,"ERROR")))</f>
        <v>9.9278067613283412</v>
      </c>
      <c r="AH945" s="93">
        <f>IF('Net zero activities &amp; levers'!$C$12="Off",('Activity data'!BA20*EF!$H33)*kgtoGg,IF('Net zero activities &amp; levers'!$C$12="PB",('Activity data'!BA20*EF!$H33)*kgtoGg,IF('Net zero activities &amp; levers'!$C$12="MS",('Net zero Activity data'!BA20*EF!$H33)*kgtoGg,"ERROR")))</f>
        <v>9.8719390395073479</v>
      </c>
      <c r="AI945" s="93">
        <f>IF('Net zero activities &amp; levers'!$C$12="Off",('Activity data'!BB20*EF!$H33)*kgtoGg,IF('Net zero activities &amp; levers'!$C$12="PB",('Activity data'!BB20*EF!$H33)*kgtoGg,IF('Net zero activities &amp; levers'!$C$12="MS",('Net zero Activity data'!BB20*EF!$H33)*kgtoGg,"ERROR")))</f>
        <v>9.7965950136724871</v>
      </c>
      <c r="AJ945" s="93">
        <f>IF('Net zero activities &amp; levers'!$C$12="Off",('Activity data'!BC20*EF!$H33)*kgtoGg,IF('Net zero activities &amp; levers'!$C$12="PB",('Activity data'!BC20*EF!$H33)*kgtoGg,IF('Net zero activities &amp; levers'!$C$12="MS",('Net zero Activity data'!BC20*EF!$H33)*kgtoGg,"ERROR")))</f>
        <v>-2.0919754098137773</v>
      </c>
      <c r="AK945" s="93">
        <f>IF('Net zero activities &amp; levers'!$C$12="Off",('Activity data'!BD20*EF!$H33)*kgtoGg,IF('Net zero activities &amp; levers'!$C$12="PB",('Activity data'!BD20*EF!$H33)*kgtoGg,IF('Net zero activities &amp; levers'!$C$12="MS",('Net zero Activity data'!BD20*EF!$H33)*kgtoGg,"ERROR")))</f>
        <v>-2.0949358900923882</v>
      </c>
      <c r="AL945" s="93">
        <f>IF('Net zero activities &amp; levers'!$C$12="Off",('Activity data'!BE20*EF!$H33)*kgtoGg,IF('Net zero activities &amp; levers'!$C$12="PB",('Activity data'!BE20*EF!$H33)*kgtoGg,IF('Net zero activities &amp; levers'!$C$12="MS",('Net zero Activity data'!BE20*EF!$H33)*kgtoGg,"ERROR")))</f>
        <v>-2.0976165546607759</v>
      </c>
      <c r="AM945" s="93">
        <f>IF('Net zero activities &amp; levers'!$C$12="Off",('Activity data'!BF20*EF!$H33)*kgtoGg,IF('Net zero activities &amp; levers'!$C$12="PB",('Activity data'!BF20*EF!$H33)*kgtoGg,IF('Net zero activities &amp; levers'!$C$12="MS",('Net zero Activity data'!BF20*EF!$H33)*kgtoGg,"ERROR")))</f>
        <v>-2.1000401992552491</v>
      </c>
      <c r="AN945" s="93">
        <f>IF('Net zero activities &amp; levers'!$C$12="Off",('Activity data'!BG20*EF!$H33)*kgtoGg,IF('Net zero activities &amp; levers'!$C$12="PB",('Activity data'!BG20*EF!$H33)*kgtoGg,IF('Net zero activities &amp; levers'!$C$12="MS",('Net zero Activity data'!BG20*EF!$H33)*kgtoGg,"ERROR")))</f>
        <v>-2.1022328856249954</v>
      </c>
      <c r="AO945" s="93">
        <f>IF('Net zero activities &amp; levers'!$C$12="Off",('Activity data'!BH20*EF!$H33)*kgtoGg,IF('Net zero activities &amp; levers'!$C$12="PB",('Activity data'!BH20*EF!$H33)*kgtoGg,IF('Net zero activities &amp; levers'!$C$12="MS",('Net zero Activity data'!BH20*EF!$H33)*kgtoGg,"ERROR")))</f>
        <v>-2.1041334183696132</v>
      </c>
      <c r="AP945" s="93">
        <f>IF('Net zero activities &amp; levers'!$C$12="Off",('Activity data'!BI20*EF!$H33)*kgtoGg,IF('Net zero activities &amp; levers'!$C$12="PB",('Activity data'!BI20*EF!$H33)*kgtoGg,IF('Net zero activities &amp; levers'!$C$12="MS",('Net zero Activity data'!BI20*EF!$H33)*kgtoGg,"ERROR")))</f>
        <v>-2.1057026664304765</v>
      </c>
      <c r="AQ945" s="93">
        <f>IF('Net zero activities &amp; levers'!$C$12="Off",('Activity data'!BJ20*EF!$H33)*kgtoGg,IF('Net zero activities &amp; levers'!$C$12="PB",('Activity data'!BJ20*EF!$H33)*kgtoGg,IF('Net zero activities &amp; levers'!$C$12="MS",('Net zero Activity data'!BJ20*EF!$H33)*kgtoGg,"ERROR")))</f>
        <v>-2.1069388532626809</v>
      </c>
      <c r="AR945" s="93">
        <f>IF('Net zero activities &amp; levers'!$C$12="Off",('Activity data'!BK20*EF!$H33)*kgtoGg,IF('Net zero activities &amp; levers'!$C$12="PB",('Activity data'!BK20*EF!$H33)*kgtoGg,IF('Net zero activities &amp; levers'!$C$12="MS",('Net zero Activity data'!BK20*EF!$H33)*kgtoGg,"ERROR")))</f>
        <v>-2.107796866715046</v>
      </c>
      <c r="AS945" s="93">
        <f>IF('Net zero activities &amp; levers'!$C$12="Off",('Activity data'!BL20*EF!$H33)*kgtoGg,IF('Net zero activities &amp; levers'!$C$12="PB",('Activity data'!BL20*EF!$H33)*kgtoGg,IF('Net zero activities &amp; levers'!$C$12="MS",('Net zero Activity data'!BL20*EF!$H33)*kgtoGg,"ERROR")))</f>
        <v>-2.1082275012492091</v>
      </c>
      <c r="AT945" s="93">
        <f>IF('Net zero activities &amp; levers'!$C$12="Off",('Activity data'!BM20*EF!$H33)*kgtoGg,IF('Net zero activities &amp; levers'!$C$12="PB",('Activity data'!BM20*EF!$H33)*kgtoGg,IF('Net zero activities &amp; levers'!$C$12="MS",('Net zero Activity data'!BM20*EF!$H33)*kgtoGg,"ERROR")))</f>
        <v>-2.1082293468263522</v>
      </c>
      <c r="AU945" s="93">
        <f>IF('Net zero activities &amp; levers'!$C$12="Off",('Activity data'!BN20*EF!$H33)*kgtoGg,IF('Net zero activities &amp; levers'!$C$12="PB",('Activity data'!BN20*EF!$H33)*kgtoGg,IF('Net zero activities &amp; levers'!$C$12="MS",('Net zero Activity data'!BN20*EF!$H33)*kgtoGg,"ERROR")))</f>
        <v>-2.1078151792766633</v>
      </c>
      <c r="AV945" s="93">
        <f>IF('Net zero activities &amp; levers'!$C$12="Off",('Activity data'!BO20*EF!$H33)*kgtoGg,IF('Net zero activities &amp; levers'!$C$12="PB",('Activity data'!BO20*EF!$H33)*kgtoGg,IF('Net zero activities &amp; levers'!$C$12="MS",('Net zero Activity data'!BO20*EF!$H33)*kgtoGg,"ERROR")))</f>
        <v>-2.1069951517588699</v>
      </c>
      <c r="AW945" s="93">
        <f>IF('Net zero activities &amp; levers'!$C$12="Off",('Activity data'!BP20*EF!$H33)*kgtoGg,IF('Net zero activities &amp; levers'!$C$12="PB",('Activity data'!BP20*EF!$H33)*kgtoGg,IF('Net zero activities &amp; levers'!$C$12="MS",('Net zero Activity data'!BP20*EF!$H33)*kgtoGg,"ERROR")))</f>
        <v>-2.1057231360288351</v>
      </c>
      <c r="AY945" s="79"/>
      <c r="AZ945" s="79"/>
    </row>
    <row r="946" spans="1:52" x14ac:dyDescent="0.25">
      <c r="A946" s="95" t="str">
        <f t="shared" si="326"/>
        <v>DS Poultry MMCH4</v>
      </c>
      <c r="B946" s="95" t="s">
        <v>974</v>
      </c>
      <c r="C946" s="95" t="s">
        <v>1231</v>
      </c>
      <c r="D946" t="s">
        <v>15</v>
      </c>
      <c r="E946" t="s">
        <v>22</v>
      </c>
      <c r="F946" t="s">
        <v>28</v>
      </c>
      <c r="G946" t="s">
        <v>134</v>
      </c>
      <c r="H946" t="s">
        <v>1227</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2.3161053423012629E-2</v>
      </c>
      <c r="L946" s="93">
        <f>IF('Net zero activities &amp; levers'!$C$12="Off",('Activity data'!AE21*EF!$H34)*kgtoGg,IF('Net zero activities &amp; levers'!$C$12="PB",('Activity data'!AE21*EF!$H34)*kgtoGg,IF('Net zero activities &amp; levers'!$C$12="MS",('Net zero Activity data'!AE21*EF!$H34)*kgtoGg,"ERROR")))</f>
        <v>2.3631963555267661E-2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2.5198104828966571E-2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2.5862077897454101E-2</v>
      </c>
      <c r="S946" s="93">
        <f>IF('Net zero activities &amp; levers'!$C$12="Off",('Activity data'!AL21*EF!$H34)*kgtoGg,IF('Net zero activities &amp; levers'!$C$12="PB",('Activity data'!AL21*EF!$H34)*kgtoGg,IF('Net zero activities &amp; levers'!$C$12="MS",('Net zero Activity data'!AL21*EF!$H34)*kgtoGg,"ERROR")))</f>
        <v>2.4842542158273501E-2</v>
      </c>
      <c r="T946" s="93">
        <f>IF('Net zero activities &amp; levers'!$C$12="Off",('Activity data'!AM21*EF!$H34)*kgtoGg,IF('Net zero activities &amp; levers'!$C$12="PB",('Activity data'!AM21*EF!$H34)*kgtoGg,IF('Net zero activities &amp; levers'!$C$12="MS",('Net zero Activity data'!AM21*EF!$H34)*kgtoGg,"ERROR")))</f>
        <v>2.5753806533601667E-2</v>
      </c>
      <c r="U946" s="93">
        <f>IF('Net zero activities &amp; levers'!$C$12="Off",('Activity data'!AN21*EF!$H34)*kgtoGg,IF('Net zero activities &amp; levers'!$C$12="PB",('Activity data'!AN21*EF!$H34)*kgtoGg,IF('Net zero activities &amp; levers'!$C$12="MS",('Net zero Activity data'!AN21*EF!$H34)*kgtoGg,"ERROR")))</f>
        <v>5.7236201552992215E-2</v>
      </c>
      <c r="V946" s="93">
        <f>IF('Net zero activities &amp; levers'!$C$12="Off",('Activity data'!AO21*EF!$H34)*kgtoGg,IF('Net zero activities &amp; levers'!$C$12="PB",('Activity data'!AO21*EF!$H34)*kgtoGg,IF('Net zero activities &amp; levers'!$C$12="MS",('Net zero Activity data'!AO21*EF!$H34)*kgtoGg,"ERROR")))</f>
        <v>5.8494506476340941E-2</v>
      </c>
      <c r="W946" s="93">
        <f>IF('Net zero activities &amp; levers'!$C$12="Off",('Activity data'!AP21*EF!$H34)*kgtoGg,IF('Net zero activities &amp; levers'!$C$12="PB",('Activity data'!AP21*EF!$H34)*kgtoGg,IF('Net zero activities &amp; levers'!$C$12="MS",('Net zero Activity data'!AP21*EF!$H34)*kgtoGg,"ERROR")))</f>
        <v>5.9701208981511052E-2</v>
      </c>
      <c r="X946" s="93">
        <f>IF('Net zero activities &amp; levers'!$C$12="Off",('Activity data'!AQ21*EF!$H34)*kgtoGg,IF('Net zero activities &amp; levers'!$C$12="PB",('Activity data'!AQ21*EF!$H34)*kgtoGg,IF('Net zero activities &amp; levers'!$C$12="MS",('Net zero Activity data'!AQ21*EF!$H34)*kgtoGg,"ERROR")))</f>
        <v>6.0845652039913642E-2</v>
      </c>
      <c r="Y946" s="93">
        <f>IF('Net zero activities &amp; levers'!$C$12="Off",('Activity data'!AR21*EF!$H34)*kgtoGg,IF('Net zero activities &amp; levers'!$C$12="PB",('Activity data'!AR21*EF!$H34)*kgtoGg,IF('Net zero activities &amp; levers'!$C$12="MS",('Net zero Activity data'!AR21*EF!$H34)*kgtoGg,"ERROR")))</f>
        <v>6.1913384085450655E-2</v>
      </c>
      <c r="Z946" s="93">
        <f>IF('Net zero activities &amp; levers'!$C$12="Off",('Activity data'!AS21*EF!$H34)*kgtoGg,IF('Net zero activities &amp; levers'!$C$12="PB",('Activity data'!AS21*EF!$H34)*kgtoGg,IF('Net zero activities &amp; levers'!$C$12="MS",('Net zero Activity data'!AS21*EF!$H34)*kgtoGg,"ERROR")))</f>
        <v>6.2899738646059397E-2</v>
      </c>
      <c r="AA946" s="93">
        <f>IF('Net zero activities &amp; levers'!$C$12="Off",('Activity data'!AT21*EF!$H34)*kgtoGg,IF('Net zero activities &amp; levers'!$C$12="PB",('Activity data'!AT21*EF!$H34)*kgtoGg,IF('Net zero activities &amp; levers'!$C$12="MS",('Net zero Activity data'!AT21*EF!$H34)*kgtoGg,"ERROR")))</f>
        <v>6.3799966711723347E-2</v>
      </c>
      <c r="AB946" s="93">
        <f>IF('Net zero activities &amp; levers'!$C$12="Off",('Activity data'!AU21*EF!$H34)*kgtoGg,IF('Net zero activities &amp; levers'!$C$12="PB",('Activity data'!AU21*EF!$H34)*kgtoGg,IF('Net zero activities &amp; levers'!$C$12="MS",('Net zero Activity data'!AU21*EF!$H34)*kgtoGg,"ERROR")))</f>
        <v>6.4609971647092854E-2</v>
      </c>
      <c r="AC946" s="93">
        <f>IF('Net zero activities &amp; levers'!$C$12="Off",('Activity data'!AV21*EF!$H34)*kgtoGg,IF('Net zero activities &amp; levers'!$C$12="PB",('Activity data'!AV21*EF!$H34)*kgtoGg,IF('Net zero activities &amp; levers'!$C$12="MS",('Net zero Activity data'!AV21*EF!$H34)*kgtoGg,"ERROR")))</f>
        <v>6.5326158516229374E-2</v>
      </c>
      <c r="AD946" s="93">
        <f>IF('Net zero activities &amp; levers'!$C$12="Off",('Activity data'!AW21*EF!$H34)*kgtoGg,IF('Net zero activities &amp; levers'!$C$12="PB",('Activity data'!AW21*EF!$H34)*kgtoGg,IF('Net zero activities &amp; levers'!$C$12="MS",('Net zero Activity data'!AW21*EF!$H34)*kgtoGg,"ERROR")))</f>
        <v>6.5945063808234589E-2</v>
      </c>
      <c r="AE946" s="93">
        <f>IF('Net zero activities &amp; levers'!$C$12="Off",('Activity data'!AX21*EF!$H34)*kgtoGg,IF('Net zero activities &amp; levers'!$C$12="PB",('Activity data'!AX21*EF!$H34)*kgtoGg,IF('Net zero activities &amp; levers'!$C$12="MS",('Net zero Activity data'!AX21*EF!$H34)*kgtoGg,"ERROR")))</f>
        <v>6.6463970587373244E-2</v>
      </c>
      <c r="AF946" s="93">
        <f>IF('Net zero activities &amp; levers'!$C$12="Off",('Activity data'!AY21*EF!$H34)*kgtoGg,IF('Net zero activities &amp; levers'!$C$12="PB",('Activity data'!AY21*EF!$H34)*kgtoGg,IF('Net zero activities &amp; levers'!$C$12="MS",('Net zero Activity data'!AY21*EF!$H34)*kgtoGg,"ERROR")))</f>
        <v>6.6880427805656326E-2</v>
      </c>
      <c r="AG946" s="93">
        <f>IF('Net zero activities &amp; levers'!$C$12="Off",('Activity data'!AZ21*EF!$H34)*kgtoGg,IF('Net zero activities &amp; levers'!$C$12="PB",('Activity data'!AZ21*EF!$H34)*kgtoGg,IF('Net zero activities &amp; levers'!$C$12="MS",('Net zero Activity data'!AZ21*EF!$H34)*kgtoGg,"ERROR")))</f>
        <v>6.7192255511818053E-2</v>
      </c>
      <c r="AH946" s="93">
        <f>IF('Net zero activities &amp; levers'!$C$12="Off",('Activity data'!BA21*EF!$H34)*kgtoGg,IF('Net zero activities &amp; levers'!$C$12="PB",('Activity data'!BA21*EF!$H34)*kgtoGg,IF('Net zero activities &amp; levers'!$C$12="MS",('Net zero Activity data'!BA21*EF!$H34)*kgtoGg,"ERROR")))</f>
        <v>6.7398141293831301E-2</v>
      </c>
      <c r="AI946" s="93">
        <f>IF('Net zero activities &amp; levers'!$C$12="Off",('Activity data'!BB21*EF!$H34)*kgtoGg,IF('Net zero activities &amp; levers'!$C$12="PB",('Activity data'!BB21*EF!$H34)*kgtoGg,IF('Net zero activities &amp; levers'!$C$12="MS",('Net zero Activity data'!BB21*EF!$H34)*kgtoGg,"ERROR")))</f>
        <v>6.7497405924335729E-2</v>
      </c>
      <c r="AJ946" s="93">
        <f>IF('Net zero activities &amp; levers'!$C$12="Off",('Activity data'!BC21*EF!$H34)*kgtoGg,IF('Net zero activities &amp; levers'!$C$12="PB",('Activity data'!BC21*EF!$H34)*kgtoGg,IF('Net zero activities &amp; levers'!$C$12="MS",('Net zero Activity data'!BC21*EF!$H34)*kgtoGg,"ERROR")))</f>
        <v>8.7991886779588708E-3</v>
      </c>
      <c r="AK946" s="93">
        <f>IF('Net zero activities &amp; levers'!$C$12="Off",('Activity data'!BD21*EF!$H34)*kgtoGg,IF('Net zero activities &amp; levers'!$C$12="PB",('Activity data'!BD21*EF!$H34)*kgtoGg,IF('Net zero activities &amp; levers'!$C$12="MS",('Net zero Activity data'!BD21*EF!$H34)*kgtoGg,"ERROR")))</f>
        <v>8.8637689566539793E-3</v>
      </c>
      <c r="AL946" s="93">
        <f>IF('Net zero activities &amp; levers'!$C$12="Off",('Activity data'!BE21*EF!$H34)*kgtoGg,IF('Net zero activities &amp; levers'!$C$12="PB",('Activity data'!BE21*EF!$H34)*kgtoGg,IF('Net zero activities &amp; levers'!$C$12="MS",('Net zero Activity data'!BE21*EF!$H34)*kgtoGg,"ERROR")))</f>
        <v>8.9267483735029646E-3</v>
      </c>
      <c r="AM946" s="93">
        <f>IF('Net zero activities &amp; levers'!$C$12="Off",('Activity data'!BF21*EF!$H34)*kgtoGg,IF('Net zero activities &amp; levers'!$C$12="PB",('Activity data'!BF21*EF!$H34)*kgtoGg,IF('Net zero activities &amp; levers'!$C$12="MS",('Net zero Activity data'!BF21*EF!$H34)*kgtoGg,"ERROR")))</f>
        <v>8.9882218030821696E-3</v>
      </c>
      <c r="AN946" s="93">
        <f>IF('Net zero activities &amp; levers'!$C$12="Off",('Activity data'!BG21*EF!$H34)*kgtoGg,IF('Net zero activities &amp; levers'!$C$12="PB",('Activity data'!BG21*EF!$H34)*kgtoGg,IF('Net zero activities &amp; levers'!$C$12="MS",('Net zero Activity data'!BG21*EF!$H34)*kgtoGg,"ERROR")))</f>
        <v>9.0482986130435011E-3</v>
      </c>
      <c r="AO946" s="93">
        <f>IF('Net zero activities &amp; levers'!$C$12="Off",('Activity data'!BH21*EF!$H34)*kgtoGg,IF('Net zero activities &amp; levers'!$C$12="PB",('Activity data'!BH21*EF!$H34)*kgtoGg,IF('Net zero activities &amp; levers'!$C$12="MS",('Net zero Activity data'!BH21*EF!$H34)*kgtoGg,"ERROR")))</f>
        <v>9.1067324781659627E-3</v>
      </c>
      <c r="AP946" s="93">
        <f>IF('Net zero activities &amp; levers'!$C$12="Off",('Activity data'!BI21*EF!$H34)*kgtoGg,IF('Net zero activities &amp; levers'!$C$12="PB",('Activity data'!BI21*EF!$H34)*kgtoGg,IF('Net zero activities &amp; levers'!$C$12="MS",('Net zero Activity data'!BI21*EF!$H34)*kgtoGg,"ERROR")))</f>
        <v>9.1633611840193346E-3</v>
      </c>
      <c r="AQ946" s="93">
        <f>IF('Net zero activities &amp; levers'!$C$12="Off",('Activity data'!BJ21*EF!$H34)*kgtoGg,IF('Net zero activities &amp; levers'!$C$12="PB",('Activity data'!BJ21*EF!$H34)*kgtoGg,IF('Net zero activities &amp; levers'!$C$12="MS",('Net zero Activity data'!BJ21*EF!$H34)*kgtoGg,"ERROR")))</f>
        <v>9.2181727841291489E-3</v>
      </c>
      <c r="AR946" s="93">
        <f>IF('Net zero activities &amp; levers'!$C$12="Off",('Activity data'!BK21*EF!$H34)*kgtoGg,IF('Net zero activities &amp; levers'!$C$12="PB",('Activity data'!BK21*EF!$H34)*kgtoGg,IF('Net zero activities &amp; levers'!$C$12="MS",('Net zero Activity data'!BK21*EF!$H34)*kgtoGg,"ERROR")))</f>
        <v>9.2709740520652353E-3</v>
      </c>
      <c r="AS946" s="93">
        <f>IF('Net zero activities &amp; levers'!$C$12="Off",('Activity data'!BL21*EF!$H34)*kgtoGg,IF('Net zero activities &amp; levers'!$C$12="PB",('Activity data'!BL21*EF!$H34)*kgtoGg,IF('Net zero activities &amp; levers'!$C$12="MS",('Net zero Activity data'!BL21*EF!$H34)*kgtoGg,"ERROR")))</f>
        <v>9.3215498773796274E-3</v>
      </c>
      <c r="AT946" s="93">
        <f>IF('Net zero activities &amp; levers'!$C$12="Off",('Activity data'!BM21*EF!$H34)*kgtoGg,IF('Net zero activities &amp; levers'!$C$12="PB",('Activity data'!BM21*EF!$H34)*kgtoGg,IF('Net zero activities &amp; levers'!$C$12="MS",('Net zero Activity data'!BM21*EF!$H34)*kgtoGg,"ERROR")))</f>
        <v>9.3698814479497017E-3</v>
      </c>
      <c r="AU946" s="93">
        <f>IF('Net zero activities &amp; levers'!$C$12="Off",('Activity data'!BN21*EF!$H34)*kgtoGg,IF('Net zero activities &amp; levers'!$C$12="PB",('Activity data'!BN21*EF!$H34)*kgtoGg,IF('Net zero activities &amp; levers'!$C$12="MS",('Net zero Activity data'!BN21*EF!$H34)*kgtoGg,"ERROR")))</f>
        <v>9.4160095285836763E-3</v>
      </c>
      <c r="AV946" s="93">
        <f>IF('Net zero activities &amp; levers'!$C$12="Off",('Activity data'!BO21*EF!$H34)*kgtoGg,IF('Net zero activities &amp; levers'!$C$12="PB",('Activity data'!BO21*EF!$H34)*kgtoGg,IF('Net zero activities &amp; levers'!$C$12="MS",('Net zero Activity data'!BO21*EF!$H34)*kgtoGg,"ERROR")))</f>
        <v>9.4599645533896878E-3</v>
      </c>
      <c r="AW946" s="93">
        <f>IF('Net zero activities &amp; levers'!$C$12="Off",('Activity data'!BP21*EF!$H34)*kgtoGg,IF('Net zero activities &amp; levers'!$C$12="PB",('Activity data'!BP21*EF!$H34)*kgtoGg,IF('Net zero activities &amp; levers'!$C$12="MS",('Net zero Activity data'!BP21*EF!$H34)*kgtoGg,"ERROR")))</f>
        <v>9.5015367589008064E-3</v>
      </c>
      <c r="AY946" s="79"/>
      <c r="AZ946" s="79"/>
    </row>
    <row r="947" spans="1:52" x14ac:dyDescent="0.25">
      <c r="A947" s="95" t="str">
        <f t="shared" si="326"/>
        <v>DS Poultry MMCH4</v>
      </c>
      <c r="B947" s="95" t="s">
        <v>974</v>
      </c>
      <c r="C947" s="95" t="s">
        <v>1231</v>
      </c>
      <c r="D947" t="s">
        <v>15</v>
      </c>
      <c r="E947" t="s">
        <v>22</v>
      </c>
      <c r="F947" t="s">
        <v>28</v>
      </c>
      <c r="G947" t="s">
        <v>133</v>
      </c>
      <c r="H947" t="s">
        <v>1227</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9.2084154088933889E-2</v>
      </c>
      <c r="L947" s="93">
        <f>IF('Net zero activities &amp; levers'!$C$12="Off",('Activity data'!AE22*EF!$H35)*kgtoGg,IF('Net zero activities &amp; levers'!$C$12="PB",('Activity data'!AE22*EF!$H35)*kgtoGg,IF('Net zero activities &amp; levers'!$C$12="MS",('Net zero Activity data'!AE22*EF!$H35)*kgtoGg,"ERROR")))</f>
        <v>9.3296737810214664E-2</v>
      </c>
      <c r="M947" s="93">
        <f>IF('Net zero activities &amp; levers'!$C$12="Off",('Activity data'!AF22*EF!$H35)*kgtoGg,IF('Net zero activities &amp; levers'!$C$12="PB",('Activity data'!AF22*EF!$H35)*kgtoGg,IF('Net zero activities &amp; levers'!$C$12="MS",('Net zero Activity data'!AF22*EF!$H35)*kgtoGg,"ERROR")))</f>
        <v>9.5244495094686882E-2</v>
      </c>
      <c r="N947" s="93">
        <f>IF('Net zero activities &amp; levers'!$C$12="Off",('Activity data'!AG22*EF!$H35)*kgtoGg,IF('Net zero activities &amp; levers'!$C$12="PB",('Activity data'!AG22*EF!$H35)*kgtoGg,IF('Net zero activities &amp; levers'!$C$12="MS",('Net zero Activity data'!AG22*EF!$H35)*kgtoGg,"ERROR")))</f>
        <v>9.5803753116994267E-2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9.4219345357912279E-2</v>
      </c>
      <c r="Q947" s="93">
        <f>IF('Net zero activities &amp; levers'!$C$12="Off",('Activity data'!AJ22*EF!$H35)*kgtoGg,IF('Net zero activities &amp; levers'!$C$12="PB",('Activity data'!AJ22*EF!$H35)*kgtoGg,IF('Net zero activities &amp; levers'!$C$12="MS",('Net zero Activity data'!AJ22*EF!$H35)*kgtoGg,"ERROR")))</f>
        <v>9.3696712749775993E-2</v>
      </c>
      <c r="R947" s="93">
        <f>IF('Net zero activities &amp; levers'!$C$12="Off",('Activity data'!AK22*EF!$H35)*kgtoGg,IF('Net zero activities &amp; levers'!$C$12="PB",('Activity data'!AK22*EF!$H35)*kgtoGg,IF('Net zero activities &amp; levers'!$C$12="MS",('Net zero Activity data'!AK22*EF!$H35)*kgtoGg,"ERROR")))</f>
        <v>9.3292648760063338E-2</v>
      </c>
      <c r="S947" s="93">
        <f>IF('Net zero activities &amp; levers'!$C$12="Off",('Activity data'!AL22*EF!$H35)*kgtoGg,IF('Net zero activities &amp; levers'!$C$12="PB",('Activity data'!AL22*EF!$H35)*kgtoGg,IF('Net zero activities &amp; levers'!$C$12="MS",('Net zero Activity data'!AL22*EF!$H35)*kgtoGg,"ERROR")))</f>
        <v>8.1361686340733153E-2</v>
      </c>
      <c r="T947" s="93">
        <f>IF('Net zero activities &amp; levers'!$C$12="Off",('Activity data'!AM22*EF!$H35)*kgtoGg,IF('Net zero activities &amp; levers'!$C$12="PB",('Activity data'!AM22*EF!$H35)*kgtoGg,IF('Net zero activities &amp; levers'!$C$12="MS",('Net zero Activity data'!AM22*EF!$H35)*kgtoGg,"ERROR")))</f>
        <v>8.7519158525767499E-2</v>
      </c>
      <c r="U947" s="93">
        <f>IF('Net zero activities &amp; levers'!$C$12="Off",('Activity data'!AN22*EF!$H35)*kgtoGg,IF('Net zero activities &amp; levers'!$C$12="PB",('Activity data'!AN22*EF!$H35)*kgtoGg,IF('Net zero activities &amp; levers'!$C$12="MS",('Net zero Activity data'!AN22*EF!$H35)*kgtoGg,"ERROR")))</f>
        <v>0.38055522418312043</v>
      </c>
      <c r="V947" s="93">
        <f>IF('Net zero activities &amp; levers'!$C$12="Off",('Activity data'!AO22*EF!$H35)*kgtoGg,IF('Net zero activities &amp; levers'!$C$12="PB",('Activity data'!AO22*EF!$H35)*kgtoGg,IF('Net zero activities &amp; levers'!$C$12="MS",('Net zero Activity data'!AO22*EF!$H35)*kgtoGg,"ERROR")))</f>
        <v>0.38737794766400691</v>
      </c>
      <c r="W947" s="93">
        <f>IF('Net zero activities &amp; levers'!$C$12="Off",('Activity data'!AP22*EF!$H35)*kgtoGg,IF('Net zero activities &amp; levers'!$C$12="PB",('Activity data'!AP22*EF!$H35)*kgtoGg,IF('Net zero activities &amp; levers'!$C$12="MS",('Net zero Activity data'!AP22*EF!$H35)*kgtoGg,"ERROR")))</f>
        <v>0.39343920417290035</v>
      </c>
      <c r="X947" s="93">
        <f>IF('Net zero activities &amp; levers'!$C$12="Off",('Activity data'!AQ22*EF!$H35)*kgtoGg,IF('Net zero activities &amp; levers'!$C$12="PB",('Activity data'!AQ22*EF!$H35)*kgtoGg,IF('Net zero activities &amp; levers'!$C$12="MS",('Net zero Activity data'!AQ22*EF!$H35)*kgtoGg,"ERROR")))</f>
        <v>0.39876487470149208</v>
      </c>
      <c r="Y947" s="93">
        <f>IF('Net zero activities &amp; levers'!$C$12="Off",('Activity data'!AR22*EF!$H35)*kgtoGg,IF('Net zero activities &amp; levers'!$C$12="PB",('Activity data'!AR22*EF!$H35)*kgtoGg,IF('Net zero activities &amp; levers'!$C$12="MS",('Net zero Activity data'!AR22*EF!$H35)*kgtoGg,"ERROR")))</f>
        <v>0.40342733598806829</v>
      </c>
      <c r="Z947" s="93">
        <f>IF('Net zero activities &amp; levers'!$C$12="Off",('Activity data'!AS22*EF!$H35)*kgtoGg,IF('Net zero activities &amp; levers'!$C$12="PB",('Activity data'!AS22*EF!$H35)*kgtoGg,IF('Net zero activities &amp; levers'!$C$12="MS",('Net zero Activity data'!AS22*EF!$H35)*kgtoGg,"ERROR")))</f>
        <v>0.40739161526609236</v>
      </c>
      <c r="AA947" s="93">
        <f>IF('Net zero activities &amp; levers'!$C$12="Off",('Activity data'!AT22*EF!$H35)*kgtoGg,IF('Net zero activities &amp; levers'!$C$12="PB",('Activity data'!AT22*EF!$H35)*kgtoGg,IF('Net zero activities &amp; levers'!$C$12="MS",('Net zero Activity data'!AT22*EF!$H35)*kgtoGg,"ERROR")))</f>
        <v>0.41063086290427719</v>
      </c>
      <c r="AB947" s="93">
        <f>IF('Net zero activities &amp; levers'!$C$12="Off",('Activity data'!AU22*EF!$H35)*kgtoGg,IF('Net zero activities &amp; levers'!$C$12="PB",('Activity data'!AU22*EF!$H35)*kgtoGg,IF('Net zero activities &amp; levers'!$C$12="MS",('Net zero Activity data'!AU22*EF!$H35)*kgtoGg,"ERROR")))</f>
        <v>0.41311868820096576</v>
      </c>
      <c r="AC947" s="93">
        <f>IF('Net zero activities &amp; levers'!$C$12="Off",('Activity data'!AV22*EF!$H35)*kgtoGg,IF('Net zero activities &amp; levers'!$C$12="PB",('Activity data'!AV22*EF!$H35)*kgtoGg,IF('Net zero activities &amp; levers'!$C$12="MS",('Net zero Activity data'!AV22*EF!$H35)*kgtoGg,"ERROR")))</f>
        <v>0.41483155404850092</v>
      </c>
      <c r="AD947" s="93">
        <f>IF('Net zero activities &amp; levers'!$C$12="Off",('Activity data'!AW22*EF!$H35)*kgtoGg,IF('Net zero activities &amp; levers'!$C$12="PB",('Activity data'!AW22*EF!$H35)*kgtoGg,IF('Net zero activities &amp; levers'!$C$12="MS",('Net zero Activity data'!AW22*EF!$H35)*kgtoGg,"ERROR")))</f>
        <v>0.4157534105968208</v>
      </c>
      <c r="AE947" s="93">
        <f>IF('Net zero activities &amp; levers'!$C$12="Off",('Activity data'!AX22*EF!$H35)*kgtoGg,IF('Net zero activities &amp; levers'!$C$12="PB",('Activity data'!AX22*EF!$H35)*kgtoGg,IF('Net zero activities &amp; levers'!$C$12="MS",('Net zero Activity data'!AX22*EF!$H35)*kgtoGg,"ERROR")))</f>
        <v>0.41586937761576692</v>
      </c>
      <c r="AF947" s="93">
        <f>IF('Net zero activities &amp; levers'!$C$12="Off",('Activity data'!AY22*EF!$H35)*kgtoGg,IF('Net zero activities &amp; levers'!$C$12="PB",('Activity data'!AY22*EF!$H35)*kgtoGg,IF('Net zero activities &amp; levers'!$C$12="MS",('Net zero Activity data'!AY22*EF!$H35)*kgtoGg,"ERROR")))</f>
        <v>0.41517143719283295</v>
      </c>
      <c r="AG947" s="93">
        <f>IF('Net zero activities &amp; levers'!$C$12="Off",('Activity data'!AZ22*EF!$H35)*kgtoGg,IF('Net zero activities &amp; levers'!$C$12="PB",('Activity data'!AZ22*EF!$H35)*kgtoGg,IF('Net zero activities &amp; levers'!$C$12="MS",('Net zero Activity data'!AZ22*EF!$H35)*kgtoGg,"ERROR")))</f>
        <v>0.41365861505534796</v>
      </c>
      <c r="AH947" s="93">
        <f>IF('Net zero activities &amp; levers'!$C$12="Off",('Activity data'!BA22*EF!$H35)*kgtoGg,IF('Net zero activities &amp; levers'!$C$12="PB",('Activity data'!BA22*EF!$H35)*kgtoGg,IF('Net zero activities &amp; levers'!$C$12="MS",('Net zero Activity data'!BA22*EF!$H35)*kgtoGg,"ERROR")))</f>
        <v>0.41133079331280648</v>
      </c>
      <c r="AI947" s="93">
        <f>IF('Net zero activities &amp; levers'!$C$12="Off",('Activity data'!BB22*EF!$H35)*kgtoGg,IF('Net zero activities &amp; levers'!$C$12="PB",('Activity data'!BB22*EF!$H35)*kgtoGg,IF('Net zero activities &amp; levers'!$C$12="MS",('Net zero Activity data'!BB22*EF!$H35)*kgtoGg,"ERROR")))</f>
        <v>0.40819145890302061</v>
      </c>
      <c r="AJ947" s="93">
        <f>IF('Net zero activities &amp; levers'!$C$12="Off",('Activity data'!BC22*EF!$H35)*kgtoGg,IF('Net zero activities &amp; levers'!$C$12="PB",('Activity data'!BC22*EF!$H35)*kgtoGg,IF('Net zero activities &amp; levers'!$C$12="MS",('Net zero Activity data'!BC22*EF!$H35)*kgtoGg,"ERROR")))</f>
        <v>-8.7165642075574146E-2</v>
      </c>
      <c r="AK947" s="93">
        <f>IF('Net zero activities &amp; levers'!$C$12="Off",('Activity data'!BD22*EF!$H35)*kgtoGg,IF('Net zero activities &amp; levers'!$C$12="PB",('Activity data'!BD22*EF!$H35)*kgtoGg,IF('Net zero activities &amp; levers'!$C$12="MS",('Net zero Activity data'!BD22*EF!$H35)*kgtoGg,"ERROR")))</f>
        <v>-8.7288995420516255E-2</v>
      </c>
      <c r="AL947" s="93">
        <f>IF('Net zero activities &amp; levers'!$C$12="Off",('Activity data'!BE22*EF!$H35)*kgtoGg,IF('Net zero activities &amp; levers'!$C$12="PB",('Activity data'!BE22*EF!$H35)*kgtoGg,IF('Net zero activities &amp; levers'!$C$12="MS",('Net zero Activity data'!BE22*EF!$H35)*kgtoGg,"ERROR")))</f>
        <v>-8.7400689777532417E-2</v>
      </c>
      <c r="AM947" s="93">
        <f>IF('Net zero activities &amp; levers'!$C$12="Off",('Activity data'!BF22*EF!$H35)*kgtoGg,IF('Net zero activities &amp; levers'!$C$12="PB",('Activity data'!BF22*EF!$H35)*kgtoGg,IF('Net zero activities &amp; levers'!$C$12="MS",('Net zero Activity data'!BF22*EF!$H35)*kgtoGg,"ERROR")))</f>
        <v>-8.7501674968968782E-2</v>
      </c>
      <c r="AN947" s="93">
        <f>IF('Net zero activities &amp; levers'!$C$12="Off",('Activity data'!BG22*EF!$H35)*kgtoGg,IF('Net zero activities &amp; levers'!$C$12="PB",('Activity data'!BG22*EF!$H35)*kgtoGg,IF('Net zero activities &amp; levers'!$C$12="MS",('Net zero Activity data'!BG22*EF!$H35)*kgtoGg,"ERROR")))</f>
        <v>-8.759303690104156E-2</v>
      </c>
      <c r="AO947" s="93">
        <f>IF('Net zero activities &amp; levers'!$C$12="Off",('Activity data'!BH22*EF!$H35)*kgtoGg,IF('Net zero activities &amp; levers'!$C$12="PB",('Activity data'!BH22*EF!$H35)*kgtoGg,IF('Net zero activities &amp; levers'!$C$12="MS",('Net zero Activity data'!BH22*EF!$H35)*kgtoGg,"ERROR")))</f>
        <v>-8.7672225765400638E-2</v>
      </c>
      <c r="AP947" s="93">
        <f>IF('Net zero activities &amp; levers'!$C$12="Off",('Activity data'!BI22*EF!$H35)*kgtoGg,IF('Net zero activities &amp; levers'!$C$12="PB",('Activity data'!BI22*EF!$H35)*kgtoGg,IF('Net zero activities &amp; levers'!$C$12="MS",('Net zero Activity data'!BI22*EF!$H35)*kgtoGg,"ERROR")))</f>
        <v>-8.773761110126993E-2</v>
      </c>
      <c r="AQ947" s="93">
        <f>IF('Net zero activities &amp; levers'!$C$12="Off",('Activity data'!BJ22*EF!$H35)*kgtoGg,IF('Net zero activities &amp; levers'!$C$12="PB",('Activity data'!BJ22*EF!$H35)*kgtoGg,IF('Net zero activities &amp; levers'!$C$12="MS",('Net zero Activity data'!BJ22*EF!$H35)*kgtoGg,"ERROR")))</f>
        <v>-8.7789118885945122E-2</v>
      </c>
      <c r="AR947" s="93">
        <f>IF('Net zero activities &amp; levers'!$C$12="Off",('Activity data'!BK22*EF!$H35)*kgtoGg,IF('Net zero activities &amp; levers'!$C$12="PB",('Activity data'!BK22*EF!$H35)*kgtoGg,IF('Net zero activities &amp; levers'!$C$12="MS",('Net zero Activity data'!BK22*EF!$H35)*kgtoGg,"ERROR")))</f>
        <v>-8.7824869446460341E-2</v>
      </c>
      <c r="AS947" s="93">
        <f>IF('Net zero activities &amp; levers'!$C$12="Off",('Activity data'!BL22*EF!$H35)*kgtoGg,IF('Net zero activities &amp; levers'!$C$12="PB",('Activity data'!BL22*EF!$H35)*kgtoGg,IF('Net zero activities &amp; levers'!$C$12="MS",('Net zero Activity data'!BL22*EF!$H35)*kgtoGg,"ERROR")))</f>
        <v>-8.7842812552050467E-2</v>
      </c>
      <c r="AT947" s="93">
        <f>IF('Net zero activities &amp; levers'!$C$12="Off",('Activity data'!BM22*EF!$H35)*kgtoGg,IF('Net zero activities &amp; levers'!$C$12="PB",('Activity data'!BM22*EF!$H35)*kgtoGg,IF('Net zero activities &amp; levers'!$C$12="MS",('Net zero Activity data'!BM22*EF!$H35)*kgtoGg,"ERROR")))</f>
        <v>-8.7842889451098083E-2</v>
      </c>
      <c r="AU947" s="93">
        <f>IF('Net zero activities &amp; levers'!$C$12="Off",('Activity data'!BN22*EF!$H35)*kgtoGg,IF('Net zero activities &amp; levers'!$C$12="PB",('Activity data'!BN22*EF!$H35)*kgtoGg,IF('Net zero activities &amp; levers'!$C$12="MS",('Net zero Activity data'!BN22*EF!$H35)*kgtoGg,"ERROR")))</f>
        <v>-8.7825632469861054E-2</v>
      </c>
      <c r="AV947" s="93">
        <f>IF('Net zero activities &amp; levers'!$C$12="Off",('Activity data'!BO22*EF!$H35)*kgtoGg,IF('Net zero activities &amp; levers'!$C$12="PB",('Activity data'!BO22*EF!$H35)*kgtoGg,IF('Net zero activities &amp; levers'!$C$12="MS",('Net zero Activity data'!BO22*EF!$H35)*kgtoGg,"ERROR")))</f>
        <v>-8.7791464656619661E-2</v>
      </c>
      <c r="AW947" s="93">
        <f>IF('Net zero activities &amp; levers'!$C$12="Off",('Activity data'!BP22*EF!$H35)*kgtoGg,IF('Net zero activities &amp; levers'!$C$12="PB",('Activity data'!BP22*EF!$H35)*kgtoGg,IF('Net zero activities &amp; levers'!$C$12="MS",('Net zero Activity data'!BP22*EF!$H35)*kgtoGg,"ERROR")))</f>
        <v>-8.7738464001201541E-2</v>
      </c>
      <c r="AY947" s="79"/>
      <c r="AZ947" s="79"/>
    </row>
    <row r="948" spans="1:52" x14ac:dyDescent="0.25">
      <c r="A948" s="95" t="str">
        <f t="shared" si="326"/>
        <v>DS Cattle MMN2O</v>
      </c>
      <c r="B948" s="95" t="s">
        <v>974</v>
      </c>
      <c r="C948" s="95" t="s">
        <v>1232</v>
      </c>
      <c r="D948" t="s">
        <v>15</v>
      </c>
      <c r="E948" t="s">
        <v>657</v>
      </c>
      <c r="F948" t="s">
        <v>6</v>
      </c>
      <c r="G948" t="s">
        <v>136</v>
      </c>
      <c r="H948" t="s">
        <v>1227</v>
      </c>
      <c r="I948" t="s">
        <v>139</v>
      </c>
      <c r="J948" t="s">
        <v>287</v>
      </c>
      <c r="K948" s="27">
        <f t="shared" ref="K948:Z950" si="335">K1411</f>
        <v>5.9474079071945893E-2</v>
      </c>
      <c r="L948" s="27">
        <f t="shared" si="335"/>
        <v>5.9806569587962537E-2</v>
      </c>
      <c r="M948" s="27">
        <f t="shared" si="335"/>
        <v>6.0278316688762053E-2</v>
      </c>
      <c r="N948" s="27">
        <f t="shared" si="335"/>
        <v>6.0581464452445992E-2</v>
      </c>
      <c r="O948" s="27">
        <f t="shared" si="335"/>
        <v>6.0782907527895308E-2</v>
      </c>
      <c r="P948" s="27">
        <f t="shared" si="335"/>
        <v>6.0880663265441164E-2</v>
      </c>
      <c r="Q948" s="27">
        <f t="shared" si="335"/>
        <v>6.1096642070638009E-2</v>
      </c>
      <c r="R948" s="27">
        <f t="shared" si="335"/>
        <v>6.1344406036983781E-2</v>
      </c>
      <c r="S948" s="27">
        <f t="shared" si="335"/>
        <v>5.9601328930113273E-2</v>
      </c>
      <c r="T948" s="27">
        <f t="shared" si="335"/>
        <v>6.0626854202705693E-2</v>
      </c>
      <c r="U948" s="27">
        <f t="shared" si="335"/>
        <v>0.10431335111869787</v>
      </c>
      <c r="V948" s="27">
        <f t="shared" si="335"/>
        <v>0.10557079987792001</v>
      </c>
      <c r="W948" s="27">
        <f t="shared" si="335"/>
        <v>0.10677309385797164</v>
      </c>
      <c r="X948" s="27">
        <f t="shared" si="335"/>
        <v>0.10789978230362134</v>
      </c>
      <c r="Y948" s="27">
        <f t="shared" si="335"/>
        <v>0.10892077673602073</v>
      </c>
      <c r="Z948" s="27">
        <f t="shared" si="335"/>
        <v>0.10983130908819148</v>
      </c>
      <c r="AA948" s="27">
        <f t="shared" ref="L948:AW950" si="336">AA1411</f>
        <v>0.11062607502856897</v>
      </c>
      <c r="AB948" s="27">
        <f t="shared" si="336"/>
        <v>0.11130105996088024</v>
      </c>
      <c r="AC948" s="27">
        <f t="shared" si="336"/>
        <v>0.11185308002540331</v>
      </c>
      <c r="AD948" s="27">
        <f t="shared" si="336"/>
        <v>0.11227878827005904</v>
      </c>
      <c r="AE948" s="27">
        <f t="shared" si="336"/>
        <v>0.11257618100536711</v>
      </c>
      <c r="AF948" s="27">
        <f t="shared" si="336"/>
        <v>0.11274333624880213</v>
      </c>
      <c r="AG948" s="27">
        <f t="shared" si="336"/>
        <v>0.11277839712706036</v>
      </c>
      <c r="AH948" s="27">
        <f t="shared" si="336"/>
        <v>0.11268102453940491</v>
      </c>
      <c r="AI948" s="27">
        <f t="shared" si="336"/>
        <v>0.11245177283662604</v>
      </c>
      <c r="AJ948" s="27">
        <f t="shared" si="336"/>
        <v>3.5577796363991845E-2</v>
      </c>
      <c r="AK948" s="27">
        <f t="shared" si="336"/>
        <v>3.5603767558276704E-2</v>
      </c>
      <c r="AL948" s="27">
        <f t="shared" si="336"/>
        <v>3.5627869174539424E-2</v>
      </c>
      <c r="AM948" s="27">
        <f t="shared" si="336"/>
        <v>3.5650264251912672E-2</v>
      </c>
      <c r="AN948" s="27">
        <f t="shared" si="336"/>
        <v>3.5671153620438649E-2</v>
      </c>
      <c r="AO948" s="27">
        <f t="shared" si="336"/>
        <v>3.5689881664317018E-2</v>
      </c>
      <c r="AP948" s="27">
        <f t="shared" si="336"/>
        <v>3.5706008112300056E-2</v>
      </c>
      <c r="AQ948" s="27">
        <f t="shared" si="336"/>
        <v>3.5719462361704167E-2</v>
      </c>
      <c r="AR948" s="27">
        <f t="shared" si="336"/>
        <v>3.5729744862623404E-2</v>
      </c>
      <c r="AS948" s="27">
        <f t="shared" si="336"/>
        <v>3.5736313260064892E-2</v>
      </c>
      <c r="AT948" s="27">
        <f t="shared" si="336"/>
        <v>3.5739100565622635E-2</v>
      </c>
      <c r="AU948" s="27">
        <f t="shared" si="336"/>
        <v>3.5738183814189306E-2</v>
      </c>
      <c r="AV948" s="27">
        <f t="shared" si="336"/>
        <v>3.5733616728715514E-2</v>
      </c>
      <c r="AW948" s="27">
        <f t="shared" si="336"/>
        <v>3.5724889195264529E-2</v>
      </c>
      <c r="AY948" s="79"/>
      <c r="AZ948" s="79"/>
    </row>
    <row r="949" spans="1:52" x14ac:dyDescent="0.25">
      <c r="A949" s="95" t="str">
        <f t="shared" si="326"/>
        <v>DS Cattle MMN2O</v>
      </c>
      <c r="B949" s="95" t="s">
        <v>974</v>
      </c>
      <c r="C949" s="95" t="s">
        <v>1232</v>
      </c>
      <c r="D949" t="s">
        <v>15</v>
      </c>
      <c r="E949" t="s">
        <v>657</v>
      </c>
      <c r="F949" t="s">
        <v>6</v>
      </c>
      <c r="G949" t="s">
        <v>137</v>
      </c>
      <c r="H949" t="s">
        <v>1227</v>
      </c>
      <c r="I949" t="s">
        <v>139</v>
      </c>
      <c r="J949" t="s">
        <v>287</v>
      </c>
      <c r="K949" s="27">
        <f t="shared" si="335"/>
        <v>0.26041511380118898</v>
      </c>
      <c r="L949" s="27">
        <f t="shared" si="336"/>
        <v>0.26187096745907495</v>
      </c>
      <c r="M949" s="27">
        <f t="shared" si="336"/>
        <v>0.26393657447404822</v>
      </c>
      <c r="N949" s="27">
        <f t="shared" si="336"/>
        <v>0.26526394701365208</v>
      </c>
      <c r="O949" s="27">
        <f t="shared" si="336"/>
        <v>0.26614599213711054</v>
      </c>
      <c r="P949" s="27">
        <f t="shared" si="336"/>
        <v>0.26657402855087214</v>
      </c>
      <c r="Q949" s="27">
        <f t="shared" si="336"/>
        <v>0.26751972028770321</v>
      </c>
      <c r="R949" s="27">
        <f t="shared" si="336"/>
        <v>0.26860458755254507</v>
      </c>
      <c r="S949" s="27">
        <f t="shared" si="336"/>
        <v>0.26097229411928624</v>
      </c>
      <c r="T949" s="27">
        <f t="shared" si="336"/>
        <v>0.26546269203272144</v>
      </c>
      <c r="U949" s="27">
        <f t="shared" si="336"/>
        <v>0.45674979127794169</v>
      </c>
      <c r="V949" s="27">
        <f t="shared" si="336"/>
        <v>0.46225569682270645</v>
      </c>
      <c r="W949" s="27">
        <f t="shared" si="336"/>
        <v>0.46752009987901733</v>
      </c>
      <c r="X949" s="27">
        <f t="shared" si="336"/>
        <v>0.47245345411284095</v>
      </c>
      <c r="Y949" s="27">
        <f t="shared" si="336"/>
        <v>0.47692401314381044</v>
      </c>
      <c r="Z949" s="27">
        <f t="shared" si="336"/>
        <v>0.48091089936063391</v>
      </c>
      <c r="AA949" s="27">
        <f t="shared" si="336"/>
        <v>0.48439088704666999</v>
      </c>
      <c r="AB949" s="27">
        <f t="shared" si="336"/>
        <v>0.48734639776167055</v>
      </c>
      <c r="AC949" s="27">
        <f t="shared" si="336"/>
        <v>0.48976349055514479</v>
      </c>
      <c r="AD949" s="27">
        <f t="shared" si="336"/>
        <v>0.49162751035516583</v>
      </c>
      <c r="AE949" s="27">
        <f t="shared" si="336"/>
        <v>0.49292968374258739</v>
      </c>
      <c r="AF949" s="27">
        <f t="shared" si="336"/>
        <v>0.49366159506296176</v>
      </c>
      <c r="AG949" s="27">
        <f t="shared" si="336"/>
        <v>0.49381511375117121</v>
      </c>
      <c r="AH949" s="27">
        <f t="shared" si="336"/>
        <v>0.4933887550098322</v>
      </c>
      <c r="AI949" s="27">
        <f t="shared" si="336"/>
        <v>0.49238494613712885</v>
      </c>
      <c r="AJ949" s="27">
        <f t="shared" si="336"/>
        <v>0.15578208243824307</v>
      </c>
      <c r="AK949" s="27">
        <f t="shared" si="336"/>
        <v>0.15589580074411316</v>
      </c>
      <c r="AL949" s="27">
        <f t="shared" si="336"/>
        <v>0.15600133285557738</v>
      </c>
      <c r="AM949" s="27">
        <f t="shared" si="336"/>
        <v>0.1560993926610211</v>
      </c>
      <c r="AN949" s="27">
        <f t="shared" si="336"/>
        <v>0.15619085952132081</v>
      </c>
      <c r="AO949" s="27">
        <f t="shared" si="336"/>
        <v>0.15627286273606522</v>
      </c>
      <c r="AP949" s="27">
        <f t="shared" si="336"/>
        <v>0.15634347451942091</v>
      </c>
      <c r="AQ949" s="27">
        <f t="shared" si="336"/>
        <v>0.15640238572820886</v>
      </c>
      <c r="AR949" s="27">
        <f t="shared" si="336"/>
        <v>0.15644740901715809</v>
      </c>
      <c r="AS949" s="27">
        <f t="shared" si="336"/>
        <v>0.15647616961326835</v>
      </c>
      <c r="AT949" s="27">
        <f t="shared" si="336"/>
        <v>0.15648837419895245</v>
      </c>
      <c r="AU949" s="27">
        <f t="shared" si="336"/>
        <v>0.15648436008166708</v>
      </c>
      <c r="AV949" s="27">
        <f t="shared" si="336"/>
        <v>0.15646436249445</v>
      </c>
      <c r="AW949" s="27">
        <f t="shared" si="336"/>
        <v>0.15642614783602549</v>
      </c>
      <c r="AY949" s="79"/>
      <c r="AZ949" s="79"/>
    </row>
    <row r="950" spans="1:52" x14ac:dyDescent="0.25">
      <c r="A950" s="95" t="str">
        <f t="shared" si="326"/>
        <v>DS Cattle MMN2O</v>
      </c>
      <c r="B950" s="95" t="s">
        <v>974</v>
      </c>
      <c r="C950" s="95" t="s">
        <v>1232</v>
      </c>
      <c r="D950" t="s">
        <v>15</v>
      </c>
      <c r="E950" t="s">
        <v>657</v>
      </c>
      <c r="F950" t="s">
        <v>67</v>
      </c>
      <c r="G950" t="s">
        <v>307</v>
      </c>
      <c r="H950" t="s">
        <v>1227</v>
      </c>
      <c r="I950" t="s">
        <v>139</v>
      </c>
      <c r="J950" t="s">
        <v>287</v>
      </c>
      <c r="K950" s="27">
        <f t="shared" si="335"/>
        <v>1.1586934798802538E-2</v>
      </c>
      <c r="L950" s="27">
        <f t="shared" si="336"/>
        <v>1.1651711689683767E-2</v>
      </c>
      <c r="M950" s="27">
        <f t="shared" si="336"/>
        <v>1.1743619004328788E-2</v>
      </c>
      <c r="N950" s="27">
        <f t="shared" si="336"/>
        <v>1.1802679244134426E-2</v>
      </c>
      <c r="O950" s="27">
        <f t="shared" si="336"/>
        <v>1.1841925043604104E-2</v>
      </c>
      <c r="P950" s="27">
        <f t="shared" si="336"/>
        <v>1.186097013643829E-2</v>
      </c>
      <c r="Q950" s="27">
        <f t="shared" si="336"/>
        <v>1.1903047834366352E-2</v>
      </c>
      <c r="R950" s="27">
        <f t="shared" si="336"/>
        <v>1.1951318021451862E-2</v>
      </c>
      <c r="S950" s="27">
        <f t="shared" si="336"/>
        <v>1.1611726032777913E-2</v>
      </c>
      <c r="T950" s="27">
        <f t="shared" si="336"/>
        <v>1.1811522223882912E-2</v>
      </c>
      <c r="U950" s="27">
        <f t="shared" si="336"/>
        <v>2.0322668579614574E-2</v>
      </c>
      <c r="V950" s="27">
        <f t="shared" si="336"/>
        <v>2.0567648863686182E-2</v>
      </c>
      <c r="W950" s="27">
        <f t="shared" si="336"/>
        <v>2.0801883713106869E-2</v>
      </c>
      <c r="X950" s="27">
        <f t="shared" si="336"/>
        <v>2.1021388844788085E-2</v>
      </c>
      <c r="Y950" s="27">
        <f t="shared" si="336"/>
        <v>2.1220302322773034E-2</v>
      </c>
      <c r="Z950" s="27">
        <f t="shared" si="336"/>
        <v>2.1397695216642653E-2</v>
      </c>
      <c r="AA950" s="27">
        <f t="shared" si="336"/>
        <v>2.1552534119155507E-2</v>
      </c>
      <c r="AB950" s="27">
        <f t="shared" si="336"/>
        <v>2.1684036893522194E-2</v>
      </c>
      <c r="AC950" s="27">
        <f t="shared" si="336"/>
        <v>2.1791583249767946E-2</v>
      </c>
      <c r="AD950" s="27">
        <f t="shared" si="336"/>
        <v>2.1874521123731019E-2</v>
      </c>
      <c r="AE950" s="27">
        <f t="shared" si="336"/>
        <v>2.1932460150066901E-2</v>
      </c>
      <c r="AF950" s="27">
        <f t="shared" si="336"/>
        <v>2.1965025881847573E-2</v>
      </c>
      <c r="AG950" s="27">
        <f t="shared" si="336"/>
        <v>2.1971856556936734E-2</v>
      </c>
      <c r="AH950" s="27">
        <f t="shared" si="336"/>
        <v>2.1952886110618599E-2</v>
      </c>
      <c r="AI950" s="27">
        <f t="shared" si="336"/>
        <v>2.190822254332906E-2</v>
      </c>
      <c r="AJ950" s="27">
        <f t="shared" si="336"/>
        <v>6.931382766868284E-3</v>
      </c>
      <c r="AK950" s="27">
        <f t="shared" si="336"/>
        <v>6.9364425599667493E-3</v>
      </c>
      <c r="AL950" s="27">
        <f t="shared" si="336"/>
        <v>6.9411381157540699E-3</v>
      </c>
      <c r="AM950" s="27">
        <f t="shared" si="336"/>
        <v>6.9455011980478565E-3</v>
      </c>
      <c r="AN950" s="27">
        <f t="shared" si="336"/>
        <v>6.9495709332144289E-3</v>
      </c>
      <c r="AO950" s="27">
        <f t="shared" si="336"/>
        <v>6.9532195920371295E-3</v>
      </c>
      <c r="AP950" s="27">
        <f t="shared" si="336"/>
        <v>6.9563613994300545E-3</v>
      </c>
      <c r="AQ950" s="27">
        <f t="shared" si="336"/>
        <v>6.9589826003472414E-3</v>
      </c>
      <c r="AR950" s="27">
        <f t="shared" si="336"/>
        <v>6.9609858708405197E-3</v>
      </c>
      <c r="AS950" s="27">
        <f t="shared" si="336"/>
        <v>6.9622655475345486E-3</v>
      </c>
      <c r="AT950" s="27">
        <f t="shared" si="336"/>
        <v>6.9628085795287523E-3</v>
      </c>
      <c r="AU950" s="27">
        <f t="shared" si="336"/>
        <v>6.9626299750131342E-3</v>
      </c>
      <c r="AV950" s="27">
        <f t="shared" si="336"/>
        <v>6.9617402004688092E-3</v>
      </c>
      <c r="AW950" s="27">
        <f t="shared" si="336"/>
        <v>6.960039873828548E-3</v>
      </c>
      <c r="AY950" s="79"/>
      <c r="AZ950" s="79"/>
    </row>
    <row r="951" spans="1:52" x14ac:dyDescent="0.25">
      <c r="A951" s="95" t="str">
        <f t="shared" si="326"/>
        <v>DS Cattle MMN2O</v>
      </c>
      <c r="B951" s="95" t="s">
        <v>974</v>
      </c>
      <c r="C951" s="95" t="s">
        <v>1232</v>
      </c>
      <c r="D951" t="s">
        <v>15</v>
      </c>
      <c r="E951" t="s">
        <v>657</v>
      </c>
      <c r="F951" t="s">
        <v>67</v>
      </c>
      <c r="G951" t="s">
        <v>122</v>
      </c>
      <c r="H951" t="s">
        <v>1227</v>
      </c>
      <c r="I951" t="s">
        <v>139</v>
      </c>
      <c r="J951" t="s">
        <v>287</v>
      </c>
      <c r="K951" s="93">
        <f>IF('Net zero activities &amp; levers'!$C$12="Off",('Activity data'!AD8*EF!$H39*EF!$H57)*NtoN2O*kgtoGg,('Net zero Activity data'!AD8*EF!$H39*EF!$H57)*NtoN2O*kgtoGg)</f>
        <v>0.52525224947331295</v>
      </c>
      <c r="L951" s="93">
        <f>IF('Net zero activities &amp; levers'!$C$12="Off",('Activity data'!AE8*EF!$H39*EF!$H57)*NtoN2O*kgtoGg,('Net zero Activity data'!AE8*EF!$H39*EF!$H57)*NtoN2O*kgtoGg)</f>
        <v>0.5206969044571037</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0.51203275332440923</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0.48899333628247277</v>
      </c>
      <c r="Q951" s="93">
        <f>IF('Net zero activities &amp; levers'!$C$12="Off",('Activity data'!AJ8*EF!$H39*EF!$H57)*NtoN2O*kgtoGg,('Net zero Activity data'!AJ8*EF!$H39*EF!$H57)*NtoN2O*kgtoGg)</f>
        <v>0.47875543160314166</v>
      </c>
      <c r="R951" s="93">
        <f>IF('Net zero activities &amp; levers'!$C$12="Off",('Activity data'!AK8*EF!$H39*EF!$H57)*NtoN2O*kgtoGg,('Net zero Activity data'!AK8*EF!$H39*EF!$H57)*NtoN2O*kgtoGg)</f>
        <v>0.46906920988966783</v>
      </c>
      <c r="S951" s="93">
        <f>IF('Net zero activities &amp; levers'!$C$12="Off",('Activity data'!AL8*EF!$H39*EF!$H57)*NtoN2O*kgtoGg,('Net zero Activity data'!AL8*EF!$H39*EF!$H57)*NtoN2O*kgtoGg)</f>
        <v>0.41949739097667643</v>
      </c>
      <c r="T951" s="93">
        <f>IF('Net zero activities &amp; levers'!$C$12="Off",('Activity data'!AM8*EF!$H39*EF!$H57)*NtoN2O*kgtoGg,('Net zero Activity data'!AM8*EF!$H39*EF!$H57)*NtoN2O*kgtoGg)</f>
        <v>0.43565935064957972</v>
      </c>
      <c r="U951" s="93">
        <f>IF('Net zero activities &amp; levers'!$C$12="Off",('Activity data'!AN8*EF!$H39*EF!$H57)*NtoN2O*kgtoGg,('Net zero Activity data'!AN8*EF!$H39*EF!$H57)*NtoN2O*kgtoGg)</f>
        <v>1.3730656770552265</v>
      </c>
      <c r="V951" s="93">
        <f>IF('Net zero activities &amp; levers'!$C$12="Off",('Activity data'!AO8*EF!$H39*EF!$H57)*NtoN2O*kgtoGg,('Net zero Activity data'!AO8*EF!$H39*EF!$H57)*NtoN2O*kgtoGg)</f>
        <v>1.3796884935069886</v>
      </c>
      <c r="W951" s="93">
        <f>IF('Net zero activities &amp; levers'!$C$12="Off",('Activity data'!AP8*EF!$H39*EF!$H57)*NtoN2O*kgtoGg,('Net zero Activity data'!AP8*EF!$H39*EF!$H57)*NtoN2O*kgtoGg)</f>
        <v>1.3839270796629521</v>
      </c>
      <c r="X951" s="93">
        <f>IF('Net zero activities &amp; levers'!$C$12="Off",('Activity data'!AQ8*EF!$H39*EF!$H57)*NtoN2O*kgtoGg,('Net zero Activity data'!AQ8*EF!$H39*EF!$H57)*NtoN2O*kgtoGg)</f>
        <v>1.3857805722044871</v>
      </c>
      <c r="Y951" s="93">
        <f>IF('Net zero activities &amp; levers'!$C$12="Off",('Activity data'!AR8*EF!$H39*EF!$H57)*NtoN2O*kgtoGg,('Net zero Activity data'!AR8*EF!$H39*EF!$H57)*NtoN2O*kgtoGg)</f>
        <v>1.3852882351123565</v>
      </c>
      <c r="Z951" s="93">
        <f>IF('Net zero activities &amp; levers'!$C$12="Off",('Activity data'!AS8*EF!$H39*EF!$H57)*NtoN2O*kgtoGg,('Net zero Activity data'!AS8*EF!$H39*EF!$H57)*NtoN2O*kgtoGg)</f>
        <v>1.3824264694708266</v>
      </c>
      <c r="AA951" s="93">
        <f>IF('Net zero activities &amp; levers'!$C$12="Off",('Activity data'!AT8*EF!$H39*EF!$H57)*NtoN2O*kgtoGg,('Net zero Activity data'!AT8*EF!$H39*EF!$H57)*NtoN2O*kgtoGg)</f>
        <v>1.3771882651473364</v>
      </c>
      <c r="AB951" s="93">
        <f>IF('Net zero activities &amp; levers'!$C$12="Off",('Activity data'!AU8*EF!$H39*EF!$H57)*NtoN2O*kgtoGg,('Net zero Activity data'!AU8*EF!$H39*EF!$H57)*NtoN2O*kgtoGg)</f>
        <v>1.3695779562696064</v>
      </c>
      <c r="AC951" s="93">
        <f>IF('Net zero activities &amp; levers'!$C$12="Off",('Activity data'!AV8*EF!$H39*EF!$H57)*NtoN2O*kgtoGg,('Net zero Activity data'!AV8*EF!$H39*EF!$H57)*NtoN2O*kgtoGg)</f>
        <v>1.3596126553947701</v>
      </c>
      <c r="AD951" s="93">
        <f>IF('Net zero activities &amp; levers'!$C$12="Off",('Activity data'!AW8*EF!$H39*EF!$H57)*NtoN2O*kgtoGg,('Net zero Activity data'!AW8*EF!$H39*EF!$H57)*NtoN2O*kgtoGg)</f>
        <v>1.33600285419975</v>
      </c>
      <c r="AE951" s="93">
        <f>IF('Net zero activities &amp; levers'!$C$12="Off",('Activity data'!AX8*EF!$H39*EF!$H57)*NtoN2O*kgtoGg,('Net zero Activity data'!AX8*EF!$H39*EF!$H57)*NtoN2O*kgtoGg)</f>
        <v>1.3101691590672178</v>
      </c>
      <c r="AF951" s="93">
        <f>IF('Net zero activities &amp; levers'!$C$12="Off",('Activity data'!AY8*EF!$H39*EF!$H57)*NtoN2O*kgtoGg,('Net zero Activity data'!AY8*EF!$H39*EF!$H57)*NtoN2O*kgtoGg)</f>
        <v>1.2822276459176047</v>
      </c>
      <c r="AG951" s="93">
        <f>IF('Net zero activities &amp; levers'!$C$12="Off",('Activity data'!AZ8*EF!$H39*EF!$H57)*NtoN2O*kgtoGg,('Net zero Activity data'!AZ8*EF!$H39*EF!$H57)*NtoN2O*kgtoGg)</f>
        <v>1.2523075801974097</v>
      </c>
      <c r="AH951" s="93">
        <f>IF('Net zero activities &amp; levers'!$C$12="Off",('Activity data'!BA8*EF!$H39*EF!$H57)*NtoN2O*kgtoGg,('Net zero Activity data'!BA8*EF!$H39*EF!$H57)*NtoN2O*kgtoGg)</f>
        <v>1.2205465760046283</v>
      </c>
      <c r="AI951" s="93">
        <f>IF('Net zero activities &amp; levers'!$C$12="Off",('Activity data'!BB8*EF!$H39*EF!$H57)*NtoN2O*kgtoGg,('Net zero Activity data'!BB8*EF!$H39*EF!$H57)*NtoN2O*kgtoGg)</f>
        <v>1.1870911726481781</v>
      </c>
      <c r="AJ951" s="93">
        <f>IF('Net zero activities &amp; levers'!$C$12="Off",('Activity data'!BC8*EF!$H39*EF!$H57)*NtoN2O*kgtoGg,('Net zero Activity data'!BC8*EF!$H39*EF!$H57)*NtoN2O*kgtoGg)</f>
        <v>-9.1659099684125458E-2</v>
      </c>
      <c r="AK951" s="93">
        <f>IF('Net zero activities &amp; levers'!$C$12="Off",('Activity data'!BD8*EF!$H39*EF!$H57)*NtoN2O*kgtoGg,('Net zero Activity data'!BD8*EF!$H39*EF!$H57)*NtoN2O*kgtoGg)</f>
        <v>-8.9452213438823466E-2</v>
      </c>
      <c r="AL951" s="93">
        <f>IF('Net zero activities &amp; levers'!$C$12="Off",('Activity data'!BE8*EF!$H39*EF!$H57)*NtoN2O*kgtoGg,('Net zero Activity data'!BE8*EF!$H39*EF!$H57)*NtoN2O*kgtoGg)</f>
        <v>-8.7268288718690495E-2</v>
      </c>
      <c r="AM951" s="93">
        <f>IF('Net zero activities &amp; levers'!$C$12="Off",('Activity data'!BF8*EF!$H39*EF!$H57)*NtoN2O*kgtoGg,('Net zero Activity data'!BF8*EF!$H39*EF!$H57)*NtoN2O*kgtoGg)</f>
        <v>-8.5107099964586319E-2</v>
      </c>
      <c r="AN951" s="93">
        <f>IF('Net zero activities &amp; levers'!$C$12="Off",('Activity data'!BG8*EF!$H39*EF!$H57)*NtoN2O*kgtoGg,('Net zero Activity data'!BG8*EF!$H39*EF!$H57)*NtoN2O*kgtoGg)</f>
        <v>-8.3391821536204336E-2</v>
      </c>
      <c r="AO951" s="93">
        <f>IF('Net zero activities &amp; levers'!$C$12="Off",('Activity data'!BH8*EF!$H39*EF!$H57)*NtoN2O*kgtoGg,('Net zero Activity data'!BH8*EF!$H39*EF!$H57)*NtoN2O*kgtoGg)</f>
        <v>-8.1692814399719135E-2</v>
      </c>
      <c r="AP951" s="93">
        <f>IF('Net zero activities &amp; levers'!$C$12="Off",('Activity data'!BI8*EF!$H39*EF!$H57)*NtoN2O*kgtoGg,('Net zero Activity data'!BI8*EF!$H39*EF!$H57)*NtoN2O*kgtoGg)</f>
        <v>-8.0008814881266738E-2</v>
      </c>
      <c r="AQ951" s="93">
        <f>IF('Net zero activities &amp; levers'!$C$12="Off",('Activity data'!BJ8*EF!$H39*EF!$H57)*NtoN2O*kgtoGg,('Net zero Activity data'!BJ8*EF!$H39*EF!$H57)*NtoN2O*kgtoGg)</f>
        <v>-7.8339405843548718E-2</v>
      </c>
      <c r="AR951" s="93">
        <f>IF('Net zero activities &amp; levers'!$C$12="Off",('Activity data'!BK8*EF!$H39*EF!$H57)*NtoN2O*kgtoGg,('Net zero Activity data'!BK8*EF!$H39*EF!$H57)*NtoN2O*kgtoGg)</f>
        <v>-7.6683366781164067E-2</v>
      </c>
      <c r="AS951" s="93">
        <f>IF('Net zero activities &amp; levers'!$C$12="Off",('Activity data'!BL8*EF!$H39*EF!$H57)*NtoN2O*kgtoGg,('Net zero Activity data'!BL8*EF!$H39*EF!$H57)*NtoN2O*kgtoGg)</f>
        <v>-7.5039502453707246E-2</v>
      </c>
      <c r="AT951" s="93">
        <f>IF('Net zero activities &amp; levers'!$C$12="Off",('Activity data'!BM8*EF!$H39*EF!$H57)*NtoN2O*kgtoGg,('Net zero Activity data'!BM8*EF!$H39*EF!$H57)*NtoN2O*kgtoGg)</f>
        <v>-7.3407620898571099E-2</v>
      </c>
      <c r="AU951" s="93">
        <f>IF('Net zero activities &amp; levers'!$C$12="Off",('Activity data'!BN8*EF!$H39*EF!$H57)*NtoN2O*kgtoGg,('Net zero Activity data'!BN8*EF!$H39*EF!$H57)*NtoN2O*kgtoGg)</f>
        <v>-7.1787822935495418E-2</v>
      </c>
      <c r="AV951" s="93">
        <f>IF('Net zero activities &amp; levers'!$C$12="Off",('Activity data'!BO8*EF!$H39*EF!$H57)*NtoN2O*kgtoGg,('Net zero Activity data'!BO8*EF!$H39*EF!$H57)*NtoN2O*kgtoGg)</f>
        <v>-7.0180170412069726E-2</v>
      </c>
      <c r="AW951" s="93">
        <f>IF('Net zero activities &amp; levers'!$C$12="Off",('Activity data'!BP8*EF!$H39*EF!$H57)*NtoN2O*kgtoGg,('Net zero Activity data'!BP8*EF!$H39*EF!$H57)*NtoN2O*kgtoGg)</f>
        <v>-6.8583739954492046E-2</v>
      </c>
      <c r="AY951" s="79"/>
      <c r="AZ951" s="79"/>
    </row>
    <row r="952" spans="1:52" x14ac:dyDescent="0.25">
      <c r="A952" s="95" t="str">
        <f t="shared" si="326"/>
        <v>DS Cattle MMN2O</v>
      </c>
      <c r="B952" s="95" t="s">
        <v>974</v>
      </c>
      <c r="C952" s="95" t="s">
        <v>1232</v>
      </c>
      <c r="D952" t="s">
        <v>15</v>
      </c>
      <c r="E952" t="s">
        <v>657</v>
      </c>
      <c r="F952" t="s">
        <v>67</v>
      </c>
      <c r="G952" t="s">
        <v>123</v>
      </c>
      <c r="H952" t="s">
        <v>1227</v>
      </c>
      <c r="I952" t="s">
        <v>139</v>
      </c>
      <c r="J952" t="s">
        <v>287</v>
      </c>
      <c r="K952" s="93">
        <f>IF('Net zero activities &amp; levers'!$C$12="Off",('Activity data'!AD9*EF!$H40*EF!$H58)*NtoN2O*kgtoGg,('Net zero Activity data'!AD9*EF!$H40*EF!$H58)*NtoN2O*kgtoGg)</f>
        <v>0.80452586370517853</v>
      </c>
      <c r="L952" s="93">
        <f>IF('Net zero activities &amp; levers'!$C$12="Off",('Activity data'!AE9*EF!$H40*EF!$H58)*NtoN2O*kgtoGg,('Net zero Activity data'!AE9*EF!$H40*EF!$H58)*NtoN2O*kgtoGg)</f>
        <v>0.79754846782098077</v>
      </c>
      <c r="M952" s="93">
        <f>IF('Net zero activities &amp; levers'!$C$12="Off",('Activity data'!AF9*EF!$H40*EF!$H58)*NtoN2O*kgtoGg,('Net zero Activity data'!AF9*EF!$H40*EF!$H58)*NtoN2O*kgtoGg)</f>
        <v>0.79489238443144161</v>
      </c>
      <c r="N952" s="93">
        <f>IF('Net zero activities &amp; levers'!$C$12="Off",('Activity data'!AG9*EF!$H40*EF!$H58)*NtoN2O*kgtoGg,('Net zero Activity data'!AG9*EF!$H40*EF!$H58)*NtoN2O*kgtoGg)</f>
        <v>0.78427763712907461</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0.74898829393537247</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0.71847062359542468</v>
      </c>
      <c r="S952" s="93">
        <f>IF('Net zero activities &amp; levers'!$C$12="Off",('Activity data'!AL9*EF!$H40*EF!$H58)*NtoN2O*kgtoGg,('Net zero Activity data'!AL9*EF!$H40*EF!$H58)*NtoN2O*kgtoGg)</f>
        <v>0.64254175234089539</v>
      </c>
      <c r="T952" s="93">
        <f>IF('Net zero activities &amp; levers'!$C$12="Off",('Activity data'!AM9*EF!$H40*EF!$H58)*NtoN2O*kgtoGg,('Net zero Activity data'!AM9*EF!$H40*EF!$H58)*NtoN2O*kgtoGg)</f>
        <v>0.66729693345254038</v>
      </c>
      <c r="U952" s="93">
        <f>IF('Net zero activities &amp; levers'!$C$12="Off",('Activity data'!AN9*EF!$H40*EF!$H58)*NtoN2O*kgtoGg,('Net zero Activity data'!AN9*EF!$H40*EF!$H58)*NtoN2O*kgtoGg)</f>
        <v>2.1031168374137881</v>
      </c>
      <c r="V952" s="93">
        <f>IF('Net zero activities &amp; levers'!$C$12="Off",('Activity data'!AO9*EF!$H40*EF!$H58)*NtoN2O*kgtoGg,('Net zero Activity data'!AO9*EF!$H40*EF!$H58)*NtoN2O*kgtoGg)</f>
        <v>2.1132609674605565</v>
      </c>
      <c r="W952" s="93">
        <f>IF('Net zero activities &amp; levers'!$C$12="Off",('Activity data'!AP9*EF!$H40*EF!$H58)*NtoN2O*kgtoGg,('Net zero Activity data'!AP9*EF!$H40*EF!$H58)*NtoN2O*kgtoGg)</f>
        <v>2.1197531856118057</v>
      </c>
      <c r="X952" s="93">
        <f>IF('Net zero activities &amp; levers'!$C$12="Off",('Activity data'!AQ9*EF!$H40*EF!$H58)*NtoN2O*kgtoGg,('Net zero Activity data'!AQ9*EF!$H40*EF!$H58)*NtoN2O*kgtoGg)</f>
        <v>2.1225921695273335</v>
      </c>
      <c r="Y952" s="93">
        <f>IF('Net zero activities &amp; levers'!$C$12="Off",('Activity data'!AR9*EF!$H40*EF!$H58)*NtoN2O*kgtoGg,('Net zero Activity data'!AR9*EF!$H40*EF!$H58)*NtoN2O*kgtoGg)</f>
        <v>2.1218380596217075</v>
      </c>
      <c r="Z952" s="93">
        <f>IF('Net zero activities &amp; levers'!$C$12="Off",('Activity data'!AS9*EF!$H40*EF!$H58)*NtoN2O*kgtoGg,('Net zero Activity data'!AS9*EF!$H40*EF!$H58)*NtoN2O*kgtoGg)</f>
        <v>2.1174547095707896</v>
      </c>
      <c r="AA952" s="93">
        <f>IF('Net zero activities &amp; levers'!$C$12="Off",('Activity data'!AT9*EF!$H40*EF!$H58)*NtoN2O*kgtoGg,('Net zero Activity data'!AT9*EF!$H40*EF!$H58)*NtoN2O*kgtoGg)</f>
        <v>2.1094313819946655</v>
      </c>
      <c r="AB952" s="93">
        <f>IF('Net zero activities &amp; levers'!$C$12="Off",('Activity data'!AU9*EF!$H40*EF!$H58)*NtoN2O*kgtoGg,('Net zero Activity data'!AU9*EF!$H40*EF!$H58)*NtoN2O*kgtoGg)</f>
        <v>2.0977747154519557</v>
      </c>
      <c r="AC952" s="93">
        <f>IF('Net zero activities &amp; levers'!$C$12="Off",('Activity data'!AV9*EF!$H40*EF!$H58)*NtoN2O*kgtoGg,('Net zero Activity data'!AV9*EF!$H40*EF!$H58)*NtoN2O*kgtoGg)</f>
        <v>2.0825109211484589</v>
      </c>
      <c r="AD952" s="93">
        <f>IF('Net zero activities &amp; levers'!$C$12="Off",('Activity data'!AW9*EF!$H40*EF!$H58)*NtoN2O*kgtoGg,('Net zero Activity data'!AW9*EF!$H40*EF!$H58)*NtoN2O*kgtoGg)</f>
        <v>2.0463479238126498</v>
      </c>
      <c r="AE952" s="93">
        <f>IF('Net zero activities &amp; levers'!$C$12="Off",('Activity data'!AX9*EF!$H40*EF!$H58)*NtoN2O*kgtoGg,('Net zero Activity data'!AX9*EF!$H40*EF!$H58)*NtoN2O*kgtoGg)</f>
        <v>2.0067786008634618</v>
      </c>
      <c r="AF952" s="93">
        <f>IF('Net zero activities &amp; levers'!$C$12="Off",('Activity data'!AY9*EF!$H40*EF!$H58)*NtoN2O*kgtoGg,('Net zero Activity data'!AY9*EF!$H40*EF!$H58)*NtoN2O*kgtoGg)</f>
        <v>1.9639807451237425</v>
      </c>
      <c r="AG952" s="93">
        <f>IF('Net zero activities &amp; levers'!$C$12="Off",('Activity data'!AZ9*EF!$H40*EF!$H58)*NtoN2O*kgtoGg,('Net zero Activity data'!AZ9*EF!$H40*EF!$H58)*NtoN2O*kgtoGg)</f>
        <v>1.9181523517379118</v>
      </c>
      <c r="AH952" s="93">
        <f>IF('Net zero activities &amp; levers'!$C$12="Off",('Activity data'!BA9*EF!$H40*EF!$H58)*NtoN2O*kgtoGg,('Net zero Activity data'!BA9*EF!$H40*EF!$H58)*NtoN2O*kgtoGg)</f>
        <v>1.8695042034320957</v>
      </c>
      <c r="AI952" s="93">
        <f>IF('Net zero activities &amp; levers'!$C$12="Off",('Activity data'!BB9*EF!$H40*EF!$H58)*NtoN2O*kgtoGg,('Net zero Activity data'!BB9*EF!$H40*EF!$H58)*NtoN2O*kgtoGg)</f>
        <v>1.8182607536268967</v>
      </c>
      <c r="AJ952" s="93">
        <f>IF('Net zero activities &amp; levers'!$C$12="Off",('Activity data'!BC9*EF!$H40*EF!$H58)*NtoN2O*kgtoGg,('Net zero Activity data'!BC9*EF!$H40*EF!$H58)*NtoN2O*kgtoGg)</f>
        <v>-0.14039371828250841</v>
      </c>
      <c r="AK952" s="93">
        <f>IF('Net zero activities &amp; levers'!$C$12="Off",('Activity data'!BD9*EF!$H40*EF!$H58)*NtoN2O*kgtoGg,('Net zero Activity data'!BD9*EF!$H40*EF!$H58)*NtoN2O*kgtoGg)</f>
        <v>-0.13701344325392734</v>
      </c>
      <c r="AL952" s="93">
        <f>IF('Net zero activities &amp; levers'!$C$12="Off",('Activity data'!BE9*EF!$H40*EF!$H58)*NtoN2O*kgtoGg,('Net zero Activity data'!BE9*EF!$H40*EF!$H58)*NtoN2O*kgtoGg)</f>
        <v>-0.13366833826200414</v>
      </c>
      <c r="AM952" s="93">
        <f>IF('Net zero activities &amp; levers'!$C$12="Off",('Activity data'!BF9*EF!$H40*EF!$H58)*NtoN2O*kgtoGg,('Net zero Activity data'!BF9*EF!$H40*EF!$H58)*NtoN2O*kgtoGg)</f>
        <v>-0.13035805781909493</v>
      </c>
      <c r="AN952" s="93">
        <f>IF('Net zero activities &amp; levers'!$C$12="Off",('Activity data'!BG9*EF!$H40*EF!$H58)*NtoN2O*kgtoGg,('Net zero Activity data'!BG9*EF!$H40*EF!$H58)*NtoN2O*kgtoGg)</f>
        <v>-0.12773077566947513</v>
      </c>
      <c r="AO952" s="93">
        <f>IF('Net zero activities &amp; levers'!$C$12="Off",('Activity data'!BH9*EF!$H40*EF!$H58)*NtoN2O*kgtoGg,('Net zero Activity data'!BH9*EF!$H40*EF!$H58)*NtoN2O*kgtoGg)</f>
        <v>-0.12512841616450843</v>
      </c>
      <c r="AP952" s="93">
        <f>IF('Net zero activities &amp; levers'!$C$12="Off",('Activity data'!BI9*EF!$H40*EF!$H58)*NtoN2O*kgtoGg,('Net zero Activity data'!BI9*EF!$H40*EF!$H58)*NtoN2O*kgtoGg)</f>
        <v>-0.12254904374217125</v>
      </c>
      <c r="AQ952" s="93">
        <f>IF('Net zero activities &amp; levers'!$C$12="Off",('Activity data'!BJ9*EF!$H40*EF!$H58)*NtoN2O*kgtoGg,('Net zero Activity data'!BJ9*EF!$H40*EF!$H58)*NtoN2O*kgtoGg)</f>
        <v>-0.11999201947565157</v>
      </c>
      <c r="AR952" s="93">
        <f>IF('Net zero activities &amp; levers'!$C$12="Off",('Activity data'!BK9*EF!$H40*EF!$H58)*NtoN2O*kgtoGg,('Net zero Activity data'!BK9*EF!$H40*EF!$H58)*NtoN2O*kgtoGg)</f>
        <v>-0.11745547392381339</v>
      </c>
      <c r="AS952" s="93">
        <f>IF('Net zero activities &amp; levers'!$C$12="Off",('Activity data'!BL9*EF!$H40*EF!$H58)*NtoN2O*kgtoGg,('Net zero Activity data'!BL9*EF!$H40*EF!$H58)*NtoN2O*kgtoGg)</f>
        <v>-0.11493757634376978</v>
      </c>
      <c r="AT952" s="93">
        <f>IF('Net zero activities &amp; levers'!$C$12="Off",('Activity data'!BM9*EF!$H40*EF!$H58)*NtoN2O*kgtoGg,('Net zero Activity data'!BM9*EF!$H40*EF!$H58)*NtoN2O*kgtoGg)</f>
        <v>-0.11243803270749411</v>
      </c>
      <c r="AU952" s="93">
        <f>IF('Net zero activities &amp; levers'!$C$12="Off",('Activity data'!BN9*EF!$H40*EF!$H58)*NtoN2O*kgtoGg,('Net zero Activity data'!BN9*EF!$H40*EF!$H58)*NtoN2O*kgtoGg)</f>
        <v>-0.10995699744000494</v>
      </c>
      <c r="AV952" s="93">
        <f>IF('Net zero activities &amp; levers'!$C$12="Off",('Activity data'!BO9*EF!$H40*EF!$H58)*NtoN2O*kgtoGg,('Net zero Activity data'!BO9*EF!$H40*EF!$H58)*NtoN2O*kgtoGg)</f>
        <v>-0.10749456527290084</v>
      </c>
      <c r="AW952" s="93">
        <f>IF('Net zero activities &amp; levers'!$C$12="Off",('Activity data'!BP9*EF!$H40*EF!$H58)*NtoN2O*kgtoGg,('Net zero Activity data'!BP9*EF!$H40*EF!$H58)*NtoN2O*kgtoGg)</f>
        <v>-0.10504932187981528</v>
      </c>
      <c r="AY952" s="79"/>
      <c r="AZ952" s="79"/>
    </row>
    <row r="953" spans="1:52" x14ac:dyDescent="0.25">
      <c r="A953" s="95" t="str">
        <f t="shared" si="326"/>
        <v>DS Cattle MMN2O</v>
      </c>
      <c r="B953" s="95" t="s">
        <v>974</v>
      </c>
      <c r="C953" s="95" t="s">
        <v>1232</v>
      </c>
      <c r="D953" t="s">
        <v>15</v>
      </c>
      <c r="E953" t="s">
        <v>657</v>
      </c>
      <c r="F953" t="s">
        <v>67</v>
      </c>
      <c r="G953" t="s">
        <v>135</v>
      </c>
      <c r="H953" t="s">
        <v>1227</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1.0122801448609147</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1.0806972456941155</v>
      </c>
      <c r="O953" s="93">
        <f>IF('Net zero activities &amp; levers'!$C$12="Off",('Activity data'!AH10*EF!$H41*EF!$H59)*NtoN2O*kgtoGg,('Net zero Activity data'!AH10*EF!$H41*EF!$H59)*NtoN2O*kgtoGg)</f>
        <v>1.1032367943433714</v>
      </c>
      <c r="P953" s="93">
        <f>IF('Net zero activities &amp; levers'!$C$12="Off",('Activity data'!AI10*EF!$H41*EF!$H59)*NtoN2O*kgtoGg,('Net zero Activity data'!AI10*EF!$H41*EF!$H59)*NtoN2O*kgtoGg)</f>
        <v>1.1187666946803869</v>
      </c>
      <c r="Q953" s="93">
        <f>IF('Net zero activities &amp; levers'!$C$12="Off",('Activity data'!AJ10*EF!$H41*EF!$H59)*NtoN2O*kgtoGg,('Net zero Activity data'!AJ10*EF!$H41*EF!$H59)*NtoN2O*kgtoGg)</f>
        <v>1.1399714801203364</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1.0813845600959935</v>
      </c>
      <c r="T953" s="93">
        <f>IF('Net zero activities &amp; levers'!$C$12="Off",('Activity data'!AM10*EF!$H41*EF!$H59)*NtoN2O*kgtoGg,('Net zero Activity data'!AM10*EF!$H41*EF!$H59)*NtoN2O*kgtoGg)</f>
        <v>1.1501042489069657</v>
      </c>
      <c r="U953" s="93">
        <f>IF('Net zero activities &amp; levers'!$C$12="Off",('Activity data'!AN10*EF!$H41*EF!$H59)*NtoN2O*kgtoGg,('Net zero Activity data'!AN10*EF!$H41*EF!$H59)*NtoN2O*kgtoGg)</f>
        <v>3.7109100106027491</v>
      </c>
      <c r="V953" s="93">
        <f>IF('Net zero activities &amp; levers'!$C$12="Off",('Activity data'!AO10*EF!$H41*EF!$H59)*NtoN2O*kgtoGg,('Net zero Activity data'!AO10*EF!$H41*EF!$H59)*NtoN2O*kgtoGg)</f>
        <v>3.81628643561459</v>
      </c>
      <c r="W953" s="93">
        <f>IF('Net zero activities &amp; levers'!$C$12="Off",('Activity data'!AP10*EF!$H41*EF!$H59)*NtoN2O*kgtoGg,('Net zero Activity data'!AP10*EF!$H41*EF!$H59)*NtoN2O*kgtoGg)</f>
        <v>3.9167580657264067</v>
      </c>
      <c r="X953" s="93">
        <f>IF('Net zero activities &amp; levers'!$C$12="Off",('Activity data'!AQ10*EF!$H41*EF!$H59)*NtoN2O*kgtoGg,('Net zero Activity data'!AQ10*EF!$H41*EF!$H59)*NtoN2O*kgtoGg)</f>
        <v>4.0119388397207816</v>
      </c>
      <c r="Y953" s="93">
        <f>IF('Net zero activities &amp; levers'!$C$12="Off",('Activity data'!AR10*EF!$H41*EF!$H59)*NtoN2O*kgtoGg,('Net zero Activity data'!AR10*EF!$H41*EF!$H59)*NtoN2O*kgtoGg)</f>
        <v>4.1015489666041693</v>
      </c>
      <c r="Z953" s="93">
        <f>IF('Net zero activities &amp; levers'!$C$12="Off",('Activity data'!AS10*EF!$H41*EF!$H59)*NtoN2O*kgtoGg,('Net zero Activity data'!AS10*EF!$H41*EF!$H59)*NtoN2O*kgtoGg)</f>
        <v>4.185115809425092</v>
      </c>
      <c r="AA953" s="93">
        <f>IF('Net zero activities &amp; levers'!$C$12="Off",('Activity data'!AT10*EF!$H41*EF!$H59)*NtoN2O*kgtoGg,('Net zero Activity data'!AT10*EF!$H41*EF!$H59)*NtoN2O*kgtoGg)</f>
        <v>4.2621982223461794</v>
      </c>
      <c r="AB953" s="93">
        <f>IF('Net zero activities &amp; levers'!$C$12="Off",('Activity data'!AU10*EF!$H41*EF!$H59)*NtoN2O*kgtoGg,('Net zero Activity data'!AU10*EF!$H41*EF!$H59)*NtoN2O*kgtoGg)</f>
        <v>4.332374707921506</v>
      </c>
      <c r="AC953" s="93">
        <f>IF('Net zero activities &amp; levers'!$C$12="Off",('Activity data'!AV10*EF!$H41*EF!$H59)*NtoN2O*kgtoGg,('Net zero Activity data'!AV10*EF!$H41*EF!$H59)*NtoN2O*kgtoGg)</f>
        <v>4.3952511811697104</v>
      </c>
      <c r="AD953" s="93">
        <f>IF('Net zero activities &amp; levers'!$C$12="Off",('Activity data'!AW10*EF!$H41*EF!$H59)*NtoN2O*kgtoGg,('Net zero Activity data'!AW10*EF!$H41*EF!$H59)*NtoN2O*kgtoGg)</f>
        <v>4.4621545606882416</v>
      </c>
      <c r="AE953" s="93">
        <f>IF('Net zero activities &amp; levers'!$C$12="Off",('Activity data'!AX10*EF!$H41*EF!$H59)*NtoN2O*kgtoGg,('Net zero Activity data'!AX10*EF!$H41*EF!$H59)*NtoN2O*kgtoGg)</f>
        <v>4.5212658165225097</v>
      </c>
      <c r="AF953" s="93">
        <f>IF('Net zero activities &amp; levers'!$C$12="Off",('Activity data'!AY10*EF!$H41*EF!$H59)*NtoN2O*kgtoGg,('Net zero Activity data'!AY10*EF!$H41*EF!$H59)*NtoN2O*kgtoGg)</f>
        <v>4.572238941429692</v>
      </c>
      <c r="AG953" s="93">
        <f>IF('Net zero activities &amp; levers'!$C$12="Off",('Activity data'!AZ10*EF!$H41*EF!$H59)*NtoN2O*kgtoGg,('Net zero Activity data'!AZ10*EF!$H41*EF!$H59)*NtoN2O*kgtoGg)</f>
        <v>4.6147735825145579</v>
      </c>
      <c r="AH953" s="93">
        <f>IF('Net zero activities &amp; levers'!$C$12="Off",('Activity data'!BA10*EF!$H41*EF!$H59)*NtoN2O*kgtoGg,('Net zero Activity data'!BA10*EF!$H41*EF!$H59)*NtoN2O*kgtoGg)</f>
        <v>4.6486045920264791</v>
      </c>
      <c r="AI953" s="93">
        <f>IF('Net zero activities &amp; levers'!$C$12="Off",('Activity data'!BB10*EF!$H41*EF!$H59)*NtoN2O*kgtoGg,('Net zero Activity data'!BB10*EF!$H41*EF!$H59)*NtoN2O*kgtoGg)</f>
        <v>4.6735101171168392</v>
      </c>
      <c r="AJ953" s="93">
        <f>IF('Net zero activities &amp; levers'!$C$12="Off",('Activity data'!BC10*EF!$H41*EF!$H59)*NtoN2O*kgtoGg,('Net zero Activity data'!BC10*EF!$H41*EF!$H59)*NtoN2O*kgtoGg)</f>
        <v>-0.37307516132200708</v>
      </c>
      <c r="AK953" s="93">
        <f>IF('Net zero activities &amp; levers'!$C$12="Off",('Activity data'!BD10*EF!$H41*EF!$H59)*NtoN2O*kgtoGg,('Net zero Activity data'!BD10*EF!$H41*EF!$H59)*NtoN2O*kgtoGg)</f>
        <v>-0.37648970355727795</v>
      </c>
      <c r="AL953" s="93">
        <f>IF('Net zero activities &amp; levers'!$C$12="Off",('Activity data'!BE10*EF!$H41*EF!$H59)*NtoN2O*kgtoGg,('Net zero Activity data'!BE10*EF!$H41*EF!$H59)*NtoN2O*kgtoGg)</f>
        <v>-0.37988166723122341</v>
      </c>
      <c r="AM953" s="93">
        <f>IF('Net zero activities &amp; levers'!$C$12="Off",('Activity data'!BF10*EF!$H41*EF!$H59)*NtoN2O*kgtoGg,('Net zero Activity data'!BF10*EF!$H41*EF!$H59)*NtoN2O*kgtoGg)</f>
        <v>-0.38325274179247815</v>
      </c>
      <c r="AN953" s="93">
        <f>IF('Net zero activities &amp; levers'!$C$12="Off",('Activity data'!BG10*EF!$H41*EF!$H59)*NtoN2O*kgtoGg,('Net zero Activity data'!BG10*EF!$H41*EF!$H59)*NtoN2O*kgtoGg)</f>
        <v>-0.3861241570916577</v>
      </c>
      <c r="AO953" s="93">
        <f>IF('Net zero activities &amp; levers'!$C$12="Off",('Activity data'!BH10*EF!$H41*EF!$H59)*NtoN2O*kgtoGg,('Net zero Activity data'!BH10*EF!$H41*EF!$H59)*NtoN2O*kgtoGg)</f>
        <v>-0.38896686054418655</v>
      </c>
      <c r="AP953" s="93">
        <f>IF('Net zero activities &amp; levers'!$C$12="Off",('Activity data'!BI10*EF!$H41*EF!$H59)*NtoN2O*kgtoGg,('Net zero Activity data'!BI10*EF!$H41*EF!$H59)*NtoN2O*kgtoGg)</f>
        <v>-0.39177650128046815</v>
      </c>
      <c r="AQ953" s="93">
        <f>IF('Net zero activities &amp; levers'!$C$12="Off",('Activity data'!BJ10*EF!$H41*EF!$H59)*NtoN2O*kgtoGg,('Net zero Activity data'!BJ10*EF!$H41*EF!$H59)*NtoN2O*kgtoGg)</f>
        <v>-0.39455230658450102</v>
      </c>
      <c r="AR953" s="93">
        <f>IF('Net zero activities &amp; levers'!$C$12="Off",('Activity data'!BK10*EF!$H41*EF!$H59)*NtoN2O*kgtoGg,('Net zero Activity data'!BK10*EF!$H41*EF!$H59)*NtoN2O*kgtoGg)</f>
        <v>-0.39728909714720628</v>
      </c>
      <c r="AS953" s="93">
        <f>IF('Net zero activities &amp; levers'!$C$12="Off",('Activity data'!BL10*EF!$H41*EF!$H59)*NtoN2O*kgtoGg,('Net zero Activity data'!BL10*EF!$H41*EF!$H59)*NtoN2O*kgtoGg)</f>
        <v>-0.39998109146847105</v>
      </c>
      <c r="AT953" s="93">
        <f>IF('Net zero activities &amp; levers'!$C$12="Off",('Activity data'!BM10*EF!$H41*EF!$H59)*NtoN2O*kgtoGg,('Net zero Activity data'!BM10*EF!$H41*EF!$H59)*NtoN2O*kgtoGg)</f>
        <v>-0.40262723351695445</v>
      </c>
      <c r="AU953" s="93">
        <f>IF('Net zero activities &amp; levers'!$C$12="Off",('Activity data'!BN10*EF!$H41*EF!$H59)*NtoN2O*kgtoGg,('Net zero Activity data'!BN10*EF!$H41*EF!$H59)*NtoN2O*kgtoGg)</f>
        <v>-0.4052279233246403</v>
      </c>
      <c r="AV953" s="93">
        <f>IF('Net zero activities &amp; levers'!$C$12="Off",('Activity data'!BO10*EF!$H41*EF!$H59)*NtoN2O*kgtoGg,('Net zero Activity data'!BO10*EF!$H41*EF!$H59)*NtoN2O*kgtoGg)</f>
        <v>-0.40778332090512204</v>
      </c>
      <c r="AW953" s="93">
        <f>IF('Net zero activities &amp; levers'!$C$12="Off",('Activity data'!BP10*EF!$H41*EF!$H59)*NtoN2O*kgtoGg,('Net zero Activity data'!BP10*EF!$H41*EF!$H59)*NtoN2O*kgtoGg)</f>
        <v>-0.41028765697691083</v>
      </c>
      <c r="AY953" s="79"/>
      <c r="AZ953" s="79"/>
    </row>
    <row r="954" spans="1:52" x14ac:dyDescent="0.25">
      <c r="A954" s="95" t="str">
        <f t="shared" si="326"/>
        <v>DS Sheep MMN2O</v>
      </c>
      <c r="B954" s="95" t="s">
        <v>974</v>
      </c>
      <c r="C954" s="95" t="s">
        <v>1328</v>
      </c>
      <c r="D954" t="s">
        <v>15</v>
      </c>
      <c r="E954" t="s">
        <v>657</v>
      </c>
      <c r="F954" t="s">
        <v>18</v>
      </c>
      <c r="G954" t="s">
        <v>122</v>
      </c>
      <c r="H954" t="s">
        <v>1227</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0.11888990250365807</v>
      </c>
      <c r="T954" s="93">
        <f>IF('Net zero activities &amp; levers'!$C$12="Off",('Activity data'!AM11*EF!$H42*EF!$H60)*NtoN2O*kgtoGg,IF('Net zero activities &amp; levers'!$C$12="PB",('Activity data'!AM11*EF!$H42*EF!$H60)*NtoN2O*kgtoGg,IF('Net zero activities &amp; levers'!$C$12="MS",('Net zero Activity data'!AM11*EF!$H42*EF!$H60)*NtoN2O*kgtoGg,"ERROR")))</f>
        <v>0.1189690287837306</v>
      </c>
      <c r="U954" s="93">
        <f>IF('Net zero activities &amp; levers'!$C$12="Off",('Activity data'!AN11*EF!$H42*EF!$H60)*NtoN2O*kgtoGg,IF('Net zero activities &amp; levers'!$C$12="PB",('Activity data'!AN11*EF!$H42*EF!$H60)*NtoN2O*kgtoGg,IF('Net zero activities &amp; levers'!$C$12="MS",('Net zero Activity data'!AN11*EF!$H42*EF!$H60)*NtoN2O*kgtoGg,"ERROR")))</f>
        <v>0.12051861082287679</v>
      </c>
      <c r="V954" s="93">
        <f>IF('Net zero activities &amp; levers'!$C$12="Off",('Activity data'!AO11*EF!$H42*EF!$H60)*NtoN2O*kgtoGg,IF('Net zero activities &amp; levers'!$C$12="PB",('Activity data'!AO11*EF!$H42*EF!$H60)*NtoN2O*kgtoGg,IF('Net zero activities &amp; levers'!$C$12="MS",('Net zero Activity data'!AO11*EF!$H42*EF!$H60)*NtoN2O*kgtoGg,"ERROR")))</f>
        <v>0.1205564116673056</v>
      </c>
      <c r="W954" s="93">
        <f>IF('Net zero activities &amp; levers'!$C$12="Off",('Activity data'!AP11*EF!$H42*EF!$H60)*NtoN2O*kgtoGg,IF('Net zero activities &amp; levers'!$C$12="PB",('Activity data'!AP11*EF!$H42*EF!$H60)*NtoN2O*kgtoGg,IF('Net zero activities &amp; levers'!$C$12="MS",('Net zero Activity data'!AP11*EF!$H42*EF!$H60)*NtoN2O*kgtoGg,"ERROR")))</f>
        <v>0.1207181038170992</v>
      </c>
      <c r="X954" s="93">
        <f>IF('Net zero activities &amp; levers'!$C$12="Off",('Activity data'!AQ11*EF!$H42*EF!$H60)*NtoN2O*kgtoGg,IF('Net zero activities &amp; levers'!$C$12="PB",('Activity data'!AQ11*EF!$H42*EF!$H60)*NtoN2O*kgtoGg,IF('Net zero activities &amp; levers'!$C$12="MS",('Net zero Activity data'!AQ11*EF!$H42*EF!$H60)*NtoN2O*kgtoGg,"ERROR")))</f>
        <v>0.1209518337442019</v>
      </c>
      <c r="Y954" s="93">
        <f>IF('Net zero activities &amp; levers'!$C$12="Off",('Activity data'!AR11*EF!$H42*EF!$H60)*NtoN2O*kgtoGg,IF('Net zero activities &amp; levers'!$C$12="PB",('Activity data'!AR11*EF!$H42*EF!$H60)*NtoN2O*kgtoGg,IF('Net zero activities &amp; levers'!$C$12="MS",('Net zero Activity data'!AR11*EF!$H42*EF!$H60)*NtoN2O*kgtoGg,"ERROR")))</f>
        <v>0.12116896083678347</v>
      </c>
      <c r="Z954" s="93">
        <f>IF('Net zero activities &amp; levers'!$C$12="Off",('Activity data'!AS11*EF!$H42*EF!$H60)*NtoN2O*kgtoGg,IF('Net zero activities &amp; levers'!$C$12="PB",('Activity data'!AS11*EF!$H42*EF!$H60)*NtoN2O*kgtoGg,IF('Net zero activities &amp; levers'!$C$12="MS",('Net zero Activity data'!AS11*EF!$H42*EF!$H60)*NtoN2O*kgtoGg,"ERROR")))</f>
        <v>0.12137217342001694</v>
      </c>
      <c r="AA954" s="93">
        <f>IF('Net zero activities &amp; levers'!$C$12="Off",('Activity data'!AT11*EF!$H42*EF!$H60)*NtoN2O*kgtoGg,IF('Net zero activities &amp; levers'!$C$12="PB",('Activity data'!AT11*EF!$H42*EF!$H60)*NtoN2O*kgtoGg,IF('Net zero activities &amp; levers'!$C$12="MS",('Net zero Activity data'!AT11*EF!$H42*EF!$H60)*NtoN2O*kgtoGg,"ERROR")))</f>
        <v>0.1215603878714394</v>
      </c>
      <c r="AB954" s="93">
        <f>IF('Net zero activities &amp; levers'!$C$12="Off",('Activity data'!AU11*EF!$H42*EF!$H60)*NtoN2O*kgtoGg,IF('Net zero activities &amp; levers'!$C$12="PB",('Activity data'!AU11*EF!$H42*EF!$H60)*NtoN2O*kgtoGg,IF('Net zero activities &amp; levers'!$C$12="MS",('Net zero Activity data'!AU11*EF!$H42*EF!$H60)*NtoN2O*kgtoGg,"ERROR")))</f>
        <v>0.12173530001872475</v>
      </c>
      <c r="AC954" s="93">
        <f>IF('Net zero activities &amp; levers'!$C$12="Off",('Activity data'!AV11*EF!$H42*EF!$H60)*NtoN2O*kgtoGg,IF('Net zero activities &amp; levers'!$C$12="PB",('Activity data'!AV11*EF!$H42*EF!$H60)*NtoN2O*kgtoGg,IF('Net zero activities &amp; levers'!$C$12="MS",('Net zero Activity data'!AV11*EF!$H42*EF!$H60)*NtoN2O*kgtoGg,"ERROR")))</f>
        <v>0.12189956310100271</v>
      </c>
      <c r="AD954" s="93">
        <f>IF('Net zero activities &amp; levers'!$C$12="Off",('Activity data'!AW11*EF!$H42*EF!$H60)*NtoN2O*kgtoGg,IF('Net zero activities &amp; levers'!$C$12="PB",('Activity data'!AW11*EF!$H42*EF!$H60)*NtoN2O*kgtoGg,IF('Net zero activities &amp; levers'!$C$12="MS",('Net zero Activity data'!AW11*EF!$H42*EF!$H60)*NtoN2O*kgtoGg,"ERROR")))</f>
        <v>0.12205302234453672</v>
      </c>
      <c r="AE954" s="93">
        <f>IF('Net zero activities &amp; levers'!$C$12="Off",('Activity data'!AX11*EF!$H42*EF!$H60)*NtoN2O*kgtoGg,IF('Net zero activities &amp; levers'!$C$12="PB",('Activity data'!AX11*EF!$H42*EF!$H60)*NtoN2O*kgtoGg,IF('Net zero activities &amp; levers'!$C$12="MS",('Net zero Activity data'!AX11*EF!$H42*EF!$H60)*NtoN2O*kgtoGg,"ERROR")))</f>
        <v>0.12219813225383717</v>
      </c>
      <c r="AF954" s="93">
        <f>IF('Net zero activities &amp; levers'!$C$12="Off",('Activity data'!AY11*EF!$H42*EF!$H60)*NtoN2O*kgtoGg,IF('Net zero activities &amp; levers'!$C$12="PB",('Activity data'!AY11*EF!$H42*EF!$H60)*NtoN2O*kgtoGg,IF('Net zero activities &amp; levers'!$C$12="MS",('Net zero Activity data'!AY11*EF!$H42*EF!$H60)*NtoN2O*kgtoGg,"ERROR")))</f>
        <v>0.12233524409037175</v>
      </c>
      <c r="AG954" s="93">
        <f>IF('Net zero activities &amp; levers'!$C$12="Off",('Activity data'!AZ11*EF!$H42*EF!$H60)*NtoN2O*kgtoGg,IF('Net zero activities &amp; levers'!$C$12="PB",('Activity data'!AZ11*EF!$H42*EF!$H60)*NtoN2O*kgtoGg,IF('Net zero activities &amp; levers'!$C$12="MS",('Net zero Activity data'!AZ11*EF!$H42*EF!$H60)*NtoN2O*kgtoGg,"ERROR")))</f>
        <v>0.12246247857835596</v>
      </c>
      <c r="AH954" s="93">
        <f>IF('Net zero activities &amp; levers'!$C$12="Off",('Activity data'!BA11*EF!$H42*EF!$H60)*NtoN2O*kgtoGg,IF('Net zero activities &amp; levers'!$C$12="PB",('Activity data'!BA11*EF!$H42*EF!$H60)*NtoN2O*kgtoGg,IF('Net zero activities &amp; levers'!$C$12="MS",('Net zero Activity data'!BA11*EF!$H42*EF!$H60)*NtoN2O*kgtoGg,"ERROR")))</f>
        <v>0.12258099962950754</v>
      </c>
      <c r="AI954" s="93">
        <f>IF('Net zero activities &amp; levers'!$C$12="Off",('Activity data'!BB11*EF!$H42*EF!$H60)*NtoN2O*kgtoGg,IF('Net zero activities &amp; levers'!$C$12="PB",('Activity data'!BB11*EF!$H42*EF!$H60)*NtoN2O*kgtoGg,IF('Net zero activities &amp; levers'!$C$12="MS",('Net zero Activity data'!BB11*EF!$H42*EF!$H60)*NtoN2O*kgtoGg,"ERROR")))</f>
        <v>0.1226926980528978</v>
      </c>
      <c r="AJ954" s="93">
        <f>IF('Net zero activities &amp; levers'!$C$12="Off",('Activity data'!BC11*EF!$H42*EF!$H60)*NtoN2O*kgtoGg,IF('Net zero activities &amp; levers'!$C$12="PB",('Activity data'!BC11*EF!$H42*EF!$H60)*NtoN2O*kgtoGg,IF('Net zero activities &amp; levers'!$C$12="MS",('Net zero Activity data'!BC11*EF!$H42*EF!$H60)*NtoN2O*kgtoGg,"ERROR")))</f>
        <v>0.12000006421083369</v>
      </c>
      <c r="AK954" s="93">
        <f>IF('Net zero activities &amp; levers'!$C$12="Off",('Activity data'!BD11*EF!$H42*EF!$H60)*NtoN2O*kgtoGg,IF('Net zero activities &amp; levers'!$C$12="PB",('Activity data'!BD11*EF!$H42*EF!$H60)*NtoN2O*kgtoGg,IF('Net zero activities &amp; levers'!$C$12="MS",('Net zero Activity data'!BD11*EF!$H42*EF!$H60)*NtoN2O*kgtoGg,"ERROR")))</f>
        <v>0.12011041514130365</v>
      </c>
      <c r="AL954" s="93">
        <f>IF('Net zero activities &amp; levers'!$C$12="Off",('Activity data'!BE11*EF!$H42*EF!$H60)*NtoN2O*kgtoGg,IF('Net zero activities &amp; levers'!$C$12="PB",('Activity data'!BE11*EF!$H42*EF!$H60)*NtoN2O*kgtoGg,IF('Net zero activities &amp; levers'!$C$12="MS",('Net zero Activity data'!BE11*EF!$H42*EF!$H60)*NtoN2O*kgtoGg,"ERROR")))</f>
        <v>0.12021334415571779</v>
      </c>
      <c r="AM954" s="93">
        <f>IF('Net zero activities &amp; levers'!$C$12="Off",('Activity data'!BF11*EF!$H42*EF!$H60)*NtoN2O*kgtoGg,IF('Net zero activities &amp; levers'!$C$12="PB",('Activity data'!BF11*EF!$H42*EF!$H60)*NtoN2O*kgtoGg,IF('Net zero activities &amp; levers'!$C$12="MS",('Net zero Activity data'!BF11*EF!$H42*EF!$H60)*NtoN2O*kgtoGg,"ERROR")))</f>
        <v>0.12030948030331916</v>
      </c>
      <c r="AN954" s="93">
        <f>IF('Net zero activities &amp; levers'!$C$12="Off",('Activity data'!BG11*EF!$H42*EF!$H60)*NtoN2O*kgtoGg,IF('Net zero activities &amp; levers'!$C$12="PB",('Activity data'!BG11*EF!$H42*EF!$H60)*NtoN2O*kgtoGg,IF('Net zero activities &amp; levers'!$C$12="MS",('Net zero Activity data'!BG11*EF!$H42*EF!$H60)*NtoN2O*kgtoGg,"ERROR")))</f>
        <v>0.12039958826810335</v>
      </c>
      <c r="AO954" s="93">
        <f>IF('Net zero activities &amp; levers'!$C$12="Off",('Activity data'!BH11*EF!$H42*EF!$H60)*NtoN2O*kgtoGg,IF('Net zero activities &amp; levers'!$C$12="PB",('Activity data'!BH11*EF!$H42*EF!$H60)*NtoN2O*kgtoGg,IF('Net zero activities &amp; levers'!$C$12="MS",('Net zero Activity data'!BH11*EF!$H42*EF!$H60)*NtoN2O*kgtoGg,"ERROR")))</f>
        <v>0.12048129784431058</v>
      </c>
      <c r="AP954" s="93">
        <f>IF('Net zero activities &amp; levers'!$C$12="Off",('Activity data'!BI11*EF!$H42*EF!$H60)*NtoN2O*kgtoGg,IF('Net zero activities &amp; levers'!$C$12="PB",('Activity data'!BI11*EF!$H42*EF!$H60)*NtoN2O*kgtoGg,IF('Net zero activities &amp; levers'!$C$12="MS",('Net zero Activity data'!BI11*EF!$H42*EF!$H60)*NtoN2O*kgtoGg,"ERROR")))</f>
        <v>0.12055302618273207</v>
      </c>
      <c r="AQ954" s="93">
        <f>IF('Net zero activities &amp; levers'!$C$12="Off",('Activity data'!BJ11*EF!$H42*EF!$H60)*NtoN2O*kgtoGg,IF('Net zero activities &amp; levers'!$C$12="PB",('Activity data'!BJ11*EF!$H42*EF!$H60)*NtoN2O*kgtoGg,IF('Net zero activities &amp; levers'!$C$12="MS",('Net zero Activity data'!BJ11*EF!$H42*EF!$H60)*NtoN2O*kgtoGg,"ERROR")))</f>
        <v>0.12061454144456668</v>
      </c>
      <c r="AR954" s="93">
        <f>IF('Net zero activities &amp; levers'!$C$12="Off",('Activity data'!BK11*EF!$H42*EF!$H60)*NtoN2O*kgtoGg,IF('Net zero activities &amp; levers'!$C$12="PB",('Activity data'!BK11*EF!$H42*EF!$H60)*NtoN2O*kgtoGg,IF('Net zero activities &amp; levers'!$C$12="MS",('Net zero Activity data'!BK11*EF!$H42*EF!$H60)*NtoN2O*kgtoGg,"ERROR")))</f>
        <v>0.12066404237348154</v>
      </c>
      <c r="AS954" s="93">
        <f>IF('Net zero activities &amp; levers'!$C$12="Off",('Activity data'!BL11*EF!$H42*EF!$H60)*NtoN2O*kgtoGg,IF('Net zero activities &amp; levers'!$C$12="PB",('Activity data'!BL11*EF!$H42*EF!$H60)*NtoN2O*kgtoGg,IF('Net zero activities &amp; levers'!$C$12="MS",('Net zero Activity data'!BL11*EF!$H42*EF!$H60)*NtoN2O*kgtoGg,"ERROR")))</f>
        <v>0.12069957105311468</v>
      </c>
      <c r="AT954" s="93">
        <f>IF('Net zero activities &amp; levers'!$C$12="Off",('Activity data'!BM11*EF!$H42*EF!$H60)*NtoN2O*kgtoGg,IF('Net zero activities &amp; levers'!$C$12="PB",('Activity data'!BM11*EF!$H42*EF!$H60)*NtoN2O*kgtoGg,IF('Net zero activities &amp; levers'!$C$12="MS",('Net zero Activity data'!BM11*EF!$H42*EF!$H60)*NtoN2O*kgtoGg,"ERROR")))</f>
        <v>0.12072090668873016</v>
      </c>
      <c r="AU954" s="93">
        <f>IF('Net zero activities &amp; levers'!$C$12="Off",('Activity data'!BN11*EF!$H42*EF!$H60)*NtoN2O*kgtoGg,IF('Net zero activities &amp; levers'!$C$12="PB",('Activity data'!BN11*EF!$H42*EF!$H60)*NtoN2O*kgtoGg,IF('Net zero activities &amp; levers'!$C$12="MS",('Net zero Activity data'!BN11*EF!$H42*EF!$H60)*NtoN2O*kgtoGg,"ERROR")))</f>
        <v>0.12072835361242823</v>
      </c>
      <c r="AV954" s="93">
        <f>IF('Net zero activities &amp; levers'!$C$12="Off",('Activity data'!BO11*EF!$H42*EF!$H60)*NtoN2O*kgtoGg,IF('Net zero activities &amp; levers'!$C$12="PB",('Activity data'!BO11*EF!$H42*EF!$H60)*NtoN2O*kgtoGg,IF('Net zero activities &amp; levers'!$C$12="MS",('Net zero Activity data'!BO11*EF!$H42*EF!$H60)*NtoN2O*kgtoGg,"ERROR")))</f>
        <v>0.12072212964886384</v>
      </c>
      <c r="AW954" s="93">
        <f>IF('Net zero activities &amp; levers'!$C$12="Off",('Activity data'!BP11*EF!$H42*EF!$H60)*NtoN2O*kgtoGg,IF('Net zero activities &amp; levers'!$C$12="PB",('Activity data'!BP11*EF!$H42*EF!$H60)*NtoN2O*kgtoGg,IF('Net zero activities &amp; levers'!$C$12="MS",('Net zero Activity data'!BP11*EF!$H42*EF!$H60)*NtoN2O*kgtoGg,"ERROR")))</f>
        <v>0.12070039195556491</v>
      </c>
      <c r="AY954" s="79"/>
      <c r="AZ954" s="79"/>
    </row>
    <row r="955" spans="1:52" x14ac:dyDescent="0.25">
      <c r="A955" s="95" t="str">
        <f t="shared" si="326"/>
        <v>DS Sheep MMN2O</v>
      </c>
      <c r="B955" s="95" t="s">
        <v>974</v>
      </c>
      <c r="C955" s="95" t="s">
        <v>1328</v>
      </c>
      <c r="D955" t="s">
        <v>15</v>
      </c>
      <c r="E955" t="s">
        <v>657</v>
      </c>
      <c r="F955" t="s">
        <v>18</v>
      </c>
      <c r="G955" t="s">
        <v>123</v>
      </c>
      <c r="H955" t="s">
        <v>1227</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6.3575358075834407E-2</v>
      </c>
      <c r="T955" s="93">
        <f>IF('Net zero activities &amp; levers'!$C$12="Off",('Activity data'!AM12*EF!$H43*EF!$H61)*NtoN2O*kgtoGg,IF('Net zero activities &amp; levers'!$C$12="PB",('Activity data'!AM12*EF!$H43*EF!$H61)*NtoN2O*kgtoGg,IF('Net zero activities &amp; levers'!$C$12="MS",('Net zero Activity data'!AM12*EF!$H43*EF!$H61)*NtoN2O*kgtoGg,"ERROR")))</f>
        <v>6.3617670177054816E-2</v>
      </c>
      <c r="U955" s="93">
        <f>IF('Net zero activities &amp; levers'!$C$12="Off",('Activity data'!AN12*EF!$H43*EF!$H61)*NtoN2O*kgtoGg,IF('Net zero activities &amp; levers'!$C$12="PB",('Activity data'!AN12*EF!$H43*EF!$H61)*NtoN2O*kgtoGg,IF('Net zero activities &amp; levers'!$C$12="MS",('Net zero Activity data'!AN12*EF!$H43*EF!$H61)*NtoN2O*kgtoGg,"ERROR")))</f>
        <v>6.4446295913404186E-2</v>
      </c>
      <c r="V955" s="93">
        <f>IF('Net zero activities &amp; levers'!$C$12="Off",('Activity data'!AO12*EF!$H43*EF!$H61)*NtoN2O*kgtoGg,IF('Net zero activities &amp; levers'!$C$12="PB",('Activity data'!AO12*EF!$H43*EF!$H61)*NtoN2O*kgtoGg,IF('Net zero activities &amp; levers'!$C$12="MS",('Net zero Activity data'!AO12*EF!$H43*EF!$H61)*NtoN2O*kgtoGg,"ERROR")))</f>
        <v>6.4466509591517507E-2</v>
      </c>
      <c r="W955" s="93">
        <f>IF('Net zero activities &amp; levers'!$C$12="Off",('Activity data'!AP12*EF!$H43*EF!$H61)*NtoN2O*kgtoGg,IF('Net zero activities &amp; levers'!$C$12="PB",('Activity data'!AP12*EF!$H43*EF!$H61)*NtoN2O*kgtoGg,IF('Net zero activities &amp; levers'!$C$12="MS",('Net zero Activity data'!AP12*EF!$H43*EF!$H61)*NtoN2O*kgtoGg,"ERROR")))</f>
        <v>6.4552973085091836E-2</v>
      </c>
      <c r="X955" s="93">
        <f>IF('Net zero activities &amp; levers'!$C$12="Off",('Activity data'!AQ12*EF!$H43*EF!$H61)*NtoN2O*kgtoGg,IF('Net zero activities &amp; levers'!$C$12="PB",('Activity data'!AQ12*EF!$H43*EF!$H61)*NtoN2O*kgtoGg,IF('Net zero activities &amp; levers'!$C$12="MS",('Net zero Activity data'!AQ12*EF!$H43*EF!$H61)*NtoN2O*kgtoGg,"ERROR")))</f>
        <v>6.4677958163687016E-2</v>
      </c>
      <c r="Y955" s="93">
        <f>IF('Net zero activities &amp; levers'!$C$12="Off",('Activity data'!AR12*EF!$H43*EF!$H61)*NtoN2O*kgtoGg,IF('Net zero activities &amp; levers'!$C$12="PB",('Activity data'!AR12*EF!$H43*EF!$H61)*NtoN2O*kgtoGg,IF('Net zero activities &amp; levers'!$C$12="MS",('Net zero Activity data'!AR12*EF!$H43*EF!$H61)*NtoN2O*kgtoGg,"ERROR")))</f>
        <v>6.479406501858509E-2</v>
      </c>
      <c r="Z955" s="93">
        <f>IF('Net zero activities &amp; levers'!$C$12="Off",('Activity data'!AS12*EF!$H43*EF!$H61)*NtoN2O*kgtoGg,IF('Net zero activities &amp; levers'!$C$12="PB",('Activity data'!AS12*EF!$H43*EF!$H61)*NtoN2O*kgtoGg,IF('Net zero activities &amp; levers'!$C$12="MS",('Net zero Activity data'!AS12*EF!$H43*EF!$H61)*NtoN2O*kgtoGg,"ERROR")))</f>
        <v>6.4902731208669517E-2</v>
      </c>
      <c r="AA955" s="93">
        <f>IF('Net zero activities &amp; levers'!$C$12="Off",('Activity data'!AT12*EF!$H43*EF!$H61)*NtoN2O*kgtoGg,IF('Net zero activities &amp; levers'!$C$12="PB",('Activity data'!AT12*EF!$H43*EF!$H61)*NtoN2O*kgtoGg,IF('Net zero activities &amp; levers'!$C$12="MS",('Net zero Activity data'!AT12*EF!$H43*EF!$H61)*NtoN2O*kgtoGg,"ERROR")))</f>
        <v>6.500337727610038E-2</v>
      </c>
      <c r="AB955" s="93">
        <f>IF('Net zero activities &amp; levers'!$C$12="Off",('Activity data'!AU12*EF!$H43*EF!$H61)*NtoN2O*kgtoGg,IF('Net zero activities &amp; levers'!$C$12="PB",('Activity data'!AU12*EF!$H43*EF!$H61)*NtoN2O*kgtoGg,IF('Net zero activities &amp; levers'!$C$12="MS",('Net zero Activity data'!AU12*EF!$H43*EF!$H61)*NtoN2O*kgtoGg,"ERROR")))</f>
        <v>6.5096910050215798E-2</v>
      </c>
      <c r="AC955" s="93">
        <f>IF('Net zero activities &amp; levers'!$C$12="Off",('Activity data'!AV12*EF!$H43*EF!$H61)*NtoN2O*kgtoGg,IF('Net zero activities &amp; levers'!$C$12="PB",('Activity data'!AV12*EF!$H43*EF!$H61)*NtoN2O*kgtoGg,IF('Net zero activities &amp; levers'!$C$12="MS",('Net zero Activity data'!AV12*EF!$H43*EF!$H61)*NtoN2O*kgtoGg,"ERROR")))</f>
        <v>6.518474832793783E-2</v>
      </c>
      <c r="AD955" s="93">
        <f>IF('Net zero activities &amp; levers'!$C$12="Off",('Activity data'!AW12*EF!$H43*EF!$H61)*NtoN2O*kgtoGg,IF('Net zero activities &amp; levers'!$C$12="PB",('Activity data'!AW12*EF!$H43*EF!$H61)*NtoN2O*kgtoGg,IF('Net zero activities &amp; levers'!$C$12="MS",('Net zero Activity data'!AW12*EF!$H43*EF!$H61)*NtoN2O*kgtoGg,"ERROR")))</f>
        <v>6.5266809345335172E-2</v>
      </c>
      <c r="AE955" s="93">
        <f>IF('Net zero activities &amp; levers'!$C$12="Off",('Activity data'!AX12*EF!$H43*EF!$H61)*NtoN2O*kgtoGg,IF('Net zero activities &amp; levers'!$C$12="PB",('Activity data'!AX12*EF!$H43*EF!$H61)*NtoN2O*kgtoGg,IF('Net zero activities &amp; levers'!$C$12="MS",('Net zero Activity data'!AX12*EF!$H43*EF!$H61)*NtoN2O*kgtoGg,"ERROR")))</f>
        <v>6.5344405627692656E-2</v>
      </c>
      <c r="AF955" s="93">
        <f>IF('Net zero activities &amp; levers'!$C$12="Off",('Activity data'!AY12*EF!$H43*EF!$H61)*NtoN2O*kgtoGg,IF('Net zero activities &amp; levers'!$C$12="PB",('Activity data'!AY12*EF!$H43*EF!$H61)*NtoN2O*kgtoGg,IF('Net zero activities &amp; levers'!$C$12="MS",('Net zero Activity data'!AY12*EF!$H43*EF!$H61)*NtoN2O*kgtoGg,"ERROR")))</f>
        <v>6.5417725009074529E-2</v>
      </c>
      <c r="AG955" s="93">
        <f>IF('Net zero activities &amp; levers'!$C$12="Off",('Activity data'!AZ12*EF!$H43*EF!$H61)*NtoN2O*kgtoGg,IF('Net zero activities &amp; levers'!$C$12="PB",('Activity data'!AZ12*EF!$H43*EF!$H61)*NtoN2O*kgtoGg,IF('Net zero activities &amp; levers'!$C$12="MS",('Net zero Activity data'!AZ12*EF!$H43*EF!$H61)*NtoN2O*kgtoGg,"ERROR")))</f>
        <v>6.5485762562835198E-2</v>
      </c>
      <c r="AH955" s="93">
        <f>IF('Net zero activities &amp; levers'!$C$12="Off",('Activity data'!BA12*EF!$H43*EF!$H61)*NtoN2O*kgtoGg,IF('Net zero activities &amp; levers'!$C$12="PB",('Activity data'!BA12*EF!$H43*EF!$H61)*NtoN2O*kgtoGg,IF('Net zero activities &amp; levers'!$C$12="MS",('Net zero Activity data'!BA12*EF!$H43*EF!$H61)*NtoN2O*kgtoGg,"ERROR")))</f>
        <v>6.5549140680806597E-2</v>
      </c>
      <c r="AI955" s="93">
        <f>IF('Net zero activities &amp; levers'!$C$12="Off",('Activity data'!BB12*EF!$H43*EF!$H61)*NtoN2O*kgtoGg,IF('Net zero activities &amp; levers'!$C$12="PB",('Activity data'!BB12*EF!$H43*EF!$H61)*NtoN2O*kgtoGg,IF('Net zero activities &amp; levers'!$C$12="MS",('Net zero Activity data'!BB12*EF!$H43*EF!$H61)*NtoN2O*kgtoGg,"ERROR")))</f>
        <v>6.560887045696083E-2</v>
      </c>
      <c r="AJ955" s="93">
        <f>IF('Net zero activities &amp; levers'!$C$12="Off",('Activity data'!BC12*EF!$H43*EF!$H61)*NtoN2O*kgtoGg,IF('Net zero activities &amp; levers'!$C$12="PB",('Activity data'!BC12*EF!$H43*EF!$H61)*NtoN2O*kgtoGg,IF('Net zero activities &amp; levers'!$C$12="MS",('Net zero Activity data'!BC12*EF!$H43*EF!$H61)*NtoN2O*kgtoGg,"ERROR")))</f>
        <v>6.4169007549586779E-2</v>
      </c>
      <c r="AK955" s="93">
        <f>IF('Net zero activities &amp; levers'!$C$12="Off",('Activity data'!BD12*EF!$H43*EF!$H61)*NtoN2O*kgtoGg,IF('Net zero activities &amp; levers'!$C$12="PB",('Activity data'!BD12*EF!$H43*EF!$H61)*NtoN2O*kgtoGg,IF('Net zero activities &amp; levers'!$C$12="MS",('Net zero Activity data'!BD12*EF!$H43*EF!$H61)*NtoN2O*kgtoGg,"ERROR")))</f>
        <v>6.42280167654318E-2</v>
      </c>
      <c r="AL955" s="93">
        <f>IF('Net zero activities &amp; levers'!$C$12="Off",('Activity data'!BE12*EF!$H43*EF!$H61)*NtoN2O*kgtoGg,IF('Net zero activities &amp; levers'!$C$12="PB",('Activity data'!BE12*EF!$H43*EF!$H61)*NtoN2O*kgtoGg,IF('Net zero activities &amp; levers'!$C$12="MS",('Net zero Activity data'!BE12*EF!$H43*EF!$H61)*NtoN2O*kgtoGg,"ERROR")))</f>
        <v>6.4283057175171951E-2</v>
      </c>
      <c r="AM955" s="93">
        <f>IF('Net zero activities &amp; levers'!$C$12="Off",('Activity data'!BF12*EF!$H43*EF!$H61)*NtoN2O*kgtoGg,IF('Net zero activities &amp; levers'!$C$12="PB",('Activity data'!BF12*EF!$H43*EF!$H61)*NtoN2O*kgtoGg,IF('Net zero activities &amp; levers'!$C$12="MS",('Net zero Activity data'!BF12*EF!$H43*EF!$H61)*NtoN2O*kgtoGg,"ERROR")))</f>
        <v>6.4334465157507542E-2</v>
      </c>
      <c r="AN955" s="93">
        <f>IF('Net zero activities &amp; levers'!$C$12="Off",('Activity data'!BG12*EF!$H43*EF!$H61)*NtoN2O*kgtoGg,IF('Net zero activities &amp; levers'!$C$12="PB",('Activity data'!BG12*EF!$H43*EF!$H61)*NtoN2O*kgtoGg,IF('Net zero activities &amp; levers'!$C$12="MS",('Net zero Activity data'!BG12*EF!$H43*EF!$H61)*NtoN2O*kgtoGg,"ERROR")))</f>
        <v>6.4382649620662147E-2</v>
      </c>
      <c r="AO955" s="93">
        <f>IF('Net zero activities &amp; levers'!$C$12="Off",('Activity data'!BH12*EF!$H43*EF!$H61)*NtoN2O*kgtoGg,IF('Net zero activities &amp; levers'!$C$12="PB",('Activity data'!BH12*EF!$H43*EF!$H61)*NtoN2O*kgtoGg,IF('Net zero activities &amp; levers'!$C$12="MS",('Net zero Activity data'!BH12*EF!$H43*EF!$H61)*NtoN2O*kgtoGg,"ERROR")))</f>
        <v>6.4426343117386445E-2</v>
      </c>
      <c r="AP955" s="93">
        <f>IF('Net zero activities &amp; levers'!$C$12="Off",('Activity data'!BI12*EF!$H43*EF!$H61)*NtoN2O*kgtoGg,IF('Net zero activities &amp; levers'!$C$12="PB",('Activity data'!BI12*EF!$H43*EF!$H61)*NtoN2O*kgtoGg,IF('Net zero activities &amp; levers'!$C$12="MS",('Net zero Activity data'!BI12*EF!$H43*EF!$H61)*NtoN2O*kgtoGg,"ERROR")))</f>
        <v>6.4464699232609876E-2</v>
      </c>
      <c r="AQ955" s="93">
        <f>IF('Net zero activities &amp; levers'!$C$12="Off",('Activity data'!BJ12*EF!$H43*EF!$H61)*NtoN2O*kgtoGg,IF('Net zero activities &amp; levers'!$C$12="PB",('Activity data'!BJ12*EF!$H43*EF!$H61)*NtoN2O*kgtoGg,IF('Net zero activities &amp; levers'!$C$12="MS",('Net zero Activity data'!BJ12*EF!$H43*EF!$H61)*NtoN2O*kgtoGg,"ERROR")))</f>
        <v>6.4497593992517213E-2</v>
      </c>
      <c r="AR955" s="93">
        <f>IF('Net zero activities &amp; levers'!$C$12="Off",('Activity data'!BK12*EF!$H43*EF!$H61)*NtoN2O*kgtoGg,IF('Net zero activities &amp; levers'!$C$12="PB",('Activity data'!BK12*EF!$H43*EF!$H61)*NtoN2O*kgtoGg,IF('Net zero activities &amp; levers'!$C$12="MS",('Net zero Activity data'!BK12*EF!$H43*EF!$H61)*NtoN2O*kgtoGg,"ERROR")))</f>
        <v>6.452406419069702E-2</v>
      </c>
      <c r="AS955" s="93">
        <f>IF('Net zero activities &amp; levers'!$C$12="Off",('Activity data'!BL12*EF!$H43*EF!$H61)*NtoN2O*kgtoGg,IF('Net zero activities &amp; levers'!$C$12="PB",('Activity data'!BL12*EF!$H43*EF!$H61)*NtoN2O*kgtoGg,IF('Net zero activities &amp; levers'!$C$12="MS",('Net zero Activity data'!BL12*EF!$H43*EF!$H61)*NtoN2O*kgtoGg,"ERROR")))</f>
        <v>6.4543062848127733E-2</v>
      </c>
      <c r="AT955" s="93">
        <f>IF('Net zero activities &amp; levers'!$C$12="Off",('Activity data'!BM12*EF!$H43*EF!$H61)*NtoN2O*kgtoGg,IF('Net zero activities &amp; levers'!$C$12="PB",('Activity data'!BM12*EF!$H43*EF!$H61)*NtoN2O*kgtoGg,IF('Net zero activities &amp; levers'!$C$12="MS",('Net zero Activity data'!BM12*EF!$H43*EF!$H61)*NtoN2O*kgtoGg,"ERROR")))</f>
        <v>6.4554471896713567E-2</v>
      </c>
      <c r="AU955" s="93">
        <f>IF('Net zero activities &amp; levers'!$C$12="Off",('Activity data'!BN12*EF!$H43*EF!$H61)*NtoN2O*kgtoGg,IF('Net zero activities &amp; levers'!$C$12="PB",('Activity data'!BN12*EF!$H43*EF!$H61)*NtoN2O*kgtoGg,IF('Net zero activities &amp; levers'!$C$12="MS",('Net zero Activity data'!BN12*EF!$H43*EF!$H61)*NtoN2O*kgtoGg,"ERROR")))</f>
        <v>6.4558454075441099E-2</v>
      </c>
      <c r="AV955" s="93">
        <f>IF('Net zero activities &amp; levers'!$C$12="Off",('Activity data'!BO12*EF!$H43*EF!$H61)*NtoN2O*kgtoGg,IF('Net zero activities &amp; levers'!$C$12="PB",('Activity data'!BO12*EF!$H43*EF!$H61)*NtoN2O*kgtoGg,IF('Net zero activities &amp; levers'!$C$12="MS",('Net zero Activity data'!BO12*EF!$H43*EF!$H61)*NtoN2O*kgtoGg,"ERROR")))</f>
        <v>6.4555125864180746E-2</v>
      </c>
      <c r="AW955" s="93">
        <f>IF('Net zero activities &amp; levers'!$C$12="Off",('Activity data'!BP12*EF!$H43*EF!$H61)*NtoN2O*kgtoGg,IF('Net zero activities &amp; levers'!$C$12="PB",('Activity data'!BP12*EF!$H43*EF!$H61)*NtoN2O*kgtoGg,IF('Net zero activities &amp; levers'!$C$12="MS",('Net zero Activity data'!BP12*EF!$H43*EF!$H61)*NtoN2O*kgtoGg,"ERROR")))</f>
        <v>6.4543501818688898E-2</v>
      </c>
      <c r="AY955" s="79"/>
      <c r="AZ955" s="79"/>
    </row>
    <row r="956" spans="1:52" x14ac:dyDescent="0.25">
      <c r="A956" s="95" t="str">
        <f t="shared" si="326"/>
        <v>DS Goats MMN2O</v>
      </c>
      <c r="B956" s="95" t="s">
        <v>974</v>
      </c>
      <c r="C956" s="95" t="s">
        <v>1329</v>
      </c>
      <c r="D956" t="s">
        <v>15</v>
      </c>
      <c r="E956" t="s">
        <v>657</v>
      </c>
      <c r="F956" t="s">
        <v>19</v>
      </c>
      <c r="G956" t="s">
        <v>122</v>
      </c>
      <c r="H956" t="s">
        <v>1227</v>
      </c>
      <c r="I956" t="s">
        <v>139</v>
      </c>
      <c r="J956" t="s">
        <v>287</v>
      </c>
      <c r="K956" s="27">
        <f t="shared" ref="K956:Z959" si="337">K1419</f>
        <v>1.4486129996083084E-2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1.4890706011157261E-2</v>
      </c>
      <c r="R956" s="27">
        <f t="shared" si="337"/>
        <v>1.4988675221399694E-2</v>
      </c>
      <c r="S956" s="27">
        <f t="shared" si="337"/>
        <v>1.4952125307683931E-2</v>
      </c>
      <c r="T956" s="27">
        <f t="shared" si="337"/>
        <v>1.497659485650934E-2</v>
      </c>
      <c r="U956" s="27">
        <f t="shared" si="337"/>
        <v>1.5280249217669807E-2</v>
      </c>
      <c r="V956" s="27">
        <f t="shared" si="337"/>
        <v>1.5293967954982137E-2</v>
      </c>
      <c r="W956" s="27">
        <f t="shared" si="337"/>
        <v>1.5330288500558316E-2</v>
      </c>
      <c r="X956" s="27">
        <f t="shared" si="337"/>
        <v>1.5379307775042967E-2</v>
      </c>
      <c r="Y956" s="27">
        <f t="shared" si="337"/>
        <v>1.5424265287422665E-2</v>
      </c>
      <c r="Z956" s="27">
        <f t="shared" si="337"/>
        <v>1.5465755297522263E-2</v>
      </c>
      <c r="AA956" s="27">
        <f t="shared" ref="L956:AW959" si="338">AA1419</f>
        <v>1.5503650543984475E-2</v>
      </c>
      <c r="AB956" s="27">
        <f t="shared" si="338"/>
        <v>1.5538340165319426E-2</v>
      </c>
      <c r="AC956" s="27">
        <f t="shared" si="338"/>
        <v>1.5570383853796523E-2</v>
      </c>
      <c r="AD956" s="27">
        <f t="shared" si="338"/>
        <v>1.5599807426957595E-2</v>
      </c>
      <c r="AE956" s="27">
        <f t="shared" si="338"/>
        <v>1.5627118939580072E-2</v>
      </c>
      <c r="AF956" s="27">
        <f t="shared" si="338"/>
        <v>1.5652427506297684E-2</v>
      </c>
      <c r="AG956" s="27">
        <f t="shared" si="338"/>
        <v>1.5675424120776597E-2</v>
      </c>
      <c r="AH956" s="27">
        <f t="shared" si="338"/>
        <v>1.5696363462061685E-2</v>
      </c>
      <c r="AI956" s="27">
        <f t="shared" si="338"/>
        <v>1.5715630256505467E-2</v>
      </c>
      <c r="AJ956" s="27">
        <f t="shared" si="338"/>
        <v>1.5216731234132433E-2</v>
      </c>
      <c r="AK956" s="27">
        <f t="shared" si="338"/>
        <v>1.5235961154748286E-2</v>
      </c>
      <c r="AL956" s="27">
        <f t="shared" si="338"/>
        <v>1.5253469736089939E-2</v>
      </c>
      <c r="AM956" s="27">
        <f t="shared" si="338"/>
        <v>1.5269398678749371E-2</v>
      </c>
      <c r="AN956" s="27">
        <f t="shared" si="338"/>
        <v>1.5283912082079585E-2</v>
      </c>
      <c r="AO956" s="27">
        <f t="shared" si="338"/>
        <v>1.5296597939016455E-2</v>
      </c>
      <c r="AP956" s="27">
        <f t="shared" si="338"/>
        <v>1.530718972818932E-2</v>
      </c>
      <c r="AQ956" s="27">
        <f t="shared" si="338"/>
        <v>1.5315667991874672E-2</v>
      </c>
      <c r="AR956" s="27">
        <f t="shared" si="338"/>
        <v>1.5321726619352006E-2</v>
      </c>
      <c r="AS956" s="27">
        <f t="shared" si="338"/>
        <v>1.5325032079315765E-2</v>
      </c>
      <c r="AT956" s="27">
        <f t="shared" si="338"/>
        <v>1.5325567315367106E-2</v>
      </c>
      <c r="AU956" s="27">
        <f t="shared" si="338"/>
        <v>1.5323409630922659E-2</v>
      </c>
      <c r="AV956" s="27">
        <f t="shared" si="338"/>
        <v>1.5318619367085746E-2</v>
      </c>
      <c r="AW956" s="27">
        <f t="shared" si="338"/>
        <v>1.5310883587655623E-2</v>
      </c>
      <c r="AY956" s="79"/>
      <c r="AZ956" s="79"/>
    </row>
    <row r="957" spans="1:52" x14ac:dyDescent="0.25">
      <c r="A957" s="95" t="str">
        <f t="shared" si="326"/>
        <v>DS Goats MMN2O</v>
      </c>
      <c r="B957" s="95" t="s">
        <v>974</v>
      </c>
      <c r="C957" s="95" t="s">
        <v>1329</v>
      </c>
      <c r="D957" t="s">
        <v>15</v>
      </c>
      <c r="E957" t="s">
        <v>657</v>
      </c>
      <c r="F957" t="s">
        <v>19</v>
      </c>
      <c r="G957" t="s">
        <v>123</v>
      </c>
      <c r="H957" t="s">
        <v>1227</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0.11664735601685972</v>
      </c>
      <c r="P957" s="27">
        <f t="shared" si="338"/>
        <v>0.11732381389682567</v>
      </c>
      <c r="Q957" s="27">
        <f t="shared" si="338"/>
        <v>0.11805182815822728</v>
      </c>
      <c r="R957" s="27">
        <f t="shared" si="338"/>
        <v>0.11882851694408277</v>
      </c>
      <c r="S957" s="27">
        <f t="shared" si="338"/>
        <v>0.11853875337411246</v>
      </c>
      <c r="T957" s="27">
        <f t="shared" si="338"/>
        <v>0.11873274518154472</v>
      </c>
      <c r="U957" s="27">
        <f t="shared" si="338"/>
        <v>0.12114008251238399</v>
      </c>
      <c r="V957" s="27">
        <f t="shared" si="338"/>
        <v>0.12124884310563787</v>
      </c>
      <c r="W957" s="27">
        <f t="shared" si="338"/>
        <v>0.12153678827101554</v>
      </c>
      <c r="X957" s="27">
        <f t="shared" si="338"/>
        <v>0.12192540751872388</v>
      </c>
      <c r="Y957" s="27">
        <f t="shared" si="338"/>
        <v>0.12228182557720234</v>
      </c>
      <c r="Z957" s="27">
        <f t="shared" si="338"/>
        <v>0.12261075367093349</v>
      </c>
      <c r="AA957" s="27">
        <f t="shared" si="338"/>
        <v>0.12291118288631245</v>
      </c>
      <c r="AB957" s="27">
        <f t="shared" si="338"/>
        <v>0.12318619826930632</v>
      </c>
      <c r="AC957" s="27">
        <f t="shared" si="338"/>
        <v>0.12344023699673938</v>
      </c>
      <c r="AD957" s="27">
        <f t="shared" si="338"/>
        <v>0.12367350374715462</v>
      </c>
      <c r="AE957" s="27">
        <f t="shared" si="338"/>
        <v>0.12389002632119744</v>
      </c>
      <c r="AF957" s="27">
        <f t="shared" si="338"/>
        <v>0.12409066976730669</v>
      </c>
      <c r="AG957" s="27">
        <f t="shared" si="338"/>
        <v>0.12427298431831933</v>
      </c>
      <c r="AH957" s="27">
        <f t="shared" si="338"/>
        <v>0.12443898904081413</v>
      </c>
      <c r="AI957" s="27">
        <f t="shared" si="338"/>
        <v>0.12459173400167312</v>
      </c>
      <c r="AJ957" s="27">
        <f t="shared" si="338"/>
        <v>0.12063651914393841</v>
      </c>
      <c r="AK957" s="27">
        <f t="shared" si="338"/>
        <v>0.12078897177327232</v>
      </c>
      <c r="AL957" s="27">
        <f t="shared" si="338"/>
        <v>0.12092777782009714</v>
      </c>
      <c r="AM957" s="27">
        <f t="shared" si="338"/>
        <v>0.12105406067063253</v>
      </c>
      <c r="AN957" s="27">
        <f t="shared" si="338"/>
        <v>0.12116912128593484</v>
      </c>
      <c r="AO957" s="27">
        <f t="shared" si="338"/>
        <v>0.12126969332073484</v>
      </c>
      <c r="AP957" s="27">
        <f t="shared" si="338"/>
        <v>0.12135366382383837</v>
      </c>
      <c r="AQ957" s="27">
        <f t="shared" si="338"/>
        <v>0.12142087853662052</v>
      </c>
      <c r="AR957" s="27">
        <f t="shared" si="338"/>
        <v>0.12146891064801223</v>
      </c>
      <c r="AS957" s="27">
        <f t="shared" si="338"/>
        <v>0.12149511595965648</v>
      </c>
      <c r="AT957" s="27">
        <f t="shared" si="338"/>
        <v>0.12149935925035804</v>
      </c>
      <c r="AU957" s="27">
        <f t="shared" si="338"/>
        <v>0.12148225337283523</v>
      </c>
      <c r="AV957" s="27">
        <f t="shared" si="338"/>
        <v>0.12144427670451041</v>
      </c>
      <c r="AW957" s="27">
        <f t="shared" si="338"/>
        <v>0.12138294832268144</v>
      </c>
      <c r="AY957" s="79"/>
      <c r="AZ957" s="79"/>
    </row>
    <row r="958" spans="1:52" x14ac:dyDescent="0.25">
      <c r="A958" s="95" t="str">
        <f t="shared" si="326"/>
        <v>DS Horses MMN2O</v>
      </c>
      <c r="B958" s="95" t="s">
        <v>974</v>
      </c>
      <c r="C958" s="95" t="s">
        <v>1330</v>
      </c>
      <c r="D958" t="s">
        <v>15</v>
      </c>
      <c r="E958" t="s">
        <v>657</v>
      </c>
      <c r="F958" t="s">
        <v>20</v>
      </c>
      <c r="G958" t="s">
        <v>3</v>
      </c>
      <c r="H958" t="s">
        <v>1227</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25">
      <c r="A959" s="95" t="str">
        <f t="shared" si="326"/>
        <v>DS Mules MMN2O</v>
      </c>
      <c r="B959" s="95" t="s">
        <v>974</v>
      </c>
      <c r="C959" s="95" t="s">
        <v>1331</v>
      </c>
      <c r="D959" t="s">
        <v>15</v>
      </c>
      <c r="E959" t="s">
        <v>657</v>
      </c>
      <c r="F959" t="s">
        <v>140</v>
      </c>
      <c r="G959" t="s">
        <v>124</v>
      </c>
      <c r="H959" t="s">
        <v>1227</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25">
      <c r="A960" s="95" t="str">
        <f t="shared" si="326"/>
        <v>DS Swine MMN2O</v>
      </c>
      <c r="B960" s="95" t="s">
        <v>974</v>
      </c>
      <c r="C960" s="95" t="s">
        <v>1233</v>
      </c>
      <c r="D960" t="s">
        <v>15</v>
      </c>
      <c r="E960" t="s">
        <v>657</v>
      </c>
      <c r="F960" t="s">
        <v>21</v>
      </c>
      <c r="G960" t="s">
        <v>122</v>
      </c>
      <c r="H960" t="s">
        <v>1227</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9.7466979224281824E-2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9.6937181363551519E-2</v>
      </c>
      <c r="M960" s="93">
        <f>IF('Net zero activities &amp; levers'!$C$12="Off",('Activity data'!AF17*EF!$H48*EF!$H66)*NtoN2O*kgtoGg,IF('Net zero activities &amp; levers'!$C$12="PB",('Activity data'!AF17*EF!$H48*EF!$H66)*NtoN2O*kgtoGg,IF('Net zero activities &amp; levers'!$C$12="MS",('Net zero Activity data'!AF17*EF!$H48*EF!$H66)*NtoN2O*kgtoGg,"ERROR")))</f>
        <v>9.6980665528366608E-2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9.2641437622218339E-2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8.9872834352323558E-2</v>
      </c>
      <c r="S960" s="93">
        <f>IF('Net zero activities &amp; levers'!$C$12="Off",('Activity data'!AL17*EF!$H48*EF!$H66)*NtoN2O*kgtoGg,IF('Net zero activities &amp; levers'!$C$12="PB",('Activity data'!AL17*EF!$H48*EF!$H66)*NtoN2O*kgtoGg,IF('Net zero activities &amp; levers'!$C$12="MS",('Net zero Activity data'!AL17*EF!$H48*EF!$H66)*NtoN2O*kgtoGg,"ERROR")))</f>
        <v>8.0860772779409465E-2</v>
      </c>
      <c r="T960" s="93">
        <f>IF('Net zero activities &amp; levers'!$C$12="Off",('Activity data'!AM17*EF!$H48*EF!$H66)*NtoN2O*kgtoGg,IF('Net zero activities &amp; levers'!$C$12="PB",('Activity data'!AM17*EF!$H48*EF!$H66)*NtoN2O*kgtoGg,IF('Net zero activities &amp; levers'!$C$12="MS",('Net zero Activity data'!AM17*EF!$H48*EF!$H66)*NtoN2O*kgtoGg,"ERROR")))</f>
        <v>8.3748164551472229E-2</v>
      </c>
      <c r="U960" s="93">
        <f>IF('Net zero activities &amp; levers'!$C$12="Off",('Activity data'!AN17*EF!$H48*EF!$H66)*NtoN2O*kgtoGg,IF('Net zero activities &amp; levers'!$C$12="PB",('Activity data'!AN17*EF!$H48*EF!$H66)*NtoN2O*kgtoGg,IF('Net zero activities &amp; levers'!$C$12="MS",('Net zero Activity data'!AN17*EF!$H48*EF!$H66)*NtoN2O*kgtoGg,"ERROR")))</f>
        <v>0.26770254430249885</v>
      </c>
      <c r="V960" s="93">
        <f>IF('Net zero activities &amp; levers'!$C$12="Off",('Activity data'!AO17*EF!$H48*EF!$H66)*NtoN2O*kgtoGg,IF('Net zero activities &amp; levers'!$C$12="PB",('Activity data'!AO17*EF!$H48*EF!$H66)*NtoN2O*kgtoGg,IF('Net zero activities &amp; levers'!$C$12="MS",('Net zero Activity data'!AO17*EF!$H48*EF!$H66)*NtoN2O*kgtoGg,"ERROR")))</f>
        <v>0.26843638329557273</v>
      </c>
      <c r="W960" s="93">
        <f>IF('Net zero activities &amp; levers'!$C$12="Off",('Activity data'!AP17*EF!$H48*EF!$H66)*NtoN2O*kgtoGg,IF('Net zero activities &amp; levers'!$C$12="PB",('Activity data'!AP17*EF!$H48*EF!$H66)*NtoN2O*kgtoGg,IF('Net zero activities &amp; levers'!$C$12="MS",('Net zero Activity data'!AP17*EF!$H48*EF!$H66)*NtoN2O*kgtoGg,"ERROR")))</f>
        <v>0.26870741156063732</v>
      </c>
      <c r="X960" s="93">
        <f>IF('Net zero activities &amp; levers'!$C$12="Off",('Activity data'!AQ17*EF!$H48*EF!$H66)*NtoN2O*kgtoGg,IF('Net zero activities &amp; levers'!$C$12="PB",('Activity data'!AQ17*EF!$H48*EF!$H66)*NtoN2O*kgtoGg,IF('Net zero activities &amp; levers'!$C$12="MS",('Net zero Activity data'!AQ17*EF!$H48*EF!$H66)*NtoN2O*kgtoGg,"ERROR")))</f>
        <v>0.26852785801231227</v>
      </c>
      <c r="Y960" s="93">
        <f>IF('Net zero activities &amp; levers'!$C$12="Off",('Activity data'!AR17*EF!$H48*EF!$H66)*NtoN2O*kgtoGg,IF('Net zero activities &amp; levers'!$C$12="PB",('Activity data'!AR17*EF!$H48*EF!$H66)*NtoN2O*kgtoGg,IF('Net zero activities &amp; levers'!$C$12="MS",('Net zero Activity data'!AR17*EF!$H48*EF!$H66)*NtoN2O*kgtoGg,"ERROR")))</f>
        <v>0.26792481068861962</v>
      </c>
      <c r="Z960" s="93">
        <f>IF('Net zero activities &amp; levers'!$C$12="Off",('Activity data'!AS17*EF!$H48*EF!$H66)*NtoN2O*kgtoGg,IF('Net zero activities &amp; levers'!$C$12="PB",('Activity data'!AS17*EF!$H48*EF!$H66)*NtoN2O*kgtoGg,IF('Net zero activities &amp; levers'!$C$12="MS",('Net zero Activity data'!AS17*EF!$H48*EF!$H66)*NtoN2O*kgtoGg,"ERROR")))</f>
        <v>0.26689273021889548</v>
      </c>
      <c r="AA960" s="93">
        <f>IF('Net zero activities &amp; levers'!$C$12="Off",('Activity data'!AT17*EF!$H48*EF!$H66)*NtoN2O*kgtoGg,IF('Net zero activities &amp; levers'!$C$12="PB",('Activity data'!AT17*EF!$H48*EF!$H66)*NtoN2O*kgtoGg,IF('Net zero activities &amp; levers'!$C$12="MS",('Net zero Activity data'!AT17*EF!$H48*EF!$H66)*NtoN2O*kgtoGg,"ERROR")))</f>
        <v>0.26543013343256128</v>
      </c>
      <c r="AB960" s="93">
        <f>IF('Net zero activities &amp; levers'!$C$12="Off",('Activity data'!AU17*EF!$H48*EF!$H66)*NtoN2O*kgtoGg,IF('Net zero activities &amp; levers'!$C$12="PB",('Activity data'!AU17*EF!$H48*EF!$H66)*NtoN2O*kgtoGg,IF('Net zero activities &amp; levers'!$C$12="MS",('Net zero Activity data'!AU17*EF!$H48*EF!$H66)*NtoN2O*kgtoGg,"ERROR")))</f>
        <v>0.26353715747778594</v>
      </c>
      <c r="AC960" s="93">
        <f>IF('Net zero activities &amp; levers'!$C$12="Off",('Activity data'!AV17*EF!$H48*EF!$H66)*NtoN2O*kgtoGg,IF('Net zero activities &amp; levers'!$C$12="PB",('Activity data'!AV17*EF!$H48*EF!$H66)*NtoN2O*kgtoGg,IF('Net zero activities &amp; levers'!$C$12="MS",('Net zero Activity data'!AV17*EF!$H48*EF!$H66)*NtoN2O*kgtoGg,"ERROR")))</f>
        <v>0.26121623026966229</v>
      </c>
      <c r="AD960" s="93">
        <f>IF('Net zero activities &amp; levers'!$C$12="Off",('Activity data'!AW17*EF!$H48*EF!$H66)*NtoN2O*kgtoGg,IF('Net zero activities &amp; levers'!$C$12="PB",('Activity data'!AW17*EF!$H48*EF!$H66)*NtoN2O*kgtoGg,IF('Net zero activities &amp; levers'!$C$12="MS",('Net zero Activity data'!AW17*EF!$H48*EF!$H66)*NtoN2O*kgtoGg,"ERROR")))</f>
        <v>0.25847332541622875</v>
      </c>
      <c r="AE960" s="93">
        <f>IF('Net zero activities &amp; levers'!$C$12="Off",('Activity data'!AX17*EF!$H48*EF!$H66)*NtoN2O*kgtoGg,IF('Net zero activities &amp; levers'!$C$12="PB",('Activity data'!AX17*EF!$H48*EF!$H66)*NtoN2O*kgtoGg,IF('Net zero activities &amp; levers'!$C$12="MS",('Net zero Activity data'!AX17*EF!$H48*EF!$H66)*NtoN2O*kgtoGg,"ERROR")))</f>
        <v>0.25531599764072704</v>
      </c>
      <c r="AF960" s="93">
        <f>IF('Net zero activities &amp; levers'!$C$12="Off",('Activity data'!AY17*EF!$H48*EF!$H66)*NtoN2O*kgtoGg,IF('Net zero activities &amp; levers'!$C$12="PB",('Activity data'!AY17*EF!$H48*EF!$H66)*NtoN2O*kgtoGg,IF('Net zero activities &amp; levers'!$C$12="MS",('Net zero Activity data'!AY17*EF!$H48*EF!$H66)*NtoN2O*kgtoGg,"ERROR")))</f>
        <v>0.25175492240639524</v>
      </c>
      <c r="AG960" s="93">
        <f>IF('Net zero activities &amp; levers'!$C$12="Off",('Activity data'!AZ17*EF!$H48*EF!$H66)*NtoN2O*kgtoGg,IF('Net zero activities &amp; levers'!$C$12="PB",('Activity data'!AZ17*EF!$H48*EF!$H66)*NtoN2O*kgtoGg,IF('Net zero activities &amp; levers'!$C$12="MS",('Net zero Activity data'!AZ17*EF!$H48*EF!$H66)*NtoN2O*kgtoGg,"ERROR")))</f>
        <v>0.2478037797344021</v>
      </c>
      <c r="AH960" s="93">
        <f>IF('Net zero activities &amp; levers'!$C$12="Off",('Activity data'!BA17*EF!$H48*EF!$H66)*NtoN2O*kgtoGg,IF('Net zero activities &amp; levers'!$C$12="PB",('Activity data'!BA17*EF!$H48*EF!$H66)*NtoN2O*kgtoGg,IF('Net zero activities &amp; levers'!$C$12="MS",('Net zero Activity data'!BA17*EF!$H48*EF!$H66)*NtoN2O*kgtoGg,"ERROR")))</f>
        <v>0.24347738783336567</v>
      </c>
      <c r="AI960" s="93">
        <f>IF('Net zero activities &amp; levers'!$C$12="Off",('Activity data'!BB17*EF!$H48*EF!$H66)*NtoN2O*kgtoGg,IF('Net zero activities &amp; levers'!$C$12="PB",('Activity data'!BB17*EF!$H48*EF!$H66)*NtoN2O*kgtoGg,IF('Net zero activities &amp; levers'!$C$12="MS",('Net zero Activity data'!BB17*EF!$H48*EF!$H66)*NtoN2O*kgtoGg,"ERROR")))</f>
        <v>0.23879237534138331</v>
      </c>
      <c r="AJ960" s="93">
        <f>IF('Net zero activities &amp; levers'!$C$12="Off",('Activity data'!BC17*EF!$H48*EF!$H66)*NtoN2O*kgtoGg,IF('Net zero activities &amp; levers'!$C$12="PB",('Activity data'!BC17*EF!$H48*EF!$H66)*NtoN2O*kgtoGg,IF('Net zero activities &amp; levers'!$C$12="MS",('Net zero Activity data'!BC17*EF!$H48*EF!$H66)*NtoN2O*kgtoGg,"ERROR")))</f>
        <v>-2.2251219051901461E-2</v>
      </c>
      <c r="AK960" s="93">
        <f>IF('Net zero activities &amp; levers'!$C$12="Off",('Activity data'!BD17*EF!$H48*EF!$H66)*NtoN2O*kgtoGg,IF('Net zero activities &amp; levers'!$C$12="PB",('Activity data'!BD17*EF!$H48*EF!$H66)*NtoN2O*kgtoGg,IF('Net zero activities &amp; levers'!$C$12="MS",('Net zero Activity data'!BD17*EF!$H48*EF!$H66)*NtoN2O*kgtoGg,"ERROR")))</f>
        <v>-2.2010329292297307E-2</v>
      </c>
      <c r="AL960" s="93">
        <f>IF('Net zero activities &amp; levers'!$C$12="Off",('Activity data'!BE17*EF!$H48*EF!$H66)*NtoN2O*kgtoGg,IF('Net zero activities &amp; levers'!$C$12="PB",('Activity data'!BE17*EF!$H48*EF!$H66)*NtoN2O*kgtoGg,IF('Net zero activities &amp; levers'!$C$12="MS",('Net zero Activity data'!BE17*EF!$H48*EF!$H66)*NtoN2O*kgtoGg,"ERROR")))</f>
        <v>-2.1768586076349947E-2</v>
      </c>
      <c r="AM960" s="93">
        <f>IF('Net zero activities &amp; levers'!$C$12="Off",('Activity data'!BF17*EF!$H48*EF!$H66)*NtoN2O*kgtoGg,IF('Net zero activities &amp; levers'!$C$12="PB",('Activity data'!BF17*EF!$H48*EF!$H66)*NtoN2O*kgtoGg,IF('Net zero activities &amp; levers'!$C$12="MS",('Net zero Activity data'!BF17*EF!$H48*EF!$H66)*NtoN2O*kgtoGg,"ERROR")))</f>
        <v>-2.1526240200831197E-2</v>
      </c>
      <c r="AN960" s="93">
        <f>IF('Net zero activities &amp; levers'!$C$12="Off",('Activity data'!BG17*EF!$H48*EF!$H66)*NtoN2O*kgtoGg,IF('Net zero activities &amp; levers'!$C$12="PB",('Activity data'!BG17*EF!$H48*EF!$H66)*NtoN2O*kgtoGg,IF('Net zero activities &amp; levers'!$C$12="MS",('Net zero Activity data'!BG17*EF!$H48*EF!$H66)*NtoN2O*kgtoGg,"ERROR")))</f>
        <v>-2.1283568844564598E-2</v>
      </c>
      <c r="AO960" s="93">
        <f>IF('Net zero activities &amp; levers'!$C$12="Off",('Activity data'!BH17*EF!$H48*EF!$H66)*NtoN2O*kgtoGg,IF('Net zero activities &amp; levers'!$C$12="PB",('Activity data'!BH17*EF!$H48*EF!$H66)*NtoN2O*kgtoGg,IF('Net zero activities &amp; levers'!$C$12="MS",('Net zero Activity data'!BH17*EF!$H48*EF!$H66)*NtoN2O*kgtoGg,"ERROR")))</f>
        <v>-2.1039928732674035E-2</v>
      </c>
      <c r="AP960" s="93">
        <f>IF('Net zero activities &amp; levers'!$C$12="Off",('Activity data'!BI17*EF!$H48*EF!$H66)*NtoN2O*kgtoGg,IF('Net zero activities &amp; levers'!$C$12="PB",('Activity data'!BI17*EF!$H48*EF!$H66)*NtoN2O*kgtoGg,IF('Net zero activities &amp; levers'!$C$12="MS",('Net zero Activity data'!BI17*EF!$H48*EF!$H66)*NtoN2O*kgtoGg,"ERROR")))</f>
        <v>-2.0794940089199746E-2</v>
      </c>
      <c r="AQ960" s="93">
        <f>IF('Net zero activities &amp; levers'!$C$12="Off",('Activity data'!BJ17*EF!$H48*EF!$H66)*NtoN2O*kgtoGg,IF('Net zero activities &amp; levers'!$C$12="PB",('Activity data'!BJ17*EF!$H48*EF!$H66)*NtoN2O*kgtoGg,IF('Net zero activities &amp; levers'!$C$12="MS",('Net zero Activity data'!BJ17*EF!$H48*EF!$H66)*NtoN2O*kgtoGg,"ERROR")))</f>
        <v>-2.054862658012397E-2</v>
      </c>
      <c r="AR960" s="93">
        <f>IF('Net zero activities &amp; levers'!$C$12="Off",('Activity data'!BK17*EF!$H48*EF!$H66)*NtoN2O*kgtoGg,IF('Net zero activities &amp; levers'!$C$12="PB",('Activity data'!BK17*EF!$H48*EF!$H66)*NtoN2O*kgtoGg,IF('Net zero activities &amp; levers'!$C$12="MS",('Net zero Activity data'!BK17*EF!$H48*EF!$H66)*NtoN2O*kgtoGg,"ERROR")))</f>
        <v>-2.0300580022227385E-2</v>
      </c>
      <c r="AS960" s="93">
        <f>IF('Net zero activities &amp; levers'!$C$12="Off",('Activity data'!BL17*EF!$H48*EF!$H66)*NtoN2O*kgtoGg,IF('Net zero activities &amp; levers'!$C$12="PB",('Activity data'!BL17*EF!$H48*EF!$H66)*NtoN2O*kgtoGg,IF('Net zero activities &amp; levers'!$C$12="MS",('Net zero Activity data'!BL17*EF!$H48*EF!$H66)*NtoN2O*kgtoGg,"ERROR")))</f>
        <v>-2.0050376976853562E-2</v>
      </c>
      <c r="AT960" s="93">
        <f>IF('Net zero activities &amp; levers'!$C$12="Off",('Activity data'!BM17*EF!$H48*EF!$H66)*NtoN2O*kgtoGg,IF('Net zero activities &amp; levers'!$C$12="PB",('Activity data'!BM17*EF!$H48*EF!$H66)*NtoN2O*kgtoGg,IF('Net zero activities &amp; levers'!$C$12="MS",('Net zero Activity data'!BM17*EF!$H48*EF!$H66)*NtoN2O*kgtoGg,"ERROR")))</f>
        <v>-1.9798088456072588E-2</v>
      </c>
      <c r="AU960" s="93">
        <f>IF('Net zero activities &amp; levers'!$C$12="Off",('Activity data'!BN17*EF!$H48*EF!$H66)*NtoN2O*kgtoGg,IF('Net zero activities &amp; levers'!$C$12="PB",('Activity data'!BN17*EF!$H48*EF!$H66)*NtoN2O*kgtoGg,IF('Net zero activities &amp; levers'!$C$12="MS",('Net zero Activity data'!BN17*EF!$H48*EF!$H66)*NtoN2O*kgtoGg,"ERROR")))</f>
        <v>-1.9543924397373666E-2</v>
      </c>
      <c r="AV960" s="93">
        <f>IF('Net zero activities &amp; levers'!$C$12="Off",('Activity data'!BO17*EF!$H48*EF!$H66)*NtoN2O*kgtoGg,IF('Net zero activities &amp; levers'!$C$12="PB",('Activity data'!BO17*EF!$H48*EF!$H66)*NtoN2O*kgtoGg,IF('Net zero activities &amp; levers'!$C$12="MS",('Net zero Activity data'!BO17*EF!$H48*EF!$H66)*NtoN2O*kgtoGg,"ERROR")))</f>
        <v>-1.9288064378450123E-2</v>
      </c>
      <c r="AW960" s="93">
        <f>IF('Net zero activities &amp; levers'!$C$12="Off",('Activity data'!BP17*EF!$H48*EF!$H66)*NtoN2O*kgtoGg,IF('Net zero activities &amp; levers'!$C$12="PB",('Activity data'!BP17*EF!$H48*EF!$H66)*NtoN2O*kgtoGg,IF('Net zero activities &amp; levers'!$C$12="MS",('Net zero Activity data'!BP17*EF!$H48*EF!$H66)*NtoN2O*kgtoGg,"ERROR")))</f>
        <v>-1.9030154173993289E-2</v>
      </c>
      <c r="AY960" s="79"/>
      <c r="AZ960" s="79"/>
    </row>
    <row r="961" spans="1:52" x14ac:dyDescent="0.25">
      <c r="A961" s="95" t="str">
        <f t="shared" si="326"/>
        <v>DS Swine MMN2O</v>
      </c>
      <c r="B961" s="95" t="s">
        <v>974</v>
      </c>
      <c r="C961" s="95" t="s">
        <v>1233</v>
      </c>
      <c r="D961" t="s">
        <v>15</v>
      </c>
      <c r="E961" t="s">
        <v>657</v>
      </c>
      <c r="F961" t="s">
        <v>21</v>
      </c>
      <c r="G961" t="s">
        <v>123</v>
      </c>
      <c r="H961" t="s">
        <v>1227</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3.8131055665722169E-2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3.7940799901590251E-2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3.6243206089281214E-2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3.5160072434777256E-2</v>
      </c>
      <c r="S961" s="93">
        <f>IF('Net zero activities &amp; levers'!$C$12="Off",('Activity data'!AL18*EF!$H49*EF!$H67)*NtoN2O*kgtoGg,IF('Net zero activities &amp; levers'!$C$12="PB",('Activity data'!AL18*EF!$H49*EF!$H67)*NtoN2O*kgtoGg,IF('Net zero activities &amp; levers'!$C$12="MS",('Net zero Activity data'!AL18*EF!$H49*EF!$H67)*NtoN2O*kgtoGg,"ERROR")))</f>
        <v>3.1634371482160743E-2</v>
      </c>
      <c r="T961" s="93">
        <f>IF('Net zero activities &amp; levers'!$C$12="Off",('Activity data'!AM18*EF!$H49*EF!$H67)*NtoN2O*kgtoGg,IF('Net zero activities &amp; levers'!$C$12="PB",('Activity data'!AM18*EF!$H49*EF!$H67)*NtoN2O*kgtoGg,IF('Net zero activities &amp; levers'!$C$12="MS",('Net zero Activity data'!AM18*EF!$H49*EF!$H67)*NtoN2O*kgtoGg,"ERROR")))</f>
        <v>3.2763977603798337E-2</v>
      </c>
      <c r="U961" s="93">
        <f>IF('Net zero activities &amp; levers'!$C$12="Off",('Activity data'!AN18*EF!$H49*EF!$H67)*NtoN2O*kgtoGg,IF('Net zero activities &amp; levers'!$C$12="PB",('Activity data'!AN18*EF!$H49*EF!$H67)*NtoN2O*kgtoGg,IF('Net zero activities &amp; levers'!$C$12="MS",('Net zero Activity data'!AN18*EF!$H49*EF!$H67)*NtoN2O*kgtoGg,"ERROR")))</f>
        <v>0.10473065544757326</v>
      </c>
      <c r="V961" s="93">
        <f>IF('Net zero activities &amp; levers'!$C$12="Off",('Activity data'!AO18*EF!$H49*EF!$H67)*NtoN2O*kgtoGg,IF('Net zero activities &amp; levers'!$C$12="PB",('Activity data'!AO18*EF!$H49*EF!$H67)*NtoN2O*kgtoGg,IF('Net zero activities &amp; levers'!$C$12="MS",('Net zero Activity data'!AO18*EF!$H49*EF!$H67)*NtoN2O*kgtoGg,"ERROR")))</f>
        <v>0.10501774811954566</v>
      </c>
      <c r="W961" s="93">
        <f>IF('Net zero activities &amp; levers'!$C$12="Off",('Activity data'!AP18*EF!$H49*EF!$H67)*NtoN2O*kgtoGg,IF('Net zero activities &amp; levers'!$C$12="PB",('Activity data'!AP18*EF!$H49*EF!$H67)*NtoN2O*kgtoGg,IF('Net zero activities &amp; levers'!$C$12="MS",('Net zero Activity data'!AP18*EF!$H49*EF!$H67)*NtoN2O*kgtoGg,"ERROR")))</f>
        <v>0.10512377986429053</v>
      </c>
      <c r="X961" s="93">
        <f>IF('Net zero activities &amp; levers'!$C$12="Off",('Activity data'!AQ18*EF!$H49*EF!$H67)*NtoN2O*kgtoGg,IF('Net zero activities &amp; levers'!$C$12="PB",('Activity data'!AQ18*EF!$H49*EF!$H67)*NtoN2O*kgtoGg,IF('Net zero activities &amp; levers'!$C$12="MS",('Net zero Activity data'!AQ18*EF!$H49*EF!$H67)*NtoN2O*kgtoGg,"ERROR")))</f>
        <v>0.10505353488080327</v>
      </c>
      <c r="Y961" s="93">
        <f>IF('Net zero activities &amp; levers'!$C$12="Off",('Activity data'!AR18*EF!$H49*EF!$H67)*NtoN2O*kgtoGg,IF('Net zero activities &amp; levers'!$C$12="PB",('Activity data'!AR18*EF!$H49*EF!$H67)*NtoN2O*kgtoGg,IF('Net zero activities &amp; levers'!$C$12="MS",('Net zero Activity data'!AR18*EF!$H49*EF!$H67)*NtoN2O*kgtoGg,"ERROR")))</f>
        <v>0.10481761055800391</v>
      </c>
      <c r="Z961" s="93">
        <f>IF('Net zero activities &amp; levers'!$C$12="Off",('Activity data'!AS18*EF!$H49*EF!$H67)*NtoN2O*kgtoGg,IF('Net zero activities &amp; levers'!$C$12="PB",('Activity data'!AS18*EF!$H49*EF!$H67)*NtoN2O*kgtoGg,IF('Net zero activities &amp; levers'!$C$12="MS",('Net zero Activity data'!AS18*EF!$H49*EF!$H67)*NtoN2O*kgtoGg,"ERROR")))</f>
        <v>0.10441383978193423</v>
      </c>
      <c r="AA961" s="93">
        <f>IF('Net zero activities &amp; levers'!$C$12="Off",('Activity data'!AT18*EF!$H49*EF!$H67)*NtoN2O*kgtoGg,IF('Net zero activities &amp; levers'!$C$12="PB",('Activity data'!AT18*EF!$H49*EF!$H67)*NtoN2O*kgtoGg,IF('Net zero activities &amp; levers'!$C$12="MS",('Net zero Activity data'!AT18*EF!$H49*EF!$H67)*NtoN2O*kgtoGg,"ERROR")))</f>
        <v>0.10384164230623445</v>
      </c>
      <c r="AB961" s="93">
        <f>IF('Net zero activities &amp; levers'!$C$12="Off",('Activity data'!AU18*EF!$H49*EF!$H67)*NtoN2O*kgtoGg,IF('Net zero activities &amp; levers'!$C$12="PB",('Activity data'!AU18*EF!$H49*EF!$H67)*NtoN2O*kgtoGg,IF('Net zero activities &amp; levers'!$C$12="MS",('Net zero Activity data'!AU18*EF!$H49*EF!$H67)*NtoN2O*kgtoGg,"ERROR")))</f>
        <v>0.10310107178604509</v>
      </c>
      <c r="AC961" s="93">
        <f>IF('Net zero activities &amp; levers'!$C$12="Off",('Activity data'!AV18*EF!$H49*EF!$H67)*NtoN2O*kgtoGg,IF('Net zero activities &amp; levers'!$C$12="PB",('Activity data'!AV18*EF!$H49*EF!$H67)*NtoN2O*kgtoGg,IF('Net zero activities &amp; levers'!$C$12="MS",('Net zero Activity data'!AV18*EF!$H49*EF!$H67)*NtoN2O*kgtoGg,"ERROR")))</f>
        <v>0.10219307807090795</v>
      </c>
      <c r="AD961" s="93">
        <f>IF('Net zero activities &amp; levers'!$C$12="Off",('Activity data'!AW18*EF!$H49*EF!$H67)*NtoN2O*kgtoGg,IF('Net zero activities &amp; levers'!$C$12="PB",('Activity data'!AW18*EF!$H49*EF!$H67)*NtoN2O*kgtoGg,IF('Net zero activities &amp; levers'!$C$12="MS",('Net zero Activity data'!AW18*EF!$H49*EF!$H67)*NtoN2O*kgtoGg,"ERROR")))</f>
        <v>0.10111999815723396</v>
      </c>
      <c r="AE961" s="93">
        <f>IF('Net zero activities &amp; levers'!$C$12="Off",('Activity data'!AX18*EF!$H49*EF!$H67)*NtoN2O*kgtoGg,IF('Net zero activities &amp; levers'!$C$12="PB",('Activity data'!AX18*EF!$H49*EF!$H67)*NtoN2O*kgtoGg,IF('Net zero activities &amp; levers'!$C$12="MS",('Net zero Activity data'!AX18*EF!$H49*EF!$H67)*NtoN2O*kgtoGg,"ERROR")))</f>
        <v>9.9884787605714245E-2</v>
      </c>
      <c r="AF961" s="93">
        <f>IF('Net zero activities &amp; levers'!$C$12="Off",('Activity data'!AY18*EF!$H49*EF!$H67)*NtoN2O*kgtoGg,IF('Net zero activities &amp; levers'!$C$12="PB",('Activity data'!AY18*EF!$H49*EF!$H67)*NtoN2O*kgtoGg,IF('Net zero activities &amp; levers'!$C$12="MS",('Net zero Activity data'!AY18*EF!$H49*EF!$H67)*NtoN2O*kgtoGg,"ERROR")))</f>
        <v>9.8491622873711313E-2</v>
      </c>
      <c r="AG961" s="93">
        <f>IF('Net zero activities &amp; levers'!$C$12="Off",('Activity data'!AZ18*EF!$H49*EF!$H67)*NtoN2O*kgtoGg,IF('Net zero activities &amp; levers'!$C$12="PB",('Activity data'!AZ18*EF!$H49*EF!$H67)*NtoN2O*kgtoGg,IF('Net zero activities &amp; levers'!$C$12="MS",('Net zero Activity data'!AZ18*EF!$H49*EF!$H67)*NtoN2O*kgtoGg,"ERROR")))</f>
        <v>9.6945855862482944E-2</v>
      </c>
      <c r="AH961" s="93">
        <f>IF('Net zero activities &amp; levers'!$C$12="Off",('Activity data'!BA18*EF!$H49*EF!$H67)*NtoN2O*kgtoGg,IF('Net zero activities &amp; levers'!$C$12="PB",('Activity data'!BA18*EF!$H49*EF!$H67)*NtoN2O*kgtoGg,IF('Net zero activities &amp; levers'!$C$12="MS",('Net zero Activity data'!BA18*EF!$H49*EF!$H67)*NtoN2O*kgtoGg,"ERROR")))</f>
        <v>9.5253283755261486E-2</v>
      </c>
      <c r="AI961" s="93">
        <f>IF('Net zero activities &amp; levers'!$C$12="Off",('Activity data'!BB18*EF!$H49*EF!$H67)*NtoN2O*kgtoGg,IF('Net zero activities &amp; levers'!$C$12="PB",('Activity data'!BB18*EF!$H49*EF!$H67)*NtoN2O*kgtoGg,IF('Net zero activities &amp; levers'!$C$12="MS",('Net zero Activity data'!BB18*EF!$H49*EF!$H67)*NtoN2O*kgtoGg,"ERROR")))</f>
        <v>9.3420412011947257E-2</v>
      </c>
      <c r="AJ961" s="93">
        <f>IF('Net zero activities &amp; levers'!$C$12="Off",('Activity data'!BC18*EF!$H49*EF!$H67)*NtoN2O*kgtoGg,IF('Net zero activities &amp; levers'!$C$12="PB",('Activity data'!BC18*EF!$H49*EF!$H67)*NtoN2O*kgtoGg,IF('Net zero activities &amp; levers'!$C$12="MS",('Net zero Activity data'!BC18*EF!$H49*EF!$H67)*NtoN2O*kgtoGg,"ERROR")))</f>
        <v>-8.7051274087999644E-3</v>
      </c>
      <c r="AK961" s="93">
        <f>IF('Net zero activities &amp; levers'!$C$12="Off",('Activity data'!BD18*EF!$H49*EF!$H67)*NtoN2O*kgtoGg,IF('Net zero activities &amp; levers'!$C$12="PB",('Activity data'!BD18*EF!$H49*EF!$H67)*NtoN2O*kgtoGg,IF('Net zero activities &amp; levers'!$C$12="MS",('Net zero Activity data'!BD18*EF!$H49*EF!$H67)*NtoN2O*kgtoGg,"ERROR")))</f>
        <v>-8.6108864575991286E-3</v>
      </c>
      <c r="AL961" s="93">
        <f>IF('Net zero activities &amp; levers'!$C$12="Off",('Activity data'!BE18*EF!$H49*EF!$H67)*NtoN2O*kgtoGg,IF('Net zero activities &amp; levers'!$C$12="PB",('Activity data'!BE18*EF!$H49*EF!$H67)*NtoN2O*kgtoGg,IF('Net zero activities &amp; levers'!$C$12="MS",('Net zero Activity data'!BE18*EF!$H49*EF!$H67)*NtoN2O*kgtoGg,"ERROR")))</f>
        <v>-8.5163116169970788E-3</v>
      </c>
      <c r="AM961" s="93">
        <f>IF('Net zero activities &amp; levers'!$C$12="Off",('Activity data'!BF18*EF!$H49*EF!$H67)*NtoN2O*kgtoGg,IF('Net zero activities &amp; levers'!$C$12="PB",('Activity data'!BF18*EF!$H49*EF!$H67)*NtoN2O*kgtoGg,IF('Net zero activities &amp; levers'!$C$12="MS",('Net zero Activity data'!BF18*EF!$H49*EF!$H67)*NtoN2O*kgtoGg,"ERROR")))</f>
        <v>-8.4215010037687853E-3</v>
      </c>
      <c r="AN961" s="93">
        <f>IF('Net zero activities &amp; levers'!$C$12="Off",('Activity data'!BG18*EF!$H49*EF!$H67)*NtoN2O*kgtoGg,IF('Net zero activities &amp; levers'!$C$12="PB",('Activity data'!BG18*EF!$H49*EF!$H67)*NtoN2O*kgtoGg,IF('Net zero activities &amp; levers'!$C$12="MS",('Net zero Activity data'!BG18*EF!$H49*EF!$H67)*NtoN2O*kgtoGg,"ERROR")))</f>
        <v>-8.3265630558819938E-3</v>
      </c>
      <c r="AO961" s="93">
        <f>IF('Net zero activities &amp; levers'!$C$12="Off",('Activity data'!BH18*EF!$H49*EF!$H67)*NtoN2O*kgtoGg,IF('Net zero activities &amp; levers'!$C$12="PB",('Activity data'!BH18*EF!$H49*EF!$H67)*NtoN2O*kgtoGg,IF('Net zero activities &amp; levers'!$C$12="MS",('Net zero Activity data'!BH18*EF!$H49*EF!$H67)*NtoN2O*kgtoGg,"ERROR")))</f>
        <v>-8.2312461111809163E-3</v>
      </c>
      <c r="AP961" s="93">
        <f>IF('Net zero activities &amp; levers'!$C$12="Off",('Activity data'!BI18*EF!$H49*EF!$H67)*NtoN2O*kgtoGg,IF('Net zero activities &amp; levers'!$C$12="PB",('Activity data'!BI18*EF!$H49*EF!$H67)*NtoN2O*kgtoGg,IF('Net zero activities &amp; levers'!$C$12="MS",('Net zero Activity data'!BI18*EF!$H49*EF!$H67)*NtoN2O*kgtoGg,"ERROR")))</f>
        <v>-8.135401593620856E-3</v>
      </c>
      <c r="AQ961" s="93">
        <f>IF('Net zero activities &amp; levers'!$C$12="Off",('Activity data'!BJ18*EF!$H49*EF!$H67)*NtoN2O*kgtoGg,IF('Net zero activities &amp; levers'!$C$12="PB",('Activity data'!BJ18*EF!$H49*EF!$H67)*NtoN2O*kgtoGg,IF('Net zero activities &amp; levers'!$C$12="MS",('Net zero Activity data'!BJ18*EF!$H49*EF!$H67)*NtoN2O*kgtoGg,"ERROR")))</f>
        <v>-8.0390387618132202E-3</v>
      </c>
      <c r="AR961" s="93">
        <f>IF('Net zero activities &amp; levers'!$C$12="Off",('Activity data'!BK18*EF!$H49*EF!$H67)*NtoN2O*kgtoGg,IF('Net zero activities &amp; levers'!$C$12="PB",('Activity data'!BK18*EF!$H49*EF!$H67)*NtoN2O*kgtoGg,IF('Net zero activities &amp; levers'!$C$12="MS",('Net zero Activity data'!BK18*EF!$H49*EF!$H67)*NtoN2O*kgtoGg,"ERROR")))</f>
        <v>-7.9419979262182108E-3</v>
      </c>
      <c r="AS961" s="93">
        <f>IF('Net zero activities &amp; levers'!$C$12="Off",('Activity data'!BL18*EF!$H49*EF!$H67)*NtoN2O*kgtoGg,IF('Net zero activities &amp; levers'!$C$12="PB",('Activity data'!BL18*EF!$H49*EF!$H67)*NtoN2O*kgtoGg,IF('Net zero activities &amp; levers'!$C$12="MS",('Net zero Activity data'!BL18*EF!$H49*EF!$H67)*NtoN2O*kgtoGg,"ERROR")))</f>
        <v>-7.8441134290601709E-3</v>
      </c>
      <c r="AT961" s="93">
        <f>IF('Net zero activities &amp; levers'!$C$12="Off",('Activity data'!BM18*EF!$H49*EF!$H67)*NtoN2O*kgtoGg,IF('Net zero activities &amp; levers'!$C$12="PB",('Activity data'!BM18*EF!$H49*EF!$H67)*NtoN2O*kgtoGg,IF('Net zero activities &amp; levers'!$C$12="MS",('Net zero Activity data'!BM18*EF!$H49*EF!$H67)*NtoN2O*kgtoGg,"ERROR")))</f>
        <v>-7.7454130516986675E-3</v>
      </c>
      <c r="AU961" s="93">
        <f>IF('Net zero activities &amp; levers'!$C$12="Off",('Activity data'!BN18*EF!$H49*EF!$H67)*NtoN2O*kgtoGg,IF('Net zero activities &amp; levers'!$C$12="PB",('Activity data'!BN18*EF!$H49*EF!$H67)*NtoN2O*kgtoGg,IF('Net zero activities &amp; levers'!$C$12="MS",('Net zero Activity data'!BN18*EF!$H49*EF!$H67)*NtoN2O*kgtoGg,"ERROR")))</f>
        <v>-7.6459789259300508E-3</v>
      </c>
      <c r="AV961" s="93">
        <f>IF('Net zero activities &amp; levers'!$C$12="Off",('Activity data'!BO18*EF!$H49*EF!$H67)*NtoN2O*kgtoGg,IF('Net zero activities &amp; levers'!$C$12="PB",('Activity data'!BO18*EF!$H49*EF!$H67)*NtoN2O*kgtoGg,IF('Net zero activities &amp; levers'!$C$12="MS",('Net zero Activity data'!BO18*EF!$H49*EF!$H67)*NtoN2O*kgtoGg,"ERROR")))</f>
        <v>-7.5458813061838152E-3</v>
      </c>
      <c r="AW961" s="93">
        <f>IF('Net zero activities &amp; levers'!$C$12="Off",('Activity data'!BP18*EF!$H49*EF!$H67)*NtoN2O*kgtoGg,IF('Net zero activities &amp; levers'!$C$12="PB",('Activity data'!BP18*EF!$H49*EF!$H67)*NtoN2O*kgtoGg,IF('Net zero activities &amp; levers'!$C$12="MS",('Net zero Activity data'!BP18*EF!$H49*EF!$H67)*NtoN2O*kgtoGg,"ERROR")))</f>
        <v>-7.444981612347289E-3</v>
      </c>
      <c r="AY961" s="79"/>
      <c r="AZ961" s="79"/>
    </row>
    <row r="962" spans="1:52" x14ac:dyDescent="0.25">
      <c r="A962" s="95" t="str">
        <f t="shared" si="326"/>
        <v>DS Poultry MMN2O</v>
      </c>
      <c r="B962" s="95" t="s">
        <v>974</v>
      </c>
      <c r="C962" s="95" t="s">
        <v>1234</v>
      </c>
      <c r="D962" t="s">
        <v>15</v>
      </c>
      <c r="E962" t="s">
        <v>657</v>
      </c>
      <c r="F962" t="s">
        <v>28</v>
      </c>
      <c r="G962" t="s">
        <v>131</v>
      </c>
      <c r="H962" t="s">
        <v>1227</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0.3278422472608899</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0.33450793008613738</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0.34828124731402305</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0.35667649320457162</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0.36607496135357975</v>
      </c>
      <c r="S962" s="93">
        <f>IF('Net zero activities &amp; levers'!$C$12="Off",('Activity data'!AL19*EF!$H50*EF!$H68)*NtoN2O*kgtoGg,IF('Net zero activities &amp; levers'!$C$12="PB",('Activity data'!AL19*EF!$H50*EF!$H68)*NtoN2O*kgtoGg,IF('Net zero activities &amp; levers'!$C$12="MS",('Net zero Activity data'!AL19*EF!$H50*EF!$H68)*NtoN2O*kgtoGg,"ERROR")))</f>
        <v>0.35164354142672727</v>
      </c>
      <c r="T962" s="93">
        <f>IF('Net zero activities &amp; levers'!$C$12="Off",('Activity data'!AM19*EF!$H50*EF!$H68)*NtoN2O*kgtoGg,IF('Net zero activities &amp; levers'!$C$12="PB",('Activity data'!AM19*EF!$H50*EF!$H68)*NtoN2O*kgtoGg,IF('Net zero activities &amp; levers'!$C$12="MS",('Net zero Activity data'!AM19*EF!$H50*EF!$H68)*NtoN2O*kgtoGg,"ERROR")))</f>
        <v>0.36454239171647873</v>
      </c>
      <c r="U962" s="93">
        <f>IF('Net zero activities &amp; levers'!$C$12="Off",('Activity data'!AN19*EF!$H50*EF!$H68)*NtoN2O*kgtoGg,IF('Net zero activities &amp; levers'!$C$12="PB",('Activity data'!AN19*EF!$H50*EF!$H68)*NtoN2O*kgtoGg,IF('Net zero activities &amp; levers'!$C$12="MS",('Net zero Activity data'!AN19*EF!$H50*EF!$H68)*NtoN2O*kgtoGg,"ERROR")))</f>
        <v>0.81017234402499216</v>
      </c>
      <c r="V962" s="93">
        <f>IF('Net zero activities &amp; levers'!$C$12="Off",('Activity data'!AO19*EF!$H50*EF!$H68)*NtoN2O*kgtoGg,IF('Net zero activities &amp; levers'!$C$12="PB",('Activity data'!AO19*EF!$H50*EF!$H68)*NtoN2O*kgtoGg,IF('Net zero activities &amp; levers'!$C$12="MS",('Net zero Activity data'!AO19*EF!$H50*EF!$H68)*NtoN2O*kgtoGg,"ERROR")))</f>
        <v>0.82798351635276735</v>
      </c>
      <c r="W962" s="93">
        <f>IF('Net zero activities &amp; levers'!$C$12="Off",('Activity data'!AP19*EF!$H50*EF!$H68)*NtoN2O*kgtoGg,IF('Net zero activities &amp; levers'!$C$12="PB",('Activity data'!AP19*EF!$H50*EF!$H68)*NtoN2O*kgtoGg,IF('Net zero activities &amp; levers'!$C$12="MS",('Net zero Activity data'!AP19*EF!$H50*EF!$H68)*NtoN2O*kgtoGg,"ERROR")))</f>
        <v>0.84506426194084328</v>
      </c>
      <c r="X962" s="93">
        <f>IF('Net zero activities &amp; levers'!$C$12="Off",('Activity data'!AQ19*EF!$H50*EF!$H68)*NtoN2O*kgtoGg,IF('Net zero activities &amp; levers'!$C$12="PB",('Activity data'!AQ19*EF!$H50*EF!$H68)*NtoN2O*kgtoGg,IF('Net zero activities &amp; levers'!$C$12="MS",('Net zero Activity data'!AQ19*EF!$H50*EF!$H68)*NtoN2O*kgtoGg,"ERROR")))</f>
        <v>0.86126373168327053</v>
      </c>
      <c r="Y962" s="93">
        <f>IF('Net zero activities &amp; levers'!$C$12="Off",('Activity data'!AR19*EF!$H50*EF!$H68)*NtoN2O*kgtoGg,IF('Net zero activities &amp; levers'!$C$12="PB",('Activity data'!AR19*EF!$H50*EF!$H68)*NtoN2O*kgtoGg,IF('Net zero activities &amp; levers'!$C$12="MS",('Net zero Activity data'!AR19*EF!$H50*EF!$H68)*NtoN2O*kgtoGg,"ERROR")))</f>
        <v>0.8763773651993314</v>
      </c>
      <c r="Z962" s="93">
        <f>IF('Net zero activities &amp; levers'!$C$12="Off",('Activity data'!AS19*EF!$H50*EF!$H68)*NtoN2O*kgtoGg,IF('Net zero activities &amp; levers'!$C$12="PB",('Activity data'!AS19*EF!$H50*EF!$H68)*NtoN2O*kgtoGg,IF('Net zero activities &amp; levers'!$C$12="MS",('Net zero Activity data'!AS19*EF!$H50*EF!$H68)*NtoN2O*kgtoGg,"ERROR")))</f>
        <v>0.89033910907341196</v>
      </c>
      <c r="AA962" s="93">
        <f>IF('Net zero activities &amp; levers'!$C$12="Off",('Activity data'!AT19*EF!$H50*EF!$H68)*NtoN2O*kgtoGg,IF('Net zero activities &amp; levers'!$C$12="PB",('Activity data'!AT19*EF!$H50*EF!$H68)*NtoN2O*kgtoGg,IF('Net zero activities &amp; levers'!$C$12="MS",('Net zero Activity data'!AT19*EF!$H50*EF!$H68)*NtoN2O*kgtoGg,"ERROR")))</f>
        <v>0.90308174157394194</v>
      </c>
      <c r="AB962" s="93">
        <f>IF('Net zero activities &amp; levers'!$C$12="Off",('Activity data'!AU19*EF!$H50*EF!$H68)*NtoN2O*kgtoGg,IF('Net zero activities &amp; levers'!$C$12="PB",('Activity data'!AU19*EF!$H50*EF!$H68)*NtoN2O*kgtoGg,IF('Net zero activities &amp; levers'!$C$12="MS",('Net zero Activity data'!AU19*EF!$H50*EF!$H68)*NtoN2O*kgtoGg,"ERROR")))</f>
        <v>0.91454727526335933</v>
      </c>
      <c r="AC962" s="93">
        <f>IF('Net zero activities &amp; levers'!$C$12="Off",('Activity data'!AV19*EF!$H50*EF!$H68)*NtoN2O*kgtoGg,IF('Net zero activities &amp; levers'!$C$12="PB",('Activity data'!AV19*EF!$H50*EF!$H68)*NtoN2O*kgtoGg,IF('Net zero activities &amp; levers'!$C$12="MS",('Net zero Activity data'!AV19*EF!$H50*EF!$H68)*NtoN2O*kgtoGg,"ERROR")))</f>
        <v>0.92468482420589437</v>
      </c>
      <c r="AD962" s="93">
        <f>IF('Net zero activities &amp; levers'!$C$12="Off",('Activity data'!AW19*EF!$H50*EF!$H68)*NtoN2O*kgtoGg,IF('Net zero activities &amp; levers'!$C$12="PB",('Activity data'!AW19*EF!$H50*EF!$H68)*NtoN2O*kgtoGg,IF('Net zero activities &amp; levers'!$C$12="MS",('Net zero Activity data'!AW19*EF!$H50*EF!$H68)*NtoN2O*kgtoGg,"ERROR")))</f>
        <v>0.93344536277323964</v>
      </c>
      <c r="AE962" s="93">
        <f>IF('Net zero activities &amp; levers'!$C$12="Off",('Activity data'!AX19*EF!$H50*EF!$H68)*NtoN2O*kgtoGg,IF('Net zero activities &amp; levers'!$C$12="PB",('Activity data'!AX19*EF!$H50*EF!$H68)*NtoN2O*kgtoGg,IF('Net zero activities &amp; levers'!$C$12="MS",('Net zero Activity data'!AX19*EF!$H50*EF!$H68)*NtoN2O*kgtoGg,"ERROR")))</f>
        <v>0.94079043302909848</v>
      </c>
      <c r="AF962" s="93">
        <f>IF('Net zero activities &amp; levers'!$C$12="Off",('Activity data'!AY19*EF!$H50*EF!$H68)*NtoN2O*kgtoGg,IF('Net zero activities &amp; levers'!$C$12="PB",('Activity data'!AY19*EF!$H50*EF!$H68)*NtoN2O*kgtoGg,IF('Net zero activities &amp; levers'!$C$12="MS",('Net zero Activity data'!AY19*EF!$H50*EF!$H68)*NtoN2O*kgtoGg,"ERROR")))</f>
        <v>0.94668534064993604</v>
      </c>
      <c r="AG962" s="93">
        <f>IF('Net zero activities &amp; levers'!$C$12="Off",('Activity data'!AZ19*EF!$H50*EF!$H68)*NtoN2O*kgtoGg,IF('Net zero activities &amp; levers'!$C$12="PB",('Activity data'!AZ19*EF!$H50*EF!$H68)*NtoN2O*kgtoGg,IF('Net zero activities &amp; levers'!$C$12="MS",('Net zero Activity data'!AZ19*EF!$H50*EF!$H68)*NtoN2O*kgtoGg,"ERROR")))</f>
        <v>0.95109922865749519</v>
      </c>
      <c r="AH962" s="93">
        <f>IF('Net zero activities &amp; levers'!$C$12="Off",('Activity data'!BA19*EF!$H50*EF!$H68)*NtoN2O*kgtoGg,IF('Net zero activities &amp; levers'!$C$12="PB",('Activity data'!BA19*EF!$H50*EF!$H68)*NtoN2O*kgtoGg,IF('Net zero activities &amp; levers'!$C$12="MS",('Net zero Activity data'!BA19*EF!$H50*EF!$H68)*NtoN2O*kgtoGg,"ERROR")))</f>
        <v>0.95401351999914974</v>
      </c>
      <c r="AI962" s="93">
        <f>IF('Net zero activities &amp; levers'!$C$12="Off",('Activity data'!BB19*EF!$H50*EF!$H68)*NtoN2O*kgtoGg,IF('Net zero activities &amp; levers'!$C$12="PB",('Activity data'!BB19*EF!$H50*EF!$H68)*NtoN2O*kgtoGg,IF('Net zero activities &amp; levers'!$C$12="MS",('Net zero Activity data'!BB19*EF!$H50*EF!$H68)*NtoN2O*kgtoGg,"ERROR")))</f>
        <v>0.95541860028387315</v>
      </c>
      <c r="AJ962" s="93">
        <f>IF('Net zero activities &amp; levers'!$C$12="Off",('Activity data'!BC19*EF!$H50*EF!$H68)*NtoN2O*kgtoGg,IF('Net zero activities &amp; levers'!$C$12="PB",('Activity data'!BC19*EF!$H50*EF!$H68)*NtoN2O*kgtoGg,IF('Net zero activities &amp; levers'!$C$12="MS",('Net zero Activity data'!BC19*EF!$H50*EF!$H68)*NtoN2O*kgtoGg,"ERROR")))</f>
        <v>0.12455157965260578</v>
      </c>
      <c r="AK962" s="93">
        <f>IF('Net zero activities &amp; levers'!$C$12="Off",('Activity data'!BD19*EF!$H50*EF!$H68)*NtoN2O*kgtoGg,IF('Net zero activities &amp; levers'!$C$12="PB",('Activity data'!BD19*EF!$H50*EF!$H68)*NtoN2O*kgtoGg,IF('Net zero activities &amp; levers'!$C$12="MS",('Net zero Activity data'!BD19*EF!$H50*EF!$H68)*NtoN2O*kgtoGg,"ERROR")))</f>
        <v>0.12546570662729262</v>
      </c>
      <c r="AL962" s="93">
        <f>IF('Net zero activities &amp; levers'!$C$12="Off",('Activity data'!BE19*EF!$H50*EF!$H68)*NtoN2O*kgtoGg,IF('Net zero activities &amp; levers'!$C$12="PB",('Activity data'!BE19*EF!$H50*EF!$H68)*NtoN2O*kgtoGg,IF('Net zero activities &amp; levers'!$C$12="MS",('Net zero Activity data'!BE19*EF!$H50*EF!$H68)*NtoN2O*kgtoGg,"ERROR")))</f>
        <v>0.12635717357285206</v>
      </c>
      <c r="AM962" s="93">
        <f>IF('Net zero activities &amp; levers'!$C$12="Off",('Activity data'!BF19*EF!$H50*EF!$H68)*NtoN2O*kgtoGg,IF('Net zero activities &amp; levers'!$C$12="PB",('Activity data'!BF19*EF!$H50*EF!$H68)*NtoN2O*kgtoGg,IF('Net zero activities &amp; levers'!$C$12="MS",('Net zero Activity data'!BF19*EF!$H50*EF!$H68)*NtoN2O*kgtoGg,"ERROR")))</f>
        <v>0.12722732342881915</v>
      </c>
      <c r="AN962" s="93">
        <f>IF('Net zero activities &amp; levers'!$C$12="Off",('Activity data'!BG19*EF!$H50*EF!$H68)*NtoN2O*kgtoGg,IF('Net zero activities &amp; levers'!$C$12="PB",('Activity data'!BG19*EF!$H50*EF!$H68)*NtoN2O*kgtoGg,IF('Net zero activities &amp; levers'!$C$12="MS",('Net zero Activity data'!BG19*EF!$H50*EF!$H68)*NtoN2O*kgtoGg,"ERROR")))</f>
        <v>0.12807770428267184</v>
      </c>
      <c r="AO962" s="93">
        <f>IF('Net zero activities &amp; levers'!$C$12="Off",('Activity data'!BH19*EF!$H50*EF!$H68)*NtoN2O*kgtoGg,IF('Net zero activities &amp; levers'!$C$12="PB",('Activity data'!BH19*EF!$H50*EF!$H68)*NtoN2O*kgtoGg,IF('Net zero activities &amp; levers'!$C$12="MS",('Net zero Activity data'!BH19*EF!$H50*EF!$H68)*NtoN2O*kgtoGg,"ERROR")))</f>
        <v>0.12890482942711159</v>
      </c>
      <c r="AP962" s="93">
        <f>IF('Net zero activities &amp; levers'!$C$12="Off",('Activity data'!BI19*EF!$H50*EF!$H68)*NtoN2O*kgtoGg,IF('Net zero activities &amp; levers'!$C$12="PB",('Activity data'!BI19*EF!$H50*EF!$H68)*NtoN2O*kgtoGg,IF('Net zero activities &amp; levers'!$C$12="MS",('Net zero Activity data'!BI19*EF!$H50*EF!$H68)*NtoN2O*kgtoGg,"ERROR")))</f>
        <v>0.12970640273413572</v>
      </c>
      <c r="AQ962" s="93">
        <f>IF('Net zero activities &amp; levers'!$C$12="Off",('Activity data'!BJ19*EF!$H50*EF!$H68)*NtoN2O*kgtoGg,IF('Net zero activities &amp; levers'!$C$12="PB",('Activity data'!BJ19*EF!$H50*EF!$H68)*NtoN2O*kgtoGg,IF('Net zero activities &amp; levers'!$C$12="MS",('Net zero Activity data'!BJ19*EF!$H50*EF!$H68)*NtoN2O*kgtoGg,"ERROR")))</f>
        <v>0.13048225510266878</v>
      </c>
      <c r="AR962" s="93">
        <f>IF('Net zero activities &amp; levers'!$C$12="Off",('Activity data'!BK19*EF!$H50*EF!$H68)*NtoN2O*kgtoGg,IF('Net zero activities &amp; levers'!$C$12="PB",('Activity data'!BK19*EF!$H50*EF!$H68)*NtoN2O*kgtoGg,IF('Net zero activities &amp; levers'!$C$12="MS",('Net zero Activity data'!BK19*EF!$H50*EF!$H68)*NtoN2O*kgtoGg,"ERROR")))</f>
        <v>0.13122965143314799</v>
      </c>
      <c r="AS962" s="93">
        <f>IF('Net zero activities &amp; levers'!$C$12="Off",('Activity data'!BL19*EF!$H50*EF!$H68)*NtoN2O*kgtoGg,IF('Net zero activities &amp; levers'!$C$12="PB",('Activity data'!BL19*EF!$H50*EF!$H68)*NtoN2O*kgtoGg,IF('Net zero activities &amp; levers'!$C$12="MS",('Net zero Activity data'!BL19*EF!$H50*EF!$H68)*NtoN2O*kgtoGg,"ERROR")))</f>
        <v>0.13194554686006624</v>
      </c>
      <c r="AT962" s="93">
        <f>IF('Net zero activities &amp; levers'!$C$12="Off",('Activity data'!BM19*EF!$H50*EF!$H68)*NtoN2O*kgtoGg,IF('Net zero activities &amp; levers'!$C$12="PB",('Activity data'!BM19*EF!$H50*EF!$H68)*NtoN2O*kgtoGg,IF('Net zero activities &amp; levers'!$C$12="MS",('Net zero Activity data'!BM19*EF!$H50*EF!$H68)*NtoN2O*kgtoGg,"ERROR")))</f>
        <v>0.1326296750998292</v>
      </c>
      <c r="AU962" s="93">
        <f>IF('Net zero activities &amp; levers'!$C$12="Off",('Activity data'!BN19*EF!$H50*EF!$H68)*NtoN2O*kgtoGg,IF('Net zero activities &amp; levers'!$C$12="PB",('Activity data'!BN19*EF!$H50*EF!$H68)*NtoN2O*kgtoGg,IF('Net zero activities &amp; levers'!$C$12="MS",('Net zero Activity data'!BN19*EF!$H50*EF!$H68)*NtoN2O*kgtoGg,"ERROR")))</f>
        <v>0.13328261317396048</v>
      </c>
      <c r="AV962" s="93">
        <f>IF('Net zero activities &amp; levers'!$C$12="Off",('Activity data'!BO19*EF!$H50*EF!$H68)*NtoN2O*kgtoGg,IF('Net zero activities &amp; levers'!$C$12="PB",('Activity data'!BO19*EF!$H50*EF!$H68)*NtoN2O*kgtoGg,IF('Net zero activities &amp; levers'!$C$12="MS",('Net zero Activity data'!BO19*EF!$H50*EF!$H68)*NtoN2O*kgtoGg,"ERROR")))</f>
        <v>0.1339047918740231</v>
      </c>
      <c r="AW962" s="93">
        <f>IF('Net zero activities &amp; levers'!$C$12="Off",('Activity data'!BP19*EF!$H50*EF!$H68)*NtoN2O*kgtoGg,IF('Net zero activities &amp; levers'!$C$12="PB",('Activity data'!BP19*EF!$H50*EF!$H68)*NtoN2O*kgtoGg,IF('Net zero activities &amp; levers'!$C$12="MS",('Net zero Activity data'!BP19*EF!$H50*EF!$H68)*NtoN2O*kgtoGg,"ERROR")))</f>
        <v>0.13449324202045793</v>
      </c>
      <c r="AY962" s="79"/>
      <c r="AZ962" s="79"/>
    </row>
    <row r="963" spans="1:52" x14ac:dyDescent="0.25">
      <c r="A963" s="95" t="str">
        <f t="shared" si="326"/>
        <v>DS Poultry MMN2O</v>
      </c>
      <c r="B963" s="95" t="s">
        <v>974</v>
      </c>
      <c r="C963" s="95" t="s">
        <v>1234</v>
      </c>
      <c r="D963" t="s">
        <v>15</v>
      </c>
      <c r="E963" t="s">
        <v>657</v>
      </c>
      <c r="F963" t="s">
        <v>28</v>
      </c>
      <c r="G963" t="s">
        <v>132</v>
      </c>
      <c r="H963" t="s">
        <v>1227</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1.7017151675634967</v>
      </c>
      <c r="L963" s="93">
        <f>IF('Net zero activities &amp; levers'!$C$12="Off",('Activity data'!AE20*EF!$H51*EF!$H69)*NtoN2O*kgtoGg,IF('Net zero activities &amp; levers'!$C$12="PB",('Activity data'!AE20*EF!$H51*EF!$H69)*NtoN2O*kgtoGg,IF('Net zero activities &amp; levers'!$C$12="MS",('Net zero Activity data'!AE20*EF!$H51*EF!$H69)*NtoN2O*kgtoGg,"ERROR")))</f>
        <v>1.724123714732765</v>
      </c>
      <c r="M963" s="93">
        <f>IF('Net zero activities &amp; levers'!$C$12="Off",('Activity data'!AF20*EF!$H51*EF!$H69)*NtoN2O*kgtoGg,IF('Net zero activities &amp; levers'!$C$12="PB",('Activity data'!AF20*EF!$H51*EF!$H69)*NtoN2O*kgtoGg,IF('Net zero activities &amp; levers'!$C$12="MS",('Net zero Activity data'!AF20*EF!$H51*EF!$H69)*NtoN2O*kgtoGg,"ERROR")))</f>
        <v>1.7601182693498119</v>
      </c>
      <c r="N963" s="93">
        <f>IF('Net zero activities &amp; levers'!$C$12="Off",('Activity data'!AG20*EF!$H51*EF!$H69)*NtoN2O*kgtoGg,IF('Net zero activities &amp; levers'!$C$12="PB",('Activity data'!AG20*EF!$H51*EF!$H69)*NtoN2O*kgtoGg,IF('Net zero activities &amp; levers'!$C$12="MS",('Net zero Activity data'!AG20*EF!$H51*EF!$H69)*NtoN2O*kgtoGg,"ERROR")))</f>
        <v>1.7704533576020518</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1.7240481490859689</v>
      </c>
      <c r="S963" s="93">
        <f>IF('Net zero activities &amp; levers'!$C$12="Off",('Activity data'!AL20*EF!$H51*EF!$H69)*NtoN2O*kgtoGg,IF('Net zero activities &amp; levers'!$C$12="PB",('Activity data'!AL20*EF!$H51*EF!$H69)*NtoN2O*kgtoGg,IF('Net zero activities &amp; levers'!$C$12="MS",('Net zero Activity data'!AL20*EF!$H51*EF!$H69)*NtoN2O*kgtoGg,"ERROR")))</f>
        <v>1.5035639635767468</v>
      </c>
      <c r="T963" s="93">
        <f>IF('Net zero activities &amp; levers'!$C$12="Off",('Activity data'!AM20*EF!$H51*EF!$H69)*NtoN2O*kgtoGg,IF('Net zero activities &amp; levers'!$C$12="PB",('Activity data'!AM20*EF!$H51*EF!$H69)*NtoN2O*kgtoGg,IF('Net zero activities &amp; levers'!$C$12="MS",('Net zero Activity data'!AM20*EF!$H51*EF!$H69)*NtoN2O*kgtoGg,"ERROR")))</f>
        <v>1.6173540495561818</v>
      </c>
      <c r="U963" s="93">
        <f>IF('Net zero activities &amp; levers'!$C$12="Off",('Activity data'!AN20*EF!$H51*EF!$H69)*NtoN2O*kgtoGg,IF('Net zero activities &amp; levers'!$C$12="PB",('Activity data'!AN20*EF!$H51*EF!$H69)*NtoN2O*kgtoGg,IF('Net zero activities &amp; levers'!$C$12="MS",('Net zero Activity data'!AN20*EF!$H51*EF!$H69)*NtoN2O*kgtoGg,"ERROR")))</f>
        <v>7.0326605429040603</v>
      </c>
      <c r="V963" s="93">
        <f>IF('Net zero activities &amp; levers'!$C$12="Off",('Activity data'!AO20*EF!$H51*EF!$H69)*NtoN2O*kgtoGg,IF('Net zero activities &amp; levers'!$C$12="PB",('Activity data'!AO20*EF!$H51*EF!$H69)*NtoN2O*kgtoGg,IF('Net zero activities &amp; levers'!$C$12="MS",('Net zero Activity data'!AO20*EF!$H51*EF!$H69)*NtoN2O*kgtoGg,"ERROR")))</f>
        <v>7.1587444728308389</v>
      </c>
      <c r="W963" s="93">
        <f>IF('Net zero activities &amp; levers'!$C$12="Off",('Activity data'!AP20*EF!$H51*EF!$H69)*NtoN2O*kgtoGg,IF('Net zero activities &amp; levers'!$C$12="PB",('Activity data'!AP20*EF!$H51*EF!$H69)*NtoN2O*kgtoGg,IF('Net zero activities &amp; levers'!$C$12="MS",('Net zero Activity data'!AP20*EF!$H51*EF!$H69)*NtoN2O*kgtoGg,"ERROR")))</f>
        <v>7.2707564931151909</v>
      </c>
      <c r="X963" s="93">
        <f>IF('Net zero activities &amp; levers'!$C$12="Off",('Activity data'!AQ20*EF!$H51*EF!$H69)*NtoN2O*kgtoGg,IF('Net zero activities &amp; levers'!$C$12="PB",('Activity data'!AQ20*EF!$H51*EF!$H69)*NtoN2O*kgtoGg,IF('Net zero activities &amp; levers'!$C$12="MS",('Net zero Activity data'!AQ20*EF!$H51*EF!$H69)*NtoN2O*kgtoGg,"ERROR")))</f>
        <v>7.3691748844835665</v>
      </c>
      <c r="Y963" s="93">
        <f>IF('Net zero activities &amp; levers'!$C$12="Off",('Activity data'!AR20*EF!$H51*EF!$H69)*NtoN2O*kgtoGg,IF('Net zero activities &amp; levers'!$C$12="PB",('Activity data'!AR20*EF!$H51*EF!$H69)*NtoN2O*kgtoGg,IF('Net zero activities &amp; levers'!$C$12="MS",('Net zero Activity data'!AR20*EF!$H51*EF!$H69)*NtoN2O*kgtoGg,"ERROR")))</f>
        <v>7.4553371690594963</v>
      </c>
      <c r="Z963" s="93">
        <f>IF('Net zero activities &amp; levers'!$C$12="Off",('Activity data'!AS20*EF!$H51*EF!$H69)*NtoN2O*kgtoGg,IF('Net zero activities &amp; levers'!$C$12="PB",('Activity data'!AS20*EF!$H51*EF!$H69)*NtoN2O*kgtoGg,IF('Net zero activities &amp; levers'!$C$12="MS",('Net zero Activity data'!AS20*EF!$H51*EF!$H69)*NtoN2O*kgtoGg,"ERROR")))</f>
        <v>7.5285970501173791</v>
      </c>
      <c r="AA963" s="93">
        <f>IF('Net zero activities &amp; levers'!$C$12="Off",('Activity data'!AT20*EF!$H51*EF!$H69)*NtoN2O*kgtoGg,IF('Net zero activities &amp; levers'!$C$12="PB",('Activity data'!AT20*EF!$H51*EF!$H69)*NtoN2O*kgtoGg,IF('Net zero activities &amp; levers'!$C$12="MS",('Net zero Activity data'!AT20*EF!$H51*EF!$H69)*NtoN2O*kgtoGg,"ERROR")))</f>
        <v>7.5884583464710351</v>
      </c>
      <c r="AB963" s="93">
        <f>IF('Net zero activities &amp; levers'!$C$12="Off",('Activity data'!AU20*EF!$H51*EF!$H69)*NtoN2O*kgtoGg,IF('Net zero activities &amp; levers'!$C$12="PB",('Activity data'!AU20*EF!$H51*EF!$H69)*NtoN2O*kgtoGg,IF('Net zero activities &amp; levers'!$C$12="MS",('Net zero Activity data'!AU20*EF!$H51*EF!$H69)*NtoN2O*kgtoGg,"ERROR")))</f>
        <v>7.6344333579538368</v>
      </c>
      <c r="AC963" s="93">
        <f>IF('Net zero activities &amp; levers'!$C$12="Off",('Activity data'!AV20*EF!$H51*EF!$H69)*NtoN2O*kgtoGg,IF('Net zero activities &amp; levers'!$C$12="PB",('Activity data'!AV20*EF!$H51*EF!$H69)*NtoN2O*kgtoGg,IF('Net zero activities &amp; levers'!$C$12="MS",('Net zero Activity data'!AV20*EF!$H51*EF!$H69)*NtoN2O*kgtoGg,"ERROR")))</f>
        <v>7.6660871188162911</v>
      </c>
      <c r="AD963" s="93">
        <f>IF('Net zero activities &amp; levers'!$C$12="Off",('Activity data'!AW20*EF!$H51*EF!$H69)*NtoN2O*kgtoGg,IF('Net zero activities &amp; levers'!$C$12="PB",('Activity data'!AW20*EF!$H51*EF!$H69)*NtoN2O*kgtoGg,IF('Net zero activities &amp; levers'!$C$12="MS",('Net zero Activity data'!AW20*EF!$H51*EF!$H69)*NtoN2O*kgtoGg,"ERROR")))</f>
        <v>7.6831230278292386</v>
      </c>
      <c r="AE963" s="93">
        <f>IF('Net zero activities &amp; levers'!$C$12="Off",('Activity data'!AX20*EF!$H51*EF!$H69)*NtoN2O*kgtoGg,IF('Net zero activities &amp; levers'!$C$12="PB",('Activity data'!AX20*EF!$H51*EF!$H69)*NtoN2O*kgtoGg,IF('Net zero activities &amp; levers'!$C$12="MS",('Net zero Activity data'!AX20*EF!$H51*EF!$H69)*NtoN2O*kgtoGg,"ERROR")))</f>
        <v>7.6852660983393646</v>
      </c>
      <c r="AF963" s="93">
        <f>IF('Net zero activities &amp; levers'!$C$12="Off",('Activity data'!AY20*EF!$H51*EF!$H69)*NtoN2O*kgtoGg,IF('Net zero activities &amp; levers'!$C$12="PB",('Activity data'!AY20*EF!$H51*EF!$H69)*NtoN2O*kgtoGg,IF('Net zero activities &amp; levers'!$C$12="MS",('Net zero Activity data'!AY20*EF!$H51*EF!$H69)*NtoN2O*kgtoGg,"ERROR")))</f>
        <v>7.6723681593235442</v>
      </c>
      <c r="AG963" s="93">
        <f>IF('Net zero activities &amp; levers'!$C$12="Off",('Activity data'!AZ20*EF!$H51*EF!$H69)*NtoN2O*kgtoGg,IF('Net zero activities &amp; levers'!$C$12="PB",('Activity data'!AZ20*EF!$H51*EF!$H69)*NtoN2O*kgtoGg,IF('Net zero activities &amp; levers'!$C$12="MS",('Net zero Activity data'!AZ20*EF!$H51*EF!$H69)*NtoN2O*kgtoGg,"ERROR")))</f>
        <v>7.6444112062228218</v>
      </c>
      <c r="AH963" s="93">
        <f>IF('Net zero activities &amp; levers'!$C$12="Off",('Activity data'!BA20*EF!$H51*EF!$H69)*NtoN2O*kgtoGg,IF('Net zero activities &amp; levers'!$C$12="PB",('Activity data'!BA20*EF!$H51*EF!$H69)*NtoN2O*kgtoGg,IF('Net zero activities &amp; levers'!$C$12="MS",('Net zero Activity data'!BA20*EF!$H51*EF!$H69)*NtoN2O*kgtoGg,"ERROR")))</f>
        <v>7.601393060420655</v>
      </c>
      <c r="AI963" s="93">
        <f>IF('Net zero activities &amp; levers'!$C$12="Off",('Activity data'!BB20*EF!$H51*EF!$H69)*NtoN2O*kgtoGg,IF('Net zero activities &amp; levers'!$C$12="PB",('Activity data'!BB20*EF!$H51*EF!$H69)*NtoN2O*kgtoGg,IF('Net zero activities &amp; levers'!$C$12="MS",('Net zero Activity data'!BB20*EF!$H51*EF!$H69)*NtoN2O*kgtoGg,"ERROR")))</f>
        <v>7.5433781605278138</v>
      </c>
      <c r="AJ963" s="93">
        <f>IF('Net zero activities &amp; levers'!$C$12="Off",('Activity data'!BC20*EF!$H51*EF!$H69)*NtoN2O*kgtoGg,IF('Net zero activities &amp; levers'!$C$12="PB",('Activity data'!BC20*EF!$H51*EF!$H69)*NtoN2O*kgtoGg,IF('Net zero activities &amp; levers'!$C$12="MS",('Net zero Activity data'!BC20*EF!$H51*EF!$H69)*NtoN2O*kgtoGg,"ERROR")))</f>
        <v>-1.6108210655566082</v>
      </c>
      <c r="AK963" s="93">
        <f>IF('Net zero activities &amp; levers'!$C$12="Off",('Activity data'!BD20*EF!$H51*EF!$H69)*NtoN2O*kgtoGg,IF('Net zero activities &amp; levers'!$C$12="PB",('Activity data'!BD20*EF!$H51*EF!$H69)*NtoN2O*kgtoGg,IF('Net zero activities &amp; levers'!$C$12="MS",('Net zero Activity data'!BD20*EF!$H51*EF!$H69)*NtoN2O*kgtoGg,"ERROR")))</f>
        <v>-1.613100635371139</v>
      </c>
      <c r="AL963" s="93">
        <f>IF('Net zero activities &amp; levers'!$C$12="Off",('Activity data'!BE20*EF!$H51*EF!$H69)*NtoN2O*kgtoGg,IF('Net zero activities &amp; levers'!$C$12="PB",('Activity data'!BE20*EF!$H51*EF!$H69)*NtoN2O*kgtoGg,IF('Net zero activities &amp; levers'!$C$12="MS",('Net zero Activity data'!BE20*EF!$H51*EF!$H69)*NtoN2O*kgtoGg,"ERROR")))</f>
        <v>-1.6151647470887973</v>
      </c>
      <c r="AM963" s="93">
        <f>IF('Net zero activities &amp; levers'!$C$12="Off",('Activity data'!BF20*EF!$H51*EF!$H69)*NtoN2O*kgtoGg,IF('Net zero activities &amp; levers'!$C$12="PB",('Activity data'!BF20*EF!$H51*EF!$H69)*NtoN2O*kgtoGg,IF('Net zero activities &amp; levers'!$C$12="MS",('Net zero Activity data'!BF20*EF!$H51*EF!$H69)*NtoN2O*kgtoGg,"ERROR")))</f>
        <v>-1.6170309534265412</v>
      </c>
      <c r="AN963" s="93">
        <f>IF('Net zero activities &amp; levers'!$C$12="Off",('Activity data'!BG20*EF!$H51*EF!$H69)*NtoN2O*kgtoGg,IF('Net zero activities &amp; levers'!$C$12="PB",('Activity data'!BG20*EF!$H51*EF!$H69)*NtoN2O*kgtoGg,IF('Net zero activities &amp; levers'!$C$12="MS",('Net zero Activity data'!BG20*EF!$H51*EF!$H69)*NtoN2O*kgtoGg,"ERROR")))</f>
        <v>-1.6187193219312461</v>
      </c>
      <c r="AO963" s="93">
        <f>IF('Net zero activities &amp; levers'!$C$12="Off",('Activity data'!BH20*EF!$H51*EF!$H69)*NtoN2O*kgtoGg,IF('Net zero activities &amp; levers'!$C$12="PB",('Activity data'!BH20*EF!$H51*EF!$H69)*NtoN2O*kgtoGg,IF('Net zero activities &amp; levers'!$C$12="MS",('Net zero Activity data'!BH20*EF!$H51*EF!$H69)*NtoN2O*kgtoGg,"ERROR")))</f>
        <v>-1.6201827321446018</v>
      </c>
      <c r="AP963" s="93">
        <f>IF('Net zero activities &amp; levers'!$C$12="Off",('Activity data'!BI20*EF!$H51*EF!$H69)*NtoN2O*kgtoGg,IF('Net zero activities &amp; levers'!$C$12="PB",('Activity data'!BI20*EF!$H51*EF!$H69)*NtoN2O*kgtoGg,IF('Net zero activities &amp; levers'!$C$12="MS",('Net zero Activity data'!BI20*EF!$H51*EF!$H69)*NtoN2O*kgtoGg,"ERROR")))</f>
        <v>-1.6213910531514668</v>
      </c>
      <c r="AQ963" s="93">
        <f>IF('Net zero activities &amp; levers'!$C$12="Off",('Activity data'!BJ20*EF!$H51*EF!$H69)*NtoN2O*kgtoGg,IF('Net zero activities &amp; levers'!$C$12="PB",('Activity data'!BJ20*EF!$H51*EF!$H69)*NtoN2O*kgtoGg,IF('Net zero activities &amp; levers'!$C$12="MS",('Net zero Activity data'!BJ20*EF!$H51*EF!$H69)*NtoN2O*kgtoGg,"ERROR")))</f>
        <v>-1.6223429170122639</v>
      </c>
      <c r="AR963" s="93">
        <f>IF('Net zero activities &amp; levers'!$C$12="Off",('Activity data'!BK20*EF!$H51*EF!$H69)*NtoN2O*kgtoGg,IF('Net zero activities &amp; levers'!$C$12="PB",('Activity data'!BK20*EF!$H51*EF!$H69)*NtoN2O*kgtoGg,IF('Net zero activities &amp; levers'!$C$12="MS",('Net zero Activity data'!BK20*EF!$H51*EF!$H69)*NtoN2O*kgtoGg,"ERROR")))</f>
        <v>-1.623003587370585</v>
      </c>
      <c r="AS963" s="93">
        <f>IF('Net zero activities &amp; levers'!$C$12="Off",('Activity data'!BL20*EF!$H51*EF!$H69)*NtoN2O*kgtoGg,IF('Net zero activities &amp; levers'!$C$12="PB",('Activity data'!BL20*EF!$H51*EF!$H69)*NtoN2O*kgtoGg,IF('Net zero activities &amp; levers'!$C$12="MS",('Net zero Activity data'!BL20*EF!$H51*EF!$H69)*NtoN2O*kgtoGg,"ERROR")))</f>
        <v>-1.6233351759618906</v>
      </c>
      <c r="AT963" s="93">
        <f>IF('Net zero activities &amp; levers'!$C$12="Off",('Activity data'!BM20*EF!$H51*EF!$H69)*NtoN2O*kgtoGg,IF('Net zero activities &amp; levers'!$C$12="PB",('Activity data'!BM20*EF!$H51*EF!$H69)*NtoN2O*kgtoGg,IF('Net zero activities &amp; levers'!$C$12="MS",('Net zero Activity data'!BM20*EF!$H51*EF!$H69)*NtoN2O*kgtoGg,"ERROR")))</f>
        <v>-1.623336597056291</v>
      </c>
      <c r="AU963" s="93">
        <f>IF('Net zero activities &amp; levers'!$C$12="Off",('Activity data'!BN20*EF!$H51*EF!$H69)*NtoN2O*kgtoGg,IF('Net zero activities &amp; levers'!$C$12="PB",('Activity data'!BN20*EF!$H51*EF!$H69)*NtoN2O*kgtoGg,IF('Net zero activities &amp; levers'!$C$12="MS",('Net zero Activity data'!BN20*EF!$H51*EF!$H69)*NtoN2O*kgtoGg,"ERROR")))</f>
        <v>-1.6230176880430305</v>
      </c>
      <c r="AV963" s="93">
        <f>IF('Net zero activities &amp; levers'!$C$12="Off",('Activity data'!BO20*EF!$H51*EF!$H69)*NtoN2O*kgtoGg,IF('Net zero activities &amp; levers'!$C$12="PB",('Activity data'!BO20*EF!$H51*EF!$H69)*NtoN2O*kgtoGg,IF('Net zero activities &amp; levers'!$C$12="MS",('Net zero Activity data'!BO20*EF!$H51*EF!$H69)*NtoN2O*kgtoGg,"ERROR")))</f>
        <v>-1.6223862668543294</v>
      </c>
      <c r="AW963" s="93">
        <f>IF('Net zero activities &amp; levers'!$C$12="Off",('Activity data'!BP20*EF!$H51*EF!$H69)*NtoN2O*kgtoGg,IF('Net zero activities &amp; levers'!$C$12="PB",('Activity data'!BP20*EF!$H51*EF!$H69)*NtoN2O*kgtoGg,IF('Net zero activities &amp; levers'!$C$12="MS",('Net zero Activity data'!BP20*EF!$H51*EF!$H69)*NtoN2O*kgtoGg,"ERROR")))</f>
        <v>-1.6214068147422027</v>
      </c>
      <c r="AY963" s="79"/>
      <c r="AZ963" s="79"/>
    </row>
    <row r="964" spans="1:52" x14ac:dyDescent="0.25">
      <c r="A964" s="95" t="str">
        <f t="shared" si="326"/>
        <v>DS Poultry MMN2O</v>
      </c>
      <c r="B964" s="95" t="s">
        <v>974</v>
      </c>
      <c r="C964" s="95" t="s">
        <v>1234</v>
      </c>
      <c r="D964" t="s">
        <v>15</v>
      </c>
      <c r="E964" t="s">
        <v>657</v>
      </c>
      <c r="F964" t="s">
        <v>28</v>
      </c>
      <c r="G964" t="s">
        <v>134</v>
      </c>
      <c r="H964" t="s">
        <v>1227</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1.3660093635870426E-2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1.3937830420255738E-2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1.4861520550190495E-2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1.5253123389732505E-2</v>
      </c>
      <c r="S964" s="93">
        <f>IF('Net zero activities &amp; levers'!$C$12="Off",('Activity data'!AL21*EF!$H52*EF!$H70)*NtoN2O*kgtoGg,IF('Net zero activities &amp; levers'!$C$12="PB",('Activity data'!AL21*EF!$H52*EF!$H70)*NtoN2O*kgtoGg,IF('Net zero activities &amp; levers'!$C$12="MS",('Net zero Activity data'!AL21*EF!$H52*EF!$H70)*NtoN2O*kgtoGg,"ERROR")))</f>
        <v>1.4651814226113646E-2</v>
      </c>
      <c r="T964" s="93">
        <f>IF('Net zero activities &amp; levers'!$C$12="Off",('Activity data'!AM21*EF!$H52*EF!$H70)*NtoN2O*kgtoGg,IF('Net zero activities &amp; levers'!$C$12="PB",('Activity data'!AM21*EF!$H52*EF!$H70)*NtoN2O*kgtoGg,IF('Net zero activities &amp; levers'!$C$12="MS",('Net zero Activity data'!AM21*EF!$H52*EF!$H70)*NtoN2O*kgtoGg,"ERROR")))</f>
        <v>1.5189266321519962E-2</v>
      </c>
      <c r="U964" s="93">
        <f>IF('Net zero activities &amp; levers'!$C$12="Off",('Activity data'!AN21*EF!$H52*EF!$H70)*NtoN2O*kgtoGg,IF('Net zero activities &amp; levers'!$C$12="PB",('Activity data'!AN21*EF!$H52*EF!$H70)*NtoN2O*kgtoGg,IF('Net zero activities &amp; levers'!$C$12="MS",('Net zero Activity data'!AN21*EF!$H52*EF!$H70)*NtoN2O*kgtoGg,"ERROR")))</f>
        <v>3.3757181001041366E-2</v>
      </c>
      <c r="V964" s="93">
        <f>IF('Net zero activities &amp; levers'!$C$12="Off",('Activity data'!AO21*EF!$H52*EF!$H70)*NtoN2O*kgtoGg,IF('Net zero activities &amp; levers'!$C$12="PB",('Activity data'!AO21*EF!$H52*EF!$H70)*NtoN2O*kgtoGg,IF('Net zero activities &amp; levers'!$C$12="MS",('Net zero Activity data'!AO21*EF!$H52*EF!$H70)*NtoN2O*kgtoGg,"ERROR")))</f>
        <v>3.4499313181365336E-2</v>
      </c>
      <c r="W964" s="93">
        <f>IF('Net zero activities &amp; levers'!$C$12="Off",('Activity data'!AP21*EF!$H52*EF!$H70)*NtoN2O*kgtoGg,IF('Net zero activities &amp; levers'!$C$12="PB",('Activity data'!AP21*EF!$H52*EF!$H70)*NtoN2O*kgtoGg,IF('Net zero activities &amp; levers'!$C$12="MS",('Net zero Activity data'!AP21*EF!$H52*EF!$H70)*NtoN2O*kgtoGg,"ERROR")))</f>
        <v>3.5211010914201833E-2</v>
      </c>
      <c r="X964" s="93">
        <f>IF('Net zero activities &amp; levers'!$C$12="Off",('Activity data'!AQ21*EF!$H52*EF!$H70)*NtoN2O*kgtoGg,IF('Net zero activities &amp; levers'!$C$12="PB",('Activity data'!AQ21*EF!$H52*EF!$H70)*NtoN2O*kgtoGg,IF('Net zero activities &amp; levers'!$C$12="MS",('Net zero Activity data'!AQ21*EF!$H52*EF!$H70)*NtoN2O*kgtoGg,"ERROR")))</f>
        <v>3.5885988820136307E-2</v>
      </c>
      <c r="Y964" s="93">
        <f>IF('Net zero activities &amp; levers'!$C$12="Off",('Activity data'!AR21*EF!$H52*EF!$H70)*NtoN2O*kgtoGg,IF('Net zero activities &amp; levers'!$C$12="PB",('Activity data'!AR21*EF!$H52*EF!$H70)*NtoN2O*kgtoGg,IF('Net zero activities &amp; levers'!$C$12="MS",('Net zero Activity data'!AR21*EF!$H52*EF!$H70)*NtoN2O*kgtoGg,"ERROR")))</f>
        <v>3.6515723549972179E-2</v>
      </c>
      <c r="Z964" s="93">
        <f>IF('Net zero activities &amp; levers'!$C$12="Off",('Activity data'!AS21*EF!$H52*EF!$H70)*NtoN2O*kgtoGg,IF('Net zero activities &amp; levers'!$C$12="PB",('Activity data'!AS21*EF!$H52*EF!$H70)*NtoN2O*kgtoGg,IF('Net zero activities &amp; levers'!$C$12="MS",('Net zero Activity data'!AS21*EF!$H52*EF!$H70)*NtoN2O*kgtoGg,"ERROR")))</f>
        <v>3.7097462878058866E-2</v>
      </c>
      <c r="AA964" s="93">
        <f>IF('Net zero activities &amp; levers'!$C$12="Off",('Activity data'!AT21*EF!$H52*EF!$H70)*NtoN2O*kgtoGg,IF('Net zero activities &amp; levers'!$C$12="PB",('Activity data'!AT21*EF!$H52*EF!$H70)*NtoN2O*kgtoGg,IF('Net zero activities &amp; levers'!$C$12="MS",('Net zero Activity data'!AT21*EF!$H52*EF!$H70)*NtoN2O*kgtoGg,"ERROR")))</f>
        <v>3.7628405898914287E-2</v>
      </c>
      <c r="AB964" s="93">
        <f>IF('Net zero activities &amp; levers'!$C$12="Off",('Activity data'!AU21*EF!$H52*EF!$H70)*NtoN2O*kgtoGg,IF('Net zero activities &amp; levers'!$C$12="PB",('Activity data'!AU21*EF!$H52*EF!$H70)*NtoN2O*kgtoGg,IF('Net zero activities &amp; levers'!$C$12="MS",('Net zero Activity data'!AU21*EF!$H52*EF!$H70)*NtoN2O*kgtoGg,"ERROR")))</f>
        <v>3.8106136469306676E-2</v>
      </c>
      <c r="AC964" s="93">
        <f>IF('Net zero activities &amp; levers'!$C$12="Off",('Activity data'!AV21*EF!$H52*EF!$H70)*NtoN2O*kgtoGg,IF('Net zero activities &amp; levers'!$C$12="PB",('Activity data'!AV21*EF!$H52*EF!$H70)*NtoN2O*kgtoGg,IF('Net zero activities &amp; levers'!$C$12="MS",('Net zero Activity data'!AV21*EF!$H52*EF!$H70)*NtoN2O*kgtoGg,"ERROR")))</f>
        <v>3.85285343419123E-2</v>
      </c>
      <c r="AD964" s="93">
        <f>IF('Net zero activities &amp; levers'!$C$12="Off",('Activity data'!AW21*EF!$H52*EF!$H70)*NtoN2O*kgtoGg,IF('Net zero activities &amp; levers'!$C$12="PB",('Activity data'!AW21*EF!$H52*EF!$H70)*NtoN2O*kgtoGg,IF('Net zero activities &amp; levers'!$C$12="MS",('Net zero Activity data'!AW21*EF!$H52*EF!$H70)*NtoN2O*kgtoGg,"ERROR")))</f>
        <v>3.8893556782218362E-2</v>
      </c>
      <c r="AE964" s="93">
        <f>IF('Net zero activities &amp; levers'!$C$12="Off",('Activity data'!AX21*EF!$H52*EF!$H70)*NtoN2O*kgtoGg,IF('Net zero activities &amp; levers'!$C$12="PB",('Activity data'!AX21*EF!$H52*EF!$H70)*NtoN2O*kgtoGg,IF('Net zero activities &amp; levers'!$C$12="MS",('Net zero Activity data'!AX21*EF!$H52*EF!$H70)*NtoN2O*kgtoGg,"ERROR")))</f>
        <v>3.9199601376212471E-2</v>
      </c>
      <c r="AF964" s="93">
        <f>IF('Net zero activities &amp; levers'!$C$12="Off",('Activity data'!AY21*EF!$H52*EF!$H70)*NtoN2O*kgtoGg,IF('Net zero activities &amp; levers'!$C$12="PB",('Activity data'!AY21*EF!$H52*EF!$H70)*NtoN2O*kgtoGg,IF('Net zero activities &amp; levers'!$C$12="MS",('Net zero Activity data'!AY21*EF!$H52*EF!$H70)*NtoN2O*kgtoGg,"ERROR")))</f>
        <v>3.9445222527080714E-2</v>
      </c>
      <c r="AG964" s="93">
        <f>IF('Net zero activities &amp; levers'!$C$12="Off",('Activity data'!AZ21*EF!$H52*EF!$H70)*NtoN2O*kgtoGg,IF('Net zero activities &amp; levers'!$C$12="PB",('Activity data'!AZ21*EF!$H52*EF!$H70)*NtoN2O*kgtoGg,IF('Net zero activities &amp; levers'!$C$12="MS",('Net zero Activity data'!AZ21*EF!$H52*EF!$H70)*NtoN2O*kgtoGg,"ERROR")))</f>
        <v>3.9629134527395672E-2</v>
      </c>
      <c r="AH964" s="93">
        <f>IF('Net zero activities &amp; levers'!$C$12="Off",('Activity data'!BA21*EF!$H52*EF!$H70)*NtoN2O*kgtoGg,IF('Net zero activities &amp; levers'!$C$12="PB",('Activity data'!BA21*EF!$H52*EF!$H70)*NtoN2O*kgtoGg,IF('Net zero activities &amp; levers'!$C$12="MS",('Net zero Activity data'!BA21*EF!$H52*EF!$H70)*NtoN2O*kgtoGg,"ERROR")))</f>
        <v>3.9750563333297947E-2</v>
      </c>
      <c r="AI964" s="93">
        <f>IF('Net zero activities &amp; levers'!$C$12="Off",('Activity data'!BB21*EF!$H52*EF!$H70)*NtoN2O*kgtoGg,IF('Net zero activities &amp; levers'!$C$12="PB",('Activity data'!BB21*EF!$H52*EF!$H70)*NtoN2O*kgtoGg,IF('Net zero activities &amp; levers'!$C$12="MS",('Net zero Activity data'!BB21*EF!$H52*EF!$H70)*NtoN2O*kgtoGg,"ERROR")))</f>
        <v>3.9809108345161416E-2</v>
      </c>
      <c r="AJ964" s="93">
        <f>IF('Net zero activities &amp; levers'!$C$12="Off",('Activity data'!BC21*EF!$H52*EF!$H70)*NtoN2O*kgtoGg,IF('Net zero activities &amp; levers'!$C$12="PB",('Activity data'!BC21*EF!$H52*EF!$H70)*NtoN2O*kgtoGg,IF('Net zero activities &amp; levers'!$C$12="MS",('Net zero Activity data'!BC21*EF!$H52*EF!$H70)*NtoN2O*kgtoGg,"ERROR")))</f>
        <v>5.189649152191912E-3</v>
      </c>
      <c r="AK964" s="93">
        <f>IF('Net zero activities &amp; levers'!$C$12="Off",('Activity data'!BD21*EF!$H52*EF!$H70)*NtoN2O*kgtoGg,IF('Net zero activities &amp; levers'!$C$12="PB",('Activity data'!BD21*EF!$H52*EF!$H70)*NtoN2O*kgtoGg,IF('Net zero activities &amp; levers'!$C$12="MS",('Net zero Activity data'!BD21*EF!$H52*EF!$H70)*NtoN2O*kgtoGg,"ERROR")))</f>
        <v>5.2277377761371976E-3</v>
      </c>
      <c r="AL964" s="93">
        <f>IF('Net zero activities &amp; levers'!$C$12="Off",('Activity data'!BE21*EF!$H52*EF!$H70)*NtoN2O*kgtoGg,IF('Net zero activities &amp; levers'!$C$12="PB",('Activity data'!BE21*EF!$H52*EF!$H70)*NtoN2O*kgtoGg,IF('Net zero activities &amp; levers'!$C$12="MS",('Net zero Activity data'!BE21*EF!$H52*EF!$H70)*NtoN2O*kgtoGg,"ERROR")))</f>
        <v>5.2648822322021753E-3</v>
      </c>
      <c r="AM964" s="93">
        <f>IF('Net zero activities &amp; levers'!$C$12="Off",('Activity data'!BF21*EF!$H52*EF!$H70)*NtoN2O*kgtoGg,IF('Net zero activities &amp; levers'!$C$12="PB",('Activity data'!BF21*EF!$H52*EF!$H70)*NtoN2O*kgtoGg,IF('Net zero activities &amp; levers'!$C$12="MS",('Net zero Activity data'!BF21*EF!$H52*EF!$H70)*NtoN2O*kgtoGg,"ERROR")))</f>
        <v>5.3011384762008023E-3</v>
      </c>
      <c r="AN964" s="93">
        <f>IF('Net zero activities &amp; levers'!$C$12="Off",('Activity data'!BG21*EF!$H52*EF!$H70)*NtoN2O*kgtoGg,IF('Net zero activities &amp; levers'!$C$12="PB",('Activity data'!BG21*EF!$H52*EF!$H70)*NtoN2O*kgtoGg,IF('Net zero activities &amp; levers'!$C$12="MS",('Net zero Activity data'!BG21*EF!$H52*EF!$H70)*NtoN2O*kgtoGg,"ERROR")))</f>
        <v>5.3365710117779979E-3</v>
      </c>
      <c r="AO964" s="93">
        <f>IF('Net zero activities &amp; levers'!$C$12="Off",('Activity data'!BH21*EF!$H52*EF!$H70)*NtoN2O*kgtoGg,IF('Net zero activities &amp; levers'!$C$12="PB",('Activity data'!BH21*EF!$H52*EF!$H70)*NtoN2O*kgtoGg,IF('Net zero activities &amp; levers'!$C$12="MS",('Net zero Activity data'!BH21*EF!$H52*EF!$H70)*NtoN2O*kgtoGg,"ERROR")))</f>
        <v>5.3710345594629892E-3</v>
      </c>
      <c r="AP964" s="93">
        <f>IF('Net zero activities &amp; levers'!$C$12="Off",('Activity data'!BI21*EF!$H52*EF!$H70)*NtoN2O*kgtoGg,IF('Net zero activities &amp; levers'!$C$12="PB",('Activity data'!BI21*EF!$H52*EF!$H70)*NtoN2O*kgtoGg,IF('Net zero activities &amp; levers'!$C$12="MS",('Net zero Activity data'!BI21*EF!$H52*EF!$H70)*NtoN2O*kgtoGg,"ERROR")))</f>
        <v>5.4044334472556589E-3</v>
      </c>
      <c r="AQ964" s="93">
        <f>IF('Net zero activities &amp; levers'!$C$12="Off",('Activity data'!BJ21*EF!$H52*EF!$H70)*NtoN2O*kgtoGg,IF('Net zero activities &amp; levers'!$C$12="PB",('Activity data'!BJ21*EF!$H52*EF!$H70)*NtoN2O*kgtoGg,IF('Net zero activities &amp; levers'!$C$12="MS",('Net zero Activity data'!BJ21*EF!$H52*EF!$H70)*NtoN2O*kgtoGg,"ERROR")))</f>
        <v>5.4367606292778717E-3</v>
      </c>
      <c r="AR964" s="93">
        <f>IF('Net zero activities &amp; levers'!$C$12="Off",('Activity data'!BK21*EF!$H52*EF!$H70)*NtoN2O*kgtoGg,IF('Net zero activities &amp; levers'!$C$12="PB",('Activity data'!BK21*EF!$H52*EF!$H70)*NtoN2O*kgtoGg,IF('Net zero activities &amp; levers'!$C$12="MS",('Net zero Activity data'!BK21*EF!$H52*EF!$H70)*NtoN2O*kgtoGg,"ERROR")))</f>
        <v>5.4679021430478368E-3</v>
      </c>
      <c r="AS964" s="93">
        <f>IF('Net zero activities &amp; levers'!$C$12="Off",('Activity data'!BL21*EF!$H52*EF!$H70)*NtoN2O*kgtoGg,IF('Net zero activities &amp; levers'!$C$12="PB",('Activity data'!BL21*EF!$H52*EF!$H70)*NtoN2O*kgtoGg,IF('Net zero activities &amp; levers'!$C$12="MS",('Net zero Activity data'!BL21*EF!$H52*EF!$H70)*NtoN2O*kgtoGg,"ERROR")))</f>
        <v>5.4977311191694326E-3</v>
      </c>
      <c r="AT964" s="93">
        <f>IF('Net zero activities &amp; levers'!$C$12="Off",('Activity data'!BM21*EF!$H52*EF!$H70)*NtoN2O*kgtoGg,IF('Net zero activities &amp; levers'!$C$12="PB",('Activity data'!BM21*EF!$H52*EF!$H70)*NtoN2O*kgtoGg,IF('Net zero activities &amp; levers'!$C$12="MS",('Net zero Activity data'!BM21*EF!$H52*EF!$H70)*NtoN2O*kgtoGg,"ERROR")))</f>
        <v>5.5262364624928872E-3</v>
      </c>
      <c r="AU964" s="93">
        <f>IF('Net zero activities &amp; levers'!$C$12="Off",('Activity data'!BN21*EF!$H52*EF!$H70)*NtoN2O*kgtoGg,IF('Net zero activities &amp; levers'!$C$12="PB",('Activity data'!BN21*EF!$H52*EF!$H70)*NtoN2O*kgtoGg,IF('Net zero activities &amp; levers'!$C$12="MS",('Net zero Activity data'!BN21*EF!$H52*EF!$H70)*NtoN2O*kgtoGg,"ERROR")))</f>
        <v>5.5534422155816918E-3</v>
      </c>
      <c r="AV964" s="93">
        <f>IF('Net zero activities &amp; levers'!$C$12="Off",('Activity data'!BO21*EF!$H52*EF!$H70)*NtoN2O*kgtoGg,IF('Net zero activities &amp; levers'!$C$12="PB",('Activity data'!BO21*EF!$H52*EF!$H70)*NtoN2O*kgtoGg,IF('Net zero activities &amp; levers'!$C$12="MS",('Net zero Activity data'!BO21*EF!$H52*EF!$H70)*NtoN2O*kgtoGg,"ERROR")))</f>
        <v>5.5793663280842998E-3</v>
      </c>
      <c r="AW964" s="93">
        <f>IF('Net zero activities &amp; levers'!$C$12="Off",('Activity data'!BP21*EF!$H52*EF!$H70)*NtoN2O*kgtoGg,IF('Net zero activities &amp; levers'!$C$12="PB",('Activity data'!BP21*EF!$H52*EF!$H70)*NtoN2O*kgtoGg,IF('Net zero activities &amp; levers'!$C$12="MS",('Net zero Activity data'!BP21*EF!$H52*EF!$H70)*NtoN2O*kgtoGg,"ERROR")))</f>
        <v>5.6038850841857524E-3</v>
      </c>
      <c r="AY964" s="79"/>
      <c r="AZ964" s="79"/>
    </row>
    <row r="965" spans="1:52" x14ac:dyDescent="0.25">
      <c r="A965" s="95" t="str">
        <f t="shared" si="326"/>
        <v>DS Poultry MMN2O</v>
      </c>
      <c r="B965" s="95" t="s">
        <v>974</v>
      </c>
      <c r="C965" s="95" t="s">
        <v>1234</v>
      </c>
      <c r="D965" t="s">
        <v>15</v>
      </c>
      <c r="E965" t="s">
        <v>657</v>
      </c>
      <c r="F965" t="s">
        <v>28</v>
      </c>
      <c r="G965" t="s">
        <v>133</v>
      </c>
      <c r="H965" t="s">
        <v>1227</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7.0904798648479081E-2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7.183848811386527E-2</v>
      </c>
      <c r="M965" s="93">
        <f>IF('Net zero activities &amp; levers'!$C$12="Off",('Activity data'!AF22*EF!$H53*EF!$H71)*NtoN2O*kgtoGg,IF('Net zero activities &amp; levers'!$C$12="PB",('Activity data'!AF22*EF!$H53*EF!$H71)*NtoN2O*kgtoGg,IF('Net zero activities &amp; levers'!$C$12="MS",('Net zero Activity data'!AF22*EF!$H53*EF!$H71)*NtoN2O*kgtoGg,"ERROR")))</f>
        <v>7.3338261222908901E-2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7.3768889900085566E-2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7.2548895925592438E-2</v>
      </c>
      <c r="Q965" s="93">
        <f>IF('Net zero activities &amp; levers'!$C$12="Off",('Activity data'!AJ22*EF!$H53*EF!$H71)*NtoN2O*kgtoGg,IF('Net zero activities &amp; levers'!$C$12="PB",('Activity data'!AJ22*EF!$H53*EF!$H71)*NtoN2O*kgtoGg,IF('Net zero activities &amp; levers'!$C$12="MS",('Net zero Activity data'!AJ22*EF!$H53*EF!$H71)*NtoN2O*kgtoGg,"ERROR")))</f>
        <v>7.2146468817327503E-2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7.1835339545248775E-2</v>
      </c>
      <c r="S965" s="93">
        <f>IF('Net zero activities &amp; levers'!$C$12="Off",('Activity data'!AL22*EF!$H53*EF!$H71)*NtoN2O*kgtoGg,IF('Net zero activities &amp; levers'!$C$12="PB",('Activity data'!AL22*EF!$H53*EF!$H71)*NtoN2O*kgtoGg,IF('Net zero activities &amp; levers'!$C$12="MS",('Net zero Activity data'!AL22*EF!$H53*EF!$H71)*NtoN2O*kgtoGg,"ERROR")))</f>
        <v>6.264849848236452E-2</v>
      </c>
      <c r="T965" s="93">
        <f>IF('Net zero activities &amp; levers'!$C$12="Off",('Activity data'!AM22*EF!$H53*EF!$H71)*NtoN2O*kgtoGg,IF('Net zero activities &amp; levers'!$C$12="PB",('Activity data'!AM22*EF!$H53*EF!$H71)*NtoN2O*kgtoGg,IF('Net zero activities &amp; levers'!$C$12="MS",('Net zero Activity data'!AM22*EF!$H53*EF!$H71)*NtoN2O*kgtoGg,"ERROR")))</f>
        <v>6.7389752064840963E-2</v>
      </c>
      <c r="U965" s="93">
        <f>IF('Net zero activities &amp; levers'!$C$12="Off",('Activity data'!AN22*EF!$H53*EF!$H71)*NtoN2O*kgtoGg,IF('Net zero activities &amp; levers'!$C$12="PB",('Activity data'!AN22*EF!$H53*EF!$H71)*NtoN2O*kgtoGg,IF('Net zero activities &amp; levers'!$C$12="MS",('Net zero Activity data'!AN22*EF!$H53*EF!$H71)*NtoN2O*kgtoGg,"ERROR")))</f>
        <v>0.29302752262100273</v>
      </c>
      <c r="V965" s="93">
        <f>IF('Net zero activities &amp; levers'!$C$12="Off",('Activity data'!AO22*EF!$H53*EF!$H71)*NtoN2O*kgtoGg,IF('Net zero activities &amp; levers'!$C$12="PB",('Activity data'!AO22*EF!$H53*EF!$H71)*NtoN2O*kgtoGg,IF('Net zero activities &amp; levers'!$C$12="MS",('Net zero Activity data'!AO22*EF!$H53*EF!$H71)*NtoN2O*kgtoGg,"ERROR")))</f>
        <v>0.29828101970128529</v>
      </c>
      <c r="W965" s="93">
        <f>IF('Net zero activities &amp; levers'!$C$12="Off",('Activity data'!AP22*EF!$H53*EF!$H71)*NtoN2O*kgtoGg,IF('Net zero activities &amp; levers'!$C$12="PB",('Activity data'!AP22*EF!$H53*EF!$H71)*NtoN2O*kgtoGg,IF('Net zero activities &amp; levers'!$C$12="MS",('Net zero Activity data'!AP22*EF!$H53*EF!$H71)*NtoN2O*kgtoGg,"ERROR")))</f>
        <v>0.30294818721313321</v>
      </c>
      <c r="X965" s="93">
        <f>IF('Net zero activities &amp; levers'!$C$12="Off",('Activity data'!AQ22*EF!$H53*EF!$H71)*NtoN2O*kgtoGg,IF('Net zero activities &amp; levers'!$C$12="PB",('Activity data'!AQ22*EF!$H53*EF!$H71)*NtoN2O*kgtoGg,IF('Net zero activities &amp; levers'!$C$12="MS",('Net zero Activity data'!AQ22*EF!$H53*EF!$H71)*NtoN2O*kgtoGg,"ERROR")))</f>
        <v>0.30704895352014883</v>
      </c>
      <c r="Y965" s="93">
        <f>IF('Net zero activities &amp; levers'!$C$12="Off",('Activity data'!AR22*EF!$H53*EF!$H71)*NtoN2O*kgtoGg,IF('Net zero activities &amp; levers'!$C$12="PB",('Activity data'!AR22*EF!$H53*EF!$H71)*NtoN2O*kgtoGg,IF('Net zero activities &amp; levers'!$C$12="MS",('Net zero Activity data'!AR22*EF!$H53*EF!$H71)*NtoN2O*kgtoGg,"ERROR")))</f>
        <v>0.31063904871081255</v>
      </c>
      <c r="Z965" s="93">
        <f>IF('Net zero activities &amp; levers'!$C$12="Off",('Activity data'!AS22*EF!$H53*EF!$H71)*NtoN2O*kgtoGg,IF('Net zero activities &amp; levers'!$C$12="PB",('Activity data'!AS22*EF!$H53*EF!$H71)*NtoN2O*kgtoGg,IF('Net zero activities &amp; levers'!$C$12="MS",('Net zero Activity data'!AS22*EF!$H53*EF!$H71)*NtoN2O*kgtoGg,"ERROR")))</f>
        <v>0.31369154375489111</v>
      </c>
      <c r="AA965" s="93">
        <f>IF('Net zero activities &amp; levers'!$C$12="Off",('Activity data'!AT22*EF!$H53*EF!$H71)*NtoN2O*kgtoGg,IF('Net zero activities &amp; levers'!$C$12="PB",('Activity data'!AT22*EF!$H53*EF!$H71)*NtoN2O*kgtoGg,IF('Net zero activities &amp; levers'!$C$12="MS",('Net zero Activity data'!AT22*EF!$H53*EF!$H71)*NtoN2O*kgtoGg,"ERROR")))</f>
        <v>0.31618576443629343</v>
      </c>
      <c r="AB965" s="93">
        <f>IF('Net zero activities &amp; levers'!$C$12="Off",('Activity data'!AU22*EF!$H53*EF!$H71)*NtoN2O*kgtoGg,IF('Net zero activities &amp; levers'!$C$12="PB",('Activity data'!AU22*EF!$H53*EF!$H71)*NtoN2O*kgtoGg,IF('Net zero activities &amp; levers'!$C$12="MS",('Net zero Activity data'!AU22*EF!$H53*EF!$H71)*NtoN2O*kgtoGg,"ERROR")))</f>
        <v>0.31810138991474352</v>
      </c>
      <c r="AC965" s="93">
        <f>IF('Net zero activities &amp; levers'!$C$12="Off",('Activity data'!AV22*EF!$H53*EF!$H71)*NtoN2O*kgtoGg,IF('Net zero activities &amp; levers'!$C$12="PB",('Activity data'!AV22*EF!$H53*EF!$H71)*NtoN2O*kgtoGg,IF('Net zero activities &amp; levers'!$C$12="MS",('Net zero Activity data'!AV22*EF!$H53*EF!$H71)*NtoN2O*kgtoGg,"ERROR")))</f>
        <v>0.31942029661734572</v>
      </c>
      <c r="AD965" s="93">
        <f>IF('Net zero activities &amp; levers'!$C$12="Off",('Activity data'!AW22*EF!$H53*EF!$H71)*NtoN2O*kgtoGg,IF('Net zero activities &amp; levers'!$C$12="PB",('Activity data'!AW22*EF!$H53*EF!$H71)*NtoN2O*kgtoGg,IF('Net zero activities &amp; levers'!$C$12="MS",('Net zero Activity data'!AW22*EF!$H53*EF!$H71)*NtoN2O*kgtoGg,"ERROR")))</f>
        <v>0.320130126159552</v>
      </c>
      <c r="AE965" s="93">
        <f>IF('Net zero activities &amp; levers'!$C$12="Off",('Activity data'!AX22*EF!$H53*EF!$H71)*NtoN2O*kgtoGg,IF('Net zero activities &amp; levers'!$C$12="PB",('Activity data'!AX22*EF!$H53*EF!$H71)*NtoN2O*kgtoGg,IF('Net zero activities &amp; levers'!$C$12="MS",('Net zero Activity data'!AX22*EF!$H53*EF!$H71)*NtoN2O*kgtoGg,"ERROR")))</f>
        <v>0.32021942076414051</v>
      </c>
      <c r="AF965" s="93">
        <f>IF('Net zero activities &amp; levers'!$C$12="Off",('Activity data'!AY22*EF!$H53*EF!$H71)*NtoN2O*kgtoGg,IF('Net zero activities &amp; levers'!$C$12="PB",('Activity data'!AY22*EF!$H53*EF!$H71)*NtoN2O*kgtoGg,IF('Net zero activities &amp; levers'!$C$12="MS",('Net zero Activity data'!AY22*EF!$H53*EF!$H71)*NtoN2O*kgtoGg,"ERROR")))</f>
        <v>0.31968200663848134</v>
      </c>
      <c r="AG965" s="93">
        <f>IF('Net zero activities &amp; levers'!$C$12="Off",('Activity data'!AZ22*EF!$H53*EF!$H71)*NtoN2O*kgtoGg,IF('Net zero activities &amp; levers'!$C$12="PB",('Activity data'!AZ22*EF!$H53*EF!$H71)*NtoN2O*kgtoGg,IF('Net zero activities &amp; levers'!$C$12="MS",('Net zero Activity data'!AZ22*EF!$H53*EF!$H71)*NtoN2O*kgtoGg,"ERROR")))</f>
        <v>0.31851713359261785</v>
      </c>
      <c r="AH965" s="93">
        <f>IF('Net zero activities &amp; levers'!$C$12="Off",('Activity data'!BA22*EF!$H53*EF!$H71)*NtoN2O*kgtoGg,IF('Net zero activities &amp; levers'!$C$12="PB",('Activity data'!BA22*EF!$H53*EF!$H71)*NtoN2O*kgtoGg,IF('Net zero activities &amp; levers'!$C$12="MS",('Net zero Activity data'!BA22*EF!$H53*EF!$H71)*NtoN2O*kgtoGg,"ERROR")))</f>
        <v>0.31672471085086101</v>
      </c>
      <c r="AI965" s="93">
        <f>IF('Net zero activities &amp; levers'!$C$12="Off",('Activity data'!BB22*EF!$H53*EF!$H71)*NtoN2O*kgtoGg,IF('Net zero activities &amp; levers'!$C$12="PB",('Activity data'!BB22*EF!$H53*EF!$H71)*NtoN2O*kgtoGg,IF('Net zero activities &amp; levers'!$C$12="MS",('Net zero Activity data'!BB22*EF!$H53*EF!$H71)*NtoN2O*kgtoGg,"ERROR")))</f>
        <v>0.31430742335532585</v>
      </c>
      <c r="AJ965" s="93">
        <f>IF('Net zero activities &amp; levers'!$C$12="Off",('Activity data'!BC22*EF!$H53*EF!$H71)*NtoN2O*kgtoGg,IF('Net zero activities &amp; levers'!$C$12="PB",('Activity data'!BC22*EF!$H53*EF!$H71)*NtoN2O*kgtoGg,IF('Net zero activities &amp; levers'!$C$12="MS",('Net zero Activity data'!BC22*EF!$H53*EF!$H71)*NtoN2O*kgtoGg,"ERROR")))</f>
        <v>-6.7117544398192078E-2</v>
      </c>
      <c r="AK965" s="93">
        <f>IF('Net zero activities &amp; levers'!$C$12="Off",('Activity data'!BD22*EF!$H53*EF!$H71)*NtoN2O*kgtoGg,IF('Net zero activities &amp; levers'!$C$12="PB",('Activity data'!BD22*EF!$H53*EF!$H71)*NtoN2O*kgtoGg,IF('Net zero activities &amp; levers'!$C$12="MS",('Net zero Activity data'!BD22*EF!$H53*EF!$H71)*NtoN2O*kgtoGg,"ERROR")))</f>
        <v>-6.7212526473797524E-2</v>
      </c>
      <c r="AL965" s="93">
        <f>IF('Net zero activities &amp; levers'!$C$12="Off",('Activity data'!BE22*EF!$H53*EF!$H71)*NtoN2O*kgtoGg,IF('Net zero activities &amp; levers'!$C$12="PB",('Activity data'!BE22*EF!$H53*EF!$H71)*NtoN2O*kgtoGg,IF('Net zero activities &amp; levers'!$C$12="MS",('Net zero Activity data'!BE22*EF!$H53*EF!$H71)*NtoN2O*kgtoGg,"ERROR")))</f>
        <v>-6.7298531128699962E-2</v>
      </c>
      <c r="AM965" s="93">
        <f>IF('Net zero activities &amp; levers'!$C$12="Off",('Activity data'!BF22*EF!$H53*EF!$H71)*NtoN2O*kgtoGg,IF('Net zero activities &amp; levers'!$C$12="PB",('Activity data'!BF22*EF!$H53*EF!$H71)*NtoN2O*kgtoGg,IF('Net zero activities &amp; levers'!$C$12="MS",('Net zero Activity data'!BF22*EF!$H53*EF!$H71)*NtoN2O*kgtoGg,"ERROR")))</f>
        <v>-6.7376289726105959E-2</v>
      </c>
      <c r="AN965" s="93">
        <f>IF('Net zero activities &amp; levers'!$C$12="Off",('Activity data'!BG22*EF!$H53*EF!$H71)*NtoN2O*kgtoGg,IF('Net zero activities &amp; levers'!$C$12="PB",('Activity data'!BG22*EF!$H53*EF!$H71)*NtoN2O*kgtoGg,IF('Net zero activities &amp; levers'!$C$12="MS",('Net zero Activity data'!BG22*EF!$H53*EF!$H71)*NtoN2O*kgtoGg,"ERROR")))</f>
        <v>-6.7446638413801982E-2</v>
      </c>
      <c r="AO965" s="93">
        <f>IF('Net zero activities &amp; levers'!$C$12="Off",('Activity data'!BH22*EF!$H53*EF!$H71)*NtoN2O*kgtoGg,IF('Net zero activities &amp; levers'!$C$12="PB",('Activity data'!BH22*EF!$H53*EF!$H71)*NtoN2O*kgtoGg,IF('Net zero activities &amp; levers'!$C$12="MS",('Net zero Activity data'!BH22*EF!$H53*EF!$H71)*NtoN2O*kgtoGg,"ERROR")))</f>
        <v>-6.750761383935848E-2</v>
      </c>
      <c r="AP965" s="93">
        <f>IF('Net zero activities &amp; levers'!$C$12="Off",('Activity data'!BI22*EF!$H53*EF!$H71)*NtoN2O*kgtoGg,IF('Net zero activities &amp; levers'!$C$12="PB",('Activity data'!BI22*EF!$H53*EF!$H71)*NtoN2O*kgtoGg,IF('Net zero activities &amp; levers'!$C$12="MS",('Net zero Activity data'!BI22*EF!$H53*EF!$H71)*NtoN2O*kgtoGg,"ERROR")))</f>
        <v>-6.7557960547977858E-2</v>
      </c>
      <c r="AQ965" s="93">
        <f>IF('Net zero activities &amp; levers'!$C$12="Off",('Activity data'!BJ22*EF!$H53*EF!$H71)*NtoN2O*kgtoGg,IF('Net zero activities &amp; levers'!$C$12="PB",('Activity data'!BJ22*EF!$H53*EF!$H71)*NtoN2O*kgtoGg,IF('Net zero activities &amp; levers'!$C$12="MS",('Net zero Activity data'!BJ22*EF!$H53*EF!$H71)*NtoN2O*kgtoGg,"ERROR")))</f>
        <v>-6.759762154217773E-2</v>
      </c>
      <c r="AR965" s="93">
        <f>IF('Net zero activities &amp; levers'!$C$12="Off",('Activity data'!BK22*EF!$H53*EF!$H71)*NtoN2O*kgtoGg,IF('Net zero activities &amp; levers'!$C$12="PB",('Activity data'!BK22*EF!$H53*EF!$H71)*NtoN2O*kgtoGg,IF('Net zero activities &amp; levers'!$C$12="MS",('Net zero Activity data'!BK22*EF!$H53*EF!$H71)*NtoN2O*kgtoGg,"ERROR")))</f>
        <v>-6.7625149473774446E-2</v>
      </c>
      <c r="AS965" s="93">
        <f>IF('Net zero activities &amp; levers'!$C$12="Off",('Activity data'!BL22*EF!$H53*EF!$H71)*NtoN2O*kgtoGg,IF('Net zero activities &amp; levers'!$C$12="PB",('Activity data'!BL22*EF!$H53*EF!$H71)*NtoN2O*kgtoGg,IF('Net zero activities &amp; levers'!$C$12="MS",('Net zero Activity data'!BL22*EF!$H53*EF!$H71)*NtoN2O*kgtoGg,"ERROR")))</f>
        <v>-6.7638965665078848E-2</v>
      </c>
      <c r="AT965" s="93">
        <f>IF('Net zero activities &amp; levers'!$C$12="Off",('Activity data'!BM22*EF!$H53*EF!$H71)*NtoN2O*kgtoGg,IF('Net zero activities &amp; levers'!$C$12="PB",('Activity data'!BM22*EF!$H53*EF!$H71)*NtoN2O*kgtoGg,IF('Net zero activities &amp; levers'!$C$12="MS",('Net zero Activity data'!BM22*EF!$H53*EF!$H71)*NtoN2O*kgtoGg,"ERROR")))</f>
        <v>-6.7639024877345522E-2</v>
      </c>
      <c r="AU965" s="93">
        <f>IF('Net zero activities &amp; levers'!$C$12="Off",('Activity data'!BN22*EF!$H53*EF!$H71)*NtoN2O*kgtoGg,IF('Net zero activities &amp; levers'!$C$12="PB",('Activity data'!BN22*EF!$H53*EF!$H71)*NtoN2O*kgtoGg,IF('Net zero activities &amp; levers'!$C$12="MS",('Net zero Activity data'!BN22*EF!$H53*EF!$H71)*NtoN2O*kgtoGg,"ERROR")))</f>
        <v>-6.7625737001792988E-2</v>
      </c>
      <c r="AV965" s="93">
        <f>IF('Net zero activities &amp; levers'!$C$12="Off",('Activity data'!BO22*EF!$H53*EF!$H71)*NtoN2O*kgtoGg,IF('Net zero activities &amp; levers'!$C$12="PB",('Activity data'!BO22*EF!$H53*EF!$H71)*NtoN2O*kgtoGg,IF('Net zero activities &amp; levers'!$C$12="MS",('Net zero Activity data'!BO22*EF!$H53*EF!$H71)*NtoN2O*kgtoGg,"ERROR")))</f>
        <v>-6.7599427785597133E-2</v>
      </c>
      <c r="AW965" s="93">
        <f>IF('Net zero activities &amp; levers'!$C$12="Off",('Activity data'!BP22*EF!$H53*EF!$H71)*NtoN2O*kgtoGg,IF('Net zero activities &amp; levers'!$C$12="PB",('Activity data'!BP22*EF!$H53*EF!$H71)*NtoN2O*kgtoGg,IF('Net zero activities &amp; levers'!$C$12="MS",('Net zero Activity data'!BP22*EF!$H53*EF!$H71)*NtoN2O*kgtoGg,"ERROR")))</f>
        <v>-6.7558617280925187E-2</v>
      </c>
      <c r="AY965" s="79"/>
      <c r="AZ965" s="79"/>
    </row>
    <row r="966" spans="1:52" x14ac:dyDescent="0.25">
      <c r="A966" s="95" t="str">
        <f t="shared" si="326"/>
        <v>DS Synthetic</v>
      </c>
      <c r="B966" s="95" t="s">
        <v>974</v>
      </c>
      <c r="C966" s="95" t="s">
        <v>1126</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6.6035651430821094</v>
      </c>
      <c r="U966" s="22">
        <f t="shared" si="339"/>
        <v>6.6008394987584191</v>
      </c>
      <c r="V966" s="22">
        <f t="shared" si="339"/>
        <v>6.5354261970149441</v>
      </c>
      <c r="W966" s="22">
        <f t="shared" si="339"/>
        <v>6.5337920332710731</v>
      </c>
      <c r="X966" s="22">
        <f t="shared" si="339"/>
        <v>6.5322793572104443</v>
      </c>
      <c r="Y966" s="22">
        <f t="shared" si="339"/>
        <v>6.5308880056970544</v>
      </c>
      <c r="Z966" s="22">
        <f t="shared" si="339"/>
        <v>6.5296169227266478</v>
      </c>
      <c r="AA966" s="22">
        <f t="shared" si="339"/>
        <v>6.5284672118777083</v>
      </c>
      <c r="AB966" s="22">
        <f t="shared" si="339"/>
        <v>6.5274397960506132</v>
      </c>
      <c r="AC966" s="22">
        <f t="shared" si="339"/>
        <v>6.5265355793719113</v>
      </c>
      <c r="AD966" s="22">
        <f t="shared" si="339"/>
        <v>6.5257554079256641</v>
      </c>
      <c r="AE966" s="22">
        <f t="shared" si="339"/>
        <v>6.5250999875184093</v>
      </c>
      <c r="AF966" s="22">
        <f t="shared" si="339"/>
        <v>6.524570013447069</v>
      </c>
      <c r="AG966" s="22">
        <f t="shared" si="339"/>
        <v>6.524166065107158</v>
      </c>
      <c r="AH966" s="22">
        <f t="shared" si="339"/>
        <v>6.5238886062718322</v>
      </c>
      <c r="AI966" s="22">
        <f t="shared" si="339"/>
        <v>6.523738107982866</v>
      </c>
      <c r="AJ966" s="22">
        <f t="shared" si="339"/>
        <v>6.5237149971504902</v>
      </c>
      <c r="AK966" s="22">
        <f t="shared" si="339"/>
        <v>6.7170770118746468</v>
      </c>
      <c r="AL966" s="22">
        <f t="shared" si="339"/>
        <v>6.7172409254060446</v>
      </c>
      <c r="AM966" s="22">
        <f t="shared" si="339"/>
        <v>6.7174011054610014</v>
      </c>
      <c r="AN966" s="22">
        <f t="shared" si="339"/>
        <v>6.717557770633813</v>
      </c>
      <c r="AO966" s="22">
        <f t="shared" si="339"/>
        <v>6.7177111790148194</v>
      </c>
      <c r="AP966" s="22">
        <f t="shared" si="339"/>
        <v>6.7178606782023653</v>
      </c>
      <c r="AQ966" s="22">
        <f t="shared" si="339"/>
        <v>6.7180058277133394</v>
      </c>
      <c r="AR966" s="22">
        <f t="shared" si="339"/>
        <v>6.7181465717092257</v>
      </c>
      <c r="AS966" s="22">
        <f t="shared" si="339"/>
        <v>6.7182823869267976</v>
      </c>
      <c r="AT966" s="22">
        <f t="shared" si="339"/>
        <v>6.7184126908492701</v>
      </c>
      <c r="AU966" s="22">
        <f t="shared" si="339"/>
        <v>6.7185374065365453</v>
      </c>
      <c r="AV966" s="22">
        <f t="shared" si="339"/>
        <v>6.7186566123512304</v>
      </c>
      <c r="AW966" s="22">
        <f t="shared" si="339"/>
        <v>6.7187703615819192</v>
      </c>
      <c r="AY966" s="79"/>
      <c r="AZ966" s="79"/>
    </row>
    <row r="967" spans="1:52" x14ac:dyDescent="0.25">
      <c r="A967" s="95" t="str">
        <f t="shared" si="326"/>
        <v>DS Organic</v>
      </c>
      <c r="B967" s="95" t="s">
        <v>974</v>
      </c>
      <c r="C967" s="95" t="s">
        <v>1127</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4.358352994434192E-2</v>
      </c>
      <c r="U967" s="94">
        <f>IF('Net zero activities &amp; levers'!$C$12="Off",'Activity data'!AN48*ttokg*ONEF*NtoN2O*kgtoGg,IF('Net zero activities &amp; levers'!$C$12="PB",'Activity data'!AN48*ttokg*ONEF*NtoN2O*kgtoGg,IF('Net zero activities &amp; levers'!$C$12="MS",'Net zero Activity data'!AN48*ttokg*ONEF*NtoN2O*kgtoGg,"ERROR")))</f>
        <v>4.3565540691805578E-2</v>
      </c>
      <c r="V967" s="94">
        <f>IF('Net zero activities &amp; levers'!$C$12="Off",'Activity data'!AO48*ttokg*ONEF*NtoN2O*kgtoGg,IF('Net zero activities &amp; levers'!$C$12="PB",'Activity data'!AO48*ttokg*ONEF*NtoN2O*kgtoGg,IF('Net zero activities &amp; levers'!$C$12="MS",'Net zero Activity data'!AO48*ttokg*ONEF*NtoN2O*kgtoGg,"ERROR")))</f>
        <v>4.3133812900298642E-2</v>
      </c>
      <c r="W967" s="94">
        <f>IF('Net zero activities &amp; levers'!$C$12="Off",'Activity data'!AP48*ttokg*ONEF*NtoN2O*kgtoGg,IF('Net zero activities &amp; levers'!$C$12="PB",'Activity data'!AP48*ttokg*ONEF*NtoN2O*kgtoGg,IF('Net zero activities &amp; levers'!$C$12="MS",'Net zero Activity data'!AP48*ttokg*ONEF*NtoN2O*kgtoGg,"ERROR")))</f>
        <v>4.312302741958908E-2</v>
      </c>
      <c r="X967" s="94">
        <f>IF('Net zero activities &amp; levers'!$C$12="Off",'Activity data'!AQ48*ttokg*ONEF*NtoN2O*kgtoGg,IF('Net zero activities &amp; levers'!$C$12="PB",'Activity data'!AQ48*ttokg*ONEF*NtoN2O*kgtoGg,IF('Net zero activities &amp; levers'!$C$12="MS",'Net zero Activity data'!AQ48*ttokg*ONEF*NtoN2O*kgtoGg,"ERROR")))</f>
        <v>4.3113043757588947E-2</v>
      </c>
      <c r="Y967" s="94">
        <f>IF('Net zero activities &amp; levers'!$C$12="Off",'Activity data'!AR48*ttokg*ONEF*NtoN2O*kgtoGg,IF('Net zero activities &amp; levers'!$C$12="PB",'Activity data'!AR48*ttokg*ONEF*NtoN2O*kgtoGg,IF('Net zero activities &amp; levers'!$C$12="MS",'Net zero Activity data'!AR48*ttokg*ONEF*NtoN2O*kgtoGg,"ERROR")))</f>
        <v>4.3103860837600566E-2</v>
      </c>
      <c r="Z967" s="94">
        <f>IF('Net zero activities &amp; levers'!$C$12="Off",'Activity data'!AS48*ttokg*ONEF*NtoN2O*kgtoGg,IF('Net zero activities &amp; levers'!$C$12="PB",'Activity data'!AS48*ttokg*ONEF*NtoN2O*kgtoGg,IF('Net zero activities &amp; levers'!$C$12="MS",'Net zero Activity data'!AS48*ttokg*ONEF*NtoN2O*kgtoGg,"ERROR")))</f>
        <v>4.3095471689995883E-2</v>
      </c>
      <c r="AA967" s="94">
        <f>IF('Net zero activities &amp; levers'!$C$12="Off",'Activity data'!AT48*ttokg*ONEF*NtoN2O*kgtoGg,IF('Net zero activities &amp; levers'!$C$12="PB",'Activity data'!AT48*ttokg*ONEF*NtoN2O*kgtoGg,IF('Net zero activities &amp; levers'!$C$12="MS",'Net zero Activity data'!AT48*ttokg*ONEF*NtoN2O*kgtoGg,"ERROR")))</f>
        <v>4.3087883598392877E-2</v>
      </c>
      <c r="AB967" s="94">
        <f>IF('Net zero activities &amp; levers'!$C$12="Off",'Activity data'!AU48*ttokg*ONEF*NtoN2O*kgtoGg,IF('Net zero activities &amp; levers'!$C$12="PB",'Activity data'!AU48*ttokg*ONEF*NtoN2O*kgtoGg,IF('Net zero activities &amp; levers'!$C$12="MS",'Net zero Activity data'!AU48*ttokg*ONEF*NtoN2O*kgtoGg,"ERROR")))</f>
        <v>4.3081102653934056E-2</v>
      </c>
      <c r="AC967" s="94">
        <f>IF('Net zero activities &amp; levers'!$C$12="Off",'Activity data'!AV48*ttokg*ONEF*NtoN2O*kgtoGg,IF('Net zero activities &amp; levers'!$C$12="PB",'Activity data'!AV48*ttokg*ONEF*NtoN2O*kgtoGg,IF('Net zero activities &amp; levers'!$C$12="MS",'Net zero Activity data'!AV48*ttokg*ONEF*NtoN2O*kgtoGg,"ERROR")))</f>
        <v>4.3075134823854618E-2</v>
      </c>
      <c r="AD967" s="94">
        <f>IF('Net zero activities &amp; levers'!$C$12="Off",'Activity data'!AW48*ttokg*ONEF*NtoN2O*kgtoGg,IF('Net zero activities &amp; levers'!$C$12="PB",'Activity data'!AW48*ttokg*ONEF*NtoN2O*kgtoGg,IF('Net zero activities &amp; levers'!$C$12="MS",'Net zero Activity data'!AW48*ttokg*ONEF*NtoN2O*kgtoGg,"ERROR")))</f>
        <v>4.3069985692309382E-2</v>
      </c>
      <c r="AE967" s="94">
        <f>IF('Net zero activities &amp; levers'!$C$12="Off",'Activity data'!AX48*ttokg*ONEF*NtoN2O*kgtoGg,IF('Net zero activities &amp; levers'!$C$12="PB",'Activity data'!AX48*ttokg*ONEF*NtoN2O*kgtoGg,IF('Net zero activities &amp; levers'!$C$12="MS",'Net zero Activity data'!AX48*ttokg*ONEF*NtoN2O*kgtoGg,"ERROR")))</f>
        <v>4.3065659917621506E-2</v>
      </c>
      <c r="AF967" s="94">
        <f>IF('Net zero activities &amp; levers'!$C$12="Off",'Activity data'!AY48*ttokg*ONEF*NtoN2O*kgtoGg,IF('Net zero activities &amp; levers'!$C$12="PB",'Activity data'!AY48*ttokg*ONEF*NtoN2O*kgtoGg,IF('Net zero activities &amp; levers'!$C$12="MS",'Net zero Activity data'!AY48*ttokg*ONEF*NtoN2O*kgtoGg,"ERROR")))</f>
        <v>4.3062162088750661E-2</v>
      </c>
      <c r="AG967" s="94">
        <f>IF('Net zero activities &amp; levers'!$C$12="Off",'Activity data'!AZ48*ttokg*ONEF*NtoN2O*kgtoGg,IF('Net zero activities &amp; levers'!$C$12="PB",'Activity data'!AZ48*ttokg*ONEF*NtoN2O*kgtoGg,IF('Net zero activities &amp; levers'!$C$12="MS",'Net zero Activity data'!AZ48*ttokg*ONEF*NtoN2O*kgtoGg,"ERROR")))</f>
        <v>4.3059496029707253E-2</v>
      </c>
      <c r="AH967" s="94">
        <f>IF('Net zero activities &amp; levers'!$C$12="Off",'Activity data'!BA48*ttokg*ONEF*NtoN2O*kgtoGg,IF('Net zero activities &amp; levers'!$C$12="PB",'Activity data'!BA48*ttokg*ONEF*NtoN2O*kgtoGg,IF('Net zero activities &amp; levers'!$C$12="MS",'Net zero Activity data'!BA48*ttokg*ONEF*NtoN2O*kgtoGg,"ERROR")))</f>
        <v>4.3057664801394106E-2</v>
      </c>
      <c r="AI967" s="94">
        <f>IF('Net zero activities &amp; levers'!$C$12="Off",'Activity data'!BB48*ttokg*ONEF*NtoN2O*kgtoGg,IF('Net zero activities &amp; levers'!$C$12="PB",'Activity data'!BB48*ttokg*ONEF*NtoN2O*kgtoGg,IF('Net zero activities &amp; levers'!$C$12="MS",'Net zero Activity data'!BB48*ttokg*ONEF*NtoN2O*kgtoGg,"ERROR")))</f>
        <v>4.3056671512686932E-2</v>
      </c>
      <c r="AJ967" s="94">
        <f>IF('Net zero activities &amp; levers'!$C$12="Off",'Activity data'!BC48*ttokg*ONEF*NtoN2O*kgtoGg,IF('Net zero activities &amp; levers'!$C$12="PB",'Activity data'!BC48*ttokg*ONEF*NtoN2O*kgtoGg,IF('Net zero activities &amp; levers'!$C$12="MS",'Net zero Activity data'!BC48*ttokg*ONEF*NtoN2O*kgtoGg,"ERROR")))</f>
        <v>4.3056518981193247E-2</v>
      </c>
      <c r="AK967" s="94">
        <f>IF('Net zero activities &amp; levers'!$C$12="Off",'Activity data'!BD48*ttokg*ONEF*NtoN2O*kgtoGg,IF('Net zero activities &amp; levers'!$C$12="PB",'Activity data'!BD48*ttokg*ONEF*NtoN2O*kgtoGg,IF('Net zero activities &amp; levers'!$C$12="MS",'Net zero Activity data'!BD48*ttokg*ONEF*NtoN2O*kgtoGg,"ERROR")))</f>
        <v>4.4332708278372678E-2</v>
      </c>
      <c r="AL967" s="94">
        <f>IF('Net zero activities &amp; levers'!$C$12="Off",'Activity data'!BE48*ttokg*ONEF*NtoN2O*kgtoGg,IF('Net zero activities &amp; levers'!$C$12="PB",'Activity data'!BE48*ttokg*ONEF*NtoN2O*kgtoGg,IF('Net zero activities &amp; levers'!$C$12="MS",'Net zero Activity data'!BE48*ttokg*ONEF*NtoN2O*kgtoGg,"ERROR")))</f>
        <v>4.4333790107679898E-2</v>
      </c>
      <c r="AM967" s="94">
        <f>IF('Net zero activities &amp; levers'!$C$12="Off",'Activity data'!BF48*ttokg*ONEF*NtoN2O*kgtoGg,IF('Net zero activities &amp; levers'!$C$12="PB",'Activity data'!BF48*ttokg*ONEF*NtoN2O*kgtoGg,IF('Net zero activities &amp; levers'!$C$12="MS",'Net zero Activity data'!BF48*ttokg*ONEF*NtoN2O*kgtoGg,"ERROR")))</f>
        <v>4.4334847296042611E-2</v>
      </c>
      <c r="AN967" s="94">
        <f>IF('Net zero activities &amp; levers'!$C$12="Off",'Activity data'!BG48*ttokg*ONEF*NtoN2O*kgtoGg,IF('Net zero activities &amp; levers'!$C$12="PB",'Activity data'!BG48*ttokg*ONEF*NtoN2O*kgtoGg,IF('Net zero activities &amp; levers'!$C$12="MS",'Net zero Activity data'!BG48*ttokg*ONEF*NtoN2O*kgtoGg,"ERROR")))</f>
        <v>4.4335881286183175E-2</v>
      </c>
      <c r="AO967" s="94">
        <f>IF('Net zero activities &amp; levers'!$C$12="Off",'Activity data'!BH48*ttokg*ONEF*NtoN2O*kgtoGg,IF('Net zero activities &amp; levers'!$C$12="PB",'Activity data'!BH48*ttokg*ONEF*NtoN2O*kgtoGg,IF('Net zero activities &amp; levers'!$C$12="MS",'Net zero Activity data'!BH48*ttokg*ONEF*NtoN2O*kgtoGg,"ERROR")))</f>
        <v>4.433689378149782E-2</v>
      </c>
      <c r="AP967" s="94">
        <f>IF('Net zero activities &amp; levers'!$C$12="Off",'Activity data'!BI48*ttokg*ONEF*NtoN2O*kgtoGg,IF('Net zero activities &amp; levers'!$C$12="PB",'Activity data'!BI48*ttokg*ONEF*NtoN2O*kgtoGg,IF('Net zero activities &amp; levers'!$C$12="MS",'Net zero Activity data'!BI48*ttokg*ONEF*NtoN2O*kgtoGg,"ERROR")))</f>
        <v>4.433788047613562E-2</v>
      </c>
      <c r="AQ967" s="94">
        <f>IF('Net zero activities &amp; levers'!$C$12="Off",'Activity data'!BJ48*ttokg*ONEF*NtoN2O*kgtoGg,IF('Net zero activities &amp; levers'!$C$12="PB",'Activity data'!BJ48*ttokg*ONEF*NtoN2O*kgtoGg,IF('Net zero activities &amp; levers'!$C$12="MS",'Net zero Activity data'!BJ48*ttokg*ONEF*NtoN2O*kgtoGg,"ERROR")))</f>
        <v>4.4338838462908037E-2</v>
      </c>
      <c r="AR967" s="94">
        <f>IF('Net zero activities &amp; levers'!$C$12="Off",'Activity data'!BK48*ttokg*ONEF*NtoN2O*kgtoGg,IF('Net zero activities &amp; levers'!$C$12="PB",'Activity data'!BK48*ttokg*ONEF*NtoN2O*kgtoGg,IF('Net zero activities &amp; levers'!$C$12="MS",'Net zero Activity data'!BK48*ttokg*ONEF*NtoN2O*kgtoGg,"ERROR")))</f>
        <v>4.4339767373280901E-2</v>
      </c>
      <c r="AS967" s="94">
        <f>IF('Net zero activities &amp; levers'!$C$12="Off",'Activity data'!BL48*ttokg*ONEF*NtoN2O*kgtoGg,IF('Net zero activities &amp; levers'!$C$12="PB",'Activity data'!BL48*ttokg*ONEF*NtoN2O*kgtoGg,IF('Net zero activities &amp; levers'!$C$12="MS",'Net zero Activity data'!BL48*ttokg*ONEF*NtoN2O*kgtoGg,"ERROR")))</f>
        <v>4.4340663753716876E-2</v>
      </c>
      <c r="AT967" s="94">
        <f>IF('Net zero activities &amp; levers'!$C$12="Off",'Activity data'!BM48*ttokg*ONEF*NtoN2O*kgtoGg,IF('Net zero activities &amp; levers'!$C$12="PB",'Activity data'!BM48*ttokg*ONEF*NtoN2O*kgtoGg,IF('Net zero activities &amp; levers'!$C$12="MS",'Net zero Activity data'!BM48*ttokg*ONEF*NtoN2O*kgtoGg,"ERROR")))</f>
        <v>4.4341523759605192E-2</v>
      </c>
      <c r="AU967" s="94">
        <f>IF('Net zero activities &amp; levers'!$C$12="Off",'Activity data'!BN48*ttokg*ONEF*NtoN2O*kgtoGg,IF('Net zero activities &amp; levers'!$C$12="PB",'Activity data'!BN48*ttokg*ONEF*NtoN2O*kgtoGg,IF('Net zero activities &amp; levers'!$C$12="MS",'Net zero Activity data'!BN48*ttokg*ONEF*NtoN2O*kgtoGg,"ERROR")))</f>
        <v>4.4342346883141204E-2</v>
      </c>
      <c r="AV967" s="94">
        <f>IF('Net zero activities &amp; levers'!$C$12="Off",'Activity data'!BO48*ttokg*ONEF*NtoN2O*kgtoGg,IF('Net zero activities &amp; levers'!$C$12="PB",'Activity data'!BO48*ttokg*ONEF*NtoN2O*kgtoGg,IF('Net zero activities &amp; levers'!$C$12="MS",'Net zero Activity data'!BO48*ttokg*ONEF*NtoN2O*kgtoGg,"ERROR")))</f>
        <v>4.4343133641518123E-2</v>
      </c>
      <c r="AW967" s="94">
        <f>IF('Net zero activities &amp; levers'!$C$12="Off",'Activity data'!BP48*ttokg*ONEF*NtoN2O*kgtoGg,IF('Net zero activities &amp; levers'!$C$12="PB",'Activity data'!BP48*ttokg*ONEF*NtoN2O*kgtoGg,IF('Net zero activities &amp; levers'!$C$12="MS",'Net zero Activity data'!BP48*ttokg*ONEF*NtoN2O*kgtoGg,"ERROR")))</f>
        <v>4.4343884386440678E-2</v>
      </c>
      <c r="AY967" s="79"/>
      <c r="AZ967" s="79"/>
    </row>
    <row r="968" spans="1:52" x14ac:dyDescent="0.25">
      <c r="A968" s="95" t="str">
        <f t="shared" si="326"/>
        <v>DS Crop residues</v>
      </c>
      <c r="B968" s="95" t="s">
        <v>974</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2.9710792197336011</v>
      </c>
      <c r="U968" s="22">
        <f t="shared" si="340"/>
        <v>2.9914277552243997</v>
      </c>
      <c r="V968" s="22">
        <f t="shared" si="340"/>
        <v>3.4797764662170874</v>
      </c>
      <c r="W968" s="22">
        <f t="shared" si="340"/>
        <v>3.4919764582156594</v>
      </c>
      <c r="X968" s="22">
        <f t="shared" si="340"/>
        <v>3.5032694733160721</v>
      </c>
      <c r="Y968" s="22">
        <f t="shared" si="340"/>
        <v>3.5136567294244192</v>
      </c>
      <c r="Z968" s="22">
        <f t="shared" si="340"/>
        <v>3.5231461102325734</v>
      </c>
      <c r="AA968" s="22">
        <f t="shared" si="340"/>
        <v>3.5317293768790967</v>
      </c>
      <c r="AB968" s="22">
        <f t="shared" si="340"/>
        <v>3.539399639370707</v>
      </c>
      <c r="AC968" s="22">
        <f t="shared" si="340"/>
        <v>3.5461501478717818</v>
      </c>
      <c r="AD968" s="22">
        <f t="shared" si="340"/>
        <v>3.5519745858679355</v>
      </c>
      <c r="AE968" s="22">
        <f t="shared" si="340"/>
        <v>3.5568676840988758</v>
      </c>
      <c r="AF968" s="22">
        <f t="shared" si="340"/>
        <v>3.5608242517647808</v>
      </c>
      <c r="AG968" s="22">
        <f t="shared" si="340"/>
        <v>3.5638399633378826</v>
      </c>
      <c r="AH968" s="22">
        <f t="shared" si="340"/>
        <v>3.5659113564792468</v>
      </c>
      <c r="AI968" s="22">
        <f t="shared" si="340"/>
        <v>3.5670349145853852</v>
      </c>
      <c r="AJ968" s="22">
        <f t="shared" si="340"/>
        <v>3.5672074505207347</v>
      </c>
      <c r="AK968" s="22">
        <f t="shared" si="340"/>
        <v>2.1236464601919001</v>
      </c>
      <c r="AL968" s="22">
        <f t="shared" si="340"/>
        <v>2.122422749423007</v>
      </c>
      <c r="AM968" s="22">
        <f t="shared" si="340"/>
        <v>2.1212269112482072</v>
      </c>
      <c r="AN968" s="22">
        <f t="shared" si="340"/>
        <v>2.1200573137327008</v>
      </c>
      <c r="AO968" s="22">
        <f t="shared" si="340"/>
        <v>2.1189120300805597</v>
      </c>
      <c r="AP968" s="22">
        <f t="shared" si="340"/>
        <v>2.1177959308532275</v>
      </c>
      <c r="AQ968" s="22">
        <f t="shared" si="340"/>
        <v>2.1167123045158354</v>
      </c>
      <c r="AR968" s="22">
        <f t="shared" si="340"/>
        <v>2.1156615679356672</v>
      </c>
      <c r="AS968" s="22">
        <f t="shared" si="340"/>
        <v>2.1146476275800086</v>
      </c>
      <c r="AT968" s="22">
        <f t="shared" si="340"/>
        <v>2.1136748322787415</v>
      </c>
      <c r="AU968" s="22">
        <f t="shared" si="340"/>
        <v>2.1127437564348668</v>
      </c>
      <c r="AV968" s="22">
        <f t="shared" si="340"/>
        <v>2.111853815025504</v>
      </c>
      <c r="AW968" s="22">
        <f t="shared" si="340"/>
        <v>2.1110046102200224</v>
      </c>
      <c r="AY968" s="79"/>
      <c r="AZ968" s="79"/>
    </row>
    <row r="969" spans="1:52" x14ac:dyDescent="0.25">
      <c r="A969" s="95" t="str">
        <f t="shared" si="326"/>
        <v>DS Organic</v>
      </c>
      <c r="B969" s="95" t="s">
        <v>974</v>
      </c>
      <c r="C969" s="95" t="s">
        <v>1127</v>
      </c>
      <c r="D969" t="s">
        <v>369</v>
      </c>
      <c r="E969" t="s">
        <v>55</v>
      </c>
      <c r="F969" t="s">
        <v>421</v>
      </c>
      <c r="G969" t="s">
        <v>1152</v>
      </c>
      <c r="H969" t="s">
        <v>1153</v>
      </c>
      <c r="I969" t="s">
        <v>139</v>
      </c>
      <c r="J969" t="s">
        <v>287</v>
      </c>
      <c r="K969" s="22">
        <f>K1466</f>
        <v>0.31878106382562998</v>
      </c>
      <c r="L969" s="22">
        <f t="shared" ref="L969:AW971" si="341">L1466</f>
        <v>0.32056321299147922</v>
      </c>
      <c r="M969" s="22">
        <f t="shared" si="341"/>
        <v>0.32309177745176459</v>
      </c>
      <c r="N969" s="22">
        <f t="shared" si="341"/>
        <v>0.32471664946511047</v>
      </c>
      <c r="O969" s="22">
        <f t="shared" si="341"/>
        <v>0.32579638434951891</v>
      </c>
      <c r="P969" s="22">
        <f t="shared" si="341"/>
        <v>0.32632035510276458</v>
      </c>
      <c r="Q969" s="22">
        <f t="shared" si="341"/>
        <v>0.32747800149861978</v>
      </c>
      <c r="R969" s="22">
        <f t="shared" si="341"/>
        <v>0.32880601635823309</v>
      </c>
      <c r="S969" s="22">
        <f t="shared" si="341"/>
        <v>0.3194631230654072</v>
      </c>
      <c r="T969" s="22">
        <f t="shared" si="341"/>
        <v>0.32495993852650251</v>
      </c>
      <c r="U969" s="22">
        <f t="shared" si="341"/>
        <v>0.55911956199622048</v>
      </c>
      <c r="V969" s="22">
        <f t="shared" si="341"/>
        <v>0.56585948734565139</v>
      </c>
      <c r="W969" s="22">
        <f t="shared" si="341"/>
        <v>0.57230378307872798</v>
      </c>
      <c r="X969" s="22">
        <f t="shared" si="341"/>
        <v>0.57834283314741031</v>
      </c>
      <c r="Y969" s="22">
        <f t="shared" si="341"/>
        <v>0.58381536330507111</v>
      </c>
      <c r="Z969" s="22">
        <f t="shared" si="341"/>
        <v>0.58869581671270654</v>
      </c>
      <c r="AA969" s="22">
        <f t="shared" si="341"/>
        <v>0.59295576215312973</v>
      </c>
      <c r="AB969" s="22">
        <f t="shared" si="341"/>
        <v>0.59657368139031808</v>
      </c>
      <c r="AC969" s="22">
        <f t="shared" si="341"/>
        <v>0.59953250893616183</v>
      </c>
      <c r="AD969" s="22">
        <f t="shared" si="341"/>
        <v>0.60181430512751644</v>
      </c>
      <c r="AE969" s="22">
        <f t="shared" si="341"/>
        <v>0.60340833018876772</v>
      </c>
      <c r="AF969" s="22">
        <f t="shared" si="341"/>
        <v>0.60430428229357946</v>
      </c>
      <c r="AG969" s="22">
        <f t="shared" si="341"/>
        <v>0.60449220860104358</v>
      </c>
      <c r="AH969" s="22">
        <f t="shared" si="341"/>
        <v>0.60397029153121029</v>
      </c>
      <c r="AI969" s="22">
        <f t="shared" si="341"/>
        <v>0.60274150240431557</v>
      </c>
      <c r="AJ969" s="22">
        <f t="shared" si="341"/>
        <v>0.19069698851099628</v>
      </c>
      <c r="AK969" s="22">
        <f t="shared" si="341"/>
        <v>0.19083619411236313</v>
      </c>
      <c r="AL969" s="22">
        <f t="shared" si="341"/>
        <v>0.19096537877553132</v>
      </c>
      <c r="AM969" s="22">
        <f t="shared" si="341"/>
        <v>0.19108541639025195</v>
      </c>
      <c r="AN969" s="22">
        <f t="shared" si="341"/>
        <v>0.19119738340555115</v>
      </c>
      <c r="AO969" s="22">
        <f t="shared" si="341"/>
        <v>0.19129776572073925</v>
      </c>
      <c r="AP969" s="22">
        <f t="shared" si="341"/>
        <v>0.19138420348192833</v>
      </c>
      <c r="AQ969" s="22">
        <f t="shared" si="341"/>
        <v>0.19145631825873433</v>
      </c>
      <c r="AR969" s="22">
        <f t="shared" si="341"/>
        <v>0.19151143246366148</v>
      </c>
      <c r="AS969" s="22">
        <f t="shared" si="341"/>
        <v>0.19154663907394784</v>
      </c>
      <c r="AT969" s="22">
        <f t="shared" si="341"/>
        <v>0.19156157903173729</v>
      </c>
      <c r="AU969" s="22">
        <f t="shared" si="341"/>
        <v>0.19155666524405471</v>
      </c>
      <c r="AV969" s="22">
        <f t="shared" si="341"/>
        <v>0.19153218566591518</v>
      </c>
      <c r="AW969" s="22">
        <f t="shared" si="341"/>
        <v>0.1914854060866179</v>
      </c>
      <c r="AY969" s="79"/>
      <c r="AZ969" s="79"/>
    </row>
    <row r="970" spans="1:52" x14ac:dyDescent="0.25">
      <c r="A970" s="95" t="str">
        <f t="shared" si="326"/>
        <v>DS Organic</v>
      </c>
      <c r="B970" s="95" t="s">
        <v>974</v>
      </c>
      <c r="C970" s="95" t="s">
        <v>1127</v>
      </c>
      <c r="D970" t="s">
        <v>369</v>
      </c>
      <c r="E970" t="s">
        <v>55</v>
      </c>
      <c r="F970" t="s">
        <v>421</v>
      </c>
      <c r="G970" t="s">
        <v>1154</v>
      </c>
      <c r="H970" t="s">
        <v>1155</v>
      </c>
      <c r="I970" t="s">
        <v>139</v>
      </c>
      <c r="J970" t="s">
        <v>287</v>
      </c>
      <c r="K970" s="22">
        <f t="shared" ref="K970:Z971" si="342">K1467</f>
        <v>0.93210651077804862</v>
      </c>
      <c r="L970" s="22">
        <f t="shared" si="342"/>
        <v>0.93731746283627526</v>
      </c>
      <c r="M970" s="22">
        <f t="shared" si="342"/>
        <v>0.94471091139331731</v>
      </c>
      <c r="N970" s="22">
        <f t="shared" si="342"/>
        <v>0.94946198965576145</v>
      </c>
      <c r="O970" s="22">
        <f t="shared" si="342"/>
        <v>0.95261910289076102</v>
      </c>
      <c r="P970" s="22">
        <f t="shared" si="342"/>
        <v>0.954151178054501</v>
      </c>
      <c r="Q970" s="22">
        <f t="shared" si="342"/>
        <v>0.95753610227115837</v>
      </c>
      <c r="R970" s="22">
        <f t="shared" si="342"/>
        <v>0.96141917889497153</v>
      </c>
      <c r="S970" s="22">
        <f t="shared" si="342"/>
        <v>0.93410083205454864</v>
      </c>
      <c r="T970" s="22">
        <f t="shared" si="342"/>
        <v>0.95017335975849948</v>
      </c>
      <c r="U970" s="22">
        <f t="shared" si="342"/>
        <v>1.6348492529189775</v>
      </c>
      <c r="V970" s="22">
        <f t="shared" si="342"/>
        <v>1.654556597592997</v>
      </c>
      <c r="W970" s="22">
        <f t="shared" si="342"/>
        <v>1.6733995299117927</v>
      </c>
      <c r="X970" s="22">
        <f t="shared" si="342"/>
        <v>1.6910575357556168</v>
      </c>
      <c r="Y970" s="22">
        <f t="shared" si="342"/>
        <v>1.7070590539423278</v>
      </c>
      <c r="Z970" s="22">
        <f t="shared" si="342"/>
        <v>1.7213293570218551</v>
      </c>
      <c r="AA970" s="22">
        <f t="shared" si="341"/>
        <v>1.7337853129463565</v>
      </c>
      <c r="AB970" s="22">
        <f t="shared" si="341"/>
        <v>1.7443640030228067</v>
      </c>
      <c r="AC970" s="22">
        <f t="shared" si="341"/>
        <v>1.753015528262897</v>
      </c>
      <c r="AD970" s="22">
        <f t="shared" si="341"/>
        <v>1.7596874336160764</v>
      </c>
      <c r="AE970" s="22">
        <f t="shared" si="341"/>
        <v>1.7643483162924332</v>
      </c>
      <c r="AF970" s="22">
        <f t="shared" si="341"/>
        <v>1.7669680540529458</v>
      </c>
      <c r="AG970" s="22">
        <f t="shared" si="341"/>
        <v>1.7675175450817782</v>
      </c>
      <c r="AH970" s="22">
        <f t="shared" si="341"/>
        <v>1.7659914748282959</v>
      </c>
      <c r="AI970" s="22">
        <f t="shared" si="341"/>
        <v>1.7623985313459991</v>
      </c>
      <c r="AJ970" s="22">
        <f t="shared" si="341"/>
        <v>0.55759241920998737</v>
      </c>
      <c r="AK970" s="22">
        <f t="shared" si="341"/>
        <v>0.55799945231858428</v>
      </c>
      <c r="AL970" s="22">
        <f t="shared" si="341"/>
        <v>0.55837718449685969</v>
      </c>
      <c r="AM970" s="22">
        <f t="shared" si="341"/>
        <v>0.55872817097289618</v>
      </c>
      <c r="AN970" s="22">
        <f t="shared" si="341"/>
        <v>0.55905555925217576</v>
      </c>
      <c r="AO970" s="22">
        <f t="shared" si="341"/>
        <v>0.55934907420701951</v>
      </c>
      <c r="AP970" s="22">
        <f t="shared" si="341"/>
        <v>0.55960181569365119</v>
      </c>
      <c r="AQ970" s="22">
        <f t="shared" si="341"/>
        <v>0.55981267719269234</v>
      </c>
      <c r="AR970" s="22">
        <f t="shared" si="341"/>
        <v>0.55997382951658647</v>
      </c>
      <c r="AS970" s="22">
        <f t="shared" si="341"/>
        <v>0.56007677261576738</v>
      </c>
      <c r="AT970" s="22">
        <f t="shared" si="341"/>
        <v>0.56012045661556076</v>
      </c>
      <c r="AU970" s="22">
        <f t="shared" si="341"/>
        <v>0.56010608884403601</v>
      </c>
      <c r="AV970" s="22">
        <f t="shared" si="341"/>
        <v>0.56003451127323822</v>
      </c>
      <c r="AW970" s="22">
        <f t="shared" si="341"/>
        <v>0.55989772915101532</v>
      </c>
      <c r="AY970" s="79"/>
      <c r="AZ970" s="79"/>
    </row>
    <row r="971" spans="1:52" x14ac:dyDescent="0.25">
      <c r="A971" s="95" t="str">
        <f t="shared" si="326"/>
        <v>DS Organic</v>
      </c>
      <c r="B971" s="95" t="s">
        <v>974</v>
      </c>
      <c r="C971" s="95" t="s">
        <v>1127</v>
      </c>
      <c r="D971" t="s">
        <v>369</v>
      </c>
      <c r="E971" t="s">
        <v>55</v>
      </c>
      <c r="F971" t="s">
        <v>421</v>
      </c>
      <c r="G971" t="s">
        <v>1156</v>
      </c>
      <c r="H971" t="s">
        <v>1157</v>
      </c>
      <c r="I971" t="s">
        <v>139</v>
      </c>
      <c r="J971" t="s">
        <v>287</v>
      </c>
      <c r="K971" s="22">
        <f t="shared" si="342"/>
        <v>4.9862442750846919E-2</v>
      </c>
      <c r="L971" s="22">
        <f t="shared" si="341"/>
        <v>5.0141199304605817E-2</v>
      </c>
      <c r="M971" s="22">
        <f t="shared" si="341"/>
        <v>5.0536707115294892E-2</v>
      </c>
      <c r="N971" s="22">
        <f t="shared" si="341"/>
        <v>5.0790863013925151E-2</v>
      </c>
      <c r="O971" s="22">
        <f t="shared" si="341"/>
        <v>5.0959750770976343E-2</v>
      </c>
      <c r="P971" s="22">
        <f t="shared" si="341"/>
        <v>5.1041708153806126E-2</v>
      </c>
      <c r="Q971" s="22">
        <f t="shared" si="341"/>
        <v>5.122278251388987E-2</v>
      </c>
      <c r="R971" s="22">
        <f t="shared" si="341"/>
        <v>5.1430505218981189E-2</v>
      </c>
      <c r="S971" s="22">
        <f t="shared" si="341"/>
        <v>4.9969127694387626E-2</v>
      </c>
      <c r="T971" s="22">
        <f t="shared" si="341"/>
        <v>5.08289173034428E-2</v>
      </c>
      <c r="U971" s="22">
        <f t="shared" si="341"/>
        <v>8.7455217120941425E-2</v>
      </c>
      <c r="V971" s="22">
        <f t="shared" si="341"/>
        <v>8.8509448943396227E-2</v>
      </c>
      <c r="W971" s="22">
        <f t="shared" si="341"/>
        <v>8.9517439578736563E-2</v>
      </c>
      <c r="X971" s="22">
        <f t="shared" si="341"/>
        <v>9.0462043328738057E-2</v>
      </c>
      <c r="Y971" s="22">
        <f t="shared" si="341"/>
        <v>9.1318034328999972E-2</v>
      </c>
      <c r="Z971" s="22">
        <f t="shared" si="341"/>
        <v>9.2081415082285539E-2</v>
      </c>
      <c r="AA971" s="22">
        <f t="shared" si="341"/>
        <v>9.2747738492765894E-2</v>
      </c>
      <c r="AB971" s="22">
        <f t="shared" si="341"/>
        <v>9.3313638765123857E-2</v>
      </c>
      <c r="AC971" s="22">
        <f t="shared" si="341"/>
        <v>9.3776446584834763E-2</v>
      </c>
      <c r="AD971" s="22">
        <f t="shared" si="341"/>
        <v>9.4133355902455834E-2</v>
      </c>
      <c r="AE971" s="22">
        <f t="shared" si="341"/>
        <v>9.4382686845787919E-2</v>
      </c>
      <c r="AF971" s="22">
        <f t="shared" si="341"/>
        <v>9.4522828044884072E-2</v>
      </c>
      <c r="AG971" s="22">
        <f t="shared" si="341"/>
        <v>9.4552222716684439E-2</v>
      </c>
      <c r="AH971" s="22">
        <f t="shared" si="341"/>
        <v>9.4470586562695413E-2</v>
      </c>
      <c r="AI971" s="22">
        <f t="shared" si="341"/>
        <v>9.4278384344792743E-2</v>
      </c>
      <c r="AJ971" s="22">
        <f t="shared" si="341"/>
        <v>2.9828050506756527E-2</v>
      </c>
      <c r="AK971" s="22">
        <f t="shared" si="341"/>
        <v>2.9849824483056911E-2</v>
      </c>
      <c r="AL971" s="22">
        <f t="shared" si="341"/>
        <v>2.9870031024795022E-2</v>
      </c>
      <c r="AM971" s="22">
        <f t="shared" si="341"/>
        <v>2.9888806822265943E-2</v>
      </c>
      <c r="AN971" s="22">
        <f t="shared" si="341"/>
        <v>2.9906320249266097E-2</v>
      </c>
      <c r="AO971" s="22">
        <f t="shared" si="341"/>
        <v>2.9922021644399784E-2</v>
      </c>
      <c r="AP971" s="22">
        <f t="shared" si="341"/>
        <v>2.9935541888880673E-2</v>
      </c>
      <c r="AQ971" s="22">
        <f t="shared" si="341"/>
        <v>2.9946821790160959E-2</v>
      </c>
      <c r="AR971" s="22">
        <f t="shared" si="341"/>
        <v>2.995544253085038E-2</v>
      </c>
      <c r="AS971" s="22">
        <f t="shared" si="341"/>
        <v>2.9960949406223684E-2</v>
      </c>
      <c r="AT971" s="22">
        <f t="shared" si="341"/>
        <v>2.9963286253905406E-2</v>
      </c>
      <c r="AU971" s="22">
        <f t="shared" si="341"/>
        <v>2.9962517659139858E-2</v>
      </c>
      <c r="AV971" s="22">
        <f t="shared" si="341"/>
        <v>2.995868866268411E-2</v>
      </c>
      <c r="AW971" s="22">
        <f t="shared" si="341"/>
        <v>2.9951371590375517E-2</v>
      </c>
      <c r="AY971" s="79"/>
      <c r="AZ971" s="79"/>
    </row>
    <row r="972" spans="1:52" x14ac:dyDescent="0.25">
      <c r="A972" s="95" t="str">
        <f t="shared" si="326"/>
        <v>DS Organic</v>
      </c>
      <c r="B972" s="95" t="s">
        <v>974</v>
      </c>
      <c r="C972" s="95" t="s">
        <v>1127</v>
      </c>
      <c r="D972" t="s">
        <v>369</v>
      </c>
      <c r="E972" t="s">
        <v>55</v>
      </c>
      <c r="F972" t="s">
        <v>421</v>
      </c>
      <c r="G972" t="s">
        <v>1158</v>
      </c>
      <c r="H972" t="s">
        <v>1159</v>
      </c>
      <c r="I972" t="s">
        <v>139</v>
      </c>
      <c r="J972" t="s">
        <v>287</v>
      </c>
      <c r="K972" s="94">
        <f>IF('Net zero activities &amp; levers'!$C$12="Off",'Activity data'!AD53*ManureNEF*NtoN2O*kgtoGg,'Net zero Activity data'!AD53*ManureNEF*NtoN2O*kgtoGg)</f>
        <v>0.39999978998352292</v>
      </c>
      <c r="L972" s="94">
        <f>IF('Net zero activities &amp; levers'!$C$12="Off",'Activity data'!AE53*ManureNEF*NtoN2O*kgtoGg,'Net zero Activity data'!AE53*ManureNEF*NtoN2O*kgtoGg)</f>
        <v>0.39653071954810204</v>
      </c>
      <c r="M972" s="94">
        <f>IF('Net zero activities &amp; levers'!$C$12="Off",'Activity data'!AF53*ManureNEF*NtoN2O*kgtoGg,'Net zero Activity data'!AF53*ManureNEF*NtoN2O*kgtoGg)</f>
        <v>0.39521014945095018</v>
      </c>
      <c r="N972" s="94">
        <f>IF('Net zero activities &amp; levers'!$C$12="Off",'Activity data'!AG53*ManureNEF*NtoN2O*kgtoGg,'Net zero Activity data'!AG53*ManureNEF*NtoN2O*kgtoGg)</f>
        <v>0.38993263522397326</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0.37238723301511389</v>
      </c>
      <c r="Q972" s="94">
        <f>IF('Net zero activities &amp; levers'!$C$12="Off",'Activity data'!AJ53*ManureNEF*NtoN2O*kgtoGg,'Net zero Activity data'!AJ53*ManureNEF*NtoN2O*kgtoGg)</f>
        <v>0.36459067483623864</v>
      </c>
      <c r="R972" s="94">
        <f>IF('Net zero activities &amp; levers'!$C$12="Off",'Activity data'!AK53*ManureNEF*NtoN2O*kgtoGg,'Net zero Activity data'!AK53*ManureNEF*NtoN2O*kgtoGg)</f>
        <v>0.35721424445443944</v>
      </c>
      <c r="S972" s="94">
        <f>IF('Net zero activities &amp; levers'!$C$12="Off",'Activity data'!AL53*ManureNEF*NtoN2O*kgtoGg,'Net zero Activity data'!AL53*ManureNEF*NtoN2O*kgtoGg)</f>
        <v>0.31946339774377674</v>
      </c>
      <c r="T972" s="94">
        <f>IF('Net zero activities &amp; levers'!$C$12="Off",'Activity data'!AM53*ManureNEF*NtoN2O*kgtoGg,'Net zero Activity data'!AM53*ManureNEF*NtoN2O*kgtoGg)</f>
        <v>0.33177135164852617</v>
      </c>
      <c r="U972" s="94">
        <f>IF('Net zero activities &amp; levers'!$C$12="Off",'Activity data'!AN53*ManureNEF*NtoN2O*kgtoGg,'Net zero Activity data'!AN53*ManureNEF*NtoN2O*kgtoGg)</f>
        <v>1.0456423232959036</v>
      </c>
      <c r="V972" s="94">
        <f>IF('Net zero activities &amp; levers'!$C$12="Off",'Activity data'!AO53*ManureNEF*NtoN2O*kgtoGg,'Net zero Activity data'!AO53*ManureNEF*NtoN2O*kgtoGg)</f>
        <v>1.0506858527476302</v>
      </c>
      <c r="W972" s="94">
        <f>IF('Net zero activities &amp; levers'!$C$12="Off",'Activity data'!AP53*ManureNEF*NtoN2O*kgtoGg,'Net zero Activity data'!AP53*ManureNEF*NtoN2O*kgtoGg)</f>
        <v>1.0539136991279403</v>
      </c>
      <c r="X972" s="94">
        <f>IF('Net zero activities &amp; levers'!$C$12="Off",'Activity data'!AQ53*ManureNEF*NtoN2O*kgtoGg,'Net zero Activity data'!AQ53*ManureNEF*NtoN2O*kgtoGg)</f>
        <v>1.0553252049864941</v>
      </c>
      <c r="Y972" s="94">
        <f>IF('Net zero activities &amp; levers'!$C$12="Off",'Activity data'!AR53*ManureNEF*NtoN2O*kgtoGg,'Net zero Activity data'!AR53*ManureNEF*NtoN2O*kgtoGg)</f>
        <v>1.0549502713547947</v>
      </c>
      <c r="Z972" s="94">
        <f>IF('Net zero activities &amp; levers'!$C$12="Off",'Activity data'!AS53*ManureNEF*NtoN2O*kgtoGg,'Net zero Activity data'!AS53*ManureNEF*NtoN2O*kgtoGg)</f>
        <v>1.0527709267508603</v>
      </c>
      <c r="AA972" s="94">
        <f>IF('Net zero activities &amp; levers'!$C$12="Off",'Activity data'!AT53*ManureNEF*NtoN2O*kgtoGg,'Net zero Activity data'!AT53*ManureNEF*NtoN2O*kgtoGg)</f>
        <v>1.0487818326891256</v>
      </c>
      <c r="AB972" s="94">
        <f>IF('Net zero activities &amp; levers'!$C$12="Off",'Activity data'!AU53*ManureNEF*NtoN2O*kgtoGg,'Net zero Activity data'!AU53*ManureNEF*NtoN2O*kgtoGg)</f>
        <v>1.0429862897745465</v>
      </c>
      <c r="AC972" s="94">
        <f>IF('Net zero activities &amp; levers'!$C$12="Off",'Activity data'!AV53*ManureNEF*NtoN2O*kgtoGg,'Net zero Activity data'!AV53*ManureNEF*NtoN2O*kgtoGg)</f>
        <v>1.0353973298775558</v>
      </c>
      <c r="AD972" s="94">
        <f>IF('Net zero activities &amp; levers'!$C$12="Off",'Activity data'!AW53*ManureNEF*NtoN2O*kgtoGg,'Net zero Activity data'!AW53*ManureNEF*NtoN2O*kgtoGg)</f>
        <v>1.0174175581982712</v>
      </c>
      <c r="AE972" s="94">
        <f>IF('Net zero activities &amp; levers'!$C$12="Off",'Activity data'!AX53*ManureNEF*NtoN2O*kgtoGg,'Net zero Activity data'!AX53*ManureNEF*NtoN2O*kgtoGg)</f>
        <v>0.99774420575118894</v>
      </c>
      <c r="AF972" s="94">
        <f>IF('Net zero activities &amp; levers'!$C$12="Off",'Activity data'!AY53*ManureNEF*NtoN2O*kgtoGg,'Net zero Activity data'!AY53*ManureNEF*NtoN2O*kgtoGg)</f>
        <v>0.97646566881417607</v>
      </c>
      <c r="AG972" s="94">
        <f>IF('Net zero activities &amp; levers'!$C$12="Off",'Activity data'!AZ53*ManureNEF*NtoN2O*kgtoGg,'Net zero Activity data'!AZ53*ManureNEF*NtoN2O*kgtoGg)</f>
        <v>0.95368038799648891</v>
      </c>
      <c r="AH972" s="94">
        <f>IF('Net zero activities &amp; levers'!$C$12="Off",'Activity data'!BA53*ManureNEF*NtoN2O*kgtoGg,'Net zero Activity data'!BA53*ManureNEF*NtoN2O*kgtoGg)</f>
        <v>0.92949316172660157</v>
      </c>
      <c r="AI972" s="94">
        <f>IF('Net zero activities &amp; levers'!$C$12="Off",'Activity data'!BB53*ManureNEF*NtoN2O*kgtoGg,'Net zero Activity data'!BB53*ManureNEF*NtoN2O*kgtoGg)</f>
        <v>0.90401558532438187</v>
      </c>
      <c r="AJ972" s="94">
        <f>IF('Net zero activities &amp; levers'!$C$12="Off",'Activity data'!BC53*ManureNEF*NtoN2O*kgtoGg,'Net zero Activity data'!BC53*ManureNEF*NtoN2O*kgtoGg)</f>
        <v>-6.9801929759449391E-2</v>
      </c>
      <c r="AK972" s="94">
        <f>IF('Net zero activities &amp; levers'!$C$12="Off",'Activity data'!BD53*ManureNEF*NtoN2O*kgtoGg,'Net zero Activity data'!BD53*ManureNEF*NtoN2O*kgtoGg)</f>
        <v>-6.8121301003411724E-2</v>
      </c>
      <c r="AL972" s="94">
        <f>IF('Net zero activities &amp; levers'!$C$12="Off",'Activity data'!BE53*ManureNEF*NtoN2O*kgtoGg,'Net zero Activity data'!BE53*ManureNEF*NtoN2O*kgtoGg)</f>
        <v>-6.6458158331925851E-2</v>
      </c>
      <c r="AM972" s="94">
        <f>IF('Net zero activities &amp; levers'!$C$12="Off",'Activity data'!BF53*ManureNEF*NtoN2O*kgtoGg,'Net zero Activity data'!BF53*ManureNEF*NtoN2O*kgtoGg)</f>
        <v>-6.481232997303113E-2</v>
      </c>
      <c r="AN972" s="94">
        <f>IF('Net zero activities &amp; levers'!$C$12="Off",'Activity data'!BG53*ManureNEF*NtoN2O*kgtoGg,'Net zero Activity data'!BG53*ManureNEF*NtoN2O*kgtoGg)</f>
        <v>-6.3506079477571004E-2</v>
      </c>
      <c r="AO972" s="94">
        <f>IF('Net zero activities &amp; levers'!$C$12="Off",'Activity data'!BH53*ManureNEF*NtoN2O*kgtoGg,'Net zero Activity data'!BH53*ManureNEF*NtoN2O*kgtoGg)</f>
        <v>-6.2212220196709189E-2</v>
      </c>
      <c r="AP972" s="94">
        <f>IF('Net zero activities &amp; levers'!$C$12="Off",'Activity data'!BI53*ManureNEF*NtoN2O*kgtoGg,'Net zero Activity data'!BI53*ManureNEF*NtoN2O*kgtoGg)</f>
        <v>-6.0929789794195444E-2</v>
      </c>
      <c r="AQ972" s="94">
        <f>IF('Net zero activities &amp; levers'!$C$12="Off",'Activity data'!BJ53*ManureNEF*NtoN2O*kgtoGg,'Net zero Activity data'!BJ53*ManureNEF*NtoN2O*kgtoGg)</f>
        <v>-5.9658470603933263E-2</v>
      </c>
      <c r="AR972" s="94">
        <f>IF('Net zero activities &amp; levers'!$C$12="Off",'Activity data'!BK53*ManureNEF*NtoN2O*kgtoGg,'Net zero Activity data'!BK53*ManureNEF*NtoN2O*kgtoGg)</f>
        <v>-5.839733316411725E-2</v>
      </c>
      <c r="AS972" s="94">
        <f>IF('Net zero activities &amp; levers'!$C$12="Off",'Activity data'!BL53*ManureNEF*NtoN2O*kgtoGg,'Net zero Activity data'!BL53*ManureNEF*NtoN2O*kgtoGg)</f>
        <v>-5.7145467253207828E-2</v>
      </c>
      <c r="AT972" s="94">
        <f>IF('Net zero activities &amp; levers'!$C$12="Off",'Activity data'!BM53*ManureNEF*NtoN2O*kgtoGg,'Net zero Activity data'!BM53*ManureNEF*NtoN2O*kgtoGg)</f>
        <v>-5.590272668429646E-2</v>
      </c>
      <c r="AU972" s="94">
        <f>IF('Net zero activities &amp; levers'!$C$12="Off",'Activity data'!BN53*ManureNEF*NtoN2O*kgtoGg,'Net zero Activity data'!BN53*ManureNEF*NtoN2O*kgtoGg)</f>
        <v>-5.4669188235492674E-2</v>
      </c>
      <c r="AV972" s="94">
        <f>IF('Net zero activities &amp; levers'!$C$12="Off",'Activity data'!BO53*ManureNEF*NtoN2O*kgtoGg,'Net zero Activity data'!BO53*ManureNEF*NtoN2O*kgtoGg)</f>
        <v>-5.3444899006114648E-2</v>
      </c>
      <c r="AW972" s="94">
        <f>IF('Net zero activities &amp; levers'!$C$12="Off",'Activity data'!BP53*ManureNEF*NtoN2O*kgtoGg,'Net zero Activity data'!BP53*ManureNEF*NtoN2O*kgtoGg)</f>
        <v>-5.2229155811497792E-2</v>
      </c>
      <c r="AY972" s="79"/>
      <c r="AZ972" s="79"/>
    </row>
    <row r="973" spans="1:52" x14ac:dyDescent="0.25">
      <c r="A973" s="95" t="str">
        <f t="shared" si="326"/>
        <v>DS Organic</v>
      </c>
      <c r="B973" s="95" t="s">
        <v>974</v>
      </c>
      <c r="C973" s="95" t="s">
        <v>1127</v>
      </c>
      <c r="D973" t="s">
        <v>369</v>
      </c>
      <c r="E973" t="s">
        <v>55</v>
      </c>
      <c r="F973" t="s">
        <v>421</v>
      </c>
      <c r="G973" t="s">
        <v>1160</v>
      </c>
      <c r="H973" t="s">
        <v>1161</v>
      </c>
      <c r="I973" t="s">
        <v>139</v>
      </c>
      <c r="J973" t="s">
        <v>287</v>
      </c>
      <c r="K973" s="94">
        <f>IF('Net zero activities &amp; levers'!$C$12="Off",'Activity data'!AD54*ManureNEF*NtoN2O*kgtoGg,'Net zero Activity data'!AD54*ManureNEF*NtoN2O*kgtoGg)</f>
        <v>2.6602988559851242</v>
      </c>
      <c r="L973" s="94">
        <f>IF('Net zero activities &amp; levers'!$C$12="Off",'Activity data'!AE54*ManureNEF*NtoN2O*kgtoGg,'Net zero Activity data'!AE54*ManureNEF*NtoN2O*kgtoGg)</f>
        <v>2.6372269335947092</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2.5933447201068063</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2.4766546252796315</v>
      </c>
      <c r="Q973" s="94">
        <f>IF('Net zero activities &amp; levers'!$C$12="Off",'Activity data'!AJ54*ManureNEF*NtoN2O*kgtoGg,'Net zero Activity data'!AJ54*ManureNEF*NtoN2O*kgtoGg)</f>
        <v>2.4248016610449814</v>
      </c>
      <c r="R973" s="94">
        <f>IF('Net zero activities &amp; levers'!$C$12="Off",'Activity data'!AK54*ManureNEF*NtoN2O*kgtoGg,'Net zero Activity data'!AK54*ManureNEF*NtoN2O*kgtoGg)</f>
        <v>2.3757428620222041</v>
      </c>
      <c r="S973" s="94">
        <f>IF('Net zero activities &amp; levers'!$C$12="Off",'Activity data'!AL54*ManureNEF*NtoN2O*kgtoGg,'Net zero Activity data'!AL54*ManureNEF*NtoN2O*kgtoGg)</f>
        <v>2.1246713944072271</v>
      </c>
      <c r="T973" s="94">
        <f>IF('Net zero activities &amp; levers'!$C$12="Off",'Activity data'!AM54*ManureNEF*NtoN2O*kgtoGg,'Net zero Activity data'!AM54*ManureNEF*NtoN2O*kgtoGg)</f>
        <v>2.2065285266163999</v>
      </c>
      <c r="U973" s="94">
        <f>IF('Net zero activities &amp; levers'!$C$12="Off",'Activity data'!AN54*ManureNEF*NtoN2O*kgtoGg,'Net zero Activity data'!AN54*ManureNEF*NtoN2O*kgtoGg)</f>
        <v>6.9543063423815932</v>
      </c>
      <c r="V973" s="94">
        <f>IF('Net zero activities &amp; levers'!$C$12="Off",'Activity data'!AO54*ManureNEF*NtoN2O*kgtoGg,'Net zero Activity data'!AO54*ManureNEF*NtoN2O*kgtoGg)</f>
        <v>6.9878495990695715</v>
      </c>
      <c r="W973" s="94">
        <f>IF('Net zero activities &amp; levers'!$C$12="Off",'Activity data'!AP54*ManureNEF*NtoN2O*kgtoGg,'Net zero Activity data'!AP54*ManureNEF*NtoN2O*kgtoGg)</f>
        <v>7.0093172004230366</v>
      </c>
      <c r="X973" s="94">
        <f>IF('Net zero activities &amp; levers'!$C$12="Off",'Activity data'!AQ54*ManureNEF*NtoN2O*kgtoGg,'Net zero Activity data'!AQ54*ManureNEF*NtoN2O*kgtoGg)</f>
        <v>7.0187047739037158</v>
      </c>
      <c r="Y973" s="94">
        <f>IF('Net zero activities &amp; levers'!$C$12="Off",'Activity data'!AR54*ManureNEF*NtoN2O*kgtoGg,'Net zero Activity data'!AR54*ManureNEF*NtoN2O*kgtoGg)</f>
        <v>7.0162111838157779</v>
      </c>
      <c r="Z973" s="94">
        <f>IF('Net zero activities &amp; levers'!$C$12="Off",'Activity data'!AS54*ManureNEF*NtoN2O*kgtoGg,'Net zero Activity data'!AS54*ManureNEF*NtoN2O*kgtoGg)</f>
        <v>7.0017169063140772</v>
      </c>
      <c r="AA973" s="94">
        <f>IF('Net zero activities &amp; levers'!$C$12="Off",'Activity data'!AT54*ManureNEF*NtoN2O*kgtoGg,'Net zero Activity data'!AT54*ManureNEF*NtoN2O*kgtoGg)</f>
        <v>6.9751864364623621</v>
      </c>
      <c r="AB973" s="94">
        <f>IF('Net zero activities &amp; levers'!$C$12="Off",'Activity data'!AU54*ManureNEF*NtoN2O*kgtoGg,'Net zero Activity data'!AU54*ManureNEF*NtoN2O*kgtoGg)</f>
        <v>6.9366417257611337</v>
      </c>
      <c r="AC973" s="94">
        <f>IF('Net zero activities &amp; levers'!$C$12="Off",'Activity data'!AV54*ManureNEF*NtoN2O*kgtoGg,'Net zero Activity data'!AV54*ManureNEF*NtoN2O*kgtoGg)</f>
        <v>6.8861694459309035</v>
      </c>
      <c r="AD973" s="94">
        <f>IF('Net zero activities &amp; levers'!$C$12="Off",'Activity data'!AW54*ManureNEF*NtoN2O*kgtoGg,'Net zero Activity data'!AW54*ManureNEF*NtoN2O*kgtoGg)</f>
        <v>6.7665904680738294</v>
      </c>
      <c r="AE973" s="94">
        <f>IF('Net zero activities &amp; levers'!$C$12="Off",'Activity data'!AX54*ManureNEF*NtoN2O*kgtoGg,'Net zero Activity data'!AX54*ManureNEF*NtoN2O*kgtoGg)</f>
        <v>6.6357479068551806</v>
      </c>
      <c r="AF973" s="94">
        <f>IF('Net zero activities &amp; levers'!$C$12="Off",'Activity data'!AY54*ManureNEF*NtoN2O*kgtoGg,'Net zero Activity data'!AY54*ManureNEF*NtoN2O*kgtoGg)</f>
        <v>6.4942296638758421</v>
      </c>
      <c r="AG973" s="94">
        <f>IF('Net zero activities &amp; levers'!$C$12="Off",'Activity data'!AZ54*ManureNEF*NtoN2O*kgtoGg,'Net zero Activity data'!AZ54*ManureNEF*NtoN2O*kgtoGg)</f>
        <v>6.3426904430800271</v>
      </c>
      <c r="AH973" s="94">
        <f>IF('Net zero activities &amp; levers'!$C$12="Off",'Activity data'!BA54*ManureNEF*NtoN2O*kgtoGg,'Net zero Activity data'!BA54*ManureNEF*NtoN2O*kgtoGg)</f>
        <v>6.181827232682128</v>
      </c>
      <c r="AI973" s="94">
        <f>IF('Net zero activities &amp; levers'!$C$12="Off",'Activity data'!BB54*ManureNEF*NtoN2O*kgtoGg,'Net zero Activity data'!BB54*ManureNEF*NtoN2O*kgtoGg)</f>
        <v>6.0123822253262711</v>
      </c>
      <c r="AJ973" s="94">
        <f>IF('Net zero activities &amp; levers'!$C$12="Off",'Activity data'!BC54*ManureNEF*NtoN2O*kgtoGg,'Net zero Activity data'!BC54*ManureNEF*NtoN2O*kgtoGg)</f>
        <v>-0.46423522845416099</v>
      </c>
      <c r="AK973" s="94">
        <f>IF('Net zero activities &amp; levers'!$C$12="Off",'Activity data'!BD54*ManureNEF*NtoN2O*kgtoGg,'Net zero Activity data'!BD54*ManureNEF*NtoN2O*kgtoGg)</f>
        <v>-0.45305778569298638</v>
      </c>
      <c r="AL973" s="94">
        <f>IF('Net zero activities &amp; levers'!$C$12="Off",'Activity data'!BE54*ManureNEF*NtoN2O*kgtoGg,'Net zero Activity data'!BE54*ManureNEF*NtoN2O*kgtoGg)</f>
        <v>-0.44199663851969367</v>
      </c>
      <c r="AM973" s="94">
        <f>IF('Net zero activities &amp; levers'!$C$12="Off",'Activity data'!BF54*ManureNEF*NtoN2O*kgtoGg,'Net zero Activity data'!BF54*ManureNEF*NtoN2O*kgtoGg)</f>
        <v>-0.43105064452180719</v>
      </c>
      <c r="AN973" s="94">
        <f>IF('Net zero activities &amp; levers'!$C$12="Off",'Activity data'!BG54*ManureNEF*NtoN2O*kgtoGg,'Net zero Activity data'!BG54*ManureNEF*NtoN2O*kgtoGg)</f>
        <v>-0.42236309821373103</v>
      </c>
      <c r="AO973" s="94">
        <f>IF('Net zero activities &amp; levers'!$C$12="Off",'Activity data'!BH54*ManureNEF*NtoN2O*kgtoGg,'Net zero Activity data'!BH54*ManureNEF*NtoN2O*kgtoGg)</f>
        <v>-0.41375796278397442</v>
      </c>
      <c r="AP973" s="94">
        <f>IF('Net zero activities &amp; levers'!$C$12="Off",'Activity data'!BI54*ManureNEF*NtoN2O*kgtoGg,'Net zero Activity data'!BI54*ManureNEF*NtoN2O*kgtoGg)</f>
        <v>-0.40522883797411285</v>
      </c>
      <c r="AQ973" s="94">
        <f>IF('Net zero activities &amp; levers'!$C$12="Off",'Activity data'!BJ54*ManureNEF*NtoN2O*kgtoGg,'Net zero Activity data'!BJ54*ManureNEF*NtoN2O*kgtoGg)</f>
        <v>-0.3967736110661545</v>
      </c>
      <c r="AR973" s="94">
        <f>IF('Net zero activities &amp; levers'!$C$12="Off",'Activity data'!BK54*ManureNEF*NtoN2O*kgtoGg,'Net zero Activity data'!BK54*ManureNEF*NtoN2O*kgtoGg)</f>
        <v>-0.38838610044140948</v>
      </c>
      <c r="AS973" s="94">
        <f>IF('Net zero activities &amp; levers'!$C$12="Off",'Activity data'!BL54*ManureNEF*NtoN2O*kgtoGg,'Net zero Activity data'!BL54*ManureNEF*NtoN2O*kgtoGg)</f>
        <v>-0.38006025244339864</v>
      </c>
      <c r="AT973" s="94">
        <f>IF('Net zero activities &amp; levers'!$C$12="Off",'Activity data'!BM54*ManureNEF*NtoN2O*kgtoGg,'Net zero Activity data'!BM54*ManureNEF*NtoN2O*kgtoGg)</f>
        <v>-0.37179509481944717</v>
      </c>
      <c r="AU973" s="94">
        <f>IF('Net zero activities &amp; levers'!$C$12="Off",'Activity data'!BN54*ManureNEF*NtoN2O*kgtoGg,'Net zero Activity data'!BN54*ManureNEF*NtoN2O*kgtoGg)</f>
        <v>-0.36359113820161632</v>
      </c>
      <c r="AV973" s="94">
        <f>IF('Net zero activities &amp; levers'!$C$12="Off",'Activity data'!BO54*ManureNEF*NtoN2O*kgtoGg,'Net zero Activity data'!BO54*ManureNEF*NtoN2O*kgtoGg)</f>
        <v>-0.35544869583572547</v>
      </c>
      <c r="AW973" s="94">
        <f>IF('Net zero activities &amp; levers'!$C$12="Off",'Activity data'!BP54*ManureNEF*NtoN2O*kgtoGg,'Net zero Activity data'!BP54*ManureNEF*NtoN2O*kgtoGg)</f>
        <v>-0.34736309101592239</v>
      </c>
      <c r="AY973" s="79"/>
      <c r="AZ973" s="79"/>
    </row>
    <row r="974" spans="1:52" x14ac:dyDescent="0.25">
      <c r="A974" s="95" t="str">
        <f t="shared" si="326"/>
        <v>DS Organic</v>
      </c>
      <c r="B974" s="95" t="s">
        <v>974</v>
      </c>
      <c r="C974" s="95" t="s">
        <v>1127</v>
      </c>
      <c r="D974" t="s">
        <v>369</v>
      </c>
      <c r="E974" t="s">
        <v>55</v>
      </c>
      <c r="F974" t="s">
        <v>421</v>
      </c>
      <c r="G974" t="s">
        <v>1162</v>
      </c>
      <c r="H974" t="s">
        <v>1163</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0.35516571939691516</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0.379170347917821</v>
      </c>
      <c r="O974" s="94">
        <f>IF('Net zero activities &amp; levers'!$C$12="Off",'Activity data'!AH55*ManureNEF*NtoN2O*kgtoGg,'Net zero Activity data'!AH55*ManureNEF*NtoN2O*kgtoGg)</f>
        <v>0.38707850955818851</v>
      </c>
      <c r="P974" s="94">
        <f>IF('Net zero activities &amp; levers'!$C$12="Off",'Activity data'!AI55*ManureNEF*NtoN2O*kgtoGg,'Net zero Activity data'!AI55*ManureNEF*NtoN2O*kgtoGg)</f>
        <v>0.39252728601928999</v>
      </c>
      <c r="Q974" s="94">
        <f>IF('Net zero activities &amp; levers'!$C$12="Off",'Activity data'!AJ55*ManureNEF*NtoN2O*kgtoGg,'Net zero Activity data'!AJ55*ManureNEF*NtoN2O*kgtoGg)</f>
        <v>0.3999671364536494</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0.37941149708510857</v>
      </c>
      <c r="T974" s="94">
        <f>IF('Net zero activities &amp; levers'!$C$12="Off",'Activity data'!AM55*ManureNEF*NtoN2O*kgtoGg,'Net zero Activity data'!AM55*ManureNEF*NtoN2O*kgtoGg)</f>
        <v>0.40352229075935825</v>
      </c>
      <c r="U974" s="94">
        <f>IF('Net zero activities &amp; levers'!$C$12="Off",'Activity data'!AN55*ManureNEF*NtoN2O*kgtoGg,'Net zero Activity data'!AN55*ManureNEF*NtoN2O*kgtoGg)</f>
        <v>1.3019992837200502</v>
      </c>
      <c r="V974" s="94">
        <f>IF('Net zero activities &amp; levers'!$C$12="Off",'Activity data'!AO55*ManureNEF*NtoN2O*kgtoGg,'Net zero Activity data'!AO55*ManureNEF*NtoN2O*kgtoGg)</f>
        <v>1.3389713551242044</v>
      </c>
      <c r="W974" s="94">
        <f>IF('Net zero activities &amp; levers'!$C$12="Off",'Activity data'!AP55*ManureNEF*NtoN2O*kgtoGg,'Net zero Activity data'!AP55*ManureNEF*NtoN2O*kgtoGg)</f>
        <v>1.3742225442034364</v>
      </c>
      <c r="X974" s="94">
        <f>IF('Net zero activities &amp; levers'!$C$12="Off",'Activity data'!AQ55*ManureNEF*NtoN2O*kgtoGg,'Net zero Activity data'!AQ55*ManureNEF*NtoN2O*kgtoGg)</f>
        <v>1.4076173986220344</v>
      </c>
      <c r="Y974" s="94">
        <f>IF('Net zero activities &amp; levers'!$C$12="Off",'Activity data'!AR55*ManureNEF*NtoN2O*kgtoGg,'Net zero Activity data'!AR55*ManureNEF*NtoN2O*kgtoGg)</f>
        <v>1.4390577517114058</v>
      </c>
      <c r="Z974" s="94">
        <f>IF('Net zero activities &amp; levers'!$C$12="Off",'Activity data'!AS55*ManureNEF*NtoN2O*kgtoGg,'Net zero Activity data'!AS55*ManureNEF*NtoN2O*kgtoGg)</f>
        <v>1.4683777754211462</v>
      </c>
      <c r="AA974" s="94">
        <f>IF('Net zero activities &amp; levers'!$C$12="Off",'Activity data'!AT55*ManureNEF*NtoN2O*kgtoGg,'Net zero Activity data'!AT55*ManureNEF*NtoN2O*kgtoGg)</f>
        <v>1.4954226905831736</v>
      </c>
      <c r="AB974" s="94">
        <f>IF('Net zero activities &amp; levers'!$C$12="Off",'Activity data'!AU55*ManureNEF*NtoN2O*kgtoGg,'Net zero Activity data'!AU55*ManureNEF*NtoN2O*kgtoGg)</f>
        <v>1.5200446118078883</v>
      </c>
      <c r="AC974" s="94">
        <f>IF('Net zero activities &amp; levers'!$C$12="Off",'Activity data'!AV55*ManureNEF*NtoN2O*kgtoGg,'Net zero Activity data'!AV55*ManureNEF*NtoN2O*kgtoGg)</f>
        <v>1.5421052715646864</v>
      </c>
      <c r="AD974" s="94">
        <f>IF('Net zero activities &amp; levers'!$C$12="Off",'Activity data'!AW55*ManureNEF*NtoN2O*kgtoGg,'Net zero Activity data'!AW55*ManureNEF*NtoN2O*kgtoGg)</f>
        <v>1.5655788001500457</v>
      </c>
      <c r="AE974" s="94">
        <f>IF('Net zero activities &amp; levers'!$C$12="Off",'Activity data'!AX55*ManureNEF*NtoN2O*kgtoGg,'Net zero Activity data'!AX55*ManureNEF*NtoN2O*kgtoGg)</f>
        <v>1.5863184064827547</v>
      </c>
      <c r="AF974" s="94">
        <f>IF('Net zero activities &amp; levers'!$C$12="Off",'Activity data'!AY55*ManureNEF*NtoN2O*kgtoGg,'Net zero Activity data'!AY55*ManureNEF*NtoN2O*kgtoGg)</f>
        <v>1.604202691450189</v>
      </c>
      <c r="AG974" s="94">
        <f>IF('Net zero activities &amp; levers'!$C$12="Off",'Activity data'!AZ55*ManureNEF*NtoN2O*kgtoGg,'Net zero Activity data'!AZ55*ManureNEF*NtoN2O*kgtoGg)</f>
        <v>1.6191262740936789</v>
      </c>
      <c r="AH974" s="94">
        <f>IF('Net zero activities &amp; levers'!$C$12="Off",'Activity data'!BA55*ManureNEF*NtoN2O*kgtoGg,'Net zero Activity data'!BA55*ManureNEF*NtoN2O*kgtoGg)</f>
        <v>1.6309961254310048</v>
      </c>
      <c r="AI974" s="94">
        <f>IF('Net zero activities &amp; levers'!$C$12="Off",'Activity data'!BB55*ManureNEF*NtoN2O*kgtoGg,'Net zero Activity data'!BB55*ManureNEF*NtoN2O*kgtoGg)</f>
        <v>1.6397344068055653</v>
      </c>
      <c r="AJ974" s="94">
        <f>IF('Net zero activities &amp; levers'!$C$12="Off",'Activity data'!BC55*ManureNEF*NtoN2O*kgtoGg,'Net zero Activity data'!BC55*ManureNEF*NtoN2O*kgtoGg)</f>
        <v>-0.13089608517240703</v>
      </c>
      <c r="AK974" s="94">
        <f>IF('Net zero activities &amp; levers'!$C$12="Off",'Activity data'!BD55*ManureNEF*NtoN2O*kgtoGg,'Net zero Activity data'!BD55*ManureNEF*NtoN2O*kgtoGg)</f>
        <v>-0.13209410170523925</v>
      </c>
      <c r="AL974" s="94">
        <f>IF('Net zero activities &amp; levers'!$C$12="Off",'Activity data'!BE55*ManureNEF*NtoN2O*kgtoGg,'Net zero Activity data'!BE55*ManureNEF*NtoN2O*kgtoGg)</f>
        <v>-0.13328419638855493</v>
      </c>
      <c r="AM974" s="94">
        <f>IF('Net zero activities &amp; levers'!$C$12="Off",'Activity data'!BF55*ManureNEF*NtoN2O*kgtoGg,'Net zero Activity data'!BF55*ManureNEF*NtoN2O*kgtoGg)</f>
        <v>-0.13446696197747518</v>
      </c>
      <c r="AN974" s="94">
        <f>IF('Net zero activities &amp; levers'!$C$12="Off",'Activity data'!BG55*ManureNEF*NtoN2O*kgtoGg,'Net zero Activity data'!BG55*ManureNEF*NtoN2O*kgtoGg)</f>
        <v>-0.13547441854530159</v>
      </c>
      <c r="AO974" s="94">
        <f>IF('Net zero activities &amp; levers'!$C$12="Off",'Activity data'!BH55*ManureNEF*NtoN2O*kgtoGg,'Net zero Activity data'!BH55*ManureNEF*NtoN2O*kgtoGg)</f>
        <v>-0.13647180135664599</v>
      </c>
      <c r="AP974" s="94">
        <f>IF('Net zero activities &amp; levers'!$C$12="Off",'Activity data'!BI55*ManureNEF*NtoN2O*kgtoGg,'Net zero Activity data'!BI55*ManureNEF*NtoN2O*kgtoGg)</f>
        <v>-0.1374575838778328</v>
      </c>
      <c r="AQ974" s="94">
        <f>IF('Net zero activities &amp; levers'!$C$12="Off",'Activity data'!BJ55*ManureNEF*NtoN2O*kgtoGg,'Net zero Activity data'!BJ55*ManureNEF*NtoN2O*kgtoGg)</f>
        <v>-0.13843149499593352</v>
      </c>
      <c r="AR974" s="94">
        <f>IF('Net zero activities &amp; levers'!$C$12="Off",'Activity data'!BK55*ManureNEF*NtoN2O*kgtoGg,'Net zero Activity data'!BK55*ManureNEF*NtoN2O*kgtoGg)</f>
        <v>-0.13939171751336263</v>
      </c>
      <c r="AS974" s="94">
        <f>IF('Net zero activities &amp; levers'!$C$12="Off",'Activity data'!BL55*ManureNEF*NtoN2O*kgtoGg,'Net zero Activity data'!BL55*ManureNEF*NtoN2O*kgtoGg)</f>
        <v>-0.14033622294950923</v>
      </c>
      <c r="AT974" s="94">
        <f>IF('Net zero activities &amp; levers'!$C$12="Off",'Activity data'!BM55*ManureNEF*NtoN2O*kgtoGg,'Net zero Activity data'!BM55*ManureNEF*NtoN2O*kgtoGg)</f>
        <v>-0.14126464078823431</v>
      </c>
      <c r="AU974" s="94">
        <f>IF('Net zero activities &amp; levers'!$C$12="Off",'Activity data'!BN55*ManureNEF*NtoN2O*kgtoGg,'Net zero Activity data'!BN55*ManureNEF*NtoN2O*kgtoGg)</f>
        <v>-0.14217711138361663</v>
      </c>
      <c r="AV974" s="94">
        <f>IF('Net zero activities &amp; levers'!$C$12="Off",'Activity data'!BO55*ManureNEF*NtoN2O*kgtoGg,'Net zero Activity data'!BO55*ManureNEF*NtoN2O*kgtoGg)</f>
        <v>-0.14307369087756849</v>
      </c>
      <c r="AW974" s="94">
        <f>IF('Net zero activities &amp; levers'!$C$12="Off",'Activity data'!BP55*ManureNEF*NtoN2O*kgtoGg,'Net zero Activity data'!BP55*ManureNEF*NtoN2O*kgtoGg)</f>
        <v>-0.14395235507647042</v>
      </c>
      <c r="AY974" s="79"/>
      <c r="AZ974" s="79"/>
    </row>
    <row r="975" spans="1:52" x14ac:dyDescent="0.25">
      <c r="A975" s="95" t="str">
        <f t="shared" si="326"/>
        <v>DS Organic</v>
      </c>
      <c r="B975" s="95" t="s">
        <v>974</v>
      </c>
      <c r="C975" s="95" t="s">
        <v>1127</v>
      </c>
      <c r="D975" t="s">
        <v>369</v>
      </c>
      <c r="E975" t="s">
        <v>55</v>
      </c>
      <c r="F975" t="s">
        <v>421</v>
      </c>
      <c r="G975" t="s">
        <v>1164</v>
      </c>
      <c r="H975" t="s">
        <v>1165</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5.9207171446821721E-2</v>
      </c>
      <c r="T975" s="94">
        <f>IF('Net zero activities &amp; levers'!$C$12="Off",'Activity data'!AM56*ManureNEF*NtoN2O*kgtoGg,IF('Net zero activities &amp; levers'!$C$12="PB",'Activity data'!AM56*ManureNEF*NtoN2O*kgtoGg,IF('Net zero activities &amp; levers'!$C$12="MS",'Net zero Activity data'!AM56*ManureNEF*NtoN2O*kgtoGg,"ERROR")))</f>
        <v>5.9246576334297835E-2</v>
      </c>
      <c r="U975" s="94">
        <f>IF('Net zero activities &amp; levers'!$C$12="Off",'Activity data'!AN56*ManureNEF*NtoN2O*kgtoGg,IF('Net zero activities &amp; levers'!$C$12="PB",'Activity data'!AN56*ManureNEF*NtoN2O*kgtoGg,IF('Net zero activities &amp; levers'!$C$12="MS",'Net zero Activity data'!AN56*ManureNEF*NtoN2O*kgtoGg,"ERROR")))</f>
        <v>6.0018268189792646E-2</v>
      </c>
      <c r="V975" s="94">
        <f>IF('Net zero activities &amp; levers'!$C$12="Off",'Activity data'!AO56*ManureNEF*NtoN2O*kgtoGg,IF('Net zero activities &amp; levers'!$C$12="PB",'Activity data'!AO56*ManureNEF*NtoN2O*kgtoGg,IF('Net zero activities &amp; levers'!$C$12="MS",'Net zero Activity data'!AO56*ManureNEF*NtoN2O*kgtoGg,"ERROR")))</f>
        <v>6.0037093010318184E-2</v>
      </c>
      <c r="W975" s="94">
        <f>IF('Net zero activities &amp; levers'!$C$12="Off",'Activity data'!AP56*ManureNEF*NtoN2O*kgtoGg,IF('Net zero activities &amp; levers'!$C$12="PB",'Activity data'!AP56*ManureNEF*NtoN2O*kgtoGg,IF('Net zero activities &amp; levers'!$C$12="MS",'Net zero Activity data'!AP56*ManureNEF*NtoN2O*kgtoGg,"ERROR")))</f>
        <v>6.0117615700915394E-2</v>
      </c>
      <c r="X975" s="94">
        <f>IF('Net zero activities &amp; levers'!$C$12="Off",'Activity data'!AQ56*ManureNEF*NtoN2O*kgtoGg,IF('Net zero activities &amp; levers'!$C$12="PB",'Activity data'!AQ56*ManureNEF*NtoN2O*kgtoGg,IF('Net zero activities &amp; levers'!$C$12="MS",'Net zero Activity data'!AQ56*ManureNEF*NtoN2O*kgtoGg,"ERROR")))</f>
        <v>6.0234013204612538E-2</v>
      </c>
      <c r="Y975" s="94">
        <f>IF('Net zero activities &amp; levers'!$C$12="Off",'Activity data'!AR56*ManureNEF*NtoN2O*kgtoGg,IF('Net zero activities &amp; levers'!$C$12="PB",'Activity data'!AR56*ManureNEF*NtoN2O*kgtoGg,IF('Net zero activities &amp; levers'!$C$12="MS",'Net zero Activity data'!AR56*ManureNEF*NtoN2O*kgtoGg,"ERROR")))</f>
        <v>6.0342142496718161E-2</v>
      </c>
      <c r="Z975" s="94">
        <f>IF('Net zero activities &amp; levers'!$C$12="Off",'Activity data'!AS56*ManureNEF*NtoN2O*kgtoGg,IF('Net zero activities &amp; levers'!$C$12="PB",'Activity data'!AS56*ManureNEF*NtoN2O*kgtoGg,IF('Net zero activities &amp; levers'!$C$12="MS",'Net zero Activity data'!AS56*ManureNEF*NtoN2O*kgtoGg,"ERROR")))</f>
        <v>6.0443342363168437E-2</v>
      </c>
      <c r="AA975" s="94">
        <f>IF('Net zero activities &amp; levers'!$C$12="Off",'Activity data'!AT56*ManureNEF*NtoN2O*kgtoGg,IF('Net zero activities &amp; levers'!$C$12="PB",'Activity data'!AT56*ManureNEF*NtoN2O*kgtoGg,IF('Net zero activities &amp; levers'!$C$12="MS",'Net zero Activity data'!AT56*ManureNEF*NtoN2O*kgtoGg,"ERROR")))</f>
        <v>6.0537073159976813E-2</v>
      </c>
      <c r="AB975" s="94">
        <f>IF('Net zero activities &amp; levers'!$C$12="Off",'Activity data'!AU56*ManureNEF*NtoN2O*kgtoGg,IF('Net zero activities &amp; levers'!$C$12="PB",'Activity data'!AU56*ManureNEF*NtoN2O*kgtoGg,IF('Net zero activities &amp; levers'!$C$12="MS",'Net zero Activity data'!AU56*ManureNEF*NtoN2O*kgtoGg,"ERROR")))</f>
        <v>6.0624179409324928E-2</v>
      </c>
      <c r="AC975" s="94">
        <f>IF('Net zero activities &amp; levers'!$C$12="Off",'Activity data'!AV56*ManureNEF*NtoN2O*kgtoGg,IF('Net zero activities &amp; levers'!$C$12="PB",'Activity data'!AV56*ManureNEF*NtoN2O*kgtoGg,IF('Net zero activities &amp; levers'!$C$12="MS",'Net zero Activity data'!AV56*ManureNEF*NtoN2O*kgtoGg,"ERROR")))</f>
        <v>6.0705982424299358E-2</v>
      </c>
      <c r="AD975" s="94">
        <f>IF('Net zero activities &amp; levers'!$C$12="Off",'Activity data'!AW56*ManureNEF*NtoN2O*kgtoGg,IF('Net zero activities &amp; levers'!$C$12="PB",'Activity data'!AW56*ManureNEF*NtoN2O*kgtoGg,IF('Net zero activities &amp; levers'!$C$12="MS",'Net zero Activity data'!AW56*ManureNEF*NtoN2O*kgtoGg,"ERROR")))</f>
        <v>6.0782405127579278E-2</v>
      </c>
      <c r="AE975" s="94">
        <f>IF('Net zero activities &amp; levers'!$C$12="Off",'Activity data'!AX56*ManureNEF*NtoN2O*kgtoGg,IF('Net zero activities &amp; levers'!$C$12="PB",'Activity data'!AX56*ManureNEF*NtoN2O*kgtoGg,IF('Net zero activities &amp; levers'!$C$12="MS",'Net zero Activity data'!AX56*ManureNEF*NtoN2O*kgtoGg,"ERROR")))</f>
        <v>6.0854669862410914E-2</v>
      </c>
      <c r="AF975" s="94">
        <f>IF('Net zero activities &amp; levers'!$C$12="Off",'Activity data'!AY56*ManureNEF*NtoN2O*kgtoGg,IF('Net zero activities &amp; levers'!$C$12="PB",'Activity data'!AY56*ManureNEF*NtoN2O*kgtoGg,IF('Net zero activities &amp; levers'!$C$12="MS",'Net zero Activity data'!AY56*ManureNEF*NtoN2O*kgtoGg,"ERROR")))</f>
        <v>6.0922951557005132E-2</v>
      </c>
      <c r="AG975" s="94">
        <f>IF('Net zero activities &amp; levers'!$C$12="Off",'Activity data'!AZ56*ManureNEF*NtoN2O*kgtoGg,IF('Net zero activities &amp; levers'!$C$12="PB",'Activity data'!AZ56*ManureNEF*NtoN2O*kgtoGg,IF('Net zero activities &amp; levers'!$C$12="MS",'Net zero Activity data'!AZ56*ManureNEF*NtoN2O*kgtoGg,"ERROR")))</f>
        <v>6.0986314332021271E-2</v>
      </c>
      <c r="AH975" s="94">
        <f>IF('Net zero activities &amp; levers'!$C$12="Off",'Activity data'!BA56*ManureNEF*NtoN2O*kgtoGg,IF('Net zero activities &amp; levers'!$C$12="PB",'Activity data'!BA56*ManureNEF*NtoN2O*kgtoGg,IF('Net zero activities &amp; levers'!$C$12="MS",'Net zero Activity data'!BA56*ManureNEF*NtoN2O*kgtoGg,"ERROR")))</f>
        <v>6.1045337815494746E-2</v>
      </c>
      <c r="AI975" s="94">
        <f>IF('Net zero activities &amp; levers'!$C$12="Off",'Activity data'!BB56*ManureNEF*NtoN2O*kgtoGg,IF('Net zero activities &amp; levers'!$C$12="PB",'Activity data'!BB56*ManureNEF*NtoN2O*kgtoGg,IF('Net zero activities &amp; levers'!$C$12="MS",'Net zero Activity data'!BB56*ManureNEF*NtoN2O*kgtoGg,"ERROR")))</f>
        <v>6.1100963630343091E-2</v>
      </c>
      <c r="AJ975" s="94">
        <f>IF('Net zero activities &amp; levers'!$C$12="Off",'Activity data'!BC56*ManureNEF*NtoN2O*kgtoGg,IF('Net zero activities &amp; levers'!$C$12="PB",'Activity data'!BC56*ManureNEF*NtoN2O*kgtoGg,IF('Net zero activities &amp; levers'!$C$12="MS",'Net zero Activity data'!BC56*ManureNEF*NtoN2O*kgtoGg,"ERROR")))</f>
        <v>5.9760031976995184E-2</v>
      </c>
      <c r="AK975" s="94">
        <f>IF('Net zero activities &amp; levers'!$C$12="Off",'Activity data'!BD56*ManureNEF*NtoN2O*kgtoGg,IF('Net zero activities &amp; levers'!$C$12="PB",'Activity data'!BD56*ManureNEF*NtoN2O*kgtoGg,IF('Net zero activities &amp; levers'!$C$12="MS",'Net zero Activity data'!BD56*ManureNEF*NtoN2O*kgtoGg,"ERROR")))</f>
        <v>5.9814986740369232E-2</v>
      </c>
      <c r="AL975" s="94">
        <f>IF('Net zero activities &amp; levers'!$C$12="Off",'Activity data'!BE56*ManureNEF*NtoN2O*kgtoGg,IF('Net zero activities &amp; levers'!$C$12="PB",'Activity data'!BE56*ManureNEF*NtoN2O*kgtoGg,IF('Net zero activities &amp; levers'!$C$12="MS",'Net zero Activity data'!BE56*ManureNEF*NtoN2O*kgtoGg,"ERROR")))</f>
        <v>5.9866245389547455E-2</v>
      </c>
      <c r="AM975" s="94">
        <f>IF('Net zero activities &amp; levers'!$C$12="Off",'Activity data'!BF56*ManureNEF*NtoN2O*kgtoGg,IF('Net zero activities &amp; levers'!$C$12="PB",'Activity data'!BF56*ManureNEF*NtoN2O*kgtoGg,IF('Net zero activities &amp; levers'!$C$12="MS",'Net zero Activity data'!BF56*ManureNEF*NtoN2O*kgtoGg,"ERROR")))</f>
        <v>5.9914121191052938E-2</v>
      </c>
      <c r="AN975" s="94">
        <f>IF('Net zero activities &amp; levers'!$C$12="Off",'Activity data'!BG56*ManureNEF*NtoN2O*kgtoGg,IF('Net zero activities &amp; levers'!$C$12="PB",'Activity data'!BG56*ManureNEF*NtoN2O*kgtoGg,IF('Net zero activities &amp; levers'!$C$12="MS",'Net zero Activity data'!BG56*ManureNEF*NtoN2O*kgtoGg,"ERROR")))</f>
        <v>5.9958994957515464E-2</v>
      </c>
      <c r="AO975" s="94">
        <f>IF('Net zero activities &amp; levers'!$C$12="Off",'Activity data'!BH56*ManureNEF*NtoN2O*kgtoGg,IF('Net zero activities &amp; levers'!$C$12="PB",'Activity data'!BH56*ManureNEF*NtoN2O*kgtoGg,IF('Net zero activities &amp; levers'!$C$12="MS",'Net zero Activity data'!BH56*ManureNEF*NtoN2O*kgtoGg,"ERROR")))</f>
        <v>5.9999686326466663E-2</v>
      </c>
      <c r="AP975" s="94">
        <f>IF('Net zero activities &amp; levers'!$C$12="Off",'Activity data'!BI56*ManureNEF*NtoN2O*kgtoGg,IF('Net zero activities &amp; levers'!$C$12="PB",'Activity data'!BI56*ManureNEF*NtoN2O*kgtoGg,IF('Net zero activities &amp; levers'!$C$12="MS",'Net zero Activity data'!BI56*ManureNEF*NtoN2O*kgtoGg,"ERROR")))</f>
        <v>6.0035407039000573E-2</v>
      </c>
      <c r="AQ975" s="94">
        <f>IF('Net zero activities &amp; levers'!$C$12="Off",'Activity data'!BJ56*ManureNEF*NtoN2O*kgtoGg,IF('Net zero activities &amp; levers'!$C$12="PB",'Activity data'!BJ56*ManureNEF*NtoN2O*kgtoGg,IF('Net zero activities &amp; levers'!$C$12="MS",'Net zero Activity data'!BJ56*ManureNEF*NtoN2O*kgtoGg,"ERROR")))</f>
        <v>6.0066041639394212E-2</v>
      </c>
      <c r="AR975" s="94">
        <f>IF('Net zero activities &amp; levers'!$C$12="Off",'Activity data'!BK56*ManureNEF*NtoN2O*kgtoGg,IF('Net zero activities &amp; levers'!$C$12="PB",'Activity data'!BK56*ManureNEF*NtoN2O*kgtoGg,IF('Net zero activities &amp; levers'!$C$12="MS",'Net zero Activity data'!BK56*ManureNEF*NtoN2O*kgtoGg,"ERROR")))</f>
        <v>6.0090693101993796E-2</v>
      </c>
      <c r="AS975" s="94">
        <f>IF('Net zero activities &amp; levers'!$C$12="Off",'Activity data'!BL56*ManureNEF*NtoN2O*kgtoGg,IF('Net zero activities &amp; levers'!$C$12="PB",'Activity data'!BL56*ManureNEF*NtoN2O*kgtoGg,IF('Net zero activities &amp; levers'!$C$12="MS",'Net zero Activity data'!BL56*ManureNEF*NtoN2O*kgtoGg,"ERROR")))</f>
        <v>6.010838638445111E-2</v>
      </c>
      <c r="AT975" s="94">
        <f>IF('Net zero activities &amp; levers'!$C$12="Off",'Activity data'!BM56*ManureNEF*NtoN2O*kgtoGg,IF('Net zero activities &amp; levers'!$C$12="PB",'Activity data'!BM56*ManureNEF*NtoN2O*kgtoGg,IF('Net zero activities &amp; levers'!$C$12="MS",'Net zero Activity data'!BM56*ManureNEF*NtoN2O*kgtoGg,"ERROR")))</f>
        <v>6.0119011530987615E-2</v>
      </c>
      <c r="AU975" s="94">
        <f>IF('Net zero activities &amp; levers'!$C$12="Off",'Activity data'!BN56*ManureNEF*NtoN2O*kgtoGg,IF('Net zero activities &amp; levers'!$C$12="PB",'Activity data'!BN56*ManureNEF*NtoN2O*kgtoGg,IF('Net zero activities &amp; levers'!$C$12="MS",'Net zero Activity data'!BN56*ManureNEF*NtoN2O*kgtoGg,"ERROR")))</f>
        <v>6.0122720098989259E-2</v>
      </c>
      <c r="AV975" s="94">
        <f>IF('Net zero activities &amp; levers'!$C$12="Off",'Activity data'!BO56*ManureNEF*NtoN2O*kgtoGg,IF('Net zero activities &amp; levers'!$C$12="PB",'Activity data'!BO56*ManureNEF*NtoN2O*kgtoGg,IF('Net zero activities &amp; levers'!$C$12="MS",'Net zero Activity data'!BO56*ManureNEF*NtoN2O*kgtoGg,"ERROR")))</f>
        <v>6.0119620565134202E-2</v>
      </c>
      <c r="AW975" s="94">
        <f>IF('Net zero activities &amp; levers'!$C$12="Off",'Activity data'!BP56*ManureNEF*NtoN2O*kgtoGg,IF('Net zero activities &amp; levers'!$C$12="PB",'Activity data'!BP56*ManureNEF*NtoN2O*kgtoGg,IF('Net zero activities &amp; levers'!$C$12="MS",'Net zero Activity data'!BP56*ManureNEF*NtoN2O*kgtoGg,"ERROR")))</f>
        <v>6.0108795193871321E-2</v>
      </c>
      <c r="AY975" s="79"/>
      <c r="AZ975" s="79"/>
    </row>
    <row r="976" spans="1:52" x14ac:dyDescent="0.25">
      <c r="A976" s="95" t="str">
        <f t="shared" si="326"/>
        <v>DS Organic</v>
      </c>
      <c r="B976" s="95" t="s">
        <v>974</v>
      </c>
      <c r="C976" s="95" t="s">
        <v>1127</v>
      </c>
      <c r="D976" t="s">
        <v>369</v>
      </c>
      <c r="E976" t="s">
        <v>55</v>
      </c>
      <c r="F976" t="s">
        <v>421</v>
      </c>
      <c r="G976" t="s">
        <v>1166</v>
      </c>
      <c r="H976" t="s">
        <v>1167</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4.8186589457144935E-2</v>
      </c>
      <c r="T976" s="94">
        <f>IF('Net zero activities &amp; levers'!$C$12="Off",'Activity data'!AM57*ManureNEF*NtoN2O*kgtoGg,IF('Net zero activities &amp; levers'!$C$12="PB",'Activity data'!AM57*ManureNEF*NtoN2O*kgtoGg,IF('Net zero activities &amp; levers'!$C$12="MS",'Net zero Activity data'!AM57*ManureNEF*NtoN2O*kgtoGg,"ERROR")))</f>
        <v>4.8218659679197723E-2</v>
      </c>
      <c r="U976" s="94">
        <f>IF('Net zero activities &amp; levers'!$C$12="Off",'Activity data'!AN57*ManureNEF*NtoN2O*kgtoGg,IF('Net zero activities &amp; levers'!$C$12="PB",'Activity data'!AN57*ManureNEF*NtoN2O*kgtoGg,IF('Net zero activities &amp; levers'!$C$12="MS",'Net zero Activity data'!AN57*ManureNEF*NtoN2O*kgtoGg,"ERROR")))</f>
        <v>4.884671195258742E-2</v>
      </c>
      <c r="V976" s="94">
        <f>IF('Net zero activities &amp; levers'!$C$12="Off",'Activity data'!AO57*ManureNEF*NtoN2O*kgtoGg,IF('Net zero activities &amp; levers'!$C$12="PB",'Activity data'!AO57*ManureNEF*NtoN2O*kgtoGg,IF('Net zero activities &amp; levers'!$C$12="MS",'Net zero Activity data'!AO57*ManureNEF*NtoN2O*kgtoGg,"ERROR")))</f>
        <v>4.8862032797615189E-2</v>
      </c>
      <c r="W976" s="94">
        <f>IF('Net zero activities &amp; levers'!$C$12="Off",'Activity data'!AP57*ManureNEF*NtoN2O*kgtoGg,IF('Net zero activities &amp; levers'!$C$12="PB",'Activity data'!AP57*ManureNEF*NtoN2O*kgtoGg,IF('Net zero activities &amp; levers'!$C$12="MS",'Net zero Activity data'!AP57*ManureNEF*NtoN2O*kgtoGg,"ERROR")))</f>
        <v>4.8927567322217112E-2</v>
      </c>
      <c r="X976" s="94">
        <f>IF('Net zero activities &amp; levers'!$C$12="Off",'Activity data'!AQ57*ManureNEF*NtoN2O*kgtoGg,IF('Net zero activities &amp; levers'!$C$12="PB",'Activity data'!AQ57*ManureNEF*NtoN2O*kgtoGg,IF('Net zero activities &amp; levers'!$C$12="MS",'Net zero Activity data'!AQ57*ManureNEF*NtoN2O*kgtoGg,"ERROR")))</f>
        <v>4.9022299068176782E-2</v>
      </c>
      <c r="Y976" s="94">
        <f>IF('Net zero activities &amp; levers'!$C$12="Off",'Activity data'!AR57*ManureNEF*NtoN2O*kgtoGg,IF('Net zero activities &amp; levers'!$C$12="PB",'Activity data'!AR57*ManureNEF*NtoN2O*kgtoGg,IF('Net zero activities &amp; levers'!$C$12="MS",'Net zero Activity data'!AR57*ManureNEF*NtoN2O*kgtoGg,"ERROR")))</f>
        <v>4.9110301613808693E-2</v>
      </c>
      <c r="Z976" s="94">
        <f>IF('Net zero activities &amp; levers'!$C$12="Off",'Activity data'!AS57*ManureNEF*NtoN2O*kgtoGg,IF('Net zero activities &amp; levers'!$C$12="PB",'Activity data'!AS57*ManureNEF*NtoN2O*kgtoGg,IF('Net zero activities &amp; levers'!$C$12="MS",'Net zero Activity data'!AS57*ManureNEF*NtoN2O*kgtoGg,"ERROR")))</f>
        <v>4.9192664548882145E-2</v>
      </c>
      <c r="AA976" s="94">
        <f>IF('Net zero activities &amp; levers'!$C$12="Off",'Activity data'!AT57*ManureNEF*NtoN2O*kgtoGg,IF('Net zero activities &amp; levers'!$C$12="PB",'Activity data'!AT57*ManureNEF*NtoN2O*kgtoGg,IF('Net zero activities &amp; levers'!$C$12="MS",'Net zero Activity data'!AT57*ManureNEF*NtoN2O*kgtoGg,"ERROR")))</f>
        <v>4.9268948676546534E-2</v>
      </c>
      <c r="AB976" s="94">
        <f>IF('Net zero activities &amp; levers'!$C$12="Off",'Activity data'!AU57*ManureNEF*NtoN2O*kgtoGg,IF('Net zero activities &amp; levers'!$C$12="PB",'Activity data'!AU57*ManureNEF*NtoN2O*kgtoGg,IF('Net zero activities &amp; levers'!$C$12="MS",'Net zero Activity data'!AU57*ManureNEF*NtoN2O*kgtoGg,"ERROR")))</f>
        <v>4.9339841323060789E-2</v>
      </c>
      <c r="AC976" s="94">
        <f>IF('Net zero activities &amp; levers'!$C$12="Off",'Activity data'!AV57*ManureNEF*NtoN2O*kgtoGg,IF('Net zero activities &amp; levers'!$C$12="PB",'Activity data'!AV57*ManureNEF*NtoN2O*kgtoGg,IF('Net zero activities &amp; levers'!$C$12="MS",'Net zero Activity data'!AV57*ManureNEF*NtoN2O*kgtoGg,"ERROR")))</f>
        <v>4.9406417857669777E-2</v>
      </c>
      <c r="AD976" s="94">
        <f>IF('Net zero activities &amp; levers'!$C$12="Off",'Activity data'!AW57*ManureNEF*NtoN2O*kgtoGg,IF('Net zero activities &amp; levers'!$C$12="PB",'Activity data'!AW57*ManureNEF*NtoN2O*kgtoGg,IF('Net zero activities &amp; levers'!$C$12="MS",'Net zero Activity data'!AW57*ManureNEF*NtoN2O*kgtoGg,"ERROR")))</f>
        <v>4.9468615549911547E-2</v>
      </c>
      <c r="AE976" s="94">
        <f>IF('Net zero activities &amp; levers'!$C$12="Off",'Activity data'!AX57*ManureNEF*NtoN2O*kgtoGg,IF('Net zero activities &amp; levers'!$C$12="PB",'Activity data'!AX57*ManureNEF*NtoN2O*kgtoGg,IF('Net zero activities &amp; levers'!$C$12="MS",'Net zero Activity data'!AX57*ManureNEF*NtoN2O*kgtoGg,"ERROR")))</f>
        <v>4.9527429221033953E-2</v>
      </c>
      <c r="AF976" s="94">
        <f>IF('Net zero activities &amp; levers'!$C$12="Off",'Activity data'!AY57*ManureNEF*NtoN2O*kgtoGg,IF('Net zero activities &amp; levers'!$C$12="PB",'Activity data'!AY57*ManureNEF*NtoN2O*kgtoGg,IF('Net zero activities &amp; levers'!$C$12="MS",'Net zero Activity data'!AY57*ManureNEF*NtoN2O*kgtoGg,"ERROR")))</f>
        <v>4.9583001238822449E-2</v>
      </c>
      <c r="AG976" s="94">
        <f>IF('Net zero activities &amp; levers'!$C$12="Off",'Activity data'!AZ57*ManureNEF*NtoN2O*kgtoGg,IF('Net zero activities &amp; levers'!$C$12="PB",'Activity data'!AZ57*ManureNEF*NtoN2O*kgtoGg,IF('Net zero activities &amp; levers'!$C$12="MS",'Net zero Activity data'!AZ57*ManureNEF*NtoN2O*kgtoGg,"ERROR")))</f>
        <v>4.9634569924708931E-2</v>
      </c>
      <c r="AH976" s="94">
        <f>IF('Net zero activities &amp; levers'!$C$12="Off",'Activity data'!BA57*ManureNEF*NtoN2O*kgtoGg,IF('Net zero activities &amp; levers'!$C$12="PB",'Activity data'!BA57*ManureNEF*NtoN2O*kgtoGg,IF('Net zero activities &amp; levers'!$C$12="MS",'Net zero Activity data'!BA57*ManureNEF*NtoN2O*kgtoGg,"ERROR")))</f>
        <v>4.9682607017124701E-2</v>
      </c>
      <c r="AI976" s="94">
        <f>IF('Net zero activities &amp; levers'!$C$12="Off",'Activity data'!BB57*ManureNEF*NtoN2O*kgtoGg,IF('Net zero activities &amp; levers'!$C$12="PB",'Activity data'!BB57*ManureNEF*NtoN2O*kgtoGg,IF('Net zero activities &amp; levers'!$C$12="MS",'Net zero Activity data'!BB57*ManureNEF*NtoN2O*kgtoGg,"ERROR")))</f>
        <v>4.972787886912871E-2</v>
      </c>
      <c r="AJ976" s="94">
        <f>IF('Net zero activities &amp; levers'!$C$12="Off",'Activity data'!BC57*ManureNEF*NtoN2O*kgtoGg,IF('Net zero activities &amp; levers'!$C$12="PB",'Activity data'!BC57*ManureNEF*NtoN2O*kgtoGg,IF('Net zero activities &amp; levers'!$C$12="MS",'Net zero Activity data'!BC57*ManureNEF*NtoN2O*kgtoGg,"ERROR")))</f>
        <v>4.8636542777722926E-2</v>
      </c>
      <c r="AK976" s="94">
        <f>IF('Net zero activities &amp; levers'!$C$12="Off",'Activity data'!BD57*ManureNEF*NtoN2O*kgtoGg,IF('Net zero activities &amp; levers'!$C$12="PB",'Activity data'!BD57*ManureNEF*NtoN2O*kgtoGg,IF('Net zero activities &amp; levers'!$C$12="MS",'Net zero Activity data'!BD57*ManureNEF*NtoN2O*kgtoGg,"ERROR")))</f>
        <v>4.8681268485043679E-2</v>
      </c>
      <c r="AL976" s="94">
        <f>IF('Net zero activities &amp; levers'!$C$12="Off",'Activity data'!BE57*ManureNEF*NtoN2O*kgtoGg,IF('Net zero activities &amp; levers'!$C$12="PB",'Activity data'!BE57*ManureNEF*NtoN2O*kgtoGg,IF('Net zero activities &amp; levers'!$C$12="MS",'Net zero Activity data'!BE57*ManureNEF*NtoN2O*kgtoGg,"ERROR")))</f>
        <v>4.872298605782617E-2</v>
      </c>
      <c r="AM976" s="94">
        <f>IF('Net zero activities &amp; levers'!$C$12="Off",'Activity data'!BF57*ManureNEF*NtoN2O*kgtoGg,IF('Net zero activities &amp; levers'!$C$12="PB",'Activity data'!BF57*ManureNEF*NtoN2O*kgtoGg,IF('Net zero activities &amp; levers'!$C$12="MS",'Net zero Activity data'!BF57*ManureNEF*NtoN2O*kgtoGg,"ERROR")))</f>
        <v>4.8761950452437537E-2</v>
      </c>
      <c r="AN976" s="94">
        <f>IF('Net zero activities &amp; levers'!$C$12="Off",'Activity data'!BG57*ManureNEF*NtoN2O*kgtoGg,IF('Net zero activities &amp; levers'!$C$12="PB",'Activity data'!BG57*ManureNEF*NtoN2O*kgtoGg,IF('Net zero activities &amp; levers'!$C$12="MS",'Net zero Activity data'!BG57*ManureNEF*NtoN2O*kgtoGg,"ERROR")))</f>
        <v>4.8798471598594094E-2</v>
      </c>
      <c r="AO976" s="94">
        <f>IF('Net zero activities &amp; levers'!$C$12="Off",'Activity data'!BH57*ManureNEF*NtoN2O*kgtoGg,IF('Net zero activities &amp; levers'!$C$12="PB",'Activity data'!BH57*ManureNEF*NtoN2O*kgtoGg,IF('Net zero activities &amp; levers'!$C$12="MS",'Net zero Activity data'!BH57*ManureNEF*NtoN2O*kgtoGg,"ERROR")))</f>
        <v>4.8831588841694647E-2</v>
      </c>
      <c r="AP976" s="94">
        <f>IF('Net zero activities &amp; levers'!$C$12="Off",'Activity data'!BI57*ManureNEF*NtoN2O*kgtoGg,IF('Net zero activities &amp; levers'!$C$12="PB",'Activity data'!BI57*ManureNEF*NtoN2O*kgtoGg,IF('Net zero activities &amp; levers'!$C$12="MS",'Net zero Activity data'!BI57*ManureNEF*NtoN2O*kgtoGg,"ERROR")))</f>
        <v>4.8860660646138712E-2</v>
      </c>
      <c r="AQ976" s="94">
        <f>IF('Net zero activities &amp; levers'!$C$12="Off",'Activity data'!BJ57*ManureNEF*NtoN2O*kgtoGg,IF('Net zero activities &amp; levers'!$C$12="PB",'Activity data'!BJ57*ManureNEF*NtoN2O*kgtoGg,IF('Net zero activities &amp; levers'!$C$12="MS",'Net zero Activity data'!BJ57*ManureNEF*NtoN2O*kgtoGg,"ERROR")))</f>
        <v>4.8885593046661804E-2</v>
      </c>
      <c r="AR976" s="94">
        <f>IF('Net zero activities &amp; levers'!$C$12="Off",'Activity data'!BK57*ManureNEF*NtoN2O*kgtoGg,IF('Net zero activities &amp; levers'!$C$12="PB",'Activity data'!BK57*ManureNEF*NtoN2O*kgtoGg,IF('Net zero activities &amp; levers'!$C$12="MS",'Net zero Activity data'!BK57*ManureNEF*NtoN2O*kgtoGg,"ERROR")))</f>
        <v>4.8905655986315542E-2</v>
      </c>
      <c r="AS976" s="94">
        <f>IF('Net zero activities &amp; levers'!$C$12="Off",'Activity data'!BL57*ManureNEF*NtoN2O*kgtoGg,IF('Net zero activities &amp; levers'!$C$12="PB",'Activity data'!BL57*ManureNEF*NtoN2O*kgtoGg,IF('Net zero activities &amp; levers'!$C$12="MS",'Net zero Activity data'!BL57*ManureNEF*NtoN2O*kgtoGg,"ERROR")))</f>
        <v>4.8920055913167046E-2</v>
      </c>
      <c r="AT976" s="94">
        <f>IF('Net zero activities &amp; levers'!$C$12="Off",'Activity data'!BM57*ManureNEF*NtoN2O*kgtoGg,IF('Net zero activities &amp; levers'!$C$12="PB",'Activity data'!BM57*ManureNEF*NtoN2O*kgtoGg,IF('Net zero activities &amp; levers'!$C$12="MS",'Net zero Activity data'!BM57*ManureNEF*NtoN2O*kgtoGg,"ERROR")))</f>
        <v>4.8928703338159067E-2</v>
      </c>
      <c r="AU976" s="94">
        <f>IF('Net zero activities &amp; levers'!$C$12="Off",'Activity data'!BN57*ManureNEF*NtoN2O*kgtoGg,IF('Net zero activities &amp; levers'!$C$12="PB",'Activity data'!BN57*ManureNEF*NtoN2O*kgtoGg,IF('Net zero activities &amp; levers'!$C$12="MS",'Net zero Activity data'!BN57*ManureNEF*NtoN2O*kgtoGg,"ERROR")))</f>
        <v>4.8931721608402395E-2</v>
      </c>
      <c r="AV976" s="94">
        <f>IF('Net zero activities &amp; levers'!$C$12="Off",'Activity data'!BO57*ManureNEF*NtoN2O*kgtoGg,IF('Net zero activities &amp; levers'!$C$12="PB",'Activity data'!BO57*ManureNEF*NtoN2O*kgtoGg,IF('Net zero activities &amp; levers'!$C$12="MS",'Net zero Activity data'!BO57*ManureNEF*NtoN2O*kgtoGg,"ERROR")))</f>
        <v>4.8929199009167666E-2</v>
      </c>
      <c r="AW976" s="94">
        <f>IF('Net zero activities &amp; levers'!$C$12="Off",'Activity data'!BP57*ManureNEF*NtoN2O*kgtoGg,IF('Net zero activities &amp; levers'!$C$12="PB",'Activity data'!BP57*ManureNEF*NtoN2O*kgtoGg,IF('Net zero activities &amp; levers'!$C$12="MS",'Net zero Activity data'!BP57*ManureNEF*NtoN2O*kgtoGg,"ERROR")))</f>
        <v>4.892038862846515E-2</v>
      </c>
      <c r="AY976" s="79"/>
      <c r="AZ976" s="79"/>
    </row>
    <row r="977" spans="1:52" x14ac:dyDescent="0.25">
      <c r="A977" s="95" t="str">
        <f t="shared" si="326"/>
        <v>DS Organic</v>
      </c>
      <c r="B977" s="95" t="s">
        <v>974</v>
      </c>
      <c r="C977" s="95" t="s">
        <v>1127</v>
      </c>
      <c r="D977" t="s">
        <v>369</v>
      </c>
      <c r="E977" t="s">
        <v>55</v>
      </c>
      <c r="F977" t="s">
        <v>421</v>
      </c>
      <c r="G977" t="s">
        <v>1168</v>
      </c>
      <c r="H977" t="s">
        <v>1169</v>
      </c>
      <c r="I977" t="s">
        <v>139</v>
      </c>
      <c r="J977" t="s">
        <v>287</v>
      </c>
      <c r="K977" s="22">
        <f t="shared" ref="K977:Z980" si="343">K1474</f>
        <v>7.214092738049376E-3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7.4155715935563154E-3</v>
      </c>
      <c r="R977" s="22">
        <f t="shared" si="343"/>
        <v>7.4643602602570466E-3</v>
      </c>
      <c r="S977" s="22">
        <f t="shared" si="343"/>
        <v>7.4461584032265975E-3</v>
      </c>
      <c r="T977" s="22">
        <f t="shared" si="343"/>
        <v>7.4583442385416504E-3</v>
      </c>
      <c r="U977" s="22">
        <f t="shared" si="343"/>
        <v>7.6095641103995637E-3</v>
      </c>
      <c r="V977" s="22">
        <f t="shared" si="343"/>
        <v>7.616396041581105E-3</v>
      </c>
      <c r="W977" s="22">
        <f t="shared" si="343"/>
        <v>7.6344836732780402E-3</v>
      </c>
      <c r="X977" s="22">
        <f t="shared" si="343"/>
        <v>7.6588952719713966E-3</v>
      </c>
      <c r="Y977" s="22">
        <f t="shared" si="343"/>
        <v>7.6812841131364881E-3</v>
      </c>
      <c r="Z977" s="22">
        <f t="shared" si="343"/>
        <v>7.7019461381660883E-3</v>
      </c>
      <c r="AA977" s="22">
        <f t="shared" ref="L977:AW980" si="344">AA1474</f>
        <v>7.7208179709042681E-3</v>
      </c>
      <c r="AB977" s="22">
        <f t="shared" si="344"/>
        <v>7.7380934023290734E-3</v>
      </c>
      <c r="AC977" s="22">
        <f t="shared" si="344"/>
        <v>7.754051159190669E-3</v>
      </c>
      <c r="AD977" s="22">
        <f t="shared" si="344"/>
        <v>7.7687040986248812E-3</v>
      </c>
      <c r="AE977" s="22">
        <f t="shared" si="344"/>
        <v>7.7823052319108766E-3</v>
      </c>
      <c r="AF977" s="22">
        <f t="shared" si="344"/>
        <v>7.7949088981362474E-3</v>
      </c>
      <c r="AG977" s="22">
        <f t="shared" si="344"/>
        <v>7.8063612121467459E-3</v>
      </c>
      <c r="AH977" s="22">
        <f t="shared" si="344"/>
        <v>7.8167890041067195E-3</v>
      </c>
      <c r="AI977" s="22">
        <f t="shared" si="344"/>
        <v>7.8263838677397213E-3</v>
      </c>
      <c r="AJ977" s="22">
        <f t="shared" si="344"/>
        <v>7.5779321545979533E-3</v>
      </c>
      <c r="AK977" s="22">
        <f t="shared" si="344"/>
        <v>7.5875086550646472E-3</v>
      </c>
      <c r="AL977" s="22">
        <f t="shared" si="344"/>
        <v>7.5962279285727895E-3</v>
      </c>
      <c r="AM977" s="22">
        <f t="shared" si="344"/>
        <v>7.6041605420171859E-3</v>
      </c>
      <c r="AN977" s="22">
        <f t="shared" si="344"/>
        <v>7.6113882168756348E-3</v>
      </c>
      <c r="AO977" s="22">
        <f t="shared" si="344"/>
        <v>7.6177057736301935E-3</v>
      </c>
      <c r="AP977" s="22">
        <f t="shared" si="344"/>
        <v>7.6229804846382823E-3</v>
      </c>
      <c r="AQ977" s="22">
        <f t="shared" si="344"/>
        <v>7.6272026599535862E-3</v>
      </c>
      <c r="AR977" s="22">
        <f t="shared" si="344"/>
        <v>7.6302198564372984E-3</v>
      </c>
      <c r="AS977" s="22">
        <f t="shared" si="344"/>
        <v>7.6318659754992515E-3</v>
      </c>
      <c r="AT977" s="22">
        <f t="shared" si="344"/>
        <v>7.6321325230528187E-3</v>
      </c>
      <c r="AU977" s="22">
        <f t="shared" si="344"/>
        <v>7.631057996199485E-3</v>
      </c>
      <c r="AV977" s="22">
        <f t="shared" si="344"/>
        <v>7.6286724448087007E-3</v>
      </c>
      <c r="AW977" s="22">
        <f t="shared" si="344"/>
        <v>7.6248200266524988E-3</v>
      </c>
      <c r="AY977" s="79"/>
      <c r="AZ977" s="79"/>
    </row>
    <row r="978" spans="1:52" x14ac:dyDescent="0.25">
      <c r="A978" s="95" t="str">
        <f t="shared" si="326"/>
        <v>DS Organic</v>
      </c>
      <c r="B978" s="95" t="s">
        <v>974</v>
      </c>
      <c r="C978" s="95" t="s">
        <v>1127</v>
      </c>
      <c r="D978" t="s">
        <v>369</v>
      </c>
      <c r="E978" t="s">
        <v>55</v>
      </c>
      <c r="F978" t="s">
        <v>421</v>
      </c>
      <c r="G978" t="s">
        <v>1170</v>
      </c>
      <c r="H978" t="s">
        <v>1171</v>
      </c>
      <c r="I978" t="s">
        <v>139</v>
      </c>
      <c r="J978" t="s">
        <v>287</v>
      </c>
      <c r="K978" s="22">
        <f t="shared" si="343"/>
        <v>8.7045671471293537E-2</v>
      </c>
      <c r="L978" s="22">
        <f t="shared" si="344"/>
        <v>8.7271948200639354E-2</v>
      </c>
      <c r="M978" s="22">
        <f t="shared" si="344"/>
        <v>8.7584088952434122E-2</v>
      </c>
      <c r="N978" s="22">
        <f t="shared" si="344"/>
        <v>8.7964358824768801E-2</v>
      </c>
      <c r="O978" s="22">
        <f t="shared" si="344"/>
        <v>8.8412215452112072E-2</v>
      </c>
      <c r="P978" s="22">
        <f t="shared" si="344"/>
        <v>8.8924932944132923E-2</v>
      </c>
      <c r="Q978" s="22">
        <f t="shared" si="344"/>
        <v>8.9476727309038592E-2</v>
      </c>
      <c r="R978" s="22">
        <f t="shared" si="344"/>
        <v>9.0065414259340087E-2</v>
      </c>
      <c r="S978" s="22">
        <f t="shared" si="344"/>
        <v>8.9845789571278714E-2</v>
      </c>
      <c r="T978" s="22">
        <f t="shared" si="344"/>
        <v>8.9992824583989703E-2</v>
      </c>
      <c r="U978" s="22">
        <f t="shared" si="344"/>
        <v>9.1817452539803057E-2</v>
      </c>
      <c r="V978" s="22">
        <f t="shared" si="344"/>
        <v>9.1899887027234312E-2</v>
      </c>
      <c r="W978" s="22">
        <f t="shared" si="344"/>
        <v>9.211813346563695E-2</v>
      </c>
      <c r="X978" s="22">
        <f t="shared" si="344"/>
        <v>9.2412685265441663E-2</v>
      </c>
      <c r="Y978" s="22">
        <f t="shared" si="344"/>
        <v>9.2682830352765116E-2</v>
      </c>
      <c r="Z978" s="22">
        <f t="shared" si="344"/>
        <v>9.293213957403032E-2</v>
      </c>
      <c r="AA978" s="22">
        <f t="shared" si="344"/>
        <v>9.3159848228775613E-2</v>
      </c>
      <c r="AB978" s="22">
        <f t="shared" si="344"/>
        <v>9.3368294610452568E-2</v>
      </c>
      <c r="AC978" s="22">
        <f t="shared" si="344"/>
        <v>9.356084185258419E-2</v>
      </c>
      <c r="AD978" s="22">
        <f t="shared" si="344"/>
        <v>9.3737645090135047E-2</v>
      </c>
      <c r="AE978" s="22">
        <f t="shared" si="344"/>
        <v>9.390175717222761E-2</v>
      </c>
      <c r="AF978" s="22">
        <f t="shared" si="344"/>
        <v>9.40538337575203E-2</v>
      </c>
      <c r="AG978" s="22">
        <f t="shared" si="344"/>
        <v>9.4192018058601723E-2</v>
      </c>
      <c r="AH978" s="22">
        <f t="shared" si="344"/>
        <v>9.4317840415768184E-2</v>
      </c>
      <c r="AI978" s="22">
        <f t="shared" si="344"/>
        <v>9.4433612610268142E-2</v>
      </c>
      <c r="AJ978" s="22">
        <f t="shared" si="344"/>
        <v>9.1435779482264015E-2</v>
      </c>
      <c r="AK978" s="22">
        <f t="shared" si="344"/>
        <v>9.1551330105708581E-2</v>
      </c>
      <c r="AL978" s="22">
        <f t="shared" si="344"/>
        <v>9.1656537377754754E-2</v>
      </c>
      <c r="AM978" s="22">
        <f t="shared" si="344"/>
        <v>9.175225276274665E-2</v>
      </c>
      <c r="AN978" s="22">
        <f t="shared" si="344"/>
        <v>9.1839462316889414E-2</v>
      </c>
      <c r="AO978" s="22">
        <f t="shared" si="344"/>
        <v>9.1915690331932545E-2</v>
      </c>
      <c r="AP978" s="22">
        <f t="shared" si="344"/>
        <v>9.1979335308257068E-2</v>
      </c>
      <c r="AQ978" s="22">
        <f t="shared" si="344"/>
        <v>9.2030280326395222E-2</v>
      </c>
      <c r="AR978" s="22">
        <f t="shared" si="344"/>
        <v>9.2066685998379513E-2</v>
      </c>
      <c r="AS978" s="22">
        <f t="shared" si="344"/>
        <v>9.2086548168755195E-2</v>
      </c>
      <c r="AT978" s="22">
        <f t="shared" si="344"/>
        <v>9.2089764347368611E-2</v>
      </c>
      <c r="AU978" s="22">
        <f t="shared" si="344"/>
        <v>9.2076799042532853E-2</v>
      </c>
      <c r="AV978" s="22">
        <f t="shared" si="344"/>
        <v>9.2048014837757555E-2</v>
      </c>
      <c r="AW978" s="22">
        <f t="shared" si="344"/>
        <v>9.2001531331463521E-2</v>
      </c>
      <c r="AY978" s="79"/>
      <c r="AZ978" s="79"/>
    </row>
    <row r="979" spans="1:52" x14ac:dyDescent="0.25">
      <c r="A979" s="95" t="str">
        <f t="shared" si="326"/>
        <v>DS Organic</v>
      </c>
      <c r="B979" s="95" t="s">
        <v>974</v>
      </c>
      <c r="C979" s="95" t="s">
        <v>1127</v>
      </c>
      <c r="D979" t="s">
        <v>369</v>
      </c>
      <c r="E979" t="s">
        <v>55</v>
      </c>
      <c r="F979" t="s">
        <v>421</v>
      </c>
      <c r="G979" t="s">
        <v>1172</v>
      </c>
      <c r="H979" t="s">
        <v>1173</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25">
      <c r="A980" s="95" t="str">
        <f t="shared" ref="A980:A1057" si="345">B980&amp;" "&amp;C980</f>
        <v>DS Organic</v>
      </c>
      <c r="B980" s="95" t="s">
        <v>974</v>
      </c>
      <c r="C980" s="95" t="s">
        <v>1127</v>
      </c>
      <c r="D980" t="s">
        <v>369</v>
      </c>
      <c r="E980" t="s">
        <v>55</v>
      </c>
      <c r="F980" t="s">
        <v>421</v>
      </c>
      <c r="G980" t="s">
        <v>1174</v>
      </c>
      <c r="H980" t="s">
        <v>1175</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25">
      <c r="A981" s="95" t="str">
        <f t="shared" si="345"/>
        <v>DS Organic</v>
      </c>
      <c r="B981" s="95" t="s">
        <v>974</v>
      </c>
      <c r="C981" s="95" t="s">
        <v>1127</v>
      </c>
      <c r="D981" t="s">
        <v>369</v>
      </c>
      <c r="E981" t="s">
        <v>55</v>
      </c>
      <c r="F981" t="s">
        <v>421</v>
      </c>
      <c r="G981" t="s">
        <v>1176</v>
      </c>
      <c r="H981" t="s">
        <v>1177</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0.12462873299340151</v>
      </c>
      <c r="L981" s="94">
        <f>IF('Net zero activities &amp; levers'!$C$12="Off",'Activity data'!AE62*ManureNEF*NtoN2O*kgtoGg,IF('Net zero activities &amp; levers'!$C$12="PB",'Activity data'!AE62*ManureNEF*NtoN2O*kgtoGg,IF('Net zero activities &amp; levers'!$C$12="MS",'Net zero Activity data'!AE62*ManureNEF*NtoN2O*kgtoGg,"ERROR")))</f>
        <v>0.12395129293471774</v>
      </c>
      <c r="M981" s="94">
        <f>IF('Net zero activities &amp; levers'!$C$12="Off",'Activity data'!AF62*ManureNEF*NtoN2O*kgtoGg,IF('Net zero activities &amp; levers'!$C$12="PB",'Activity data'!AF62*ManureNEF*NtoN2O*kgtoGg,IF('Net zero activities &amp; levers'!$C$12="MS",'Net zero Activity data'!AF62*ManureNEF*NtoN2O*kgtoGg,"ERROR")))</f>
        <v>0.12400689511310994</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0.11845842648899831</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0.10339476754661255</v>
      </c>
      <c r="T981" s="94">
        <f>IF('Net zero activities &amp; levers'!$C$12="Off",'Activity data'!AM62*ManureNEF*NtoN2O*kgtoGg,IF('Net zero activities &amp; levers'!$C$12="PB",'Activity data'!AM62*ManureNEF*NtoN2O*kgtoGg,IF('Net zero activities &amp; levers'!$C$12="MS",'Net zero Activity data'!AM62*ManureNEF*NtoN2O*kgtoGg,"ERROR")))</f>
        <v>0.10708680746691927</v>
      </c>
      <c r="U981" s="94">
        <f>IF('Net zero activities &amp; levers'!$C$12="Off",'Activity data'!AN62*ManureNEF*NtoN2O*kgtoGg,IF('Net zero activities &amp; levers'!$C$12="PB",'Activity data'!AN62*ManureNEF*NtoN2O*kgtoGg,IF('Net zero activities &amp; levers'!$C$12="MS",'Net zero Activity data'!AN62*ManureNEF*NtoN2O*kgtoGg,"ERROR")))</f>
        <v>0.34230494451620991</v>
      </c>
      <c r="V981" s="94">
        <f>IF('Net zero activities &amp; levers'!$C$12="Off",'Activity data'!AO62*ManureNEF*NtoN2O*kgtoGg,IF('Net zero activities &amp; levers'!$C$12="PB",'Activity data'!AO62*ManureNEF*NtoN2O*kgtoGg,IF('Net zero activities &amp; levers'!$C$12="MS",'Net zero Activity data'!AO62*ManureNEF*NtoN2O*kgtoGg,"ERROR")))</f>
        <v>0.34324328716985369</v>
      </c>
      <c r="W981" s="94">
        <f>IF('Net zero activities &amp; levers'!$C$12="Off",'Activity data'!AP62*ManureNEF*NtoN2O*kgtoGg,IF('Net zero activities &amp; levers'!$C$12="PB",'Activity data'!AP62*ManureNEF*NtoN2O*kgtoGg,IF('Net zero activities &amp; levers'!$C$12="MS",'Net zero Activity data'!AP62*ManureNEF*NtoN2O*kgtoGg,"ERROR")))</f>
        <v>0.3435898446352561</v>
      </c>
      <c r="X981" s="94">
        <f>IF('Net zero activities &amp; levers'!$C$12="Off",'Activity data'!AQ62*ManureNEF*NtoN2O*kgtoGg,IF('Net zero activities &amp; levers'!$C$12="PB",'Activity data'!AQ62*ManureNEF*NtoN2O*kgtoGg,IF('Net zero activities &amp; levers'!$C$12="MS",'Net zero Activity data'!AQ62*ManureNEF*NtoN2O*kgtoGg,"ERROR")))</f>
        <v>0.34336025373780221</v>
      </c>
      <c r="Y981" s="94">
        <f>IF('Net zero activities &amp; levers'!$C$12="Off",'Activity data'!AR62*ManureNEF*NtoN2O*kgtoGg,IF('Net zero activities &amp; levers'!$C$12="PB",'Activity data'!AR62*ManureNEF*NtoN2O*kgtoGg,IF('Net zero activities &amp; levers'!$C$12="MS",'Net zero Activity data'!AR62*ManureNEF*NtoN2O*kgtoGg,"ERROR")))</f>
        <v>0.34258915131434525</v>
      </c>
      <c r="Z981" s="94">
        <f>IF('Net zero activities &amp; levers'!$C$12="Off",'Activity data'!AS62*ManureNEF*NtoN2O*kgtoGg,IF('Net zero activities &amp; levers'!$C$12="PB",'Activity data'!AS62*ManureNEF*NtoN2O*kgtoGg,IF('Net zero activities &amp; levers'!$C$12="MS",'Net zero Activity data'!AS62*ManureNEF*NtoN2O*kgtoGg,"ERROR")))</f>
        <v>0.34126945430195527</v>
      </c>
      <c r="AA981" s="94">
        <f>IF('Net zero activities &amp; levers'!$C$12="Off",'Activity data'!AT62*ManureNEF*NtoN2O*kgtoGg,IF('Net zero activities &amp; levers'!$C$12="PB",'Activity data'!AT62*ManureNEF*NtoN2O*kgtoGg,IF('Net zero activities &amp; levers'!$C$12="MS",'Net zero Activity data'!AT62*ManureNEF*NtoN2O*kgtoGg,"ERROR")))</f>
        <v>0.3393992662053118</v>
      </c>
      <c r="AB981" s="94">
        <f>IF('Net zero activities &amp; levers'!$C$12="Off",'Activity data'!AU62*ManureNEF*NtoN2O*kgtoGg,IF('Net zero activities &amp; levers'!$C$12="PB",'Activity data'!AU62*ManureNEF*NtoN2O*kgtoGg,IF('Net zero activities &amp; levers'!$C$12="MS",'Net zero Activity data'!AU62*ManureNEF*NtoN2O*kgtoGg,"ERROR")))</f>
        <v>0.33697876239255126</v>
      </c>
      <c r="AC981" s="94">
        <f>IF('Net zero activities &amp; levers'!$C$12="Off",'Activity data'!AV62*ManureNEF*NtoN2O*kgtoGg,IF('Net zero activities &amp; levers'!$C$12="PB",'Activity data'!AV62*ManureNEF*NtoN2O*kgtoGg,IF('Net zero activities &amp; levers'!$C$12="MS",'Net zero Activity data'!AV62*ManureNEF*NtoN2O*kgtoGg,"ERROR")))</f>
        <v>0.3340110473815755</v>
      </c>
      <c r="AD981" s="94">
        <f>IF('Net zero activities &amp; levers'!$C$12="Off",'Activity data'!AW62*ManureNEF*NtoN2O*kgtoGg,IF('Net zero activities &amp; levers'!$C$12="PB",'Activity data'!AW62*ManureNEF*NtoN2O*kgtoGg,IF('Net zero activities &amp; levers'!$C$12="MS",'Net zero Activity data'!AW62*ManureNEF*NtoN2O*kgtoGg,"ERROR")))</f>
        <v>0.33050375948442778</v>
      </c>
      <c r="AE981" s="94">
        <f>IF('Net zero activities &amp; levers'!$C$12="Off",'Activity data'!AX62*ManureNEF*NtoN2O*kgtoGg,IF('Net zero activities &amp; levers'!$C$12="PB",'Activity data'!AX62*ManureNEF*NtoN2O*kgtoGg,IF('Net zero activities &amp; levers'!$C$12="MS",'Net zero Activity data'!AX62*ManureNEF*NtoN2O*kgtoGg,"ERROR")))</f>
        <v>0.32646655874795893</v>
      </c>
      <c r="AF981" s="94">
        <f>IF('Net zero activities &amp; levers'!$C$12="Off",'Activity data'!AY62*ManureNEF*NtoN2O*kgtoGg,IF('Net zero activities &amp; levers'!$C$12="PB",'Activity data'!AY62*ManureNEF*NtoN2O*kgtoGg,IF('Net zero activities &amp; levers'!$C$12="MS",'Net zero Activity data'!AY62*ManureNEF*NtoN2O*kgtoGg,"ERROR")))</f>
        <v>0.32191309563582443</v>
      </c>
      <c r="AG981" s="94">
        <f>IF('Net zero activities &amp; levers'!$C$12="Off",'Activity data'!AZ62*ManureNEF*NtoN2O*kgtoGg,IF('Net zero activities &amp; levers'!$C$12="PB",'Activity data'!AZ62*ManureNEF*NtoN2O*kgtoGg,IF('Net zero activities &amp; levers'!$C$12="MS",'Net zero Activity data'!AZ62*ManureNEF*NtoN2O*kgtoGg,"ERROR")))</f>
        <v>0.31686086246920969</v>
      </c>
      <c r="AH981" s="94">
        <f>IF('Net zero activities &amp; levers'!$C$12="Off",'Activity data'!BA62*ManureNEF*NtoN2O*kgtoGg,IF('Net zero activities &amp; levers'!$C$12="PB",'Activity data'!BA62*ManureNEF*NtoN2O*kgtoGg,IF('Net zero activities &amp; levers'!$C$12="MS",'Net zero Activity data'!BA62*ManureNEF*NtoN2O*kgtoGg,"ERROR")))</f>
        <v>0.31132880694281095</v>
      </c>
      <c r="AI981" s="94">
        <f>IF('Net zero activities &amp; levers'!$C$12="Off",'Activity data'!BB62*ManureNEF*NtoN2O*kgtoGg,IF('Net zero activities &amp; levers'!$C$12="PB",'Activity data'!BB62*ManureNEF*NtoN2O*kgtoGg,IF('Net zero activities &amp; levers'!$C$12="MS",'Net zero Activity data'!BB62*ManureNEF*NtoN2O*kgtoGg,"ERROR")))</f>
        <v>0.30533819170490117</v>
      </c>
      <c r="AJ981" s="94">
        <f>IF('Net zero activities &amp; levers'!$C$12="Off",'Activity data'!BC62*ManureNEF*NtoN2O*kgtoGg,IF('Net zero activities &amp; levers'!$C$12="PB",'Activity data'!BC62*ManureNEF*NtoN2O*kgtoGg,IF('Net zero activities &amp; levers'!$C$12="MS",'Net zero Activity data'!BC62*ManureNEF*NtoN2O*kgtoGg,"ERROR")))</f>
        <v>-2.8452110243571058E-2</v>
      </c>
      <c r="AK981" s="94">
        <f>IF('Net zero activities &amp; levers'!$C$12="Off",'Activity data'!BD62*ManureNEF*NtoN2O*kgtoGg,IF('Net zero activities &amp; levers'!$C$12="PB",'Activity data'!BD62*ManureNEF*NtoN2O*kgtoGg,IF('Net zero activities &amp; levers'!$C$12="MS",'Net zero Activity data'!BD62*ManureNEF*NtoN2O*kgtoGg,"ERROR")))</f>
        <v>-2.814409017595957E-2</v>
      </c>
      <c r="AL981" s="94">
        <f>IF('Net zero activities &amp; levers'!$C$12="Off",'Activity data'!BE62*ManureNEF*NtoN2O*kgtoGg,IF('Net zero activities &amp; levers'!$C$12="PB",'Activity data'!BE62*ManureNEF*NtoN2O*kgtoGg,IF('Net zero activities &amp; levers'!$C$12="MS",'Net zero Activity data'!BE62*ManureNEF*NtoN2O*kgtoGg,"ERROR")))</f>
        <v>-2.7834978813803351E-2</v>
      </c>
      <c r="AM981" s="94">
        <f>IF('Net zero activities &amp; levers'!$C$12="Off",'Activity data'!BF62*ManureNEF*NtoN2O*kgtoGg,IF('Net zero activities &amp; levers'!$C$12="PB",'Activity data'!BF62*ManureNEF*NtoN2O*kgtoGg,IF('Net zero activities &amp; levers'!$C$12="MS",'Net zero Activity data'!BF62*ManureNEF*NtoN2O*kgtoGg,"ERROR")))</f>
        <v>-2.7525096845033417E-2</v>
      </c>
      <c r="AN981" s="94">
        <f>IF('Net zero activities &amp; levers'!$C$12="Off",'Activity data'!BG62*ManureNEF*NtoN2O*kgtoGg,IF('Net zero activities &amp; levers'!$C$12="PB",'Activity data'!BG62*ManureNEF*NtoN2O*kgtoGg,IF('Net zero activities &amp; levers'!$C$12="MS",'Net zero Activity data'!BG62*ManureNEF*NtoN2O*kgtoGg,"ERROR")))</f>
        <v>-2.7214798691689582E-2</v>
      </c>
      <c r="AO981" s="94">
        <f>IF('Net zero activities &amp; levers'!$C$12="Off",'Activity data'!BH62*ManureNEF*NtoN2O*kgtoGg,IF('Net zero activities &amp; levers'!$C$12="PB",'Activity data'!BH62*ManureNEF*NtoN2O*kgtoGg,IF('Net zero activities &amp; levers'!$C$12="MS",'Net zero Activity data'!BH62*ManureNEF*NtoN2O*kgtoGg,"ERROR")))</f>
        <v>-2.6903261813323635E-2</v>
      </c>
      <c r="AP981" s="94">
        <f>IF('Net zero activities &amp; levers'!$C$12="Off",'Activity data'!BI62*ManureNEF*NtoN2O*kgtoGg,IF('Net zero activities &amp; levers'!$C$12="PB",'Activity data'!BI62*ManureNEF*NtoN2O*kgtoGg,IF('Net zero activities &amp; levers'!$C$12="MS",'Net zero Activity data'!BI62*ManureNEF*NtoN2O*kgtoGg,"ERROR")))</f>
        <v>-2.659000059935173E-2</v>
      </c>
      <c r="AQ981" s="94">
        <f>IF('Net zero activities &amp; levers'!$C$12="Off",'Activity data'!BJ62*ManureNEF*NtoN2O*kgtoGg,IF('Net zero activities &amp; levers'!$C$12="PB",'Activity data'!BJ62*ManureNEF*NtoN2O*kgtoGg,IF('Net zero activities &amp; levers'!$C$12="MS",'Net zero Activity data'!BJ62*ManureNEF*NtoN2O*kgtoGg,"ERROR")))</f>
        <v>-2.6275045310908511E-2</v>
      </c>
      <c r="AR981" s="94">
        <f>IF('Net zero activities &amp; levers'!$C$12="Off",'Activity data'!BK62*ManureNEF*NtoN2O*kgtoGg,IF('Net zero activities &amp; levers'!$C$12="PB",'Activity data'!BK62*ManureNEF*NtoN2O*kgtoGg,IF('Net zero activities &amp; levers'!$C$12="MS",'Net zero Activity data'!BK62*ManureNEF*NtoN2O*kgtoGg,"ERROR")))</f>
        <v>-2.5957874013715753E-2</v>
      </c>
      <c r="AS981" s="94">
        <f>IF('Net zero activities &amp; levers'!$C$12="Off",'Activity data'!BL62*ManureNEF*NtoN2O*kgtoGg,IF('Net zero activities &amp; levers'!$C$12="PB",'Activity data'!BL62*ManureNEF*NtoN2O*kgtoGg,IF('Net zero activities &amp; levers'!$C$12="MS",'Net zero Activity data'!BL62*ManureNEF*NtoN2O*kgtoGg,"ERROR")))</f>
        <v>-2.5637945266726723E-2</v>
      </c>
      <c r="AT981" s="94">
        <f>IF('Net zero activities &amp; levers'!$C$12="Off",'Activity data'!BM62*ManureNEF*NtoN2O*kgtoGg,IF('Net zero activities &amp; levers'!$C$12="PB",'Activity data'!BM62*ManureNEF*NtoN2O*kgtoGg,IF('Net zero activities &amp; levers'!$C$12="MS",'Net zero Activity data'!BM62*ManureNEF*NtoN2O*kgtoGg,"ERROR")))</f>
        <v>-2.5315349871404581E-2</v>
      </c>
      <c r="AU981" s="94">
        <f>IF('Net zero activities &amp; levers'!$C$12="Off",'Activity data'!BN62*ManureNEF*NtoN2O*kgtoGg,IF('Net zero activities &amp; levers'!$C$12="PB",'Activity data'!BN62*ManureNEF*NtoN2O*kgtoGg,IF('Net zero activities &amp; levers'!$C$12="MS",'Net zero Activity data'!BN62*ManureNEF*NtoN2O*kgtoGg,"ERROR")))</f>
        <v>-2.4990356269877063E-2</v>
      </c>
      <c r="AV981" s="94">
        <f>IF('Net zero activities &amp; levers'!$C$12="Off",'Activity data'!BO62*ManureNEF*NtoN2O*kgtoGg,IF('Net zero activities &amp; levers'!$C$12="PB",'Activity data'!BO62*ManureNEF*NtoN2O*kgtoGg,IF('Net zero activities &amp; levers'!$C$12="MS",'Net zero Activity data'!BO62*ManureNEF*NtoN2O*kgtoGg,"ERROR")))</f>
        <v>-2.4663194083915266E-2</v>
      </c>
      <c r="AW981" s="94">
        <f>IF('Net zero activities &amp; levers'!$C$12="Off",'Activity data'!BP62*ManureNEF*NtoN2O*kgtoGg,IF('Net zero activities &amp; levers'!$C$12="PB",'Activity data'!BP62*ManureNEF*NtoN2O*kgtoGg,IF('Net zero activities &amp; levers'!$C$12="MS",'Net zero Activity data'!BP62*ManureNEF*NtoN2O*kgtoGg,"ERROR")))</f>
        <v>-2.433341037395171E-2</v>
      </c>
      <c r="AY981" s="79"/>
      <c r="AZ981" s="79"/>
    </row>
    <row r="982" spans="1:52" x14ac:dyDescent="0.25">
      <c r="A982" s="95" t="str">
        <f t="shared" si="345"/>
        <v>DS Organic</v>
      </c>
      <c r="B982" s="95" t="s">
        <v>974</v>
      </c>
      <c r="C982" s="95" t="s">
        <v>1127</v>
      </c>
      <c r="D982" t="s">
        <v>369</v>
      </c>
      <c r="E982" t="s">
        <v>55</v>
      </c>
      <c r="F982" t="s">
        <v>421</v>
      </c>
      <c r="G982" t="s">
        <v>1178</v>
      </c>
      <c r="H982" t="s">
        <v>1179</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3.1618785484610064E-2</v>
      </c>
      <c r="L982" s="94">
        <f>IF('Net zero activities &amp; levers'!$C$12="Off",'Activity data'!AE63*ManureNEF*NtoN2O*kgtoGg,IF('Net zero activities &amp; levers'!$C$12="PB",'Activity data'!AE63*ManureNEF*NtoN2O*kgtoGg,IF('Net zero activities &amp; levers'!$C$12="MS",'Net zero Activity data'!AE63*ManureNEF*NtoN2O*kgtoGg,"ERROR")))</f>
        <v>3.1446916354757493E-2</v>
      </c>
      <c r="M982" s="94">
        <f>IF('Net zero activities &amp; levers'!$C$12="Off",'Activity data'!AF63*ManureNEF*NtoN2O*kgtoGg,IF('Net zero activities &amp; levers'!$C$12="PB",'Activity data'!AF63*ManureNEF*NtoN2O*kgtoGg,IF('Net zero activities &amp; levers'!$C$12="MS",'Net zero Activity data'!AF63*ManureNEF*NtoN2O*kgtoGg,"ERROR")))</f>
        <v>3.1461022839745618E-2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3.0053355161673637E-2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2.9155206131309674E-2</v>
      </c>
      <c r="S982" s="94">
        <f>IF('Net zero activities &amp; levers'!$C$12="Off",'Activity data'!AL63*ManureNEF*NtoN2O*kgtoGg,IF('Net zero activities &amp; levers'!$C$12="PB",'Activity data'!AL63*ManureNEF*NtoN2O*kgtoGg,IF('Net zero activities &amp; levers'!$C$12="MS",'Net zero Activity data'!AL63*ManureNEF*NtoN2O*kgtoGg,"ERROR")))</f>
        <v>2.6231647363859134E-2</v>
      </c>
      <c r="T982" s="94">
        <f>IF('Net zero activities &amp; levers'!$C$12="Off",'Activity data'!AM63*ManureNEF*NtoN2O*kgtoGg,IF('Net zero activities &amp; levers'!$C$12="PB",'Activity data'!AM63*ManureNEF*NtoN2O*kgtoGg,IF('Net zero activities &amp; levers'!$C$12="MS",'Net zero Activity data'!AM63*ManureNEF*NtoN2O*kgtoGg,"ERROR")))</f>
        <v>2.716833199056537E-2</v>
      </c>
      <c r="U982" s="94">
        <f>IF('Net zero activities &amp; levers'!$C$12="Off",'Activity data'!AN63*ManureNEF*NtoN2O*kgtoGg,IF('Net zero activities &amp; levers'!$C$12="PB",'Activity data'!AN63*ManureNEF*NtoN2O*kgtoGg,IF('Net zero activities &amp; levers'!$C$12="MS",'Net zero Activity data'!AN63*ManureNEF*NtoN2O*kgtoGg,"ERROR")))</f>
        <v>8.684407159585289E-2</v>
      </c>
      <c r="V982" s="94">
        <f>IF('Net zero activities &amp; levers'!$C$12="Off",'Activity data'!AO63*ManureNEF*NtoN2O*kgtoGg,IF('Net zero activities &amp; levers'!$C$12="PB",'Activity data'!AO63*ManureNEF*NtoN2O*kgtoGg,IF('Net zero activities &amp; levers'!$C$12="MS",'Net zero Activity data'!AO63*ManureNEF*NtoN2O*kgtoGg,"ERROR")))</f>
        <v>8.7082132710364829E-2</v>
      </c>
      <c r="W982" s="94">
        <f>IF('Net zero activities &amp; levers'!$C$12="Off",'Activity data'!AP63*ManureNEF*NtoN2O*kgtoGg,IF('Net zero activities &amp; levers'!$C$12="PB",'Activity data'!AP63*ManureNEF*NtoN2O*kgtoGg,IF('Net zero activities &amp; levers'!$C$12="MS",'Net zero Activity data'!AP63*ManureNEF*NtoN2O*kgtoGg,"ERROR")))</f>
        <v>8.7170055662748783E-2</v>
      </c>
      <c r="X982" s="94">
        <f>IF('Net zero activities &amp; levers'!$C$12="Off",'Activity data'!AQ63*ManureNEF*NtoN2O*kgtoGg,IF('Net zero activities &amp; levers'!$C$12="PB",'Activity data'!AQ63*ManureNEF*NtoN2O*kgtoGg,IF('Net zero activities &amp; levers'!$C$12="MS",'Net zero Activity data'!AQ63*ManureNEF*NtoN2O*kgtoGg,"ERROR")))</f>
        <v>8.7111807575317793E-2</v>
      </c>
      <c r="Y982" s="94">
        <f>IF('Net zero activities &amp; levers'!$C$12="Off",'Activity data'!AR63*ManureNEF*NtoN2O*kgtoGg,IF('Net zero activities &amp; levers'!$C$12="PB",'Activity data'!AR63*ManureNEF*NtoN2O*kgtoGg,IF('Net zero activities &amp; levers'!$C$12="MS",'Net zero Activity data'!AR63*ManureNEF*NtoN2O*kgtoGg,"ERROR")))</f>
        <v>8.6916175945850438E-2</v>
      </c>
      <c r="Z982" s="94">
        <f>IF('Net zero activities &amp; levers'!$C$12="Off",'Activity data'!AS63*ManureNEF*NtoN2O*kgtoGg,IF('Net zero activities &amp; levers'!$C$12="PB",'Activity data'!AS63*ManureNEF*NtoN2O*kgtoGg,IF('Net zero activities &amp; levers'!$C$12="MS",'Net zero Activity data'!AS63*ManureNEF*NtoN2O*kgtoGg,"ERROR")))</f>
        <v>8.6581363774233103E-2</v>
      </c>
      <c r="AA982" s="94">
        <f>IF('Net zero activities &amp; levers'!$C$12="Off",'Activity data'!AT63*ManureNEF*NtoN2O*kgtoGg,IF('Net zero activities &amp; levers'!$C$12="PB",'Activity data'!AT63*ManureNEF*NtoN2O*kgtoGg,IF('Net zero activities &amp; levers'!$C$12="MS",'Net zero Activity data'!AT63*ManureNEF*NtoN2O*kgtoGg,"ERROR")))</f>
        <v>8.6106889912360693E-2</v>
      </c>
      <c r="AB982" s="94">
        <f>IF('Net zero activities &amp; levers'!$C$12="Off",'Activity data'!AU63*ManureNEF*NtoN2O*kgtoGg,IF('Net zero activities &amp; levers'!$C$12="PB",'Activity data'!AU63*ManureNEF*NtoN2O*kgtoGg,IF('Net zero activities &amp; levers'!$C$12="MS",'Net zero Activity data'!AU63*ManureNEF*NtoN2O*kgtoGg,"ERROR")))</f>
        <v>8.5492798851799182E-2</v>
      </c>
      <c r="AC982" s="94">
        <f>IF('Net zero activities &amp; levers'!$C$12="Off",'Activity data'!AV63*ManureNEF*NtoN2O*kgtoGg,IF('Net zero activities &amp; levers'!$C$12="PB",'Activity data'!AV63*ManureNEF*NtoN2O*kgtoGg,IF('Net zero activities &amp; levers'!$C$12="MS",'Net zero Activity data'!AV63*ManureNEF*NtoN2O*kgtoGg,"ERROR")))</f>
        <v>8.4739878220595588E-2</v>
      </c>
      <c r="AD982" s="94">
        <f>IF('Net zero activities &amp; levers'!$C$12="Off",'Activity data'!AW63*ManureNEF*NtoN2O*kgtoGg,IF('Net zero activities &amp; levers'!$C$12="PB",'Activity data'!AW63*ManureNEF*NtoN2O*kgtoGg,IF('Net zero activities &amp; levers'!$C$12="MS",'Net zero Activity data'!AW63*ManureNEF*NtoN2O*kgtoGg,"ERROR")))</f>
        <v>8.3850065887683914E-2</v>
      </c>
      <c r="AE982" s="94">
        <f>IF('Net zero activities &amp; levers'!$C$12="Off",'Activity data'!AX63*ManureNEF*NtoN2O*kgtoGg,IF('Net zero activities &amp; levers'!$C$12="PB",'Activity data'!AX63*ManureNEF*NtoN2O*kgtoGg,IF('Net zero activities &amp; levers'!$C$12="MS",'Net zero Activity data'!AX63*ManureNEF*NtoN2O*kgtoGg,"ERROR")))</f>
        <v>8.2825812643839453E-2</v>
      </c>
      <c r="AF982" s="94">
        <f>IF('Net zero activities &amp; levers'!$C$12="Off",'Activity data'!AY63*ManureNEF*NtoN2O*kgtoGg,IF('Net zero activities &amp; levers'!$C$12="PB",'Activity data'!AY63*ManureNEF*NtoN2O*kgtoGg,IF('Net zero activities &amp; levers'!$C$12="MS",'Net zero Activity data'!AY63*ManureNEF*NtoN2O*kgtoGg,"ERROR")))</f>
        <v>8.1670581663819047E-2</v>
      </c>
      <c r="AG982" s="94">
        <f>IF('Net zero activities &amp; levers'!$C$12="Off",'Activity data'!AZ63*ManureNEF*NtoN2O*kgtoGg,IF('Net zero activities &amp; levers'!$C$12="PB",'Activity data'!AZ63*ManureNEF*NtoN2O*kgtoGg,IF('Net zero activities &amp; levers'!$C$12="MS",'Net zero Activity data'!AZ63*ManureNEF*NtoN2O*kgtoGg,"ERROR")))</f>
        <v>8.0388810816306083E-2</v>
      </c>
      <c r="AH982" s="94">
        <f>IF('Net zero activities &amp; levers'!$C$12="Off",'Activity data'!BA63*ManureNEF*NtoN2O*kgtoGg,IF('Net zero activities &amp; levers'!$C$12="PB",'Activity data'!BA63*ManureNEF*NtoN2O*kgtoGg,IF('Net zero activities &amp; levers'!$C$12="MS",'Net zero Activity data'!BA63*ManureNEF*NtoN2O*kgtoGg,"ERROR")))</f>
        <v>7.8985307203801092E-2</v>
      </c>
      <c r="AI982" s="94">
        <f>IF('Net zero activities &amp; levers'!$C$12="Off",'Activity data'!BB63*ManureNEF*NtoN2O*kgtoGg,IF('Net zero activities &amp; levers'!$C$12="PB",'Activity data'!BB63*ManureNEF*NtoN2O*kgtoGg,IF('Net zero activities &amp; levers'!$C$12="MS",'Net zero Activity data'!BB63*ManureNEF*NtoN2O*kgtoGg,"ERROR")))</f>
        <v>7.7465465241367507E-2</v>
      </c>
      <c r="AJ982" s="94">
        <f>IF('Net zero activities &amp; levers'!$C$12="Off",'Activity data'!BC63*ManureNEF*NtoN2O*kgtoGg,IF('Net zero activities &amp; levers'!$C$12="PB",'Activity data'!BC63*ManureNEF*NtoN2O*kgtoGg,IF('Net zero activities &amp; levers'!$C$12="MS",'Net zero Activity data'!BC63*ManureNEF*NtoN2O*kgtoGg,"ERROR")))</f>
        <v>-7.2184090198813182E-3</v>
      </c>
      <c r="AK982" s="94">
        <f>IF('Net zero activities &amp; levers'!$C$12="Off",'Activity data'!BD63*ManureNEF*NtoN2O*kgtoGg,IF('Net zero activities &amp; levers'!$C$12="PB",'Activity data'!BD63*ManureNEF*NtoN2O*kgtoGg,IF('Net zero activities &amp; levers'!$C$12="MS",'Net zero Activity data'!BD63*ManureNEF*NtoN2O*kgtoGg,"ERROR")))</f>
        <v>-7.1402631524810738E-3</v>
      </c>
      <c r="AL982" s="94">
        <f>IF('Net zero activities &amp; levers'!$C$12="Off",'Activity data'!BE63*ManureNEF*NtoN2O*kgtoGg,IF('Net zero activities &amp; levers'!$C$12="PB",'Activity data'!BE63*ManureNEF*NtoN2O*kgtoGg,IF('Net zero activities &amp; levers'!$C$12="MS",'Net zero Activity data'!BE63*ManureNEF*NtoN2O*kgtoGg,"ERROR")))</f>
        <v>-7.0618404194874671E-3</v>
      </c>
      <c r="AM982" s="94">
        <f>IF('Net zero activities &amp; levers'!$C$12="Off",'Activity data'!BF63*ManureNEF*NtoN2O*kgtoGg,IF('Net zero activities &amp; levers'!$C$12="PB",'Activity data'!BF63*ManureNEF*NtoN2O*kgtoGg,IF('Net zero activities &amp; levers'!$C$12="MS",'Net zero Activity data'!BF63*ManureNEF*NtoN2O*kgtoGg,"ERROR")))</f>
        <v>-6.9832221806532197E-3</v>
      </c>
      <c r="AN982" s="94">
        <f>IF('Net zero activities &amp; levers'!$C$12="Off",'Activity data'!BG63*ManureNEF*NtoN2O*kgtoGg,IF('Net zero activities &amp; levers'!$C$12="PB",'Activity data'!BG63*ManureNEF*NtoN2O*kgtoGg,IF('Net zero activities &amp; levers'!$C$12="MS",'Net zero Activity data'!BG63*ManureNEF*NtoN2O*kgtoGg,"ERROR")))</f>
        <v>-6.9044983542032711E-3</v>
      </c>
      <c r="AO982" s="94">
        <f>IF('Net zero activities &amp; levers'!$C$12="Off",'Activity data'!BH63*ManureNEF*NtoN2O*kgtoGg,IF('Net zero activities &amp; levers'!$C$12="PB",'Activity data'!BH63*ManureNEF*NtoN2O*kgtoGg,IF('Net zero activities &amp; levers'!$C$12="MS",'Net zero Activity data'!BH63*ManureNEF*NtoN2O*kgtoGg,"ERROR")))</f>
        <v>-6.8254602584848501E-3</v>
      </c>
      <c r="AP982" s="94">
        <f>IF('Net zero activities &amp; levers'!$C$12="Off",'Activity data'!BI63*ManureNEF*NtoN2O*kgtoGg,IF('Net zero activities &amp; levers'!$C$12="PB",'Activity data'!BI63*ManureNEF*NtoN2O*kgtoGg,IF('Net zero activities &amp; levers'!$C$12="MS",'Net zero Activity data'!BI63*ManureNEF*NtoN2O*kgtoGg,"ERROR")))</f>
        <v>-6.7459846922384176E-3</v>
      </c>
      <c r="AQ982" s="94">
        <f>IF('Net zero activities &amp; levers'!$C$12="Off",'Activity data'!BJ63*ManureNEF*NtoN2O*kgtoGg,IF('Net zero activities &amp; levers'!$C$12="PB",'Activity data'!BJ63*ManureNEF*NtoN2O*kgtoGg,IF('Net zero activities &amp; levers'!$C$12="MS",'Net zero Activity data'!BJ63*ManureNEF*NtoN2O*kgtoGg,"ERROR")))</f>
        <v>-6.66607933282939E-3</v>
      </c>
      <c r="AR982" s="94">
        <f>IF('Net zero activities &amp; levers'!$C$12="Off",'Activity data'!BK63*ManureNEF*NtoN2O*kgtoGg,IF('Net zero activities &amp; levers'!$C$12="PB",'Activity data'!BK63*ManureNEF*NtoN2O*kgtoGg,IF('Net zero activities &amp; levers'!$C$12="MS",'Net zero Activity data'!BK63*ManureNEF*NtoN2O*kgtoGg,"ERROR")))</f>
        <v>-6.5856117635382473E-3</v>
      </c>
      <c r="AS982" s="94">
        <f>IF('Net zero activities &amp; levers'!$C$12="Off",'Activity data'!BL63*ManureNEF*NtoN2O*kgtoGg,IF('Net zero activities &amp; levers'!$C$12="PB",'Activity data'!BL63*ManureNEF*NtoN2O*kgtoGg,IF('Net zero activities &amp; levers'!$C$12="MS",'Net zero Activity data'!BL63*ManureNEF*NtoN2O*kgtoGg,"ERROR")))</f>
        <v>-6.5044446187038276E-3</v>
      </c>
      <c r="AT982" s="94">
        <f>IF('Net zero activities &amp; levers'!$C$12="Off",'Activity data'!BM63*ManureNEF*NtoN2O*kgtoGg,IF('Net zero activities &amp; levers'!$C$12="PB",'Activity data'!BM63*ManureNEF*NtoN2O*kgtoGg,IF('Net zero activities &amp; levers'!$C$12="MS",'Net zero Activity data'!BM63*ManureNEF*NtoN2O*kgtoGg,"ERROR")))</f>
        <v>-6.4226009350040626E-3</v>
      </c>
      <c r="AU982" s="94">
        <f>IF('Net zero activities &amp; levers'!$C$12="Off",'Activity data'!BN63*ManureNEF*NtoN2O*kgtoGg,IF('Net zero activities &amp; levers'!$C$12="PB",'Activity data'!BN63*ManureNEF*NtoN2O*kgtoGg,IF('Net zero activities &amp; levers'!$C$12="MS",'Net zero Activity data'!BN63*ManureNEF*NtoN2O*kgtoGg,"ERROR")))</f>
        <v>-6.3401488172318849E-3</v>
      </c>
      <c r="AV982" s="94">
        <f>IF('Net zero activities &amp; levers'!$C$12="Off",'Activity data'!BO63*ManureNEF*NtoN2O*kgtoGg,IF('Net zero activities &amp; levers'!$C$12="PB",'Activity data'!BO63*ManureNEF*NtoN2O*kgtoGg,IF('Net zero activities &amp; levers'!$C$12="MS",'Net zero Activity data'!BO63*ManureNEF*NtoN2O*kgtoGg,"ERROR")))</f>
        <v>-6.2571465213074788E-3</v>
      </c>
      <c r="AW982" s="94">
        <f>IF('Net zero activities &amp; levers'!$C$12="Off",'Activity data'!BP63*ManureNEF*NtoN2O*kgtoGg,IF('Net zero activities &amp; levers'!$C$12="PB",'Activity data'!BP63*ManureNEF*NtoN2O*kgtoGg,IF('Net zero activities &amp; levers'!$C$12="MS",'Net zero Activity data'!BP63*ManureNEF*NtoN2O*kgtoGg,"ERROR")))</f>
        <v>-6.1734791347329209E-3</v>
      </c>
      <c r="AY982" s="79"/>
      <c r="AZ982" s="79"/>
    </row>
    <row r="983" spans="1:52" x14ac:dyDescent="0.25">
      <c r="A983" s="95" t="str">
        <f t="shared" si="345"/>
        <v>DS Organic</v>
      </c>
      <c r="B983" s="95" t="s">
        <v>974</v>
      </c>
      <c r="C983" s="95" t="s">
        <v>1127</v>
      </c>
      <c r="D983" t="s">
        <v>369</v>
      </c>
      <c r="E983" t="s">
        <v>55</v>
      </c>
      <c r="F983" t="s">
        <v>421</v>
      </c>
      <c r="G983" t="s">
        <v>1180</v>
      </c>
      <c r="H983" t="s">
        <v>1181</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0.15700744358616767</v>
      </c>
      <c r="L983" s="94">
        <f>IF('Net zero activities &amp; levers'!$C$12="Off",'Activity data'!AE64*ManureNEF*NtoN2O*kgtoGg,IF('Net zero activities &amp; levers'!$C$12="PB",'Activity data'!AE64*ManureNEF*NtoN2O*kgtoGg,IF('Net zero activities &amp; levers'!$C$12="MS",'Net zero Activity data'!AE64*ManureNEF*NtoN2O*kgtoGg,"ERROR")))</f>
        <v>0.16019971617730661</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0.17081649742586288</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0.17531753251219057</v>
      </c>
      <c r="S983" s="94">
        <f>IF('Net zero activities &amp; levers'!$C$12="Off",'Activity data'!AL64*ManureNEF*NtoN2O*kgtoGg,IF('Net zero activities &amp; levers'!$C$12="PB",'Activity data'!AL64*ManureNEF*NtoN2O*kgtoGg,IF('Net zero activities &amp; levers'!$C$12="MS",'Net zero Activity data'!AL64*ManureNEF*NtoN2O*kgtoGg,"ERROR")))</f>
        <v>0.16840615861524894</v>
      </c>
      <c r="T983" s="94">
        <f>IF('Net zero activities &amp; levers'!$C$12="Off",'Activity data'!AM64*ManureNEF*NtoN2O*kgtoGg,IF('Net zero activities &amp; levers'!$C$12="PB",'Activity data'!AM64*ManureNEF*NtoN2O*kgtoGg,IF('Net zero activities &amp; levers'!$C$12="MS",'Net zero Activity data'!AM64*ManureNEF*NtoN2O*kgtoGg,"ERROR")))</f>
        <v>0.17458356718938842</v>
      </c>
      <c r="U983" s="94">
        <f>IF('Net zero activities &amp; levers'!$C$12="Off",'Activity data'!AN64*ManureNEF*NtoN2O*kgtoGg,IF('Net zero activities &amp; levers'!$C$12="PB",'Activity data'!AN64*ManureNEF*NtoN2O*kgtoGg,IF('Net zero activities &amp; levers'!$C$12="MS",'Net zero Activity data'!AN64*ManureNEF*NtoN2O*kgtoGg,"ERROR")))</f>
        <v>0.38800090489360167</v>
      </c>
      <c r="V983" s="94">
        <f>IF('Net zero activities &amp; levers'!$C$12="Off",'Activity data'!AO64*ManureNEF*NtoN2O*kgtoGg,IF('Net zero activities &amp; levers'!$C$12="PB",'Activity data'!AO64*ManureNEF*NtoN2O*kgtoGg,IF('Net zero activities &amp; levers'!$C$12="MS",'Net zero Activity data'!AO64*ManureNEF*NtoN2O*kgtoGg,"ERROR")))</f>
        <v>0.39653088130091707</v>
      </c>
      <c r="W983" s="94">
        <f>IF('Net zero activities &amp; levers'!$C$12="Off",'Activity data'!AP64*ManureNEF*NtoN2O*kgtoGg,IF('Net zero activities &amp; levers'!$C$12="PB",'Activity data'!AP64*ManureNEF*NtoN2O*kgtoGg,IF('Net zero activities &amp; levers'!$C$12="MS",'Net zero Activity data'!AP64*ManureNEF*NtoN2O*kgtoGg,"ERROR")))</f>
        <v>0.40471104789547857</v>
      </c>
      <c r="X983" s="94">
        <f>IF('Net zero activities &amp; levers'!$C$12="Off",'Activity data'!AQ64*ManureNEF*NtoN2O*kgtoGg,IF('Net zero activities &amp; levers'!$C$12="PB",'Activity data'!AQ64*ManureNEF*NtoN2O*kgtoGg,IF('Net zero activities &amp; levers'!$C$12="MS",'Net zero Activity data'!AQ64*ManureNEF*NtoN2O*kgtoGg,"ERROR")))</f>
        <v>0.41246916129593358</v>
      </c>
      <c r="Y983" s="94">
        <f>IF('Net zero activities &amp; levers'!$C$12="Off",'Activity data'!AR64*ManureNEF*NtoN2O*kgtoGg,IF('Net zero activities &amp; levers'!$C$12="PB",'Activity data'!AR64*ManureNEF*NtoN2O*kgtoGg,IF('Net zero activities &amp; levers'!$C$12="MS",'Net zero Activity data'!AR64*ManureNEF*NtoN2O*kgtoGg,"ERROR")))</f>
        <v>0.41970725517029195</v>
      </c>
      <c r="Z983" s="94">
        <f>IF('Net zero activities &amp; levers'!$C$12="Off",'Activity data'!AS64*ManureNEF*NtoN2O*kgtoGg,IF('Net zero activities &amp; levers'!$C$12="PB",'Activity data'!AS64*ManureNEF*NtoN2O*kgtoGg,IF('Net zero activities &amp; levers'!$C$12="MS",'Net zero Activity data'!AS64*ManureNEF*NtoN2O*kgtoGg,"ERROR")))</f>
        <v>0.42639369577393321</v>
      </c>
      <c r="AA983" s="94">
        <f>IF('Net zero activities &amp; levers'!$C$12="Off",'Activity data'!AT64*ManureNEF*NtoN2O*kgtoGg,IF('Net zero activities &amp; levers'!$C$12="PB",'Activity data'!AT64*ManureNEF*NtoN2O*kgtoGg,IF('Net zero activities &amp; levers'!$C$12="MS",'Net zero Activity data'!AT64*ManureNEF*NtoN2O*kgtoGg,"ERROR")))</f>
        <v>0.43249628984221433</v>
      </c>
      <c r="AB983" s="94">
        <f>IF('Net zero activities &amp; levers'!$C$12="Off",'Activity data'!AU64*ManureNEF*NtoN2O*kgtoGg,IF('Net zero activities &amp; levers'!$C$12="PB",'Activity data'!AU64*ManureNEF*NtoN2O*kgtoGg,IF('Net zero activities &amp; levers'!$C$12="MS",'Net zero Activity data'!AU64*ManureNEF*NtoN2O*kgtoGg,"ERROR")))</f>
        <v>0.4379872665206837</v>
      </c>
      <c r="AC983" s="94">
        <f>IF('Net zero activities &amp; levers'!$C$12="Off",'Activity data'!AV64*ManureNEF*NtoN2O*kgtoGg,IF('Net zero activities &amp; levers'!$C$12="PB",'Activity data'!AV64*ManureNEF*NtoN2O*kgtoGg,IF('Net zero activities &amp; levers'!$C$12="MS",'Net zero Activity data'!AV64*ManureNEF*NtoN2O*kgtoGg,"ERROR")))</f>
        <v>0.44284225594622417</v>
      </c>
      <c r="AD983" s="94">
        <f>IF('Net zero activities &amp; levers'!$C$12="Off",'Activity data'!AW64*ManureNEF*NtoN2O*kgtoGg,IF('Net zero activities &amp; levers'!$C$12="PB",'Activity data'!AW64*ManureNEF*NtoN2O*kgtoGg,IF('Net zero activities &amp; levers'!$C$12="MS",'Net zero Activity data'!AW64*ManureNEF*NtoN2O*kgtoGg,"ERROR")))</f>
        <v>0.44703777917847665</v>
      </c>
      <c r="AE983" s="94">
        <f>IF('Net zero activities &amp; levers'!$C$12="Off",'Activity data'!AX64*ManureNEF*NtoN2O*kgtoGg,IF('Net zero activities &amp; levers'!$C$12="PB",'Activity data'!AX64*ManureNEF*NtoN2O*kgtoGg,IF('Net zero activities &amp; levers'!$C$12="MS",'Net zero Activity data'!AX64*ManureNEF*NtoN2O*kgtoGg,"ERROR")))</f>
        <v>0.4505554182669968</v>
      </c>
      <c r="AF983" s="94">
        <f>IF('Net zero activities &amp; levers'!$C$12="Off",'Activity data'!AY64*ManureNEF*NtoN2O*kgtoGg,IF('Net zero activities &amp; levers'!$C$12="PB",'Activity data'!AY64*ManureNEF*NtoN2O*kgtoGg,IF('Net zero activities &amp; levers'!$C$12="MS",'Net zero Activity data'!AY64*ManureNEF*NtoN2O*kgtoGg,"ERROR")))</f>
        <v>0.45337855769901697</v>
      </c>
      <c r="AG983" s="94">
        <f>IF('Net zero activities &amp; levers'!$C$12="Off",'Activity data'!AZ64*ManureNEF*NtoN2O*kgtoGg,IF('Net zero activities &amp; levers'!$C$12="PB",'Activity data'!AZ64*ManureNEF*NtoN2O*kgtoGg,IF('Net zero activities &amp; levers'!$C$12="MS",'Net zero Activity data'!AZ64*ManureNEF*NtoN2O*kgtoGg,"ERROR")))</f>
        <v>0.45549241971080034</v>
      </c>
      <c r="AH983" s="94">
        <f>IF('Net zero activities &amp; levers'!$C$12="Off",'Activity data'!BA64*ManureNEF*NtoN2O*kgtoGg,IF('Net zero activities &amp; levers'!$C$12="PB",'Activity data'!BA64*ManureNEF*NtoN2O*kgtoGg,IF('Net zero activities &amp; levers'!$C$12="MS",'Net zero Activity data'!BA64*ManureNEF*NtoN2O*kgtoGg,"ERROR")))</f>
        <v>0.45688810753700776</v>
      </c>
      <c r="AI983" s="94">
        <f>IF('Net zero activities &amp; levers'!$C$12="Off",'Activity data'!BB64*ManureNEF*NtoN2O*kgtoGg,IF('Net zero activities &amp; levers'!$C$12="PB",'Activity data'!BB64*ManureNEF*NtoN2O*kgtoGg,IF('Net zero activities &amp; levers'!$C$12="MS",'Net zero Activity data'!BB64*ManureNEF*NtoN2O*kgtoGg,"ERROR")))</f>
        <v>0.45756101673458949</v>
      </c>
      <c r="AJ983" s="94">
        <f>IF('Net zero activities &amp; levers'!$C$12="Off",'Activity data'!BC64*ManureNEF*NtoN2O*kgtoGg,IF('Net zero activities &amp; levers'!$C$12="PB",'Activity data'!BC64*ManureNEF*NtoN2O*kgtoGg,IF('Net zero activities &amp; levers'!$C$12="MS",'Net zero Activity data'!BC64*ManureNEF*NtoN2O*kgtoGg,"ERROR")))</f>
        <v>5.9649191888050651E-2</v>
      </c>
      <c r="AK983" s="94">
        <f>IF('Net zero activities &amp; levers'!$C$12="Off",'Activity data'!BD64*ManureNEF*NtoN2O*kgtoGg,IF('Net zero activities &amp; levers'!$C$12="PB",'Activity data'!BD64*ManureNEF*NtoN2O*kgtoGg,IF('Net zero activities &amp; levers'!$C$12="MS",'Net zero Activity data'!BD64*ManureNEF*NtoN2O*kgtoGg,"ERROR")))</f>
        <v>6.0086977867764617E-2</v>
      </c>
      <c r="AL983" s="94">
        <f>IF('Net zero activities &amp; levers'!$C$12="Off",'Activity data'!BE64*ManureNEF*NtoN2O*kgtoGg,IF('Net zero activities &amp; levers'!$C$12="PB",'Activity data'!BE64*ManureNEF*NtoN2O*kgtoGg,IF('Net zero activities &amp; levers'!$C$12="MS",'Net zero Activity data'!BE64*ManureNEF*NtoN2O*kgtoGg,"ERROR")))</f>
        <v>6.051391169747472E-2</v>
      </c>
      <c r="AM983" s="94">
        <f>IF('Net zero activities &amp; levers'!$C$12="Off",'Activity data'!BF64*ManureNEF*NtoN2O*kgtoGg,IF('Net zero activities &amp; levers'!$C$12="PB",'Activity data'!BF64*ManureNEF*NtoN2O*kgtoGg,IF('Net zero activities &amp; levers'!$C$12="MS",'Net zero Activity data'!BF64*ManureNEF*NtoN2O*kgtoGg,"ERROR")))</f>
        <v>6.0930636526454876E-2</v>
      </c>
      <c r="AN983" s="94">
        <f>IF('Net zero activities &amp; levers'!$C$12="Off",'Activity data'!BG64*ManureNEF*NtoN2O*kgtoGg,IF('Net zero activities &amp; levers'!$C$12="PB",'Activity data'!BG64*ManureNEF*NtoN2O*kgtoGg,IF('Net zero activities &amp; levers'!$C$12="MS",'Net zero Activity data'!BG64*ManureNEF*NtoN2O*kgtoGg,"ERROR")))</f>
        <v>6.1337893751701338E-2</v>
      </c>
      <c r="AO983" s="94">
        <f>IF('Net zero activities &amp; levers'!$C$12="Off",'Activity data'!BH64*ManureNEF*NtoN2O*kgtoGg,IF('Net zero activities &amp; levers'!$C$12="PB",'Activity data'!BH64*ManureNEF*NtoN2O*kgtoGg,IF('Net zero activities &amp; levers'!$C$12="MS",'Net zero Activity data'!BH64*ManureNEF*NtoN2O*kgtoGg,"ERROR")))</f>
        <v>6.173401354876637E-2</v>
      </c>
      <c r="AP983" s="94">
        <f>IF('Net zero activities &amp; levers'!$C$12="Off",'Activity data'!BI64*ManureNEF*NtoN2O*kgtoGg,IF('Net zero activities &amp; levers'!$C$12="PB",'Activity data'!BI64*ManureNEF*NtoN2O*kgtoGg,IF('Net zero activities &amp; levers'!$C$12="MS",'Net zero Activity data'!BI64*ManureNEF*NtoN2O*kgtoGg,"ERROR")))</f>
        <v>6.2117896275395594E-2</v>
      </c>
      <c r="AQ983" s="94">
        <f>IF('Net zero activities &amp; levers'!$C$12="Off",'Activity data'!BJ64*ManureNEF*NtoN2O*kgtoGg,IF('Net zero activities &amp; levers'!$C$12="PB",'Activity data'!BJ64*ManureNEF*NtoN2O*kgtoGg,IF('Net zero activities &amp; levers'!$C$12="MS",'Net zero Activity data'!BJ64*ManureNEF*NtoN2O*kgtoGg,"ERROR")))</f>
        <v>6.2489460947128449E-2</v>
      </c>
      <c r="AR983" s="94">
        <f>IF('Net zero activities &amp; levers'!$C$12="Off",'Activity data'!BK64*ManureNEF*NtoN2O*kgtoGg,IF('Net zero activities &amp; levers'!$C$12="PB",'Activity data'!BK64*ManureNEF*NtoN2O*kgtoGg,IF('Net zero activities &amp; levers'!$C$12="MS",'Net zero Activity data'!BK64*ManureNEF*NtoN2O*kgtoGg,"ERROR")))</f>
        <v>6.2847397693153853E-2</v>
      </c>
      <c r="AS983" s="94">
        <f>IF('Net zero activities &amp; levers'!$C$12="Off",'Activity data'!BL64*ManureNEF*NtoN2O*kgtoGg,IF('Net zero activities &amp; levers'!$C$12="PB",'Activity data'!BL64*ManureNEF*NtoN2O*kgtoGg,IF('Net zero activities &amp; levers'!$C$12="MS",'Net zero Activity data'!BL64*ManureNEF*NtoN2O*kgtoGg,"ERROR")))</f>
        <v>6.3190248292167767E-2</v>
      </c>
      <c r="AT983" s="94">
        <f>IF('Net zero activities &amp; levers'!$C$12="Off",'Activity data'!BM64*ManureNEF*NtoN2O*kgtoGg,IF('Net zero activities &amp; levers'!$C$12="PB",'Activity data'!BM64*ManureNEF*NtoN2O*kgtoGg,IF('Net zero activities &amp; levers'!$C$12="MS",'Net zero Activity data'!BM64*ManureNEF*NtoN2O*kgtoGg,"ERROR")))</f>
        <v>6.3517885217877365E-2</v>
      </c>
      <c r="AU983" s="94">
        <f>IF('Net zero activities &amp; levers'!$C$12="Off",'Activity data'!BN64*ManureNEF*NtoN2O*kgtoGg,IF('Net zero activities &amp; levers'!$C$12="PB",'Activity data'!BN64*ManureNEF*NtoN2O*kgtoGg,IF('Net zero activities &amp; levers'!$C$12="MS",'Net zero Activity data'!BN64*ManureNEF*NtoN2O*kgtoGg,"ERROR")))</f>
        <v>6.3830584812563373E-2</v>
      </c>
      <c r="AV983" s="94">
        <f>IF('Net zero activities &amp; levers'!$C$12="Off",'Activity data'!BO64*ManureNEF*NtoN2O*kgtoGg,IF('Net zero activities &amp; levers'!$C$12="PB",'Activity data'!BO64*ManureNEF*NtoN2O*kgtoGg,IF('Net zero activities &amp; levers'!$C$12="MS",'Net zero Activity data'!BO64*ManureNEF*NtoN2O*kgtoGg,"ERROR")))</f>
        <v>6.4128553387287249E-2</v>
      </c>
      <c r="AW983" s="94">
        <f>IF('Net zero activities &amp; levers'!$C$12="Off",'Activity data'!BP64*ManureNEF*NtoN2O*kgtoGg,IF('Net zero activities &amp; levers'!$C$12="PB",'Activity data'!BP64*ManureNEF*NtoN2O*kgtoGg,IF('Net zero activities &amp; levers'!$C$12="MS",'Net zero Activity data'!BP64*ManureNEF*NtoN2O*kgtoGg,"ERROR")))</f>
        <v>6.4410368967620674E-2</v>
      </c>
      <c r="AY983" s="79"/>
      <c r="AZ983" s="79"/>
    </row>
    <row r="984" spans="1:52" x14ac:dyDescent="0.25">
      <c r="A984" s="95" t="str">
        <f t="shared" si="345"/>
        <v>DS Organic</v>
      </c>
      <c r="B984" s="95" t="s">
        <v>974</v>
      </c>
      <c r="C984" s="95" t="s">
        <v>1127</v>
      </c>
      <c r="D984" t="s">
        <v>369</v>
      </c>
      <c r="E984" t="s">
        <v>55</v>
      </c>
      <c r="F984" t="s">
        <v>421</v>
      </c>
      <c r="G984" t="s">
        <v>1182</v>
      </c>
      <c r="H984" t="s">
        <v>1183</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0.78620275218739066</v>
      </c>
      <c r="L984" s="94">
        <f>IF('Net zero activities &amp; levers'!$C$12="Off",'Activity data'!AE65*ManureNEF*NtoN2O*kgtoGg,IF('Net zero activities &amp; levers'!$C$12="PB",'Activity data'!AE65*ManureNEF*NtoN2O*kgtoGg,IF('Net zero activities &amp; levers'!$C$12="MS",'Net zero Activity data'!AE65*ManureNEF*NtoN2O*kgtoGg,"ERROR")))</f>
        <v>0.79655563720176403</v>
      </c>
      <c r="M984" s="94">
        <f>IF('Net zero activities &amp; levers'!$C$12="Off",'Activity data'!AF65*ManureNEF*NtoN2O*kgtoGg,IF('Net zero activities &amp; levers'!$C$12="PB",'Activity data'!AF65*ManureNEF*NtoN2O*kgtoGg,IF('Net zero activities &amp; levers'!$C$12="MS",'Net zero Activity data'!AF65*ManureNEF*NtoN2O*kgtoGg,"ERROR")))</f>
        <v>0.81318534024672162</v>
      </c>
      <c r="N984" s="94">
        <f>IF('Net zero activities &amp; levers'!$C$12="Off",'Activity data'!AG65*ManureNEF*NtoN2O*kgtoGg,IF('Net zero activities &amp; levers'!$C$12="PB",'Activity data'!AG65*ManureNEF*NtoN2O*kgtoGg,IF('Net zero activities &amp; levers'!$C$12="MS",'Net zero Activity data'!AG65*ManureNEF*NtoN2O*kgtoGg,"ERROR")))</f>
        <v>0.81796021384654061</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0.80443274266431919</v>
      </c>
      <c r="Q984" s="94">
        <f>IF('Net zero activities &amp; levers'!$C$12="Off",'Activity data'!AJ65*ManureNEF*NtoN2O*kgtoGg,IF('Net zero activities &amp; levers'!$C$12="PB",'Activity data'!AJ65*ManureNEF*NtoN2O*kgtoGg,IF('Net zero activities &amp; levers'!$C$12="MS",'Net zero Activity data'!AJ65*ManureNEF*NtoN2O*kgtoGg,"ERROR")))</f>
        <v>0.7999705721751077</v>
      </c>
      <c r="R984" s="94">
        <f>IF('Net zero activities &amp; levers'!$C$12="Off",'Activity data'!AK65*ManureNEF*NtoN2O*kgtoGg,IF('Net zero activities &amp; levers'!$C$12="PB",'Activity data'!AK65*ManureNEF*NtoN2O*kgtoGg,IF('Net zero activities &amp; levers'!$C$12="MS",'Net zero Activity data'!AK65*ManureNEF*NtoN2O*kgtoGg,"ERROR")))</f>
        <v>0.79652072541357855</v>
      </c>
      <c r="S984" s="94">
        <f>IF('Net zero activities &amp; levers'!$C$12="Off",'Activity data'!AL65*ManureNEF*NtoN2O*kgtoGg,IF('Net zero activities &amp; levers'!$C$12="PB",'Activity data'!AL65*ManureNEF*NtoN2O*kgtoGg,IF('Net zero activities &amp; levers'!$C$12="MS",'Net zero Activity data'!AL65*ManureNEF*NtoN2O*kgtoGg,"ERROR")))</f>
        <v>0.69465569137892269</v>
      </c>
      <c r="T984" s="94">
        <f>IF('Net zero activities &amp; levers'!$C$12="Off",'Activity data'!AM65*ManureNEF*NtoN2O*kgtoGg,IF('Net zero activities &amp; levers'!$C$12="PB",'Activity data'!AM65*ManureNEF*NtoN2O*kgtoGg,IF('Net zero activities &amp; levers'!$C$12="MS",'Net zero Activity data'!AM65*ManureNEF*NtoN2O*kgtoGg,"ERROR")))</f>
        <v>0.74722740283446698</v>
      </c>
      <c r="U984" s="94">
        <f>IF('Net zero activities &amp; levers'!$C$12="Off",'Activity data'!AN65*ManureNEF*NtoN2O*kgtoGg,IF('Net zero activities &amp; levers'!$C$12="PB",'Activity data'!AN65*ManureNEF*NtoN2O*kgtoGg,IF('Net zero activities &amp; levers'!$C$12="MS",'Net zero Activity data'!AN65*ManureNEF*NtoN2O*kgtoGg,"ERROR")))</f>
        <v>3.2491319225574986</v>
      </c>
      <c r="V984" s="94">
        <f>IF('Net zero activities &amp; levers'!$C$12="Off",'Activity data'!AO65*ManureNEF*NtoN2O*kgtoGg,IF('Net zero activities &amp; levers'!$C$12="PB",'Activity data'!AO65*ManureNEF*NtoN2O*kgtoGg,IF('Net zero activities &amp; levers'!$C$12="MS",'Net zero Activity data'!AO65*ManureNEF*NtoN2O*kgtoGg,"ERROR")))</f>
        <v>3.3073834646513305</v>
      </c>
      <c r="W984" s="94">
        <f>IF('Net zero activities &amp; levers'!$C$12="Off",'Activity data'!AP65*ManureNEF*NtoN2O*kgtoGg,IF('Net zero activities &amp; levers'!$C$12="PB",'Activity data'!AP65*ManureNEF*NtoN2O*kgtoGg,IF('Net zero activities &amp; levers'!$C$12="MS",'Net zero Activity data'!AP65*ManureNEF*NtoN2O*kgtoGg,"ERROR")))</f>
        <v>3.3591336989468359</v>
      </c>
      <c r="X984" s="94">
        <f>IF('Net zero activities &amp; levers'!$C$12="Off",'Activity data'!AQ65*ManureNEF*NtoN2O*kgtoGg,IF('Net zero activities &amp; levers'!$C$12="PB",'Activity data'!AQ65*ManureNEF*NtoN2O*kgtoGg,IF('Net zero activities &amp; levers'!$C$12="MS",'Net zero Activity data'!AQ65*ManureNEF*NtoN2O*kgtoGg,"ERROR")))</f>
        <v>3.4046035940471189</v>
      </c>
      <c r="Y984" s="94">
        <f>IF('Net zero activities &amp; levers'!$C$12="Off",'Activity data'!AR65*ManureNEF*NtoN2O*kgtoGg,IF('Net zero activities &amp; levers'!$C$12="PB",'Activity data'!AR65*ManureNEF*NtoN2O*kgtoGg,IF('Net zero activities &amp; levers'!$C$12="MS",'Net zero Activity data'!AR65*ManureNEF*NtoN2O*kgtoGg,"ERROR")))</f>
        <v>3.4444110933040832</v>
      </c>
      <c r="Z984" s="94">
        <f>IF('Net zero activities &amp; levers'!$C$12="Off",'Activity data'!AS65*ManureNEF*NtoN2O*kgtoGg,IF('Net zero activities &amp; levers'!$C$12="PB",'Activity data'!AS65*ManureNEF*NtoN2O*kgtoGg,IF('Net zero activities &amp; levers'!$C$12="MS",'Net zero Activity data'!AS65*ManureNEF*NtoN2O*kgtoGg,"ERROR")))</f>
        <v>3.4782576037016457</v>
      </c>
      <c r="AA984" s="94">
        <f>IF('Net zero activities &amp; levers'!$C$12="Off",'Activity data'!AT65*ManureNEF*NtoN2O*kgtoGg,IF('Net zero activities &amp; levers'!$C$12="PB",'Activity data'!AT65*ManureNEF*NtoN2O*kgtoGg,IF('Net zero activities &amp; levers'!$C$12="MS",'Net zero Activity data'!AT65*ManureNEF*NtoN2O*kgtoGg,"ERROR")))</f>
        <v>3.505913886515494</v>
      </c>
      <c r="AB984" s="94">
        <f>IF('Net zero activities &amp; levers'!$C$12="Off",'Activity data'!AU65*ManureNEF*NtoN2O*kgtoGg,IF('Net zero activities &amp; levers'!$C$12="PB",'Activity data'!AU65*ManureNEF*NtoN2O*kgtoGg,IF('Net zero activities &amp; levers'!$C$12="MS",'Net zero Activity data'!AU65*ManureNEF*NtoN2O*kgtoGg,"ERROR")))</f>
        <v>3.5271546213039011</v>
      </c>
      <c r="AC984" s="94">
        <f>IF('Net zero activities &amp; levers'!$C$12="Off",'Activity data'!AV65*ManureNEF*NtoN2O*kgtoGg,IF('Net zero activities &amp; levers'!$C$12="PB",'Activity data'!AV65*ManureNEF*NtoN2O*kgtoGg,IF('Net zero activities &amp; levers'!$C$12="MS",'Net zero Activity data'!AV65*ManureNEF*NtoN2O*kgtoGg,"ERROR")))</f>
        <v>3.5417788512464328</v>
      </c>
      <c r="AD984" s="94">
        <f>IF('Net zero activities &amp; levers'!$C$12="Off",'Activity data'!AW65*ManureNEF*NtoN2O*kgtoGg,IF('Net zero activities &amp; levers'!$C$12="PB",'Activity data'!AW65*ManureNEF*NtoN2O*kgtoGg,IF('Net zero activities &amp; levers'!$C$12="MS",'Net zero Activity data'!AW65*ManureNEF*NtoN2O*kgtoGg,"ERROR")))</f>
        <v>3.549649544772171</v>
      </c>
      <c r="AE984" s="94">
        <f>IF('Net zero activities &amp; levers'!$C$12="Off",'Activity data'!AX65*ManureNEF*NtoN2O*kgtoGg,IF('Net zero activities &amp; levers'!$C$12="PB",'Activity data'!AX65*ManureNEF*NtoN2O*kgtoGg,IF('Net zero activities &amp; levers'!$C$12="MS",'Net zero Activity data'!AX65*ManureNEF*NtoN2O*kgtoGg,"ERROR")))</f>
        <v>3.5506396563756342</v>
      </c>
      <c r="AF984" s="94">
        <f>IF('Net zero activities &amp; levers'!$C$12="Off",'Activity data'!AY65*ManureNEF*NtoN2O*kgtoGg,IF('Net zero activities &amp; levers'!$C$12="PB",'Activity data'!AY65*ManureNEF*NtoN2O*kgtoGg,IF('Net zero activities &amp; levers'!$C$12="MS",'Net zero Activity data'!AY65*ManureNEF*NtoN2O*kgtoGg,"ERROR")))</f>
        <v>3.5446807301434013</v>
      </c>
      <c r="AG984" s="94">
        <f>IF('Net zero activities &amp; levers'!$C$12="Off",'Activity data'!AZ65*ManureNEF*NtoN2O*kgtoGg,IF('Net zero activities &amp; levers'!$C$12="PB",'Activity data'!AZ65*ManureNEF*NtoN2O*kgtoGg,IF('Net zero activities &amp; levers'!$C$12="MS",'Net zero Activity data'!AZ65*ManureNEF*NtoN2O*kgtoGg,"ERROR")))</f>
        <v>3.5317644478597843</v>
      </c>
      <c r="AH984" s="94">
        <f>IF('Net zero activities &amp; levers'!$C$12="Off",'Activity data'!BA65*ManureNEF*NtoN2O*kgtoGg,IF('Net zero activities &amp; levers'!$C$12="PB",'Activity data'!BA65*ManureNEF*NtoN2O*kgtoGg,IF('Net zero activities &amp; levers'!$C$12="MS",'Net zero Activity data'!BA65*ManureNEF*NtoN2O*kgtoGg,"ERROR")))</f>
        <v>3.5118898029906984</v>
      </c>
      <c r="AI984" s="94">
        <f>IF('Net zero activities &amp; levers'!$C$12="Off",'Activity data'!BB65*ManureNEF*NtoN2O*kgtoGg,IF('Net zero activities &amp; levers'!$C$12="PB",'Activity data'!BB65*ManureNEF*NtoN2O*kgtoGg,IF('Net zero activities &amp; levers'!$C$12="MS",'Net zero Activity data'!BB65*ManureNEF*NtoN2O*kgtoGg,"ERROR")))</f>
        <v>3.4850865665660411</v>
      </c>
      <c r="AJ984" s="94">
        <f>IF('Net zero activities &amp; levers'!$C$12="Off",'Activity data'!BC65*ManureNEF*NtoN2O*kgtoGg,IF('Net zero activities &amp; levers'!$C$12="PB",'Activity data'!BC65*ManureNEF*NtoN2O*kgtoGg,IF('Net zero activities &amp; levers'!$C$12="MS",'Net zero Activity data'!BC65*ManureNEF*NtoN2O*kgtoGg,"ERROR")))</f>
        <v>-0.74420912451247578</v>
      </c>
      <c r="AK984" s="94">
        <f>IF('Net zero activities &amp; levers'!$C$12="Off",'Activity data'!BD65*ManureNEF*NtoN2O*kgtoGg,IF('Net zero activities &amp; levers'!$C$12="PB",'Activity data'!BD65*ManureNEF*NtoN2O*kgtoGg,IF('Net zero activities &amp; levers'!$C$12="MS",'Net zero Activity data'!BD65*ManureNEF*NtoN2O*kgtoGg,"ERROR")))</f>
        <v>-0.74526229962435608</v>
      </c>
      <c r="AL984" s="94">
        <f>IF('Net zero activities &amp; levers'!$C$12="Off",'Activity data'!BE65*ManureNEF*NtoN2O*kgtoGg,IF('Net zero activities &amp; levers'!$C$12="PB",'Activity data'!BE65*ManureNEF*NtoN2O*kgtoGg,IF('Net zero activities &amp; levers'!$C$12="MS",'Net zero Activity data'!BE65*ManureNEF*NtoN2O*kgtoGg,"ERROR")))</f>
        <v>-0.74621593178570578</v>
      </c>
      <c r="AM984" s="94">
        <f>IF('Net zero activities &amp; levers'!$C$12="Off",'Activity data'!BF65*ManureNEF*NtoN2O*kgtoGg,IF('Net zero activities &amp; levers'!$C$12="PB",'Activity data'!BF65*ManureNEF*NtoN2O*kgtoGg,IF('Net zero activities &amp; levers'!$C$12="MS",'Net zero Activity data'!BF65*ManureNEF*NtoN2O*kgtoGg,"ERROR")))</f>
        <v>-0.74707813045846294</v>
      </c>
      <c r="AN984" s="94">
        <f>IF('Net zero activities &amp; levers'!$C$12="Off",'Activity data'!BG65*ManureNEF*NtoN2O*kgtoGg,IF('Net zero activities &amp; levers'!$C$12="PB",'Activity data'!BG65*ManureNEF*NtoN2O*kgtoGg,IF('Net zero activities &amp; levers'!$C$12="MS",'Net zero Activity data'!BG65*ManureNEF*NtoN2O*kgtoGg,"ERROR")))</f>
        <v>-0.74785816697127483</v>
      </c>
      <c r="AO984" s="94">
        <f>IF('Net zero activities &amp; levers'!$C$12="Off",'Activity data'!BH65*ManureNEF*NtoN2O*kgtoGg,IF('Net zero activities &amp; levers'!$C$12="PB",'Activity data'!BH65*ManureNEF*NtoN2O*kgtoGg,IF('Net zero activities &amp; levers'!$C$12="MS",'Net zero Activity data'!BH65*ManureNEF*NtoN2O*kgtoGg,"ERROR")))</f>
        <v>-0.74853427138595596</v>
      </c>
      <c r="AP984" s="94">
        <f>IF('Net zero activities &amp; levers'!$C$12="Off",'Activity data'!BI65*ManureNEF*NtoN2O*kgtoGg,IF('Net zero activities &amp; levers'!$C$12="PB",'Activity data'!BI65*ManureNEF*NtoN2O*kgtoGg,IF('Net zero activities &amp; levers'!$C$12="MS",'Net zero Activity data'!BI65*ManureNEF*NtoN2O*kgtoGg,"ERROR")))</f>
        <v>-0.74909252303654383</v>
      </c>
      <c r="AQ984" s="94">
        <f>IF('Net zero activities &amp; levers'!$C$12="Off",'Activity data'!BJ65*ManureNEF*NtoN2O*kgtoGg,IF('Net zero activities &amp; levers'!$C$12="PB",'Activity data'!BJ65*ManureNEF*NtoN2O*kgtoGg,IF('Net zero activities &amp; levers'!$C$12="MS",'Net zero Activity data'!BJ65*ManureNEF*NtoN2O*kgtoGg,"ERROR")))</f>
        <v>-0.74953228992663867</v>
      </c>
      <c r="AR984" s="94">
        <f>IF('Net zero activities &amp; levers'!$C$12="Off",'Activity data'!BK65*ManureNEF*NtoN2O*kgtoGg,IF('Net zero activities &amp; levers'!$C$12="PB",'Activity data'!BK65*ManureNEF*NtoN2O*kgtoGg,IF('Net zero activities &amp; levers'!$C$12="MS",'Net zero Activity data'!BK65*ManureNEF*NtoN2O*kgtoGg,"ERROR")))</f>
        <v>-0.74983752364841638</v>
      </c>
      <c r="AS984" s="94">
        <f>IF('Net zero activities &amp; levers'!$C$12="Off",'Activity data'!BL65*ManureNEF*NtoN2O*kgtoGg,IF('Net zero activities &amp; levers'!$C$12="PB",'Activity data'!BL65*ManureNEF*NtoN2O*kgtoGg,IF('Net zero activities &amp; levers'!$C$12="MS",'Net zero Activity data'!BL65*ManureNEF*NtoN2O*kgtoGg,"ERROR")))</f>
        <v>-0.74999071959333552</v>
      </c>
      <c r="AT984" s="94">
        <f>IF('Net zero activities &amp; levers'!$C$12="Off",'Activity data'!BM65*ManureNEF*NtoN2O*kgtoGg,IF('Net zero activities &amp; levers'!$C$12="PB",'Activity data'!BM65*ManureNEF*NtoN2O*kgtoGg,IF('Net zero activities &amp; levers'!$C$12="MS",'Net zero Activity data'!BM65*ManureNEF*NtoN2O*kgtoGg,"ERROR")))</f>
        <v>-0.74999137614758737</v>
      </c>
      <c r="AU984" s="94">
        <f>IF('Net zero activities &amp; levers'!$C$12="Off",'Activity data'!BN65*ManureNEF*NtoN2O*kgtoGg,IF('Net zero activities &amp; levers'!$C$12="PB",'Activity data'!BN65*ManureNEF*NtoN2O*kgtoGg,IF('Net zero activities &amp; levers'!$C$12="MS",'Net zero Activity data'!BN65*ManureNEF*NtoN2O*kgtoGg,"ERROR")))</f>
        <v>-0.74984403824480428</v>
      </c>
      <c r="AV984" s="94">
        <f>IF('Net zero activities &amp; levers'!$C$12="Off",'Activity data'!BO65*ManureNEF*NtoN2O*kgtoGg,IF('Net zero activities &amp; levers'!$C$12="PB",'Activity data'!BO65*ManureNEF*NtoN2O*kgtoGg,IF('Net zero activities &amp; levers'!$C$12="MS",'Net zero Activity data'!BO65*ManureNEF*NtoN2O*kgtoGg,"ERROR")))</f>
        <v>-0.749552317817198</v>
      </c>
      <c r="AW984" s="94">
        <f>IF('Net zero activities &amp; levers'!$C$12="Off",'Activity data'!BP65*ManureNEF*NtoN2O*kgtoGg,IF('Net zero activities &amp; levers'!$C$12="PB",'Activity data'!BP65*ManureNEF*NtoN2O*kgtoGg,IF('Net zero activities &amp; levers'!$C$12="MS",'Net zero Activity data'!BP65*ManureNEF*NtoN2O*kgtoGg,"ERROR")))</f>
        <v>-0.74909980498727913</v>
      </c>
      <c r="AY984" s="79"/>
      <c r="AZ984" s="79"/>
    </row>
    <row r="985" spans="1:52" x14ac:dyDescent="0.25">
      <c r="A985" s="95" t="str">
        <f t="shared" si="345"/>
        <v>DS U&amp;D</v>
      </c>
      <c r="B985" s="95" t="s">
        <v>974</v>
      </c>
      <c r="C985" s="95" t="s">
        <v>1336</v>
      </c>
      <c r="D985" t="s">
        <v>369</v>
      </c>
      <c r="E985" t="s">
        <v>55</v>
      </c>
      <c r="F985" t="s">
        <v>422</v>
      </c>
      <c r="G985" t="s">
        <v>1152</v>
      </c>
      <c r="H985" t="s">
        <v>1240</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25">
      <c r="A986" s="95" t="str">
        <f t="shared" si="345"/>
        <v>DS U&amp;D</v>
      </c>
      <c r="B986" s="95" t="s">
        <v>974</v>
      </c>
      <c r="C986" s="95" t="s">
        <v>1336</v>
      </c>
      <c r="D986" t="s">
        <v>369</v>
      </c>
      <c r="E986" t="s">
        <v>55</v>
      </c>
      <c r="F986" t="s">
        <v>422</v>
      </c>
      <c r="G986" t="s">
        <v>1154</v>
      </c>
      <c r="H986" t="s">
        <v>1241</v>
      </c>
      <c r="I986" t="s">
        <v>139</v>
      </c>
      <c r="J986" t="s">
        <v>287</v>
      </c>
      <c r="K986" s="22">
        <f t="shared" ref="K986:Z987" si="347">K1483</f>
        <v>1.0775797812462991</v>
      </c>
      <c r="L986" s="22">
        <f t="shared" si="347"/>
        <v>1.0836040032789309</v>
      </c>
      <c r="M986" s="22">
        <f t="shared" si="347"/>
        <v>1.0921513426512339</v>
      </c>
      <c r="N986" s="22">
        <f t="shared" si="347"/>
        <v>1.0976439186771809</v>
      </c>
      <c r="O986" s="22">
        <f t="shared" si="347"/>
        <v>1.1012937605673541</v>
      </c>
      <c r="P986" s="22">
        <f t="shared" si="347"/>
        <v>1.1030649457277466</v>
      </c>
      <c r="Q986" s="22">
        <f t="shared" si="347"/>
        <v>1.1069781529146336</v>
      </c>
      <c r="R986" s="22">
        <f t="shared" si="347"/>
        <v>1.1114672588381174</v>
      </c>
      <c r="S986" s="22">
        <f t="shared" si="347"/>
        <v>1.0798853549763567</v>
      </c>
      <c r="T986" s="22">
        <f t="shared" si="347"/>
        <v>1.098466311859537</v>
      </c>
      <c r="U986" s="22">
        <f t="shared" si="347"/>
        <v>1.889999136322517</v>
      </c>
      <c r="V986" s="22">
        <f t="shared" si="347"/>
        <v>1.9127821937491298</v>
      </c>
      <c r="W986" s="22">
        <f t="shared" si="347"/>
        <v>1.9345659305338647</v>
      </c>
      <c r="X986" s="22">
        <f t="shared" si="347"/>
        <v>1.9549798101221001</v>
      </c>
      <c r="Y986" s="22">
        <f t="shared" si="347"/>
        <v>1.9734786750778357</v>
      </c>
      <c r="Z986" s="22">
        <f t="shared" si="347"/>
        <v>1.9899761352853818</v>
      </c>
      <c r="AA986" s="22">
        <f t="shared" si="346"/>
        <v>2.0043760843310485</v>
      </c>
      <c r="AB986" s="22">
        <f t="shared" si="346"/>
        <v>2.0166057838413951</v>
      </c>
      <c r="AC986" s="22">
        <f t="shared" si="346"/>
        <v>2.0266075471247365</v>
      </c>
      <c r="AD986" s="22">
        <f t="shared" si="346"/>
        <v>2.0343207325041344</v>
      </c>
      <c r="AE986" s="22">
        <f t="shared" si="346"/>
        <v>2.0397090361762231</v>
      </c>
      <c r="AF986" s="22">
        <f t="shared" si="346"/>
        <v>2.0427376347432897</v>
      </c>
      <c r="AG986" s="22">
        <f t="shared" si="346"/>
        <v>2.0433728844876047</v>
      </c>
      <c r="AH986" s="22">
        <f t="shared" si="346"/>
        <v>2.0416086414199954</v>
      </c>
      <c r="AI986" s="22">
        <f t="shared" si="346"/>
        <v>2.0374549495329468</v>
      </c>
      <c r="AJ986" s="22">
        <f t="shared" si="346"/>
        <v>0.64461551353755753</v>
      </c>
      <c r="AK986" s="22">
        <f t="shared" si="346"/>
        <v>0.64508607204460633</v>
      </c>
      <c r="AL986" s="22">
        <f t="shared" si="346"/>
        <v>0.64552275664376835</v>
      </c>
      <c r="AM986" s="22">
        <f t="shared" si="346"/>
        <v>0.64592852135594947</v>
      </c>
      <c r="AN986" s="22">
        <f t="shared" si="346"/>
        <v>0.64630700491581017</v>
      </c>
      <c r="AO986" s="22">
        <f t="shared" si="346"/>
        <v>0.64664632856302828</v>
      </c>
      <c r="AP986" s="22">
        <f t="shared" si="346"/>
        <v>0.64693851525277601</v>
      </c>
      <c r="AQ986" s="22">
        <f t="shared" si="346"/>
        <v>0.64718228577189862</v>
      </c>
      <c r="AR986" s="22">
        <f t="shared" si="346"/>
        <v>0.64736858903651606</v>
      </c>
      <c r="AS986" s="22">
        <f t="shared" si="346"/>
        <v>0.64748759839973102</v>
      </c>
      <c r="AT986" s="22">
        <f t="shared" si="346"/>
        <v>0.64753810013359636</v>
      </c>
      <c r="AU986" s="22">
        <f t="shared" si="346"/>
        <v>0.6475214899931051</v>
      </c>
      <c r="AV986" s="22">
        <f t="shared" si="346"/>
        <v>0.6474387413563446</v>
      </c>
      <c r="AW986" s="22">
        <f t="shared" si="346"/>
        <v>0.64728061173527773</v>
      </c>
      <c r="AY986" s="79"/>
      <c r="AZ986" s="79"/>
    </row>
    <row r="987" spans="1:52" x14ac:dyDescent="0.25">
      <c r="A987" s="95" t="str">
        <f t="shared" si="345"/>
        <v>DS U&amp;D</v>
      </c>
      <c r="B987" s="95" t="s">
        <v>974</v>
      </c>
      <c r="C987" s="95" t="s">
        <v>1336</v>
      </c>
      <c r="D987" t="s">
        <v>369</v>
      </c>
      <c r="E987" t="s">
        <v>55</v>
      </c>
      <c r="F987" t="s">
        <v>422</v>
      </c>
      <c r="G987" t="s">
        <v>1156</v>
      </c>
      <c r="H987" t="s">
        <v>1242</v>
      </c>
      <c r="I987" t="s">
        <v>139</v>
      </c>
      <c r="J987" t="s">
        <v>287</v>
      </c>
      <c r="K987" s="22">
        <f t="shared" si="347"/>
        <v>0.73383920392416069</v>
      </c>
      <c r="L987" s="22">
        <f t="shared" si="346"/>
        <v>0.73794174034663862</v>
      </c>
      <c r="M987" s="22">
        <f t="shared" si="346"/>
        <v>0.74376253694082328</v>
      </c>
      <c r="N987" s="22">
        <f t="shared" si="346"/>
        <v>0.74750301879518044</v>
      </c>
      <c r="O987" s="22">
        <f t="shared" si="346"/>
        <v>0.74998858609492669</v>
      </c>
      <c r="P987" s="22">
        <f t="shared" si="346"/>
        <v>0.75119477530775858</v>
      </c>
      <c r="Q987" s="22">
        <f t="shared" si="346"/>
        <v>0.7538596961765357</v>
      </c>
      <c r="R987" s="22">
        <f t="shared" si="346"/>
        <v>0.75691680802528449</v>
      </c>
      <c r="S987" s="22">
        <f t="shared" si="346"/>
        <v>0.73540931540926791</v>
      </c>
      <c r="T987" s="22">
        <f t="shared" si="346"/>
        <v>0.74806307417925111</v>
      </c>
      <c r="U987" s="22">
        <f t="shared" si="346"/>
        <v>1.2871023433755899</v>
      </c>
      <c r="V987" s="22">
        <f t="shared" si="346"/>
        <v>1.3026177613667917</v>
      </c>
      <c r="W987" s="22">
        <f t="shared" si="346"/>
        <v>1.3174526351634348</v>
      </c>
      <c r="X987" s="22">
        <f t="shared" si="346"/>
        <v>1.3313546268365786</v>
      </c>
      <c r="Y987" s="22">
        <f t="shared" si="346"/>
        <v>1.3439524804422922</v>
      </c>
      <c r="Z987" s="22">
        <f t="shared" si="346"/>
        <v>1.3551873637207013</v>
      </c>
      <c r="AA987" s="22">
        <f t="shared" si="346"/>
        <v>1.3649938275465159</v>
      </c>
      <c r="AB987" s="22">
        <f t="shared" si="346"/>
        <v>1.3733223365897391</v>
      </c>
      <c r="AC987" s="22">
        <f t="shared" si="346"/>
        <v>1.3801336058186369</v>
      </c>
      <c r="AD987" s="22">
        <f t="shared" si="346"/>
        <v>1.3853863378362978</v>
      </c>
      <c r="AE987" s="22">
        <f t="shared" si="346"/>
        <v>1.3890558095042369</v>
      </c>
      <c r="AF987" s="22">
        <f t="shared" si="346"/>
        <v>1.3911183058503465</v>
      </c>
      <c r="AG987" s="22">
        <f t="shared" si="346"/>
        <v>1.3915509152726599</v>
      </c>
      <c r="AH987" s="22">
        <f t="shared" si="346"/>
        <v>1.3903494536725116</v>
      </c>
      <c r="AI987" s="22">
        <f t="shared" si="346"/>
        <v>1.3875207610775073</v>
      </c>
      <c r="AJ987" s="22">
        <f t="shared" si="346"/>
        <v>0.43898757523499138</v>
      </c>
      <c r="AK987" s="22">
        <f t="shared" si="346"/>
        <v>0.43930802879789405</v>
      </c>
      <c r="AL987" s="22">
        <f t="shared" si="346"/>
        <v>0.43960541399775782</v>
      </c>
      <c r="AM987" s="22">
        <f t="shared" si="346"/>
        <v>0.43988174254303092</v>
      </c>
      <c r="AN987" s="22">
        <f t="shared" si="346"/>
        <v>0.44013949243691386</v>
      </c>
      <c r="AO987" s="22">
        <f t="shared" si="346"/>
        <v>0.44037057416235159</v>
      </c>
      <c r="AP987" s="22">
        <f t="shared" si="346"/>
        <v>0.44056955529723674</v>
      </c>
      <c r="AQ987" s="22">
        <f t="shared" si="346"/>
        <v>0.4407355646886586</v>
      </c>
      <c r="AR987" s="22">
        <f t="shared" si="346"/>
        <v>0.44086243848656637</v>
      </c>
      <c r="AS987" s="22">
        <f t="shared" si="346"/>
        <v>0.44094348467718814</v>
      </c>
      <c r="AT987" s="22">
        <f t="shared" si="346"/>
        <v>0.44097787670348765</v>
      </c>
      <c r="AU987" s="22">
        <f t="shared" si="346"/>
        <v>0.44096656508416521</v>
      </c>
      <c r="AV987" s="22">
        <f t="shared" si="346"/>
        <v>0.44091021269635783</v>
      </c>
      <c r="AW987" s="22">
        <f t="shared" si="346"/>
        <v>0.44080252534247472</v>
      </c>
      <c r="AY987" s="79"/>
      <c r="AZ987" s="79"/>
    </row>
    <row r="988" spans="1:52" x14ac:dyDescent="0.25">
      <c r="A988" s="95" t="str">
        <f t="shared" si="345"/>
        <v>DS U&amp;D</v>
      </c>
      <c r="B988" s="95" t="s">
        <v>974</v>
      </c>
      <c r="C988" s="95" t="s">
        <v>1336</v>
      </c>
      <c r="D988" t="s">
        <v>369</v>
      </c>
      <c r="E988" t="s">
        <v>55</v>
      </c>
      <c r="F988" t="s">
        <v>422</v>
      </c>
      <c r="G988" t="s">
        <v>1158</v>
      </c>
      <c r="H988" t="s">
        <v>1243</v>
      </c>
      <c r="I988" t="s">
        <v>139</v>
      </c>
      <c r="J988" t="s">
        <v>287</v>
      </c>
      <c r="K988" s="94">
        <f>IF('Net zero activities &amp; levers'!$C$12="Off",'Activity data'!AD69*UDCPPEF*NtoN2O*kgtoGg,'Net zero Activity data'!AD69*UDCPPEF*NtoN2O*kgtoGg)</f>
        <v>15.353527292296841</v>
      </c>
      <c r="L988" s="94">
        <f>IF('Net zero activities &amp; levers'!$C$12="Off",'Activity data'!AE69*UDCPPEF*NtoN2O*kgtoGg,'Net zero Activity data'!AE69*UDCPPEF*NtoN2O*kgtoGg)</f>
        <v>15.220371053361493</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14.967111251021194</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13.711253827544137</v>
      </c>
      <c r="S988" s="94">
        <f>IF('Net zero activities &amp; levers'!$C$12="Off",'Activity data'!AL69*UDCPPEF*NtoN2O*kgtoGg,'Net zero Activity data'!AL69*UDCPPEF*NtoN2O*kgtoGg)</f>
        <v>12.262231428549004</v>
      </c>
      <c r="T988" s="94">
        <f>IF('Net zero activities &amp; levers'!$C$12="Off",'Activity data'!AM69*UDCPPEF*NtoN2O*kgtoGg,'Net zero Activity data'!AM69*UDCPPEF*NtoN2O*kgtoGg)</f>
        <v>12.73465794206464</v>
      </c>
      <c r="U988" s="94">
        <f>IF('Net zero activities &amp; levers'!$C$12="Off",'Activity data'!AN69*UDCPPEF*NtoN2O*kgtoGg,'Net zero Activity data'!AN69*UDCPPEF*NtoN2O*kgtoGg)</f>
        <v>40.135765944691244</v>
      </c>
      <c r="V988" s="94">
        <f>IF('Net zero activities &amp; levers'!$C$12="Off",'Activity data'!AO69*UDCPPEF*NtoN2O*kgtoGg,'Net zero Activity data'!AO69*UDCPPEF*NtoN2O*kgtoGg)</f>
        <v>40.329355964050443</v>
      </c>
      <c r="W988" s="94">
        <f>IF('Net zero activities &amp; levers'!$C$12="Off",'Activity data'!AP69*UDCPPEF*NtoN2O*kgtoGg,'Net zero Activity data'!AP69*UDCPPEF*NtoN2O*kgtoGg)</f>
        <v>40.453253097840147</v>
      </c>
      <c r="X988" s="94">
        <f>IF('Net zero activities &amp; levers'!$C$12="Off",'Activity data'!AQ69*UDCPPEF*NtoN2O*kgtoGg,'Net zero Activity data'!AQ69*UDCPPEF*NtoN2O*kgtoGg)</f>
        <v>40.507432110592688</v>
      </c>
      <c r="Y988" s="94">
        <f>IF('Net zero activities &amp; levers'!$C$12="Off",'Activity data'!AR69*UDCPPEF*NtoN2O*kgtoGg,'Net zero Activity data'!AR69*UDCPPEF*NtoN2O*kgtoGg)</f>
        <v>40.493040718668887</v>
      </c>
      <c r="Z988" s="94">
        <f>IF('Net zero activities &amp; levers'!$C$12="Off",'Activity data'!AS69*UDCPPEF*NtoN2O*kgtoGg,'Net zero Activity data'!AS69*UDCPPEF*NtoN2O*kgtoGg)</f>
        <v>40.409389107608789</v>
      </c>
      <c r="AA988" s="94">
        <f>IF('Net zero activities &amp; levers'!$C$12="Off",'Activity data'!AT69*UDCPPEF*NtoN2O*kgtoGg,'Net zero Activity data'!AT69*UDCPPEF*NtoN2O*kgtoGg)</f>
        <v>40.256272365845206</v>
      </c>
      <c r="AB988" s="94">
        <f>IF('Net zero activities &amp; levers'!$C$12="Off",'Activity data'!AU69*UDCPPEF*NtoN2O*kgtoGg,'Net zero Activity data'!AU69*UDCPPEF*NtoN2O*kgtoGg)</f>
        <v>40.033817183265413</v>
      </c>
      <c r="AC988" s="94">
        <f>IF('Net zero activities &amp; levers'!$C$12="Off",'Activity data'!AV69*UDCPPEF*NtoN2O*kgtoGg,'Net zero Activity data'!AV69*UDCPPEF*NtoN2O*kgtoGg)</f>
        <v>39.742523773077906</v>
      </c>
      <c r="AD988" s="94">
        <f>IF('Net zero activities &amp; levers'!$C$12="Off",'Activity data'!AW69*UDCPPEF*NtoN2O*kgtoGg,'Net zero Activity data'!AW69*UDCPPEF*NtoN2O*kgtoGg)</f>
        <v>39.052391122761925</v>
      </c>
      <c r="AE988" s="94">
        <f>IF('Net zero activities &amp; levers'!$C$12="Off",'Activity data'!AX69*UDCPPEF*NtoN2O*kgtoGg,'Net zero Activity data'!AX69*UDCPPEF*NtoN2O*kgtoGg)</f>
        <v>38.297252341964814</v>
      </c>
      <c r="AF988" s="94">
        <f>IF('Net zero activities &amp; levers'!$C$12="Off",'Activity data'!AY69*UDCPPEF*NtoN2O*kgtoGg,'Net zero Activity data'!AY69*UDCPPEF*NtoN2O*kgtoGg)</f>
        <v>37.480500419129982</v>
      </c>
      <c r="AG988" s="94">
        <f>IF('Net zero activities &amp; levers'!$C$12="Off",'Activity data'!AZ69*UDCPPEF*NtoN2O*kgtoGg,'Net zero Activity data'!AZ69*UDCPPEF*NtoN2O*kgtoGg)</f>
        <v>36.605913882693514</v>
      </c>
      <c r="AH988" s="94">
        <f>IF('Net zero activities &amp; levers'!$C$12="Off",'Activity data'!BA69*UDCPPEF*NtoN2O*kgtoGg,'Net zero Activity data'!BA69*UDCPPEF*NtoN2O*kgtoGg)</f>
        <v>35.67751529859683</v>
      </c>
      <c r="AI988" s="94">
        <f>IF('Net zero activities &amp; levers'!$C$12="Off",'Activity data'!BB69*UDCPPEF*NtoN2O*kgtoGg,'Net zero Activity data'!BB69*UDCPPEF*NtoN2O*kgtoGg)</f>
        <v>34.699588123562123</v>
      </c>
      <c r="AJ988" s="94">
        <f>IF('Net zero activities &amp; levers'!$C$12="Off",'Activity data'!BC69*UDCPPEF*NtoN2O*kgtoGg,'Net zero Activity data'!BC69*UDCPPEF*NtoN2O*kgtoGg)</f>
        <v>-2.6792659907667447</v>
      </c>
      <c r="AK988" s="94">
        <f>IF('Net zero activities &amp; levers'!$C$12="Off",'Activity data'!BD69*UDCPPEF*NtoN2O*kgtoGg,'Net zero Activity data'!BD69*UDCPPEF*NtoN2O*kgtoGg)</f>
        <v>-2.6147570082117628</v>
      </c>
      <c r="AL988" s="94">
        <f>IF('Net zero activities &amp; levers'!$C$12="Off",'Activity data'!BE69*UDCPPEF*NtoN2O*kgtoGg,'Net zero Activity data'!BE69*UDCPPEF*NtoN2O*kgtoGg)</f>
        <v>-2.5509192087001833</v>
      </c>
      <c r="AM988" s="94">
        <f>IF('Net zero activities &amp; levers'!$C$12="Off",'Activity data'!BF69*UDCPPEF*NtoN2O*kgtoGg,'Net zero Activity data'!BF69*UDCPPEF*NtoN2O*kgtoGg)</f>
        <v>-2.4877459989648312</v>
      </c>
      <c r="AN988" s="94">
        <f>IF('Net zero activities &amp; levers'!$C$12="Off",'Activity data'!BG69*UDCPPEF*NtoN2O*kgtoGg,'Net zero Activity data'!BG69*UDCPPEF*NtoN2O*kgtoGg)</f>
        <v>-2.4376070910582812</v>
      </c>
      <c r="AO988" s="94">
        <f>IF('Net zero activities &amp; levers'!$C$12="Off",'Activity data'!BH69*UDCPPEF*NtoN2O*kgtoGg,'Net zero Activity data'!BH69*UDCPPEF*NtoN2O*kgtoGg)</f>
        <v>-2.3879438055302513</v>
      </c>
      <c r="AP988" s="94">
        <f>IF('Net zero activities &amp; levers'!$C$12="Off",'Activity data'!BI69*UDCPPEF*NtoN2O*kgtoGg,'Net zero Activity data'!BI69*UDCPPEF*NtoN2O*kgtoGg)</f>
        <v>-2.3387192042216429</v>
      </c>
      <c r="AQ988" s="94">
        <f>IF('Net zero activities &amp; levers'!$C$12="Off",'Activity data'!BJ69*UDCPPEF*NtoN2O*kgtoGg,'Net zero Activity data'!BJ69*UDCPPEF*NtoN2O*kgtoGg)</f>
        <v>-2.2899210938883474</v>
      </c>
      <c r="AR988" s="94">
        <f>IF('Net zero activities &amp; levers'!$C$12="Off",'Activity data'!BK69*UDCPPEF*NtoN2O*kgtoGg,'Net zero Activity data'!BK69*UDCPPEF*NtoN2O*kgtoGg)</f>
        <v>-2.2415137982186422</v>
      </c>
      <c r="AS988" s="94">
        <f>IF('Net zero activities &amp; levers'!$C$12="Off",'Activity data'!BL69*UDCPPEF*NtoN2O*kgtoGg,'Net zero Activity data'!BL69*UDCPPEF*NtoN2O*kgtoGg)</f>
        <v>-2.1934623794160584</v>
      </c>
      <c r="AT988" s="94">
        <f>IF('Net zero activities &amp; levers'!$C$12="Off",'Activity data'!BM69*UDCPPEF*NtoN2O*kgtoGg,'Net zero Activity data'!BM69*UDCPPEF*NtoN2O*kgtoGg)</f>
        <v>-2.145761226265924</v>
      </c>
      <c r="AU988" s="94">
        <f>IF('Net zero activities &amp; levers'!$C$12="Off",'Activity data'!BN69*UDCPPEF*NtoN2O*kgtoGg,'Net zero Activity data'!BN69*UDCPPEF*NtoN2O*kgtoGg)</f>
        <v>-2.0984132858067897</v>
      </c>
      <c r="AV988" s="94">
        <f>IF('Net zero activities &amp; levers'!$C$12="Off",'Activity data'!BO69*UDCPPEF*NtoN2O*kgtoGg,'Net zero Activity data'!BO69*UDCPPEF*NtoN2O*kgtoGg)</f>
        <v>-2.0514203658912691</v>
      </c>
      <c r="AW988" s="94">
        <f>IF('Net zero activities &amp; levers'!$C$12="Off",'Activity data'!BP69*UDCPPEF*NtoN2O*kgtoGg,'Net zero Activity data'!BP69*UDCPPEF*NtoN2O*kgtoGg)</f>
        <v>-2.0047554755928445</v>
      </c>
      <c r="AY988" s="79"/>
      <c r="AZ988" s="79"/>
    </row>
    <row r="989" spans="1:52" x14ac:dyDescent="0.25">
      <c r="A989" s="95" t="str">
        <f t="shared" si="345"/>
        <v>DS U&amp;D</v>
      </c>
      <c r="B989" s="95" t="s">
        <v>974</v>
      </c>
      <c r="C989" s="95" t="s">
        <v>1336</v>
      </c>
      <c r="D989" t="s">
        <v>369</v>
      </c>
      <c r="E989" t="s">
        <v>55</v>
      </c>
      <c r="F989" t="s">
        <v>422</v>
      </c>
      <c r="G989" t="s">
        <v>1160</v>
      </c>
      <c r="H989" t="s">
        <v>1244</v>
      </c>
      <c r="I989" t="s">
        <v>139</v>
      </c>
      <c r="J989" t="s">
        <v>287</v>
      </c>
      <c r="K989" s="94">
        <f>IF('Net zero activities &amp; levers'!$C$12="Off",'Activity data'!AD70*UDCPPEF*NtoN2O*kgtoGg,'Net zero Activity data'!AD70*UDCPPEF*NtoN2O*kgtoGg)</f>
        <v>9.6543103644621429</v>
      </c>
      <c r="L989" s="94">
        <f>IF('Net zero activities &amp; levers'!$C$12="Off",'Activity data'!AE70*UDCPPEF*NtoN2O*kgtoGg,'Net zero Activity data'!AE70*UDCPPEF*NtoN2O*kgtoGg)</f>
        <v>9.5705816138517683</v>
      </c>
      <c r="M989" s="94">
        <f>IF('Net zero activities &amp; levers'!$C$12="Off",'Activity data'!AF70*UDCPPEF*NtoN2O*kgtoGg,'Net zero Activity data'!AF70*UDCPPEF*NtoN2O*kgtoGg)</f>
        <v>9.5387086131772989</v>
      </c>
      <c r="N989" s="94">
        <f>IF('Net zero activities &amp; levers'!$C$12="Off",'Activity data'!AG70*UDCPPEF*NtoN2O*kgtoGg,'Net zero Activity data'!AG70*UDCPPEF*NtoN2O*kgtoGg)</f>
        <v>9.4113316455488931</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8.987859527224467</v>
      </c>
      <c r="Q989" s="94">
        <f>IF('Net zero activities &amp; levers'!$C$12="Off",'Activity data'!AJ70*UDCPPEF*NtoN2O*kgtoGg,'Net zero Activity data'!AJ70*UDCPPEF*NtoN2O*kgtoGg)</f>
        <v>8.7996834473406569</v>
      </c>
      <c r="R989" s="94">
        <f>IF('Net zero activities &amp; levers'!$C$12="Off",'Activity data'!AK70*UDCPPEF*NtoN2O*kgtoGg,'Net zero Activity data'!AK70*UDCPPEF*NtoN2O*kgtoGg)</f>
        <v>8.6216474831450949</v>
      </c>
      <c r="S989" s="94">
        <f>IF('Net zero activities &amp; levers'!$C$12="Off",'Activity data'!AL70*UDCPPEF*NtoN2O*kgtoGg,'Net zero Activity data'!AL70*UDCPPEF*NtoN2O*kgtoGg)</f>
        <v>7.7105010280907447</v>
      </c>
      <c r="T989" s="94">
        <f>IF('Net zero activities &amp; levers'!$C$12="Off",'Activity data'!AM70*UDCPPEF*NtoN2O*kgtoGg,'Net zero Activity data'!AM70*UDCPPEF*NtoN2O*kgtoGg)</f>
        <v>8.0075632014304841</v>
      </c>
      <c r="U989" s="94">
        <f>IF('Net zero activities &amp; levers'!$C$12="Off",'Activity data'!AN70*UDCPPEF*NtoN2O*kgtoGg,'Net zero Activity data'!AN70*UDCPPEF*NtoN2O*kgtoGg)</f>
        <v>25.237402048965457</v>
      </c>
      <c r="V989" s="94">
        <f>IF('Net zero activities &amp; levers'!$C$12="Off",'Activity data'!AO70*UDCPPEF*NtoN2O*kgtoGg,'Net zero Activity data'!AO70*UDCPPEF*NtoN2O*kgtoGg)</f>
        <v>25.359131609526678</v>
      </c>
      <c r="W989" s="94">
        <f>IF('Net zero activities &amp; levers'!$C$12="Off",'Activity data'!AP70*UDCPPEF*NtoN2O*kgtoGg,'Net zero Activity data'!AP70*UDCPPEF*NtoN2O*kgtoGg)</f>
        <v>25.43703822734167</v>
      </c>
      <c r="X989" s="94">
        <f>IF('Net zero activities &amp; levers'!$C$12="Off",'Activity data'!AQ70*UDCPPEF*NtoN2O*kgtoGg,'Net zero Activity data'!AQ70*UDCPPEF*NtoN2O*kgtoGg)</f>
        <v>25.471106034328002</v>
      </c>
      <c r="Y989" s="94">
        <f>IF('Net zero activities &amp; levers'!$C$12="Off",'Activity data'!AR70*UDCPPEF*NtoN2O*kgtoGg,'Net zero Activity data'!AR70*UDCPPEF*NtoN2O*kgtoGg)</f>
        <v>25.462056715460484</v>
      </c>
      <c r="Z989" s="94">
        <f>IF('Net zero activities &amp; levers'!$C$12="Off",'Activity data'!AS70*UDCPPEF*NtoN2O*kgtoGg,'Net zero Activity data'!AS70*UDCPPEF*NtoN2O*kgtoGg)</f>
        <v>25.40945651484947</v>
      </c>
      <c r="AA989" s="94">
        <f>IF('Net zero activities &amp; levers'!$C$12="Off",'Activity data'!AT70*UDCPPEF*NtoN2O*kgtoGg,'Net zero Activity data'!AT70*UDCPPEF*NtoN2O*kgtoGg)</f>
        <v>25.313176583935984</v>
      </c>
      <c r="AB989" s="94">
        <f>IF('Net zero activities &amp; levers'!$C$12="Off",'Activity data'!AU70*UDCPPEF*NtoN2O*kgtoGg,'Net zero Activity data'!AU70*UDCPPEF*NtoN2O*kgtoGg)</f>
        <v>25.173296585423468</v>
      </c>
      <c r="AC989" s="94">
        <f>IF('Net zero activities &amp; levers'!$C$12="Off",'Activity data'!AV70*UDCPPEF*NtoN2O*kgtoGg,'Net zero Activity data'!AV70*UDCPPEF*NtoN2O*kgtoGg)</f>
        <v>24.9901310537815</v>
      </c>
      <c r="AD989" s="94">
        <f>IF('Net zero activities &amp; levers'!$C$12="Off",'Activity data'!AW70*UDCPPEF*NtoN2O*kgtoGg,'Net zero Activity data'!AW70*UDCPPEF*NtoN2O*kgtoGg)</f>
        <v>24.5561750857518</v>
      </c>
      <c r="AE989" s="94">
        <f>IF('Net zero activities &amp; levers'!$C$12="Off",'Activity data'!AX70*UDCPPEF*NtoN2O*kgtoGg,'Net zero Activity data'!AX70*UDCPPEF*NtoN2O*kgtoGg)</f>
        <v>24.081343210361542</v>
      </c>
      <c r="AF989" s="94">
        <f>IF('Net zero activities &amp; levers'!$C$12="Off",'Activity data'!AY70*UDCPPEF*NtoN2O*kgtoGg,'Net zero Activity data'!AY70*UDCPPEF*NtoN2O*kgtoGg)</f>
        <v>23.567768941484907</v>
      </c>
      <c r="AG989" s="94">
        <f>IF('Net zero activities &amp; levers'!$C$12="Off",'Activity data'!AZ70*UDCPPEF*NtoN2O*kgtoGg,'Net zero Activity data'!AZ70*UDCPPEF*NtoN2O*kgtoGg)</f>
        <v>23.017828220854938</v>
      </c>
      <c r="AH989" s="94">
        <f>IF('Net zero activities &amp; levers'!$C$12="Off",'Activity data'!BA70*UDCPPEF*NtoN2O*kgtoGg,'Net zero Activity data'!BA70*UDCPPEF*NtoN2O*kgtoGg)</f>
        <v>22.434050441185143</v>
      </c>
      <c r="AI989" s="94">
        <f>IF('Net zero activities &amp; levers'!$C$12="Off",'Activity data'!BB70*UDCPPEF*NtoN2O*kgtoGg,'Net zero Activity data'!BB70*UDCPPEF*NtoN2O*kgtoGg)</f>
        <v>21.819129043522761</v>
      </c>
      <c r="AJ989" s="94">
        <f>IF('Net zero activities &amp; levers'!$C$12="Off",'Activity data'!BC70*UDCPPEF*NtoN2O*kgtoGg,'Net zero Activity data'!BC70*UDCPPEF*NtoN2O*kgtoGg)</f>
        <v>-1.6847246193901004</v>
      </c>
      <c r="AK989" s="94">
        <f>IF('Net zero activities &amp; levers'!$C$12="Off",'Activity data'!BD70*UDCPPEF*NtoN2O*kgtoGg,'Net zero Activity data'!BD70*UDCPPEF*NtoN2O*kgtoGg)</f>
        <v>-1.644161319047128</v>
      </c>
      <c r="AL989" s="94">
        <f>IF('Net zero activities &amp; levers'!$C$12="Off",'Activity data'!BE70*UDCPPEF*NtoN2O*kgtoGg,'Net zero Activity data'!BE70*UDCPPEF*NtoN2O*kgtoGg)</f>
        <v>-1.6040200591440494</v>
      </c>
      <c r="AM989" s="94">
        <f>IF('Net zero activities &amp; levers'!$C$12="Off",'Activity data'!BF70*UDCPPEF*NtoN2O*kgtoGg,'Net zero Activity data'!BF70*UDCPPEF*NtoN2O*kgtoGg)</f>
        <v>-1.5642966938291387</v>
      </c>
      <c r="AN989" s="94">
        <f>IF('Net zero activities &amp; levers'!$C$12="Off",'Activity data'!BG70*UDCPPEF*NtoN2O*kgtoGg,'Net zero Activity data'!BG70*UDCPPEF*NtoN2O*kgtoGg)</f>
        <v>-1.5327693080337013</v>
      </c>
      <c r="AO989" s="94">
        <f>IF('Net zero activities &amp; levers'!$C$12="Off",'Activity data'!BH70*UDCPPEF*NtoN2O*kgtoGg,'Net zero Activity data'!BH70*UDCPPEF*NtoN2O*kgtoGg)</f>
        <v>-1.5015409939741007</v>
      </c>
      <c r="AP989" s="94">
        <f>IF('Net zero activities &amp; levers'!$C$12="Off",'Activity data'!BI70*UDCPPEF*NtoN2O*kgtoGg,'Net zero Activity data'!BI70*UDCPPEF*NtoN2O*kgtoGg)</f>
        <v>-1.4705885249060549</v>
      </c>
      <c r="AQ989" s="94">
        <f>IF('Net zero activities &amp; levers'!$C$12="Off",'Activity data'!BJ70*UDCPPEF*NtoN2O*kgtoGg,'Net zero Activity data'!BJ70*UDCPPEF*NtoN2O*kgtoGg)</f>
        <v>-1.4399042337078187</v>
      </c>
      <c r="AR989" s="94">
        <f>IF('Net zero activities &amp; levers'!$C$12="Off",'Activity data'!BK70*UDCPPEF*NtoN2O*kgtoGg,'Net zero Activity data'!BK70*UDCPPEF*NtoN2O*kgtoGg)</f>
        <v>-1.4094656870857605</v>
      </c>
      <c r="AS989" s="94">
        <f>IF('Net zero activities &amp; levers'!$C$12="Off",'Activity data'!BL70*UDCPPEF*NtoN2O*kgtoGg,'Net zero Activity data'!BL70*UDCPPEF*NtoN2O*kgtoGg)</f>
        <v>-1.3792509161252371</v>
      </c>
      <c r="AT989" s="94">
        <f>IF('Net zero activities &amp; levers'!$C$12="Off",'Activity data'!BM70*UDCPPEF*NtoN2O*kgtoGg,'Net zero Activity data'!BM70*UDCPPEF*NtoN2O*kgtoGg)</f>
        <v>-1.3492563924899292</v>
      </c>
      <c r="AU989" s="94">
        <f>IF('Net zero activities &amp; levers'!$C$12="Off",'Activity data'!BN70*UDCPPEF*NtoN2O*kgtoGg,'Net zero Activity data'!BN70*UDCPPEF*NtoN2O*kgtoGg)</f>
        <v>-1.3194839692800588</v>
      </c>
      <c r="AV989" s="94">
        <f>IF('Net zero activities &amp; levers'!$C$12="Off",'Activity data'!BO70*UDCPPEF*NtoN2O*kgtoGg,'Net zero Activity data'!BO70*UDCPPEF*NtoN2O*kgtoGg)</f>
        <v>-1.2899347832748098</v>
      </c>
      <c r="AW989" s="94">
        <f>IF('Net zero activities &amp; levers'!$C$12="Off",'Activity data'!BP70*UDCPPEF*NtoN2O*kgtoGg,'Net zero Activity data'!BP70*UDCPPEF*NtoN2O*kgtoGg)</f>
        <v>-1.2605918625577832</v>
      </c>
      <c r="AY989" s="79"/>
      <c r="AZ989" s="79"/>
    </row>
    <row r="990" spans="1:52" x14ac:dyDescent="0.25">
      <c r="A990" s="95" t="str">
        <f t="shared" si="345"/>
        <v>DS U&amp;D</v>
      </c>
      <c r="B990" s="95" t="s">
        <v>974</v>
      </c>
      <c r="C990" s="95" t="s">
        <v>1336</v>
      </c>
      <c r="D990" t="s">
        <v>369</v>
      </c>
      <c r="E990" t="s">
        <v>55</v>
      </c>
      <c r="F990" t="s">
        <v>422</v>
      </c>
      <c r="G990" t="s">
        <v>1162</v>
      </c>
      <c r="H990" t="s">
        <v>1245</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25">
      <c r="A991" s="95" t="str">
        <f t="shared" si="345"/>
        <v>DS U&amp;D</v>
      </c>
      <c r="B991" s="95" t="s">
        <v>974</v>
      </c>
      <c r="C991" s="95" t="s">
        <v>1336</v>
      </c>
      <c r="D991" t="s">
        <v>369</v>
      </c>
      <c r="E991" t="s">
        <v>55</v>
      </c>
      <c r="F991" t="s">
        <v>422</v>
      </c>
      <c r="G991" t="s">
        <v>1164</v>
      </c>
      <c r="H991" t="s">
        <v>1246</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5.8850501739310754</v>
      </c>
      <c r="T991" s="94">
        <f>IF('Net zero activities &amp; levers'!$C$12="Off",'Activity data'!AM72*UDSOEF*NtoN2O*kgtoGg,IF('Net zero activities &amp; levers'!$C$12="PB",'Activity data'!AM72*UDSOEF*NtoN2O*kgtoGg,IF('Net zero activities &amp; levers'!$C$12="MS",'Net zero Activity data'!AM72*UDSOEF*NtoN2O*kgtoGg,"ERROR")))</f>
        <v>5.8889669247946657</v>
      </c>
      <c r="U991" s="94">
        <f>IF('Net zero activities &amp; levers'!$C$12="Off",'Activity data'!AN72*UDSOEF*NtoN2O*kgtoGg,IF('Net zero activities &amp; levers'!$C$12="PB",'Activity data'!AN72*UDSOEF*NtoN2O*kgtoGg,IF('Net zero activities &amp; levers'!$C$12="MS",'Net zero Activity data'!AN72*UDSOEF*NtoN2O*kgtoGg,"ERROR")))</f>
        <v>5.9656712357324011</v>
      </c>
      <c r="V991" s="94">
        <f>IF('Net zero activities &amp; levers'!$C$12="Off",'Activity data'!AO72*UDSOEF*NtoN2O*kgtoGg,IF('Net zero activities &amp; levers'!$C$12="PB",'Activity data'!AO72*UDSOEF*NtoN2O*kgtoGg,IF('Net zero activities &amp; levers'!$C$12="MS",'Net zero Activity data'!AO72*UDSOEF*NtoN2O*kgtoGg,"ERROR")))</f>
        <v>5.9675423775316272</v>
      </c>
      <c r="W991" s="94">
        <f>IF('Net zero activities &amp; levers'!$C$12="Off",'Activity data'!AP72*UDSOEF*NtoN2O*kgtoGg,IF('Net zero activities &amp; levers'!$C$12="PB",'Activity data'!AP72*UDSOEF*NtoN2O*kgtoGg,IF('Net zero activities &amp; levers'!$C$12="MS",'Net zero Activity data'!AP72*UDSOEF*NtoN2O*kgtoGg,"ERROR")))</f>
        <v>5.9755461389464104</v>
      </c>
      <c r="X991" s="94">
        <f>IF('Net zero activities &amp; levers'!$C$12="Off",'Activity data'!AQ72*UDSOEF*NtoN2O*kgtoGg,IF('Net zero activities &amp; levers'!$C$12="PB",'Activity data'!AQ72*UDSOEF*NtoN2O*kgtoGg,IF('Net zero activities &amp; levers'!$C$12="MS",'Net zero Activity data'!AQ72*UDSOEF*NtoN2O*kgtoGg,"ERROR")))</f>
        <v>5.9871157703379936</v>
      </c>
      <c r="Y991" s="94">
        <f>IF('Net zero activities &amp; levers'!$C$12="Off",'Activity data'!AR72*UDSOEF*NtoN2O*kgtoGg,IF('Net zero activities &amp; levers'!$C$12="PB",'Activity data'!AR72*UDSOEF*NtoN2O*kgtoGg,IF('Net zero activities &amp; levers'!$C$12="MS",'Net zero Activity data'!AR72*UDSOEF*NtoN2O*kgtoGg,"ERROR")))</f>
        <v>5.9978635614207825</v>
      </c>
      <c r="Z991" s="94">
        <f>IF('Net zero activities &amp; levers'!$C$12="Off",'Activity data'!AS72*UDSOEF*NtoN2O*kgtoGg,IF('Net zero activities &amp; levers'!$C$12="PB",'Activity data'!AS72*UDSOEF*NtoN2O*kgtoGg,IF('Net zero activities &amp; levers'!$C$12="MS",'Net zero Activity data'!AS72*UDSOEF*NtoN2O*kgtoGg,"ERROR")))</f>
        <v>6.0079225842908377</v>
      </c>
      <c r="AA991" s="94">
        <f>IF('Net zero activities &amp; levers'!$C$12="Off",'Activity data'!AT72*UDSOEF*NtoN2O*kgtoGg,IF('Net zero activities &amp; levers'!$C$12="PB",'Activity data'!AT72*UDSOEF*NtoN2O*kgtoGg,IF('Net zero activities &amp; levers'!$C$12="MS",'Net zero Activity data'!AT72*UDSOEF*NtoN2O*kgtoGg,"ERROR")))</f>
        <v>6.0172391996362506</v>
      </c>
      <c r="AB991" s="94">
        <f>IF('Net zero activities &amp; levers'!$C$12="Off",'Activity data'!AU72*UDSOEF*NtoN2O*kgtoGg,IF('Net zero activities &amp; levers'!$C$12="PB",'Activity data'!AU72*UDSOEF*NtoN2O*kgtoGg,IF('Net zero activities &amp; levers'!$C$12="MS",'Net zero Activity data'!AU72*UDSOEF*NtoN2O*kgtoGg,"ERROR")))</f>
        <v>6.0258973509268747</v>
      </c>
      <c r="AC991" s="94">
        <f>IF('Net zero activities &amp; levers'!$C$12="Off",'Activity data'!AV72*UDSOEF*NtoN2O*kgtoGg,IF('Net zero activities &amp; levers'!$C$12="PB",'Activity data'!AV72*UDSOEF*NtoN2O*kgtoGg,IF('Net zero activities &amp; levers'!$C$12="MS",'Net zero Activity data'!AV72*UDSOEF*NtoN2O*kgtoGg,"ERROR")))</f>
        <v>6.0340283734996341</v>
      </c>
      <c r="AD991" s="94">
        <f>IF('Net zero activities &amp; levers'!$C$12="Off",'Activity data'!AW72*UDSOEF*NtoN2O*kgtoGg,IF('Net zero activities &amp; levers'!$C$12="PB",'Activity data'!AW72*UDSOEF*NtoN2O*kgtoGg,IF('Net zero activities &amp; levers'!$C$12="MS",'Net zero Activity data'!AW72*UDSOEF*NtoN2O*kgtoGg,"ERROR")))</f>
        <v>6.0416246060545662</v>
      </c>
      <c r="AE991" s="94">
        <f>IF('Net zero activities &amp; levers'!$C$12="Off",'Activity data'!AX72*UDSOEF*NtoN2O*kgtoGg,IF('Net zero activities &amp; levers'!$C$12="PB",'Activity data'!AX72*UDSOEF*NtoN2O*kgtoGg,IF('Net zero activities &amp; levers'!$C$12="MS",'Net zero Activity data'!AX72*UDSOEF*NtoN2O*kgtoGg,"ERROR")))</f>
        <v>6.0488075465649391</v>
      </c>
      <c r="AF991" s="94">
        <f>IF('Net zero activities &amp; levers'!$C$12="Off",'Activity data'!AY72*UDSOEF*NtoN2O*kgtoGg,IF('Net zero activities &amp; levers'!$C$12="PB",'Activity data'!AY72*UDSOEF*NtoN2O*kgtoGg,IF('Net zero activities &amp; levers'!$C$12="MS",'Net zero Activity data'!AY72*UDSOEF*NtoN2O*kgtoGg,"ERROR")))</f>
        <v>6.0555945824734003</v>
      </c>
      <c r="AG991" s="94">
        <f>IF('Net zero activities &amp; levers'!$C$12="Off",'Activity data'!AZ72*UDSOEF*NtoN2O*kgtoGg,IF('Net zero activities &amp; levers'!$C$12="PB",'Activity data'!AZ72*UDSOEF*NtoN2O*kgtoGg,IF('Net zero activities &amp; levers'!$C$12="MS",'Net zero Activity data'!AZ72*UDSOEF*NtoN2O*kgtoGg,"ERROR")))</f>
        <v>6.0618926896286194</v>
      </c>
      <c r="AH991" s="94">
        <f>IF('Net zero activities &amp; levers'!$C$12="Off",'Activity data'!BA72*UDSOEF*NtoN2O*kgtoGg,IF('Net zero activities &amp; levers'!$C$12="PB",'Activity data'!BA72*UDSOEF*NtoN2O*kgtoGg,IF('Net zero activities &amp; levers'!$C$12="MS",'Net zero Activity data'!BA72*UDSOEF*NtoN2O*kgtoGg,"ERROR")))</f>
        <v>6.0677594816606231</v>
      </c>
      <c r="AI991" s="94">
        <f>IF('Net zero activities &amp; levers'!$C$12="Off",'Activity data'!BB72*UDSOEF*NtoN2O*kgtoGg,IF('Net zero activities &amp; levers'!$C$12="PB",'Activity data'!BB72*UDSOEF*NtoN2O*kgtoGg,IF('Net zero activities &amp; levers'!$C$12="MS",'Net zero Activity data'!BB72*UDSOEF*NtoN2O*kgtoGg,"ERROR")))</f>
        <v>6.0732885536184407</v>
      </c>
      <c r="AJ991" s="94">
        <f>IF('Net zero activities &amp; levers'!$C$12="Off",'Activity data'!BC72*UDSOEF*NtoN2O*kgtoGg,IF('Net zero activities &amp; levers'!$C$12="PB",'Activity data'!BC72*UDSOEF*NtoN2O*kgtoGg,IF('Net zero activities &amp; levers'!$C$12="MS",'Net zero Activity data'!BC72*UDSOEF*NtoN2O*kgtoGg,"ERROR")))</f>
        <v>5.9400031784362666</v>
      </c>
      <c r="AK991" s="94">
        <f>IF('Net zero activities &amp; levers'!$C$12="Off",'Activity data'!BD72*UDSOEF*NtoN2O*kgtoGg,IF('Net zero activities &amp; levers'!$C$12="PB",'Activity data'!BD72*UDSOEF*NtoN2O*kgtoGg,IF('Net zero activities &amp; levers'!$C$12="MS",'Net zero Activity data'!BD72*UDSOEF*NtoN2O*kgtoGg,"ERROR")))</f>
        <v>5.9454655494945321</v>
      </c>
      <c r="AL991" s="94">
        <f>IF('Net zero activities &amp; levers'!$C$12="Off",'Activity data'!BE72*UDSOEF*NtoN2O*kgtoGg,IF('Net zero activities &amp; levers'!$C$12="PB",'Activity data'!BE72*UDSOEF*NtoN2O*kgtoGg,IF('Net zero activities &amp; levers'!$C$12="MS",'Net zero Activity data'!BE72*UDSOEF*NtoN2O*kgtoGg,"ERROR")))</f>
        <v>5.9505605357080302</v>
      </c>
      <c r="AM991" s="94">
        <f>IF('Net zero activities &amp; levers'!$C$12="Off",'Activity data'!BF72*UDSOEF*NtoN2O*kgtoGg,IF('Net zero activities &amp; levers'!$C$12="PB",'Activity data'!BF72*UDSOEF*NtoN2O*kgtoGg,IF('Net zero activities &amp; levers'!$C$12="MS",'Net zero Activity data'!BF72*UDSOEF*NtoN2O*kgtoGg,"ERROR")))</f>
        <v>5.9553192750142969</v>
      </c>
      <c r="AN991" s="94">
        <f>IF('Net zero activities &amp; levers'!$C$12="Off",'Activity data'!BG72*UDSOEF*NtoN2O*kgtoGg,IF('Net zero activities &amp; levers'!$C$12="PB",'Activity data'!BG72*UDSOEF*NtoN2O*kgtoGg,IF('Net zero activities &amp; levers'!$C$12="MS",'Net zero Activity data'!BG72*UDSOEF*NtoN2O*kgtoGg,"ERROR")))</f>
        <v>5.9597796192711163</v>
      </c>
      <c r="AO991" s="94">
        <f>IF('Net zero activities &amp; levers'!$C$12="Off",'Activity data'!BH72*UDSOEF*NtoN2O*kgtoGg,IF('Net zero activities &amp; levers'!$C$12="PB",'Activity data'!BH72*UDSOEF*NtoN2O*kgtoGg,IF('Net zero activities &amp; levers'!$C$12="MS",'Net zero Activity data'!BH72*UDSOEF*NtoN2O*kgtoGg,"ERROR")))</f>
        <v>5.9638242432933737</v>
      </c>
      <c r="AP991" s="94">
        <f>IF('Net zero activities &amp; levers'!$C$12="Off",'Activity data'!BI72*UDSOEF*NtoN2O*kgtoGg,IF('Net zero activities &amp; levers'!$C$12="PB",'Activity data'!BI72*UDSOEF*NtoN2O*kgtoGg,IF('Net zero activities &amp; levers'!$C$12="MS",'Net zero Activity data'!BI72*UDSOEF*NtoN2O*kgtoGg,"ERROR")))</f>
        <v>5.9673747960452372</v>
      </c>
      <c r="AQ991" s="94">
        <f>IF('Net zero activities &amp; levers'!$C$12="Off",'Activity data'!BJ72*UDSOEF*NtoN2O*kgtoGg,IF('Net zero activities &amp; levers'!$C$12="PB",'Activity data'!BJ72*UDSOEF*NtoN2O*kgtoGg,IF('Net zero activities &amp; levers'!$C$12="MS",'Net zero Activity data'!BJ72*UDSOEF*NtoN2O*kgtoGg,"ERROR")))</f>
        <v>5.9704198015060506</v>
      </c>
      <c r="AR991" s="94">
        <f>IF('Net zero activities &amp; levers'!$C$12="Off",'Activity data'!BK72*UDSOEF*NtoN2O*kgtoGg,IF('Net zero activities &amp; levers'!$C$12="PB",'Activity data'!BK72*UDSOEF*NtoN2O*kgtoGg,IF('Net zero activities &amp; levers'!$C$12="MS",'Net zero Activity data'!BK72*UDSOEF*NtoN2O*kgtoGg,"ERROR")))</f>
        <v>5.9728700974873359</v>
      </c>
      <c r="AS991" s="94">
        <f>IF('Net zero activities &amp; levers'!$C$12="Off",'Activity data'!BL72*UDSOEF*NtoN2O*kgtoGg,IF('Net zero activities &amp; levers'!$C$12="PB",'Activity data'!BL72*UDSOEF*NtoN2O*kgtoGg,IF('Net zero activities &amp; levers'!$C$12="MS",'Net zero Activity data'!BL72*UDSOEF*NtoN2O*kgtoGg,"ERROR")))</f>
        <v>5.9746287671291771</v>
      </c>
      <c r="AT991" s="94">
        <f>IF('Net zero activities &amp; levers'!$C$12="Off",'Activity data'!BM72*UDSOEF*NtoN2O*kgtoGg,IF('Net zero activities &amp; levers'!$C$12="PB",'Activity data'!BM72*UDSOEF*NtoN2O*kgtoGg,IF('Net zero activities &amp; levers'!$C$12="MS",'Net zero Activity data'!BM72*UDSOEF*NtoN2O*kgtoGg,"ERROR")))</f>
        <v>5.9756848810921417</v>
      </c>
      <c r="AU991" s="94">
        <f>IF('Net zero activities &amp; levers'!$C$12="Off",'Activity data'!BN72*UDSOEF*NtoN2O*kgtoGg,IF('Net zero activities &amp; levers'!$C$12="PB",'Activity data'!BN72*UDSOEF*NtoN2O*kgtoGg,IF('Net zero activities &amp; levers'!$C$12="MS",'Net zero Activity data'!BN72*UDSOEF*NtoN2O*kgtoGg,"ERROR")))</f>
        <v>5.9760535038151961</v>
      </c>
      <c r="AV991" s="94">
        <f>IF('Net zero activities &amp; levers'!$C$12="Off",'Activity data'!BO72*UDSOEF*NtoN2O*kgtoGg,IF('Net zero activities &amp; levers'!$C$12="PB",'Activity data'!BO72*UDSOEF*NtoN2O*kgtoGg,IF('Net zero activities &amp; levers'!$C$12="MS",'Net zero Activity data'!BO72*UDSOEF*NtoN2O*kgtoGg,"ERROR")))</f>
        <v>5.9757454176187608</v>
      </c>
      <c r="AW991" s="94">
        <f>IF('Net zero activities &amp; levers'!$C$12="Off",'Activity data'!BP72*UDSOEF*NtoN2O*kgtoGg,IF('Net zero activities &amp; levers'!$C$12="PB",'Activity data'!BP72*UDSOEF*NtoN2O*kgtoGg,IF('Net zero activities &amp; levers'!$C$12="MS",'Net zero Activity data'!BP72*UDSOEF*NtoN2O*kgtoGg,"ERROR")))</f>
        <v>5.9746694018004627</v>
      </c>
      <c r="AY991" s="79"/>
      <c r="AZ991" s="79"/>
    </row>
    <row r="992" spans="1:52" x14ac:dyDescent="0.25">
      <c r="A992" s="95" t="str">
        <f t="shared" si="345"/>
        <v>DS U&amp;D</v>
      </c>
      <c r="B992" s="95" t="s">
        <v>974</v>
      </c>
      <c r="C992" s="95" t="s">
        <v>1336</v>
      </c>
      <c r="D992" t="s">
        <v>369</v>
      </c>
      <c r="E992" t="s">
        <v>55</v>
      </c>
      <c r="F992" t="s">
        <v>422</v>
      </c>
      <c r="G992" t="s">
        <v>1166</v>
      </c>
      <c r="H992" t="s">
        <v>1247</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0.65694536678362214</v>
      </c>
      <c r="T992" s="94">
        <f>IF('Net zero activities &amp; levers'!$C$12="Off",'Activity data'!AM73*UDSOEF*NtoN2O*kgtoGg,IF('Net zero activities &amp; levers'!$C$12="PB",'Activity data'!AM73*UDSOEF*NtoN2O*kgtoGg,IF('Net zero activities &amp; levers'!$C$12="MS",'Net zero Activity data'!AM73*UDSOEF*NtoN2O*kgtoGg,"ERROR")))</f>
        <v>0.65738259182956638</v>
      </c>
      <c r="U992" s="94">
        <f>IF('Net zero activities &amp; levers'!$C$12="Off",'Activity data'!AN73*UDSOEF*NtoN2O*kgtoGg,IF('Net zero activities &amp; levers'!$C$12="PB",'Activity data'!AN73*UDSOEF*NtoN2O*kgtoGg,IF('Net zero activities &amp; levers'!$C$12="MS",'Net zero Activity data'!AN73*UDSOEF*NtoN2O*kgtoGg,"ERROR")))</f>
        <v>0.66594505777184321</v>
      </c>
      <c r="V992" s="94">
        <f>IF('Net zero activities &amp; levers'!$C$12="Off",'Activity data'!AO73*UDSOEF*NtoN2O*kgtoGg,IF('Net zero activities &amp; levers'!$C$12="PB",'Activity data'!AO73*UDSOEF*NtoN2O*kgtoGg,IF('Net zero activities &amp; levers'!$C$12="MS",'Net zero Activity data'!AO73*UDSOEF*NtoN2O*kgtoGg,"ERROR")))</f>
        <v>0.66615393244568089</v>
      </c>
      <c r="W992" s="94">
        <f>IF('Net zero activities &amp; levers'!$C$12="Off",'Activity data'!AP73*UDSOEF*NtoN2O*kgtoGg,IF('Net zero activities &amp; levers'!$C$12="PB",'Activity data'!AP73*UDSOEF*NtoN2O*kgtoGg,IF('Net zero activities &amp; levers'!$C$12="MS",'Net zero Activity data'!AP73*UDSOEF*NtoN2O*kgtoGg,"ERROR")))</f>
        <v>0.66704738854594903</v>
      </c>
      <c r="X992" s="94">
        <f>IF('Net zero activities &amp; levers'!$C$12="Off",'Activity data'!AQ73*UDSOEF*NtoN2O*kgtoGg,IF('Net zero activities &amp; levers'!$C$12="PB",'Activity data'!AQ73*UDSOEF*NtoN2O*kgtoGg,IF('Net zero activities &amp; levers'!$C$12="MS",'Net zero Activity data'!AQ73*UDSOEF*NtoN2O*kgtoGg,"ERROR")))</f>
        <v>0.66833890102476579</v>
      </c>
      <c r="Y992" s="94">
        <f>IF('Net zero activities &amp; levers'!$C$12="Off",'Activity data'!AR73*UDSOEF*NtoN2O*kgtoGg,IF('Net zero activities &amp; levers'!$C$12="PB",'Activity data'!AR73*UDSOEF*NtoN2O*kgtoGg,IF('Net zero activities &amp; levers'!$C$12="MS",'Net zero Activity data'!AR73*UDSOEF*NtoN2O*kgtoGg,"ERROR")))</f>
        <v>0.66953867185871263</v>
      </c>
      <c r="Z992" s="94">
        <f>IF('Net zero activities &amp; levers'!$C$12="Off",'Activity data'!AS73*UDSOEF*NtoN2O*kgtoGg,IF('Net zero activities &amp; levers'!$C$12="PB",'Activity data'!AS73*UDSOEF*NtoN2O*kgtoGg,IF('Net zero activities &amp; levers'!$C$12="MS",'Net zero Activity data'!AS73*UDSOEF*NtoN2O*kgtoGg,"ERROR")))</f>
        <v>0.67066155582291842</v>
      </c>
      <c r="AA992" s="94">
        <f>IF('Net zero activities &amp; levers'!$C$12="Off",'Activity data'!AT73*UDSOEF*NtoN2O*kgtoGg,IF('Net zero activities &amp; levers'!$C$12="PB",'Activity data'!AT73*UDSOEF*NtoN2O*kgtoGg,IF('Net zero activities &amp; levers'!$C$12="MS",'Net zero Activity data'!AT73*UDSOEF*NtoN2O*kgtoGg,"ERROR")))</f>
        <v>0.67170156518637059</v>
      </c>
      <c r="AB992" s="94">
        <f>IF('Net zero activities &amp; levers'!$C$12="Off",'Activity data'!AU73*UDSOEF*NtoN2O*kgtoGg,IF('Net zero activities &amp; levers'!$C$12="PB",'Activity data'!AU73*UDSOEF*NtoN2O*kgtoGg,IF('Net zero activities &amp; levers'!$C$12="MS",'Net zero Activity data'!AU73*UDSOEF*NtoN2O*kgtoGg,"ERROR")))</f>
        <v>0.67266807051889643</v>
      </c>
      <c r="AC992" s="94">
        <f>IF('Net zero activities &amp; levers'!$C$12="Off",'Activity data'!AV73*UDSOEF*NtoN2O*kgtoGg,IF('Net zero activities &amp; levers'!$C$12="PB",'Activity data'!AV73*UDSOEF*NtoN2O*kgtoGg,IF('Net zero activities &amp; levers'!$C$12="MS",'Net zero Activity data'!AV73*UDSOEF*NtoN2O*kgtoGg,"ERROR")))</f>
        <v>0.67357573272202431</v>
      </c>
      <c r="AD992" s="94">
        <f>IF('Net zero activities &amp; levers'!$C$12="Off",'Activity data'!AW73*UDSOEF*NtoN2O*kgtoGg,IF('Net zero activities &amp; levers'!$C$12="PB",'Activity data'!AW73*UDSOEF*NtoN2O*kgtoGg,IF('Net zero activities &amp; levers'!$C$12="MS",'Net zero Activity data'!AW73*UDSOEF*NtoN2O*kgtoGg,"ERROR")))</f>
        <v>0.67442369656846346</v>
      </c>
      <c r="AE992" s="94">
        <f>IF('Net zero activities &amp; levers'!$C$12="Off",'Activity data'!AX73*UDSOEF*NtoN2O*kgtoGg,IF('Net zero activities &amp; levers'!$C$12="PB",'Activity data'!AX73*UDSOEF*NtoN2O*kgtoGg,IF('Net zero activities &amp; levers'!$C$12="MS",'Net zero Activity data'!AX73*UDSOEF*NtoN2O*kgtoGg,"ERROR")))</f>
        <v>0.67522552481949083</v>
      </c>
      <c r="AF992" s="94">
        <f>IF('Net zero activities &amp; levers'!$C$12="Off",'Activity data'!AY73*UDSOEF*NtoN2O*kgtoGg,IF('Net zero activities &amp; levers'!$C$12="PB",'Activity data'!AY73*UDSOEF*NtoN2O*kgtoGg,IF('Net zero activities &amp; levers'!$C$12="MS",'Net zero Activity data'!AY73*UDSOEF*NtoN2O*kgtoGg,"ERROR")))</f>
        <v>0.67598315842710355</v>
      </c>
      <c r="AG992" s="94">
        <f>IF('Net zero activities &amp; levers'!$C$12="Off",'Activity data'!AZ73*UDSOEF*NtoN2O*kgtoGg,IF('Net zero activities &amp; levers'!$C$12="PB",'Activity data'!AZ73*UDSOEF*NtoN2O*kgtoGg,IF('Net zero activities &amp; levers'!$C$12="MS",'Net zero Activity data'!AZ73*UDSOEF*NtoN2O*kgtoGg,"ERROR")))</f>
        <v>0.676686213149297</v>
      </c>
      <c r="AH992" s="94">
        <f>IF('Net zero activities &amp; levers'!$C$12="Off",'Activity data'!BA73*UDSOEF*NtoN2O*kgtoGg,IF('Net zero activities &amp; levers'!$C$12="PB",'Activity data'!BA73*UDSOEF*NtoN2O*kgtoGg,IF('Net zero activities &amp; levers'!$C$12="MS",'Net zero Activity data'!BA73*UDSOEF*NtoN2O*kgtoGg,"ERROR")))</f>
        <v>0.67734112036833483</v>
      </c>
      <c r="AI992" s="94">
        <f>IF('Net zero activities &amp; levers'!$C$12="Off",'Activity data'!BB73*UDSOEF*NtoN2O*kgtoGg,IF('Net zero activities &amp; levers'!$C$12="PB",'Activity data'!BB73*UDSOEF*NtoN2O*kgtoGg,IF('Net zero activities &amp; levers'!$C$12="MS",'Net zero Activity data'!BB73*UDSOEF*NtoN2O*kgtoGg,"ERROR")))</f>
        <v>0.67795832805526179</v>
      </c>
      <c r="AJ992" s="94">
        <f>IF('Net zero activities &amp; levers'!$C$12="Off",'Activity data'!BC73*UDSOEF*NtoN2O*kgtoGg,IF('Net zero activities &amp; levers'!$C$12="PB",'Activity data'!BC73*UDSOEF*NtoN2O*kgtoGg,IF('Net zero activities &amp; levers'!$C$12="MS",'Net zero Activity data'!BC73*UDSOEF*NtoN2O*kgtoGg,"ERROR")))</f>
        <v>0.66307974467906339</v>
      </c>
      <c r="AK992" s="94">
        <f>IF('Net zero activities &amp; levers'!$C$12="Off",'Activity data'!BD73*UDSOEF*NtoN2O*kgtoGg,IF('Net zero activities &amp; levers'!$C$12="PB",'Activity data'!BD73*UDSOEF*NtoN2O*kgtoGg,IF('Net zero activities &amp; levers'!$C$12="MS",'Net zero Activity data'!BD73*UDSOEF*NtoN2O*kgtoGg,"ERROR")))</f>
        <v>0.66368950657612846</v>
      </c>
      <c r="AL992" s="94">
        <f>IF('Net zero activities &amp; levers'!$C$12="Off",'Activity data'!BE73*UDSOEF*NtoN2O*kgtoGg,IF('Net zero activities &amp; levers'!$C$12="PB",'Activity data'!BE73*UDSOEF*NtoN2O*kgtoGg,IF('Net zero activities &amp; levers'!$C$12="MS",'Net zero Activity data'!BE73*UDSOEF*NtoN2O*kgtoGg,"ERROR")))</f>
        <v>0.6642582574767768</v>
      </c>
      <c r="AM992" s="94">
        <f>IF('Net zero activities &amp; levers'!$C$12="Off",'Activity data'!BF73*UDSOEF*NtoN2O*kgtoGg,IF('Net zero activities &amp; levers'!$C$12="PB",'Activity data'!BF73*UDSOEF*NtoN2O*kgtoGg,IF('Net zero activities &amp; levers'!$C$12="MS",'Net zero Activity data'!BF73*UDSOEF*NtoN2O*kgtoGg,"ERROR")))</f>
        <v>0.66478947329424454</v>
      </c>
      <c r="AN992" s="94">
        <f>IF('Net zero activities &amp; levers'!$C$12="Off",'Activity data'!BG73*UDSOEF*NtoN2O*kgtoGg,IF('Net zero activities &amp; levers'!$C$12="PB",'Activity data'!BG73*UDSOEF*NtoN2O*kgtoGg,IF('Net zero activities &amp; levers'!$C$12="MS",'Net zero Activity data'!BG73*UDSOEF*NtoN2O*kgtoGg,"ERROR")))</f>
        <v>0.66528737941350879</v>
      </c>
      <c r="AO992" s="94">
        <f>IF('Net zero activities &amp; levers'!$C$12="Off",'Activity data'!BH73*UDSOEF*NtoN2O*kgtoGg,IF('Net zero activities &amp; levers'!$C$12="PB",'Activity data'!BH73*UDSOEF*NtoN2O*kgtoGg,IF('Net zero activities &amp; levers'!$C$12="MS",'Net zero Activity data'!BH73*UDSOEF*NtoN2O*kgtoGg,"ERROR")))</f>
        <v>0.66573887887965999</v>
      </c>
      <c r="AP992" s="94">
        <f>IF('Net zero activities &amp; levers'!$C$12="Off",'Activity data'!BI73*UDSOEF*NtoN2O*kgtoGg,IF('Net zero activities &amp; levers'!$C$12="PB",'Activity data'!BI73*UDSOEF*NtoN2O*kgtoGg,IF('Net zero activities &amp; levers'!$C$12="MS",'Net zero Activity data'!BI73*UDSOEF*NtoN2O*kgtoGg,"ERROR")))</f>
        <v>0.66613522540363546</v>
      </c>
      <c r="AQ992" s="94">
        <f>IF('Net zero activities &amp; levers'!$C$12="Off",'Activity data'!BJ73*UDSOEF*NtoN2O*kgtoGg,IF('Net zero activities &amp; levers'!$C$12="PB",'Activity data'!BJ73*UDSOEF*NtoN2O*kgtoGg,IF('Net zero activities &amp; levers'!$C$12="MS",'Net zero Activity data'!BJ73*UDSOEF*NtoN2O*kgtoGg,"ERROR")))</f>
        <v>0.66647513792267787</v>
      </c>
      <c r="AR992" s="94">
        <f>IF('Net zero activities &amp; levers'!$C$12="Off",'Activity data'!BK73*UDSOEF*NtoN2O*kgtoGg,IF('Net zero activities &amp; levers'!$C$12="PB",'Activity data'!BK73*UDSOEF*NtoN2O*kgtoGg,IF('Net zero activities &amp; levers'!$C$12="MS",'Net zero Activity data'!BK73*UDSOEF*NtoN2O*kgtoGg,"ERROR")))</f>
        <v>0.66674866330386928</v>
      </c>
      <c r="AS992" s="94">
        <f>IF('Net zero activities &amp; levers'!$C$12="Off",'Activity data'!BL73*UDSOEF*NtoN2O*kgtoGg,IF('Net zero activities &amp; levers'!$C$12="PB",'Activity data'!BL73*UDSOEF*NtoN2O*kgtoGg,IF('Net zero activities &amp; levers'!$C$12="MS",'Net zero Activity data'!BL73*UDSOEF*NtoN2O*kgtoGg,"ERROR")))</f>
        <v>0.6669449827639865</v>
      </c>
      <c r="AT992" s="94">
        <f>IF('Net zero activities &amp; levers'!$C$12="Off",'Activity data'!BM73*UDSOEF*NtoN2O*kgtoGg,IF('Net zero activities &amp; levers'!$C$12="PB",'Activity data'!BM73*UDSOEF*NtoN2O*kgtoGg,IF('Net zero activities &amp; levers'!$C$12="MS",'Net zero Activity data'!BM73*UDSOEF*NtoN2O*kgtoGg,"ERROR")))</f>
        <v>0.66706287626604011</v>
      </c>
      <c r="AU992" s="94">
        <f>IF('Net zero activities &amp; levers'!$C$12="Off",'Activity data'!BN73*UDSOEF*NtoN2O*kgtoGg,IF('Net zero activities &amp; levers'!$C$12="PB",'Activity data'!BN73*UDSOEF*NtoN2O*kgtoGg,IF('Net zero activities &amp; levers'!$C$12="MS",'Net zero Activity data'!BN73*UDSOEF*NtoN2O*kgtoGg,"ERROR")))</f>
        <v>0.6671040254462246</v>
      </c>
      <c r="AV992" s="94">
        <f>IF('Net zero activities &amp; levers'!$C$12="Off",'Activity data'!BO73*UDSOEF*NtoN2O*kgtoGg,IF('Net zero activities &amp; levers'!$C$12="PB",'Activity data'!BO73*UDSOEF*NtoN2O*kgtoGg,IF('Net zero activities &amp; levers'!$C$12="MS",'Net zero Activity data'!BO73*UDSOEF*NtoN2O*kgtoGg,"ERROR")))</f>
        <v>0.66706963392986762</v>
      </c>
      <c r="AW992" s="94">
        <f>IF('Net zero activities &amp; levers'!$C$12="Off",'Activity data'!BP73*UDSOEF*NtoN2O*kgtoGg,IF('Net zero activities &amp; levers'!$C$12="PB",'Activity data'!BP73*UDSOEF*NtoN2O*kgtoGg,IF('Net zero activities &amp; levers'!$C$12="MS",'Net zero Activity data'!BP73*UDSOEF*NtoN2O*kgtoGg,"ERROR")))</f>
        <v>0.66694951879311848</v>
      </c>
      <c r="AY992" s="79"/>
      <c r="AZ992" s="79"/>
    </row>
    <row r="993" spans="1:52" x14ac:dyDescent="0.25">
      <c r="A993" s="95" t="str">
        <f t="shared" si="345"/>
        <v>DS U&amp;D</v>
      </c>
      <c r="B993" s="95" t="s">
        <v>974</v>
      </c>
      <c r="C993" s="95" t="s">
        <v>1336</v>
      </c>
      <c r="D993" t="s">
        <v>369</v>
      </c>
      <c r="E993" t="s">
        <v>55</v>
      </c>
      <c r="F993" t="s">
        <v>422</v>
      </c>
      <c r="G993" t="s">
        <v>1168</v>
      </c>
      <c r="H993" t="s">
        <v>1248</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0.73708994755228441</v>
      </c>
      <c r="R993" s="22">
        <f t="shared" si="348"/>
        <v>0.74193942345928476</v>
      </c>
      <c r="S993" s="22">
        <f t="shared" si="348"/>
        <v>0.74013020273035457</v>
      </c>
      <c r="T993" s="22">
        <f t="shared" si="348"/>
        <v>0.74134144539721225</v>
      </c>
      <c r="U993" s="22">
        <f t="shared" si="348"/>
        <v>0.75637233627465528</v>
      </c>
      <c r="V993" s="22">
        <f t="shared" si="348"/>
        <v>0.75705141377161567</v>
      </c>
      <c r="W993" s="22">
        <f t="shared" si="348"/>
        <v>0.7588492807776368</v>
      </c>
      <c r="X993" s="22">
        <f t="shared" si="348"/>
        <v>0.76127573486462674</v>
      </c>
      <c r="Y993" s="22">
        <f t="shared" si="348"/>
        <v>0.76350113172742184</v>
      </c>
      <c r="Z993" s="22">
        <f t="shared" si="348"/>
        <v>0.76555488722735199</v>
      </c>
      <c r="AA993" s="22">
        <f t="shared" ref="L993:AW996" si="349">AA1490</f>
        <v>0.76743070192723151</v>
      </c>
      <c r="AB993" s="22">
        <f t="shared" si="349"/>
        <v>0.76914783818331145</v>
      </c>
      <c r="AC993" s="22">
        <f t="shared" si="349"/>
        <v>0.77073400076292786</v>
      </c>
      <c r="AD993" s="22">
        <f t="shared" si="349"/>
        <v>0.77219046763440091</v>
      </c>
      <c r="AE993" s="22">
        <f t="shared" si="349"/>
        <v>0.77354238750921345</v>
      </c>
      <c r="AF993" s="22">
        <f t="shared" si="349"/>
        <v>0.77479516156173556</v>
      </c>
      <c r="AG993" s="22">
        <f t="shared" si="349"/>
        <v>0.77593349397844169</v>
      </c>
      <c r="AH993" s="22">
        <f t="shared" si="349"/>
        <v>0.77696999137205336</v>
      </c>
      <c r="AI993" s="22">
        <f t="shared" si="349"/>
        <v>0.77792369769702041</v>
      </c>
      <c r="AJ993" s="22">
        <f t="shared" si="349"/>
        <v>0.75322819608955549</v>
      </c>
      <c r="AK993" s="22">
        <f t="shared" si="349"/>
        <v>0.7541800771600401</v>
      </c>
      <c r="AL993" s="22">
        <f t="shared" si="349"/>
        <v>0.75504675193645199</v>
      </c>
      <c r="AM993" s="22">
        <f t="shared" si="349"/>
        <v>0.75583523459809387</v>
      </c>
      <c r="AN993" s="22">
        <f t="shared" si="349"/>
        <v>0.75655364806293945</v>
      </c>
      <c r="AO993" s="22">
        <f t="shared" si="349"/>
        <v>0.75718159798131446</v>
      </c>
      <c r="AP993" s="22">
        <f t="shared" si="349"/>
        <v>0.75770589154537149</v>
      </c>
      <c r="AQ993" s="22">
        <f t="shared" si="349"/>
        <v>0.75812556559779631</v>
      </c>
      <c r="AR993" s="22">
        <f t="shared" si="349"/>
        <v>0.75842546765792429</v>
      </c>
      <c r="AS993" s="22">
        <f t="shared" si="349"/>
        <v>0.75858908792613033</v>
      </c>
      <c r="AT993" s="22">
        <f t="shared" si="349"/>
        <v>0.7586155821106717</v>
      </c>
      <c r="AU993" s="22">
        <f t="shared" si="349"/>
        <v>0.75850877673067174</v>
      </c>
      <c r="AV993" s="22">
        <f t="shared" si="349"/>
        <v>0.75827165867074431</v>
      </c>
      <c r="AW993" s="22">
        <f t="shared" si="349"/>
        <v>0.75788873758895325</v>
      </c>
      <c r="AY993" s="79"/>
      <c r="AZ993" s="79"/>
    </row>
    <row r="994" spans="1:52" x14ac:dyDescent="0.25">
      <c r="A994" s="95" t="str">
        <f t="shared" si="345"/>
        <v>DS U&amp;D</v>
      </c>
      <c r="B994" s="95" t="s">
        <v>974</v>
      </c>
      <c r="C994" s="95" t="s">
        <v>1336</v>
      </c>
      <c r="D994" t="s">
        <v>369</v>
      </c>
      <c r="E994" t="s">
        <v>55</v>
      </c>
      <c r="F994" t="s">
        <v>422</v>
      </c>
      <c r="G994" t="s">
        <v>1170</v>
      </c>
      <c r="H994" t="s">
        <v>1249</v>
      </c>
      <c r="I994" t="s">
        <v>139</v>
      </c>
      <c r="J994" t="s">
        <v>287</v>
      </c>
      <c r="K994" s="22">
        <f t="shared" si="348"/>
        <v>1.1867254191644503</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1.2198688909683484</v>
      </c>
      <c r="R994" s="22">
        <f t="shared" si="349"/>
        <v>1.2278946750888551</v>
      </c>
      <c r="S994" s="22">
        <f t="shared" si="349"/>
        <v>1.2249004515324955</v>
      </c>
      <c r="T994" s="22">
        <f t="shared" si="349"/>
        <v>1.2269050335426288</v>
      </c>
      <c r="U994" s="22">
        <f t="shared" si="349"/>
        <v>1.2517808526279679</v>
      </c>
      <c r="V994" s="22">
        <f t="shared" si="349"/>
        <v>1.2529047120915915</v>
      </c>
      <c r="W994" s="22">
        <f t="shared" si="349"/>
        <v>1.2558801454671604</v>
      </c>
      <c r="X994" s="22">
        <f t="shared" si="349"/>
        <v>1.2598958776934803</v>
      </c>
      <c r="Y994" s="22">
        <f t="shared" si="349"/>
        <v>1.2635788642977572</v>
      </c>
      <c r="Z994" s="22">
        <f t="shared" si="349"/>
        <v>1.2669777879329793</v>
      </c>
      <c r="AA994" s="22">
        <f t="shared" si="349"/>
        <v>1.270082223158562</v>
      </c>
      <c r="AB994" s="22">
        <f t="shared" si="349"/>
        <v>1.2729240487828319</v>
      </c>
      <c r="AC994" s="22">
        <f t="shared" si="349"/>
        <v>1.2755491156329737</v>
      </c>
      <c r="AD994" s="22">
        <f t="shared" si="349"/>
        <v>1.2779595387205978</v>
      </c>
      <c r="AE994" s="22">
        <f t="shared" si="349"/>
        <v>1.2801969386523735</v>
      </c>
      <c r="AF994" s="22">
        <f t="shared" si="349"/>
        <v>1.2822702542621691</v>
      </c>
      <c r="AG994" s="22">
        <f t="shared" si="349"/>
        <v>1.2841541712892999</v>
      </c>
      <c r="AH994" s="22">
        <f t="shared" si="349"/>
        <v>1.2858695534217459</v>
      </c>
      <c r="AI994" s="22">
        <f t="shared" si="349"/>
        <v>1.2874479180172889</v>
      </c>
      <c r="AJ994" s="22">
        <f t="shared" si="349"/>
        <v>1.2465773644873634</v>
      </c>
      <c r="AK994" s="22">
        <f t="shared" si="349"/>
        <v>1.2481527083238142</v>
      </c>
      <c r="AL994" s="22">
        <f t="shared" si="349"/>
        <v>1.249587037474337</v>
      </c>
      <c r="AM994" s="22">
        <f t="shared" si="349"/>
        <v>1.2508919602632027</v>
      </c>
      <c r="AN994" s="22">
        <f t="shared" si="349"/>
        <v>1.2520809199546599</v>
      </c>
      <c r="AO994" s="22">
        <f t="shared" si="349"/>
        <v>1.25312016431426</v>
      </c>
      <c r="AP994" s="22">
        <f t="shared" si="349"/>
        <v>1.2539878595129963</v>
      </c>
      <c r="AQ994" s="22">
        <f t="shared" si="349"/>
        <v>1.2546824115450788</v>
      </c>
      <c r="AR994" s="22">
        <f t="shared" si="349"/>
        <v>1.255178743362793</v>
      </c>
      <c r="AS994" s="22">
        <f t="shared" si="349"/>
        <v>1.2554495315831169</v>
      </c>
      <c r="AT994" s="22">
        <f t="shared" si="349"/>
        <v>1.2554933789203664</v>
      </c>
      <c r="AU994" s="22">
        <f t="shared" si="349"/>
        <v>1.2553166181859641</v>
      </c>
      <c r="AV994" s="22">
        <f t="shared" si="349"/>
        <v>1.2549241926132744</v>
      </c>
      <c r="AW994" s="22">
        <f t="shared" si="349"/>
        <v>1.2542904660010414</v>
      </c>
      <c r="AY994" s="79"/>
      <c r="AZ994" s="79"/>
    </row>
    <row r="995" spans="1:52" x14ac:dyDescent="0.25">
      <c r="A995" s="95" t="str">
        <f t="shared" si="345"/>
        <v>DS U&amp;D</v>
      </c>
      <c r="B995" s="95" t="s">
        <v>974</v>
      </c>
      <c r="C995" s="95" t="s">
        <v>1336</v>
      </c>
      <c r="D995" t="s">
        <v>369</v>
      </c>
      <c r="E995" t="s">
        <v>55</v>
      </c>
      <c r="F995" t="s">
        <v>422</v>
      </c>
      <c r="G995" t="s">
        <v>1172</v>
      </c>
      <c r="H995" t="s">
        <v>1250</v>
      </c>
      <c r="I995" t="s">
        <v>139</v>
      </c>
      <c r="J995" t="s">
        <v>287</v>
      </c>
      <c r="K995" s="22">
        <f t="shared" si="348"/>
        <v>0.19147730421375916</v>
      </c>
      <c r="L995" s="22">
        <f t="shared" si="349"/>
        <v>0.19240499933397137</v>
      </c>
      <c r="M995" s="22">
        <f t="shared" si="349"/>
        <v>0.19381280191845887</v>
      </c>
      <c r="N995" s="22">
        <f t="shared" si="349"/>
        <v>0.19411375969056666</v>
      </c>
      <c r="O995" s="22">
        <f t="shared" si="349"/>
        <v>0.19368291106027899</v>
      </c>
      <c r="P995" s="22">
        <f t="shared" si="349"/>
        <v>0.19253602379697465</v>
      </c>
      <c r="Q995" s="22">
        <f t="shared" si="349"/>
        <v>0.19190012409058904</v>
      </c>
      <c r="R995" s="22">
        <f t="shared" si="349"/>
        <v>0.19132863754616411</v>
      </c>
      <c r="S995" s="22">
        <f t="shared" si="349"/>
        <v>0.18281131471006393</v>
      </c>
      <c r="T995" s="22">
        <f t="shared" si="349"/>
        <v>0.18736784640695911</v>
      </c>
      <c r="U995" s="22">
        <f t="shared" si="349"/>
        <v>0.40219801863685228</v>
      </c>
      <c r="V995" s="22">
        <f t="shared" si="349"/>
        <v>0.40734903420411533</v>
      </c>
      <c r="W995" s="22">
        <f t="shared" si="349"/>
        <v>0.41149752828946928</v>
      </c>
      <c r="X995" s="22">
        <f t="shared" si="349"/>
        <v>0.41483621581205343</v>
      </c>
      <c r="Y995" s="22">
        <f t="shared" si="349"/>
        <v>0.41773635782756013</v>
      </c>
      <c r="Z995" s="22">
        <f t="shared" si="349"/>
        <v>0.42016501076041057</v>
      </c>
      <c r="AA995" s="22">
        <f t="shared" si="349"/>
        <v>0.42210855342477654</v>
      </c>
      <c r="AB995" s="22">
        <f t="shared" si="349"/>
        <v>0.42354330417098807</v>
      </c>
      <c r="AC995" s="22">
        <f t="shared" si="349"/>
        <v>0.42444389710723196</v>
      </c>
      <c r="AD995" s="22">
        <f t="shared" si="349"/>
        <v>0.42480049297226147</v>
      </c>
      <c r="AE995" s="22">
        <f t="shared" si="349"/>
        <v>0.42459446865621531</v>
      </c>
      <c r="AF995" s="22">
        <f t="shared" si="349"/>
        <v>0.42381980556219867</v>
      </c>
      <c r="AG995" s="22">
        <f t="shared" si="349"/>
        <v>0.42248350599041806</v>
      </c>
      <c r="AH995" s="22">
        <f t="shared" si="349"/>
        <v>0.42058207160696442</v>
      </c>
      <c r="AI995" s="22">
        <f t="shared" si="349"/>
        <v>0.41811210592034348</v>
      </c>
      <c r="AJ995" s="22">
        <f t="shared" si="349"/>
        <v>6.1557811520144383E-2</v>
      </c>
      <c r="AK995" s="22">
        <f t="shared" si="349"/>
        <v>6.1557811520144383E-2</v>
      </c>
      <c r="AL995" s="22">
        <f t="shared" si="349"/>
        <v>6.1557811520144383E-2</v>
      </c>
      <c r="AM995" s="22">
        <f t="shared" si="349"/>
        <v>6.1557811520144383E-2</v>
      </c>
      <c r="AN995" s="22">
        <f t="shared" si="349"/>
        <v>6.1557811520144383E-2</v>
      </c>
      <c r="AO995" s="22">
        <f t="shared" si="349"/>
        <v>6.1557811520144383E-2</v>
      </c>
      <c r="AP995" s="22">
        <f t="shared" si="349"/>
        <v>6.1557811520144383E-2</v>
      </c>
      <c r="AQ995" s="22">
        <f t="shared" si="349"/>
        <v>6.1557811520144383E-2</v>
      </c>
      <c r="AR995" s="22">
        <f t="shared" si="349"/>
        <v>6.1557811520144383E-2</v>
      </c>
      <c r="AS995" s="22">
        <f t="shared" si="349"/>
        <v>6.1557811520144383E-2</v>
      </c>
      <c r="AT995" s="22">
        <f t="shared" si="349"/>
        <v>6.1557811520144383E-2</v>
      </c>
      <c r="AU995" s="22">
        <f t="shared" si="349"/>
        <v>6.1557811520144383E-2</v>
      </c>
      <c r="AV995" s="22">
        <f t="shared" si="349"/>
        <v>6.1557811520144383E-2</v>
      </c>
      <c r="AW995" s="22">
        <f t="shared" si="349"/>
        <v>6.1557811520144383E-2</v>
      </c>
      <c r="AY995" s="79"/>
      <c r="AZ995" s="79"/>
    </row>
    <row r="996" spans="1:52" x14ac:dyDescent="0.25">
      <c r="A996" s="95" t="str">
        <f t="shared" si="345"/>
        <v>DS U&amp;D</v>
      </c>
      <c r="B996" s="95" t="s">
        <v>974</v>
      </c>
      <c r="C996" s="95" t="s">
        <v>1336</v>
      </c>
      <c r="D996" t="s">
        <v>369</v>
      </c>
      <c r="E996" t="s">
        <v>55</v>
      </c>
      <c r="F996" t="s">
        <v>422</v>
      </c>
      <c r="G996" t="s">
        <v>1174</v>
      </c>
      <c r="H996" t="s">
        <v>1251</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25">
      <c r="A997" s="95" t="str">
        <f t="shared" si="345"/>
        <v>DS U&amp;D</v>
      </c>
      <c r="B997" s="95" t="s">
        <v>974</v>
      </c>
      <c r="C997" s="95" t="s">
        <v>1336</v>
      </c>
      <c r="D997" t="s">
        <v>369</v>
      </c>
      <c r="E997" t="s">
        <v>55</v>
      </c>
      <c r="F997" t="s">
        <v>422</v>
      </c>
      <c r="G997" t="s">
        <v>1176</v>
      </c>
      <c r="H997" t="s">
        <v>1252</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25">
      <c r="A998" s="95" t="str">
        <f t="shared" si="345"/>
        <v>DS U&amp;D</v>
      </c>
      <c r="B998" s="95" t="s">
        <v>974</v>
      </c>
      <c r="C998" s="95" t="s">
        <v>1336</v>
      </c>
      <c r="D998" t="s">
        <v>369</v>
      </c>
      <c r="E998" t="s">
        <v>55</v>
      </c>
      <c r="F998" t="s">
        <v>422</v>
      </c>
      <c r="G998" t="s">
        <v>1178</v>
      </c>
      <c r="H998" t="s">
        <v>1253</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25">
      <c r="A999" s="95" t="str">
        <f t="shared" si="345"/>
        <v>DS U&amp;D</v>
      </c>
      <c r="B999" s="95" t="s">
        <v>974</v>
      </c>
      <c r="C999" s="95" t="s">
        <v>1336</v>
      </c>
      <c r="D999" t="s">
        <v>369</v>
      </c>
      <c r="E999" t="s">
        <v>55</v>
      </c>
      <c r="F999" t="s">
        <v>422</v>
      </c>
      <c r="G999" t="s">
        <v>1180</v>
      </c>
      <c r="H999" t="s">
        <v>1254</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25">
      <c r="A1000" s="95" t="str">
        <f t="shared" si="345"/>
        <v>DS U&amp;D</v>
      </c>
      <c r="B1000" s="95" t="s">
        <v>974</v>
      </c>
      <c r="C1000" s="95" t="s">
        <v>1336</v>
      </c>
      <c r="D1000" t="s">
        <v>369</v>
      </c>
      <c r="E1000" t="s">
        <v>55</v>
      </c>
      <c r="F1000" t="s">
        <v>422</v>
      </c>
      <c r="G1000" t="s">
        <v>1182</v>
      </c>
      <c r="H1000" t="s">
        <v>1255</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25">
      <c r="A1001" s="95" t="str">
        <f t="shared" si="345"/>
        <v>DS FSOM</v>
      </c>
      <c r="B1001" s="95" t="s">
        <v>974</v>
      </c>
      <c r="C1001" s="95" t="s">
        <v>60</v>
      </c>
      <c r="D1001" t="s">
        <v>369</v>
      </c>
      <c r="E1001" t="s">
        <v>55</v>
      </c>
      <c r="F1001" t="s">
        <v>60</v>
      </c>
      <c r="G1001" t="s">
        <v>1266</v>
      </c>
      <c r="H1001" t="s">
        <v>1267</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25">
      <c r="A1002" s="95" t="str">
        <f t="shared" si="345"/>
        <v>DS FSOM</v>
      </c>
      <c r="B1002" s="95" t="s">
        <v>974</v>
      </c>
      <c r="C1002" s="95" t="s">
        <v>60</v>
      </c>
      <c r="D1002" t="s">
        <v>369</v>
      </c>
      <c r="E1002" t="s">
        <v>55</v>
      </c>
      <c r="F1002" t="s">
        <v>60</v>
      </c>
      <c r="G1002" t="s">
        <v>1268</v>
      </c>
      <c r="H1002" t="s">
        <v>1269</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25">
      <c r="A1003" s="95" t="str">
        <f t="shared" si="345"/>
        <v>DS FSOM</v>
      </c>
      <c r="B1003" s="95" t="s">
        <v>974</v>
      </c>
      <c r="C1003" s="95" t="s">
        <v>60</v>
      </c>
      <c r="D1003" t="s">
        <v>369</v>
      </c>
      <c r="E1003" t="s">
        <v>55</v>
      </c>
      <c r="F1003" t="s">
        <v>60</v>
      </c>
      <c r="G1003" t="s">
        <v>1270</v>
      </c>
      <c r="H1003" t="s">
        <v>1271</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25">
      <c r="A1004" s="95" t="str">
        <f t="shared" si="345"/>
        <v>DS FSOM</v>
      </c>
      <c r="B1004" s="95" t="s">
        <v>974</v>
      </c>
      <c r="C1004" s="95" t="s">
        <v>60</v>
      </c>
      <c r="D1004" t="s">
        <v>369</v>
      </c>
      <c r="E1004" t="s">
        <v>55</v>
      </c>
      <c r="F1004" t="s">
        <v>60</v>
      </c>
      <c r="G1004" t="s">
        <v>1272</v>
      </c>
      <c r="H1004" t="s">
        <v>1273</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25">
      <c r="A1005" s="95" t="str">
        <f t="shared" si="345"/>
        <v>DS FSOM</v>
      </c>
      <c r="B1005" s="95" t="s">
        <v>974</v>
      </c>
      <c r="C1005" s="95" t="s">
        <v>60</v>
      </c>
      <c r="D1005" t="s">
        <v>369</v>
      </c>
      <c r="E1005" t="s">
        <v>55</v>
      </c>
      <c r="F1005" t="s">
        <v>60</v>
      </c>
      <c r="G1005" t="s">
        <v>1274</v>
      </c>
      <c r="H1005" t="s">
        <v>1275</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25">
      <c r="A1006" s="95" t="str">
        <f t="shared" si="345"/>
        <v>DS FSOM</v>
      </c>
      <c r="B1006" s="95" t="s">
        <v>974</v>
      </c>
      <c r="C1006" s="95" t="s">
        <v>60</v>
      </c>
      <c r="D1006" t="s">
        <v>369</v>
      </c>
      <c r="E1006" t="s">
        <v>55</v>
      </c>
      <c r="F1006" t="s">
        <v>60</v>
      </c>
      <c r="G1006" t="s">
        <v>1276</v>
      </c>
      <c r="H1006" t="s">
        <v>1277</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25">
      <c r="A1007" s="95" t="str">
        <f t="shared" si="345"/>
        <v>DS FSOM</v>
      </c>
      <c r="B1007" s="95" t="s">
        <v>974</v>
      </c>
      <c r="C1007" s="95" t="s">
        <v>60</v>
      </c>
      <c r="D1007" t="s">
        <v>369</v>
      </c>
      <c r="E1007" t="s">
        <v>55</v>
      </c>
      <c r="F1007" t="s">
        <v>60</v>
      </c>
      <c r="G1007" t="s">
        <v>1278</v>
      </c>
      <c r="H1007" t="s">
        <v>1279</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25">
      <c r="A1008" s="95" t="str">
        <f t="shared" si="345"/>
        <v>DS FSOM</v>
      </c>
      <c r="B1008" s="95" t="s">
        <v>974</v>
      </c>
      <c r="C1008" s="95" t="s">
        <v>60</v>
      </c>
      <c r="D1008" t="s">
        <v>369</v>
      </c>
      <c r="E1008" t="s">
        <v>55</v>
      </c>
      <c r="F1008" t="s">
        <v>60</v>
      </c>
      <c r="G1008" t="s">
        <v>1280</v>
      </c>
      <c r="H1008" t="s">
        <v>1281</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25">
      <c r="A1009" s="95" t="str">
        <f t="shared" si="345"/>
        <v>DS FSOM</v>
      </c>
      <c r="B1009" s="95" t="s">
        <v>974</v>
      </c>
      <c r="C1009" s="95" t="s">
        <v>60</v>
      </c>
      <c r="D1009" t="s">
        <v>369</v>
      </c>
      <c r="E1009" t="s">
        <v>55</v>
      </c>
      <c r="F1009" t="s">
        <v>60</v>
      </c>
      <c r="G1009" t="s">
        <v>1282</v>
      </c>
      <c r="H1009" t="s">
        <v>1283</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25">
      <c r="A1010" s="95" t="str">
        <f t="shared" si="345"/>
        <v>DS FSOM</v>
      </c>
      <c r="B1010" s="95" t="s">
        <v>974</v>
      </c>
      <c r="C1010" s="95" t="s">
        <v>60</v>
      </c>
      <c r="D1010" t="s">
        <v>369</v>
      </c>
      <c r="E1010" t="s">
        <v>55</v>
      </c>
      <c r="F1010" t="s">
        <v>60</v>
      </c>
      <c r="G1010" t="s">
        <v>1284</v>
      </c>
      <c r="H1010" t="s">
        <v>1285</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25">
      <c r="A1011" s="95" t="str">
        <f t="shared" si="345"/>
        <v>DS FSOM</v>
      </c>
      <c r="B1011" s="95" t="s">
        <v>974</v>
      </c>
      <c r="C1011" s="95" t="s">
        <v>60</v>
      </c>
      <c r="D1011" t="s">
        <v>369</v>
      </c>
      <c r="E1011" t="s">
        <v>55</v>
      </c>
      <c r="F1011" t="s">
        <v>60</v>
      </c>
      <c r="G1011" t="s">
        <v>1286</v>
      </c>
      <c r="H1011" t="s">
        <v>1287</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25">
      <c r="A1012" s="95" t="str">
        <f t="shared" si="345"/>
        <v>DS FSOM</v>
      </c>
      <c r="B1012" s="95" t="s">
        <v>974</v>
      </c>
      <c r="C1012" s="95" t="s">
        <v>60</v>
      </c>
      <c r="D1012" t="s">
        <v>369</v>
      </c>
      <c r="E1012" t="s">
        <v>55</v>
      </c>
      <c r="F1012" t="s">
        <v>60</v>
      </c>
      <c r="G1012" t="s">
        <v>1288</v>
      </c>
      <c r="H1012" t="s">
        <v>1289</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25">
      <c r="A1013" s="95" t="str">
        <f t="shared" si="345"/>
        <v>DS Volatilisation</v>
      </c>
      <c r="B1013" s="95" t="s">
        <v>974</v>
      </c>
      <c r="C1013" s="95" t="s">
        <v>62</v>
      </c>
      <c r="D1013" t="s">
        <v>369</v>
      </c>
      <c r="E1013" t="s">
        <v>61</v>
      </c>
      <c r="F1013" t="s">
        <v>62</v>
      </c>
      <c r="G1013" t="s">
        <v>435</v>
      </c>
      <c r="H1013" t="s">
        <v>1184</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0.66035651430821074</v>
      </c>
      <c r="U1013" s="22">
        <f t="shared" si="353"/>
        <v>0.66008394987584207</v>
      </c>
      <c r="V1013" s="22">
        <f t="shared" si="353"/>
        <v>0.65354261970149441</v>
      </c>
      <c r="W1013" s="22">
        <f t="shared" si="353"/>
        <v>0.65337920332710719</v>
      </c>
      <c r="X1013" s="22">
        <f t="shared" si="353"/>
        <v>0.65322793572104454</v>
      </c>
      <c r="Y1013" s="22">
        <f t="shared" si="353"/>
        <v>0.65308880056970553</v>
      </c>
      <c r="Z1013" s="22">
        <f t="shared" si="353"/>
        <v>0.65296169227266498</v>
      </c>
      <c r="AA1013" s="22">
        <f t="shared" si="353"/>
        <v>0.65284672118777098</v>
      </c>
      <c r="AB1013" s="22">
        <f t="shared" si="353"/>
        <v>0.65274397960506148</v>
      </c>
      <c r="AC1013" s="22">
        <f t="shared" si="353"/>
        <v>0.65265355793719104</v>
      </c>
      <c r="AD1013" s="22">
        <f t="shared" si="353"/>
        <v>0.65257554079256641</v>
      </c>
      <c r="AE1013" s="22">
        <f t="shared" si="353"/>
        <v>0.65250999875184101</v>
      </c>
      <c r="AF1013" s="22">
        <f t="shared" si="353"/>
        <v>0.65245700134470697</v>
      </c>
      <c r="AG1013" s="22">
        <f t="shared" si="353"/>
        <v>0.65241660651071587</v>
      </c>
      <c r="AH1013" s="22">
        <f t="shared" si="353"/>
        <v>0.65238886062718315</v>
      </c>
      <c r="AI1013" s="22">
        <f t="shared" si="353"/>
        <v>0.6523738107982866</v>
      </c>
      <c r="AJ1013" s="22">
        <f t="shared" si="353"/>
        <v>0.65237149971504915</v>
      </c>
      <c r="AK1013" s="22">
        <f t="shared" si="353"/>
        <v>0.6717077011874647</v>
      </c>
      <c r="AL1013" s="22">
        <f t="shared" si="353"/>
        <v>0.67172409254060461</v>
      </c>
      <c r="AM1013" s="22">
        <f t="shared" si="353"/>
        <v>0.67174011054610017</v>
      </c>
      <c r="AN1013" s="22">
        <f t="shared" si="353"/>
        <v>0.67175577706338141</v>
      </c>
      <c r="AO1013" s="22">
        <f t="shared" si="353"/>
        <v>0.67177111790148203</v>
      </c>
      <c r="AP1013" s="22">
        <f t="shared" si="353"/>
        <v>0.67178606782023664</v>
      </c>
      <c r="AQ1013" s="22">
        <f t="shared" si="353"/>
        <v>0.67180058277133392</v>
      </c>
      <c r="AR1013" s="22">
        <f t="shared" si="353"/>
        <v>0.67181465717092259</v>
      </c>
      <c r="AS1013" s="22">
        <f t="shared" si="353"/>
        <v>0.67182823869267982</v>
      </c>
      <c r="AT1013" s="22">
        <f t="shared" si="353"/>
        <v>0.67184126908492714</v>
      </c>
      <c r="AU1013" s="22">
        <f t="shared" si="353"/>
        <v>0.67185374065365466</v>
      </c>
      <c r="AV1013" s="22">
        <f t="shared" si="353"/>
        <v>0.67186566123512315</v>
      </c>
      <c r="AW1013" s="22">
        <f t="shared" si="353"/>
        <v>0.67187703615819216</v>
      </c>
      <c r="AY1013" s="79"/>
      <c r="AZ1013" s="79"/>
    </row>
    <row r="1014" spans="1:52" x14ac:dyDescent="0.25">
      <c r="A1014" s="95" t="str">
        <f t="shared" si="345"/>
        <v>DS Volatilisation</v>
      </c>
      <c r="B1014" s="95" t="s">
        <v>974</v>
      </c>
      <c r="C1014" s="95" t="s">
        <v>62</v>
      </c>
      <c r="D1014" t="s">
        <v>369</v>
      </c>
      <c r="E1014" t="s">
        <v>61</v>
      </c>
      <c r="F1014" t="s">
        <v>62</v>
      </c>
      <c r="G1014" t="s">
        <v>436</v>
      </c>
      <c r="H1014" t="s">
        <v>1185</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8.716705988868383E-3</v>
      </c>
      <c r="U1014" s="94">
        <f>IF('Net zero activities &amp; levers'!$C$12="Off",'Activity data'!AN48*ttokg*FracGASM*MSVolatEF*NtoN2O*kgtoGg,'Net zero Activity data'!AN48*ttokg*FracGASM*MSVolatEF*NtoN2O*kgtoGg)</f>
        <v>8.7131081383611166E-3</v>
      </c>
      <c r="V1014" s="94">
        <f>IF('Net zero activities &amp; levers'!$C$12="Off",'Activity data'!AO48*ttokg*FracGASM*MSVolatEF*NtoN2O*kgtoGg,'Net zero Activity data'!AO48*ttokg*FracGASM*MSVolatEF*NtoN2O*kgtoGg)</f>
        <v>8.6267625800597308E-3</v>
      </c>
      <c r="W1014" s="94">
        <f>IF('Net zero activities &amp; levers'!$C$12="Off",'Activity data'!AP48*ttokg*FracGASM*MSVolatEF*NtoN2O*kgtoGg,'Net zero Activity data'!AP48*ttokg*FracGASM*MSVolatEF*NtoN2O*kgtoGg)</f>
        <v>8.624605483917816E-3</v>
      </c>
      <c r="X1014" s="94">
        <f>IF('Net zero activities &amp; levers'!$C$12="Off",'Activity data'!AQ48*ttokg*FracGASM*MSVolatEF*NtoN2O*kgtoGg,'Net zero Activity data'!AQ48*ttokg*FracGASM*MSVolatEF*NtoN2O*kgtoGg)</f>
        <v>8.6226087515177911E-3</v>
      </c>
      <c r="Y1014" s="94">
        <f>IF('Net zero activities &amp; levers'!$C$12="Off",'Activity data'!AR48*ttokg*FracGASM*MSVolatEF*NtoN2O*kgtoGg,'Net zero Activity data'!AR48*ttokg*FracGASM*MSVolatEF*NtoN2O*kgtoGg)</f>
        <v>8.6207721675201129E-3</v>
      </c>
      <c r="Z1014" s="94">
        <f>IF('Net zero activities &amp; levers'!$C$12="Off",'Activity data'!AS48*ttokg*FracGASM*MSVolatEF*NtoN2O*kgtoGg,'Net zero Activity data'!AS48*ttokg*FracGASM*MSVolatEF*NtoN2O*kgtoGg)</f>
        <v>8.6190943379991763E-3</v>
      </c>
      <c r="AA1014" s="94">
        <f>IF('Net zero activities &amp; levers'!$C$12="Off",'Activity data'!AT48*ttokg*FracGASM*MSVolatEF*NtoN2O*kgtoGg,'Net zero Activity data'!AT48*ttokg*FracGASM*MSVolatEF*NtoN2O*kgtoGg)</f>
        <v>8.6175767196785755E-3</v>
      </c>
      <c r="AB1014" s="94">
        <f>IF('Net zero activities &amp; levers'!$C$12="Off",'Activity data'!AU48*ttokg*FracGASM*MSVolatEF*NtoN2O*kgtoGg,'Net zero Activity data'!AU48*ttokg*FracGASM*MSVolatEF*NtoN2O*kgtoGg)</f>
        <v>8.6162205307868112E-3</v>
      </c>
      <c r="AC1014" s="94">
        <f>IF('Net zero activities &amp; levers'!$C$12="Off",'Activity data'!AV48*ttokg*FracGASM*MSVolatEF*NtoN2O*kgtoGg,'Net zero Activity data'!AV48*ttokg*FracGASM*MSVolatEF*NtoN2O*kgtoGg)</f>
        <v>8.6150269647709242E-3</v>
      </c>
      <c r="AD1014" s="94">
        <f>IF('Net zero activities &amp; levers'!$C$12="Off",'Activity data'!AW48*ttokg*FracGASM*MSVolatEF*NtoN2O*kgtoGg,'Net zero Activity data'!AW48*ttokg*FracGASM*MSVolatEF*NtoN2O*kgtoGg)</f>
        <v>8.6139971384618756E-3</v>
      </c>
      <c r="AE1014" s="94">
        <f>IF('Net zero activities &amp; levers'!$C$12="Off",'Activity data'!AX48*ttokg*FracGASM*MSVolatEF*NtoN2O*kgtoGg,'Net zero Activity data'!AX48*ttokg*FracGASM*MSVolatEF*NtoN2O*kgtoGg)</f>
        <v>8.6131319835243015E-3</v>
      </c>
      <c r="AF1014" s="94">
        <f>IF('Net zero activities &amp; levers'!$C$12="Off",'Activity data'!AY48*ttokg*FracGASM*MSVolatEF*NtoN2O*kgtoGg,'Net zero Activity data'!AY48*ttokg*FracGASM*MSVolatEF*NtoN2O*kgtoGg)</f>
        <v>8.6124324177501328E-3</v>
      </c>
      <c r="AG1014" s="94">
        <f>IF('Net zero activities &amp; levers'!$C$12="Off",'Activity data'!AZ48*ttokg*FracGASM*MSVolatEF*NtoN2O*kgtoGg,'Net zero Activity data'!AZ48*ttokg*FracGASM*MSVolatEF*NtoN2O*kgtoGg)</f>
        <v>8.6118992059414506E-3</v>
      </c>
      <c r="AH1014" s="94">
        <f>IF('Net zero activities &amp; levers'!$C$12="Off",'Activity data'!BA48*ttokg*FracGASM*MSVolatEF*NtoN2O*kgtoGg,'Net zero Activity data'!BA48*ttokg*FracGASM*MSVolatEF*NtoN2O*kgtoGg)</f>
        <v>8.6115329602788199E-3</v>
      </c>
      <c r="AI1014" s="94">
        <f>IF('Net zero activities &amp; levers'!$C$12="Off",'Activity data'!BB48*ttokg*FracGASM*MSVolatEF*NtoN2O*kgtoGg,'Net zero Activity data'!BB48*ttokg*FracGASM*MSVolatEF*NtoN2O*kgtoGg)</f>
        <v>8.611334302537384E-3</v>
      </c>
      <c r="AJ1014" s="94">
        <f>IF('Net zero activities &amp; levers'!$C$12="Off",'Activity data'!BC48*ttokg*FracGASM*MSVolatEF*NtoN2O*kgtoGg,'Net zero Activity data'!BC48*ttokg*FracGASM*MSVolatEF*NtoN2O*kgtoGg)</f>
        <v>8.6113037962386486E-3</v>
      </c>
      <c r="AK1014" s="94">
        <f>IF('Net zero activities &amp; levers'!$C$12="Off",'Activity data'!BD48*ttokg*FracGASM*MSVolatEF*NtoN2O*kgtoGg,'Net zero Activity data'!BD48*ttokg*FracGASM*MSVolatEF*NtoN2O*kgtoGg)</f>
        <v>8.8665416556745359E-3</v>
      </c>
      <c r="AL1014" s="94">
        <f>IF('Net zero activities &amp; levers'!$C$12="Off",'Activity data'!BE48*ttokg*FracGASM*MSVolatEF*NtoN2O*kgtoGg,'Net zero Activity data'!BE48*ttokg*FracGASM*MSVolatEF*NtoN2O*kgtoGg)</f>
        <v>8.8667580215359802E-3</v>
      </c>
      <c r="AM1014" s="94">
        <f>IF('Net zero activities &amp; levers'!$C$12="Off",'Activity data'!BF48*ttokg*FracGASM*MSVolatEF*NtoN2O*kgtoGg,'Net zero Activity data'!BF48*ttokg*FracGASM*MSVolatEF*NtoN2O*kgtoGg)</f>
        <v>8.8669694592085242E-3</v>
      </c>
      <c r="AN1014" s="94">
        <f>IF('Net zero activities &amp; levers'!$C$12="Off",'Activity data'!BG48*ttokg*FracGASM*MSVolatEF*NtoN2O*kgtoGg,'Net zero Activity data'!BG48*ttokg*FracGASM*MSVolatEF*NtoN2O*kgtoGg)</f>
        <v>8.8671762572366322E-3</v>
      </c>
      <c r="AO1014" s="94">
        <f>IF('Net zero activities &amp; levers'!$C$12="Off",'Activity data'!BH48*ttokg*FracGASM*MSVolatEF*NtoN2O*kgtoGg,'Net zero Activity data'!BH48*ttokg*FracGASM*MSVolatEF*NtoN2O*kgtoGg)</f>
        <v>8.8673787562995633E-3</v>
      </c>
      <c r="AP1014" s="94">
        <f>IF('Net zero activities &amp; levers'!$C$12="Off",'Activity data'!BI48*ttokg*FracGASM*MSVolatEF*NtoN2O*kgtoGg,'Net zero Activity data'!BI48*ttokg*FracGASM*MSVolatEF*NtoN2O*kgtoGg)</f>
        <v>8.8675760952271251E-3</v>
      </c>
      <c r="AQ1014" s="94">
        <f>IF('Net zero activities &amp; levers'!$C$12="Off",'Activity data'!BJ48*ttokg*FracGASM*MSVolatEF*NtoN2O*kgtoGg,'Net zero Activity data'!BJ48*ttokg*FracGASM*MSVolatEF*NtoN2O*kgtoGg)</f>
        <v>8.8677676925816105E-3</v>
      </c>
      <c r="AR1014" s="94">
        <f>IF('Net zero activities &amp; levers'!$C$12="Off",'Activity data'!BK48*ttokg*FracGASM*MSVolatEF*NtoN2O*kgtoGg,'Net zero Activity data'!BK48*ttokg*FracGASM*MSVolatEF*NtoN2O*kgtoGg)</f>
        <v>8.867953474656182E-3</v>
      </c>
      <c r="AS1014" s="94">
        <f>IF('Net zero activities &amp; levers'!$C$12="Off",'Activity data'!BL48*ttokg*FracGASM*MSVolatEF*NtoN2O*kgtoGg,'Net zero Activity data'!BL48*ttokg*FracGASM*MSVolatEF*NtoN2O*kgtoGg)</f>
        <v>8.8681327507433762E-3</v>
      </c>
      <c r="AT1014" s="94">
        <f>IF('Net zero activities &amp; levers'!$C$12="Off",'Activity data'!BM48*ttokg*FracGASM*MSVolatEF*NtoN2O*kgtoGg,'Net zero Activity data'!BM48*ttokg*FracGASM*MSVolatEF*NtoN2O*kgtoGg)</f>
        <v>8.8683047519210381E-3</v>
      </c>
      <c r="AU1014" s="94">
        <f>IF('Net zero activities &amp; levers'!$C$12="Off",'Activity data'!BN48*ttokg*FracGASM*MSVolatEF*NtoN2O*kgtoGg,'Net zero Activity data'!BN48*ttokg*FracGASM*MSVolatEF*NtoN2O*kgtoGg)</f>
        <v>8.8684693766282394E-3</v>
      </c>
      <c r="AV1014" s="94">
        <f>IF('Net zero activities &amp; levers'!$C$12="Off",'Activity data'!BO48*ttokg*FracGASM*MSVolatEF*NtoN2O*kgtoGg,'Net zero Activity data'!BO48*ttokg*FracGASM*MSVolatEF*NtoN2O*kgtoGg)</f>
        <v>8.8686267283036267E-3</v>
      </c>
      <c r="AW1014" s="94">
        <f>IF('Net zero activities &amp; levers'!$C$12="Off",'Activity data'!BP48*ttokg*FracGASM*MSVolatEF*NtoN2O*kgtoGg,'Net zero Activity data'!BP48*ttokg*FracGASM*MSVolatEF*NtoN2O*kgtoGg)</f>
        <v>8.8687768772881346E-3</v>
      </c>
      <c r="AY1014" s="79"/>
      <c r="AZ1014" s="79"/>
    </row>
    <row r="1015" spans="1:52" x14ac:dyDescent="0.25">
      <c r="A1015" s="95" t="str">
        <f t="shared" si="345"/>
        <v>DS Volatilisation</v>
      </c>
      <c r="B1015" s="95" t="s">
        <v>974</v>
      </c>
      <c r="C1015" s="95" t="s">
        <v>62</v>
      </c>
      <c r="D1015" t="s">
        <v>369</v>
      </c>
      <c r="E1015" t="s">
        <v>61</v>
      </c>
      <c r="F1015" t="s">
        <v>62</v>
      </c>
      <c r="G1015" t="s">
        <v>437</v>
      </c>
      <c r="H1015" t="s">
        <v>1186</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1.2019035107607596</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1.2055442230548157</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1.1799964998501227</v>
      </c>
      <c r="Q1015" s="94">
        <f>IF('Net zero activities &amp; levers'!$C$12="Off",SUM('Activity data'!AJ50:AJ65)*FracGASM*MSVolatEF*NtoN2O*kgtoGg,SUM('Net zero Activity data'!AJ50:AJ65)*FracGASM*MSVolatEF*NtoN2O*kgtoGg)</f>
        <v>1.169776622170569</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1.0648906691667142</v>
      </c>
      <c r="T1015" s="94">
        <f>IF('Net zero activities &amp; levers'!$C$12="Off",SUM('Activity data'!AM50:AM65)*FracGASM*MSVolatEF*NtoN2O*kgtoGg,SUM('Net zero Activity data'!AM50:AM65)*FracGASM*MSVolatEF*NtoN2O*kgtoGg)</f>
        <v>1.1057533797860197</v>
      </c>
      <c r="U1015" s="94">
        <f>IF('Net zero activities &amp; levers'!$C$12="Off",SUM('Activity data'!AN50:AN65)*FracGASM*MSVolatEF*NtoN2O*kgtoGg,SUM('Net zero Activity data'!AN50:AN65)*FracGASM*MSVolatEF*NtoN2O*kgtoGg)</f>
        <v>3.1715891643578864</v>
      </c>
      <c r="V1015" s="94">
        <f>IF('Net zero activities &amp; levers'!$C$12="Off",SUM('Activity data'!AO50:AO65)*FracGASM*MSVolatEF*NtoN2O*kgtoGg,SUM('Net zero Activity data'!AO50:AO65)*FracGASM*MSVolatEF*NtoN2O*kgtoGg)</f>
        <v>3.205817503106533</v>
      </c>
      <c r="W1015" s="94">
        <f>IF('Net zero activities &amp; levers'!$C$12="Off",SUM('Activity data'!AP50:AP65)*FracGASM*MSVolatEF*NtoN2O*kgtoGg,SUM('Net zero Activity data'!AP50:AP65)*FracGASM*MSVolatEF*NtoN2O*kgtoGg)</f>
        <v>3.2352153287252081</v>
      </c>
      <c r="X1015" s="94">
        <f>IF('Net zero activities &amp; levers'!$C$12="Off",SUM('Activity data'!AQ50:AQ65)*FracGASM*MSVolatEF*NtoN2O*kgtoGg,SUM('Net zero Activity data'!AQ50:AQ65)*FracGASM*MSVolatEF*NtoN2O*kgtoGg)</f>
        <v>3.2596764998420773</v>
      </c>
      <c r="Y1015" s="94">
        <f>IF('Net zero activities &amp; levers'!$C$12="Off",SUM('Activity data'!AR50:AR65)*FracGASM*MSVolatEF*NtoN2O*kgtoGg,SUM('Net zero Activity data'!AR50:AR65)*FracGASM*MSVolatEF*NtoN2O*kgtoGg)</f>
        <v>3.2791703785538746</v>
      </c>
      <c r="Z1015" s="94">
        <f>IF('Net zero activities &amp; levers'!$C$12="Off",SUM('Activity data'!AS50:AS65)*FracGASM*MSVolatEF*NtoN2O*kgtoGg,SUM('Net zero Activity data'!AS50:AS65)*FracGASM*MSVolatEF*NtoN2O*kgtoGg)</f>
        <v>3.2935488814957896</v>
      </c>
      <c r="AA1015" s="94">
        <f>IF('Net zero activities &amp; levers'!$C$12="Off",SUM('Activity data'!AT50:AT65)*FracGASM*MSVolatEF*NtoN2O*kgtoGg,SUM('Net zero Activity data'!AT50:AT65)*FracGASM*MSVolatEF*NtoN2O*kgtoGg)</f>
        <v>3.3026965587676997</v>
      </c>
      <c r="AB1015" s="94">
        <f>IF('Net zero activities &amp; levers'!$C$12="Off",SUM('Activity data'!AU50:AU65)*FracGASM*MSVolatEF*NtoN2O*kgtoGg,SUM('Net zero Activity data'!AU50:AU65)*FracGASM*MSVolatEF*NtoN2O*kgtoGg)</f>
        <v>3.3065215616671835</v>
      </c>
      <c r="AC1015" s="94">
        <f>IF('Net zero activities &amp; levers'!$C$12="Off",SUM('Activity data'!AV50:AV65)*FracGASM*MSVolatEF*NtoN2O*kgtoGg,SUM('Net zero Activity data'!AV50:AV65)*FracGASM*MSVolatEF*NtoN2O*kgtoGg)</f>
        <v>3.3049591714491218</v>
      </c>
      <c r="AD1015" s="94">
        <f>IF('Net zero activities &amp; levers'!$C$12="Off",SUM('Activity data'!AW50:AW65)*FracGASM*MSVolatEF*NtoN2O*kgtoGg,SUM('Net zero Activity data'!AW50:AW65)*FracGASM*MSVolatEF*NtoN2O*kgtoGg)</f>
        <v>3.2856040880514414</v>
      </c>
      <c r="AE1015" s="94">
        <f>IF('Net zero activities &amp; levers'!$C$12="Off",SUM('Activity data'!AX50:AX65)*FracGASM*MSVolatEF*NtoN2O*kgtoGg,SUM('Net zero Activity data'!AX50:AX65)*FracGASM*MSVolatEF*NtoN2O*kgtoGg)</f>
        <v>3.2609006919876253</v>
      </c>
      <c r="AF1015" s="94">
        <f>IF('Net zero activities &amp; levers'!$C$12="Off",SUM('Activity data'!AY50:AY65)*FracGASM*MSVolatEF*NtoN2O*kgtoGg,SUM('Net zero Activity data'!AY50:AY65)*FracGASM*MSVolatEF*NtoN2O*kgtoGg)</f>
        <v>3.2309381698250323</v>
      </c>
      <c r="AG1015" s="94">
        <f>IF('Net zero activities &amp; levers'!$C$12="Off",SUM('Activity data'!AZ50:AZ65)*FracGASM*MSVolatEF*NtoN2O*kgtoGg,SUM('Net zero Activity data'!AZ50:AZ65)*FracGASM*MSVolatEF*NtoN2O*kgtoGg)</f>
        <v>3.1958369771906554</v>
      </c>
      <c r="AH1015" s="94">
        <f>IF('Net zero activities &amp; levers'!$C$12="Off",SUM('Activity data'!BA50:BA65)*FracGASM*MSVolatEF*NtoN2O*kgtoGg,SUM('Net zero Activity data'!BA50:BA65)*FracGASM*MSVolatEF*NtoN2O*kgtoGg)</f>
        <v>3.1557406943377502</v>
      </c>
      <c r="AI1015" s="94">
        <f>IF('Net zero activities &amp; levers'!$C$12="Off",SUM('Activity data'!BB50:BB65)*FracGASM*MSVolatEF*NtoN2O*kgtoGg,SUM('Net zero Activity data'!BB50:BB65)*FracGASM*MSVolatEF*NtoN2O*kgtoGg)</f>
        <v>3.1108181429551416</v>
      </c>
      <c r="AJ1015" s="94">
        <f>IF('Net zero activities &amp; levers'!$C$12="Off",SUM('Activity data'!BC50:BC65)*FracGASM*MSVolatEF*NtoN2O*kgtoGg,SUM('Net zero Activity data'!BC50:BC65)*FracGASM*MSVolatEF*NtoN2O*kgtoGg)</f>
        <v>-7.9927190130914927E-2</v>
      </c>
      <c r="AK1015" s="94">
        <f>IF('Net zero activities &amp; levers'!$C$12="Off",SUM('Activity data'!BD50:BD65)*FracGASM*MSVolatEF*NtoN2O*kgtoGg,SUM('Net zero Activity data'!BD50:BD65)*FracGASM*MSVolatEF*NtoN2O*kgtoGg)</f>
        <v>-7.7482459717295754E-2</v>
      </c>
      <c r="AL1015" s="94">
        <f>IF('Net zero activities &amp; levers'!$C$12="Off",SUM('Activity data'!BE50:BE65)*FracGASM*MSVolatEF*NtoN2O*kgtoGg,SUM('Net zero Activity data'!BE50:BE65)*FracGASM*MSVolatEF*NtoN2O*kgtoGg)</f>
        <v>-7.5056648302161827E-2</v>
      </c>
      <c r="AM1015" s="94">
        <f>IF('Net zero activities &amp; levers'!$C$12="Off",SUM('Activity data'!BF50:BF65)*FracGASM*MSVolatEF*NtoN2O*kgtoGg,SUM('Net zero Activity data'!BF50:BF65)*FracGASM*MSVolatEF*NtoN2O*kgtoGg)</f>
        <v>-7.2650174059267963E-2</v>
      </c>
      <c r="AN1015" s="94">
        <f>IF('Net zero activities &amp; levers'!$C$12="Off",SUM('Activity data'!BG50:BG65)*FracGASM*MSVolatEF*NtoN2O*kgtoGg,SUM('Net zero Activity data'!BG50:BG65)*FracGASM*MSVolatEF*NtoN2O*kgtoGg)</f>
        <v>-7.0723117301040472E-2</v>
      </c>
      <c r="AO1015" s="94">
        <f>IF('Net zero activities &amp; levers'!$C$12="Off",SUM('Activity data'!BH50:BH65)*FracGASM*MSVolatEF*NtoN2O*kgtoGg,SUM('Net zero Activity data'!BH50:BH65)*FracGASM*MSVolatEF*NtoN2O*kgtoGg)</f>
        <v>-6.8807486280089009E-2</v>
      </c>
      <c r="AP1015" s="94">
        <f>IF('Net zero activities &amp; levers'!$C$12="Off",SUM('Activity data'!BI50:BI65)*FracGASM*MSVolatEF*NtoN2O*kgtoGg,SUM('Net zero Activity data'!BI50:BI65)*FracGASM*MSVolatEF*NtoN2O*kgtoGg)</f>
        <v>-6.6901375831276963E-2</v>
      </c>
      <c r="AQ1015" s="94">
        <f>IF('Net zero activities &amp; levers'!$C$12="Off",SUM('Activity data'!BJ50:BJ65)*FracGASM*MSVolatEF*NtoN2O*kgtoGg,SUM('Net zero Activity data'!BJ50:BJ65)*FracGASM*MSVolatEF*NtoN2O*kgtoGg)</f>
        <v>-6.5004519075055389E-2</v>
      </c>
      <c r="AR1015" s="94">
        <f>IF('Net zero activities &amp; levers'!$C$12="Off",SUM('Activity data'!BK50:BK65)*FracGASM*MSVolatEF*NtoN2O*kgtoGg,SUM('Net zero Activity data'!BK50:BK65)*FracGASM*MSVolatEF*NtoN2O*kgtoGg)</f>
        <v>-6.3114960679436297E-2</v>
      </c>
      <c r="AS1015" s="94">
        <f>IF('Net zero activities &amp; levers'!$C$12="Off",SUM('Activity data'!BL50:BL65)*FracGASM*MSVolatEF*NtoN2O*kgtoGg,SUM('Net zero Activity data'!BL50:BL65)*FracGASM*MSVolatEF*NtoN2O*kgtoGg)</f>
        <v>-6.1230717258980515E-2</v>
      </c>
      <c r="AT1015" s="94">
        <f>IF('Net zero activities &amp; levers'!$C$12="Off",SUM('Activity data'!BM50:BM65)*FracGASM*MSVolatEF*NtoN2O*kgtoGg,SUM('Net zero Activity data'!BM50:BM65)*FracGASM*MSVolatEF*NtoN2O*kgtoGg)</f>
        <v>-5.9351794077464999E-2</v>
      </c>
      <c r="AU1015" s="94">
        <f>IF('Net zero activities &amp; levers'!$C$12="Off",SUM('Activity data'!BN50:BN65)*FracGASM*MSVolatEF*NtoN2O*kgtoGg,SUM('Net zero Activity data'!BN50:BN65)*FracGASM*MSVolatEF*NtoN2O*kgtoGg)</f>
        <v>-5.7478765169344234E-2</v>
      </c>
      <c r="AV1015" s="94">
        <f>IF('Net zero activities &amp; levers'!$C$12="Off",SUM('Activity data'!BO50:BO65)*FracGASM*MSVolatEF*NtoN2O*kgtoGg,SUM('Net zero Activity data'!BO50:BO65)*FracGASM*MSVolatEF*NtoN2O*kgtoGg)</f>
        <v>-5.5612099659167281E-2</v>
      </c>
      <c r="AW1015" s="94">
        <f>IF('Net zero activities &amp; levers'!$C$12="Off",SUM('Activity data'!BP50:BP65)*FracGASM*MSVolatEF*NtoN2O*kgtoGg,SUM('Net zero Activity data'!BP50:BP65)*FracGASM*MSVolatEF*NtoN2O*kgtoGg)</f>
        <v>-5.3750177084754498E-2</v>
      </c>
      <c r="AY1015" s="79"/>
      <c r="AZ1015" s="79"/>
    </row>
    <row r="1016" spans="1:52" x14ac:dyDescent="0.25">
      <c r="A1016" s="95" t="str">
        <f t="shared" si="345"/>
        <v>DS Volatilisation</v>
      </c>
      <c r="B1016" s="95" t="s">
        <v>974</v>
      </c>
      <c r="C1016" s="95" t="s">
        <v>62</v>
      </c>
      <c r="D1016" t="s">
        <v>369</v>
      </c>
      <c r="E1016" t="s">
        <v>61</v>
      </c>
      <c r="F1016" t="s">
        <v>62</v>
      </c>
      <c r="G1016" t="s">
        <v>438</v>
      </c>
      <c r="H1016" t="s">
        <v>1265</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3.9236983289257736</v>
      </c>
      <c r="T1016" s="94">
        <f>IF('Net zero activities &amp; levers'!$C$12="Off",SUM('Activity data'!AM66:AM81)*FracGASM*MSVolatEF*NtoN2O*kgtoGg,SUM('Net zero Activity data'!AM66:AM81)*FracGASM*MSVolatEF*NtoN2O*kgtoGg)</f>
        <v>4.0061959356333121</v>
      </c>
      <c r="U1016" s="94">
        <f>IF('Net zero activities &amp; levers'!$C$12="Off",SUM('Activity data'!AN66:AN81)*FracGASM*MSVolatEF*NtoN2O*kgtoGg,SUM('Net zero Activity data'!AN66:AN81)*FracGASM*MSVolatEF*NtoN2O*kgtoGg)</f>
        <v>8.6703485618299432</v>
      </c>
      <c r="V1016" s="94">
        <f>IF('Net zero activities &amp; levers'!$C$12="Off",SUM('Activity data'!AO66:AO81)*FracGASM*MSVolatEF*NtoN2O*kgtoGg,SUM('Net zero Activity data'!AO66:AO81)*FracGASM*MSVolatEF*NtoN2O*kgtoGg)</f>
        <v>8.7075171611639437</v>
      </c>
      <c r="W1016" s="94">
        <f>IF('Net zero activities &amp; levers'!$C$12="Off",SUM('Activity data'!AP66:AP81)*FracGASM*MSVolatEF*NtoN2O*kgtoGg,SUM('Net zero Activity data'!AP66:AP81)*FracGASM*MSVolatEF*NtoN2O*kgtoGg)</f>
        <v>8.7349231997789492</v>
      </c>
      <c r="X1016" s="94">
        <f>IF('Net zero activities &amp; levers'!$C$12="Off",SUM('Activity data'!AQ66:AQ81)*FracGASM*MSVolatEF*NtoN2O*kgtoGg,SUM('Net zero Activity data'!AQ66:AQ81)*FracGASM*MSVolatEF*NtoN2O*kgtoGg)</f>
        <v>8.7517078724202371</v>
      </c>
      <c r="Y1016" s="94">
        <f>IF('Net zero activities &amp; levers'!$C$12="Off",SUM('Activity data'!AR66:AR81)*FracGASM*MSVolatEF*NtoN2O*kgtoGg,SUM('Net zero Activity data'!AR66:AR81)*FracGASM*MSVolatEF*NtoN2O*kgtoGg)</f>
        <v>8.7566246906771106</v>
      </c>
      <c r="Z1016" s="94">
        <f>IF('Net zero activities &amp; levers'!$C$12="Off",SUM('Activity data'!AS66:AS81)*FracGASM*MSVolatEF*NtoN2O*kgtoGg,SUM('Net zero Activity data'!AS66:AS81)*FracGASM*MSVolatEF*NtoN2O*kgtoGg)</f>
        <v>8.749585391639048</v>
      </c>
      <c r="AA1016" s="94">
        <f>IF('Net zero activities &amp; levers'!$C$12="Off",SUM('Activity data'!AT66:AT81)*FracGASM*MSVolatEF*NtoN2O*kgtoGg,SUM('Net zero Activity data'!AT66:AT81)*FracGASM*MSVolatEF*NtoN2O*kgtoGg)</f>
        <v>8.7305224491182276</v>
      </c>
      <c r="AB1016" s="94">
        <f>IF('Net zero activities &amp; levers'!$C$12="Off",SUM('Activity data'!AU66:AU81)*FracGASM*MSVolatEF*NtoN2O*kgtoGg,SUM('Net zero Activity data'!AU66:AU81)*FracGASM*MSVolatEF*NtoN2O*kgtoGg)</f>
        <v>8.6994684257142971</v>
      </c>
      <c r="AC1016" s="94">
        <f>IF('Net zero activities &amp; levers'!$C$12="Off",SUM('Activity data'!AV66:AV81)*FracGASM*MSVolatEF*NtoN2O*kgtoGg,SUM('Net zero Activity data'!AV66:AV81)*FracGASM*MSVolatEF*NtoN2O*kgtoGg)</f>
        <v>8.6565339362109501</v>
      </c>
      <c r="AD1016" s="94">
        <f>IF('Net zero activities &amp; levers'!$C$12="Off",SUM('Activity data'!AW66:AW81)*FracGASM*MSVolatEF*NtoN2O*kgtoGg,SUM('Net zero Activity data'!AW66:AW81)*FracGASM*MSVolatEF*NtoN2O*kgtoGg)</f>
        <v>8.5479552025611873</v>
      </c>
      <c r="AE1016" s="94">
        <f>IF('Net zero activities &amp; levers'!$C$12="Off",SUM('Activity data'!AX66:AX81)*FracGASM*MSVolatEF*NtoN2O*kgtoGg,SUM('Net zero Activity data'!AX66:AX81)*FracGASM*MSVolatEF*NtoN2O*kgtoGg)</f>
        <v>8.4281375273268431</v>
      </c>
      <c r="AF1016" s="94">
        <f>IF('Net zero activities &amp; levers'!$C$12="Off",SUM('Activity data'!AY66:AY81)*FracGASM*MSVolatEF*NtoN2O*kgtoGg,SUM('Net zero Activity data'!AY66:AY81)*FracGASM*MSVolatEF*NtoN2O*kgtoGg)</f>
        <v>8.2976332368638914</v>
      </c>
      <c r="AG1016" s="94">
        <f>IF('Net zero activities &amp; levers'!$C$12="Off",SUM('Activity data'!AZ66:AZ81)*FracGASM*MSVolatEF*NtoN2O*kgtoGg,SUM('Net zero Activity data'!AZ66:AZ81)*FracGASM*MSVolatEF*NtoN2O*kgtoGg)</f>
        <v>8.1570247194237986</v>
      </c>
      <c r="AH1016" s="94">
        <f>IF('Net zero activities &amp; levers'!$C$12="Off",SUM('Activity data'!BA66:BA81)*FracGASM*MSVolatEF*NtoN2O*kgtoGg,SUM('Net zero Activity data'!BA66:BA81)*FracGASM*MSVolatEF*NtoN2O*kgtoGg)</f>
        <v>8.0069849414591072</v>
      </c>
      <c r="AI1016" s="94">
        <f>IF('Net zero activities &amp; levers'!$C$12="Off",SUM('Activity data'!BB66:BB81)*FracGASM*MSVolatEF*NtoN2O*kgtoGg,SUM('Net zero Activity data'!BB66:BB81)*FracGASM*MSVolatEF*NtoN2O*kgtoGg)</f>
        <v>7.8482435227169196</v>
      </c>
      <c r="AJ1016" s="94">
        <f>IF('Net zero activities &amp; levers'!$C$12="Off",SUM('Activity data'!BC66:BC81)*FracGASM*MSVolatEF*NtoN2O*kgtoGg,SUM('Net zero Activity data'!BC66:BC81)*FracGASM*MSVolatEF*NtoN2O*kgtoGg)</f>
        <v>1.4117786211897634</v>
      </c>
      <c r="AK1016" s="94">
        <f>IF('Net zero activities &amp; levers'!$C$12="Off",SUM('Activity data'!BD66:BD81)*FracGASM*MSVolatEF*NtoN2O*kgtoGg,SUM('Net zero Activity data'!BD66:BD81)*FracGASM*MSVolatEF*NtoN2O*kgtoGg)</f>
        <v>1.4240848222590068</v>
      </c>
      <c r="AL1016" s="94">
        <f>IF('Net zero activities &amp; levers'!$C$12="Off",SUM('Activity data'!BE66:BE81)*FracGASM*MSVolatEF*NtoN2O*kgtoGg,SUM('Net zero Activity data'!BE66:BE81)*FracGASM*MSVolatEF*NtoN2O*kgtoGg)</f>
        <v>1.4361490833885919</v>
      </c>
      <c r="AM1016" s="94">
        <f>IF('Net zero activities &amp; levers'!$C$12="Off",SUM('Activity data'!BF66:BF81)*FracGASM*MSVolatEF*NtoN2O*kgtoGg,SUM('Net zero Activity data'!BF66:BF81)*FracGASM*MSVolatEF*NtoN2O*kgtoGg)</f>
        <v>1.4479836223342117</v>
      </c>
      <c r="AN1016" s="94">
        <f>IF('Net zero activities &amp; levers'!$C$12="Off",SUM('Activity data'!BG66:BG81)*FracGASM*MSVolatEF*NtoN2O*kgtoGg,SUM('Net zero Activity data'!BG66:BG81)*FracGASM*MSVolatEF*NtoN2O*kgtoGg)</f>
        <v>1.4575869997562623</v>
      </c>
      <c r="AO1016" s="94">
        <f>IF('Net zero activities &amp; levers'!$C$12="Off",SUM('Activity data'!BH66:BH81)*FracGASM*MSVolatEF*NtoN2O*kgtoGg,SUM('Net zero Activity data'!BH66:BH81)*FracGASM*MSVolatEF*NtoN2O*kgtoGg)</f>
        <v>1.4669658638055674</v>
      </c>
      <c r="AP1016" s="94">
        <f>IF('Net zero activities &amp; levers'!$C$12="Off",SUM('Activity data'!BI66:BI81)*FracGASM*MSVolatEF*NtoN2O*kgtoGg,SUM('Net zero Activity data'!BI66:BI81)*FracGASM*MSVolatEF*NtoN2O*kgtoGg)</f>
        <v>1.4761004652334226</v>
      </c>
      <c r="AQ1016" s="94">
        <f>IF('Net zero activities &amp; levers'!$C$12="Off",SUM('Activity data'!BJ66:BJ81)*FracGASM*MSVolatEF*NtoN2O*kgtoGg,SUM('Net zero Activity data'!BJ66:BJ81)*FracGASM*MSVolatEF*NtoN2O*kgtoGg)</f>
        <v>1.4849895121905028</v>
      </c>
      <c r="AR1016" s="94">
        <f>IF('Net zero activities &amp; levers'!$C$12="Off",SUM('Activity data'!BK66:BK81)*FracGASM*MSVolatEF*NtoN2O*kgtoGg,SUM('Net zero Activity data'!BK66:BK81)*FracGASM*MSVolatEF*NtoN2O*kgtoGg)</f>
        <v>1.4936094251739955</v>
      </c>
      <c r="AS1016" s="94">
        <f>IF('Net zero activities &amp; levers'!$C$12="Off",SUM('Activity data'!BL66:BL81)*FracGASM*MSVolatEF*NtoN2O*kgtoGg,SUM('Net zero Activity data'!BL66:BL81)*FracGASM*MSVolatEF*NtoN2O*kgtoGg)</f>
        <v>1.5019339292237881</v>
      </c>
      <c r="AT1016" s="94">
        <f>IF('Net zero activities &amp; levers'!$C$12="Off",SUM('Activity data'!BM66:BM81)*FracGASM*MSVolatEF*NtoN2O*kgtoGg,SUM('Net zero Activity data'!BM66:BM81)*FracGASM*MSVolatEF*NtoN2O*kgtoGg)</f>
        <v>1.5099608560757101</v>
      </c>
      <c r="AU1016" s="94">
        <f>IF('Net zero activities &amp; levers'!$C$12="Off",SUM('Activity data'!BN66:BN81)*FracGASM*MSVolatEF*NtoN2O*kgtoGg,SUM('Net zero Activity data'!BN66:BN81)*FracGASM*MSVolatEF*NtoN2O*kgtoGg)</f>
        <v>1.5176953414243965</v>
      </c>
      <c r="AV1016" s="94">
        <f>IF('Net zero activities &amp; levers'!$C$12="Off",SUM('Activity data'!BO66:BO81)*FracGASM*MSVolatEF*NtoN2O*kgtoGg,SUM('Net zero Activity data'!BO66:BO81)*FracGASM*MSVolatEF*NtoN2O*kgtoGg)</f>
        <v>1.5251412376449351</v>
      </c>
      <c r="AW1016" s="94">
        <f>IF('Net zero activities &amp; levers'!$C$12="Off",SUM('Activity data'!BP66:BP81)*FracGASM*MSVolatEF*NtoN2O*kgtoGg,SUM('Net zero Activity data'!BP66:BP81)*FracGASM*MSVolatEF*NtoN2O*kgtoGg)</f>
        <v>1.5322728813191711</v>
      </c>
      <c r="AY1016" s="79"/>
      <c r="AZ1016" s="79"/>
    </row>
    <row r="1017" spans="1:52" x14ac:dyDescent="0.25">
      <c r="A1017" s="95" t="str">
        <f t="shared" si="345"/>
        <v>DS Leaching</v>
      </c>
      <c r="B1017" s="95" t="s">
        <v>974</v>
      </c>
      <c r="C1017" s="95" t="s">
        <v>1190</v>
      </c>
      <c r="D1017" t="s">
        <v>369</v>
      </c>
      <c r="E1017" t="s">
        <v>61</v>
      </c>
      <c r="F1017" t="s">
        <v>63</v>
      </c>
      <c r="G1017" t="s">
        <v>435</v>
      </c>
      <c r="H1017" t="s">
        <v>1187</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2.2782299743633269E-4</v>
      </c>
      <c r="U1017" s="22">
        <f t="shared" si="355"/>
        <v>2.2772896270716546E-4</v>
      </c>
      <c r="V1017" s="22">
        <f t="shared" si="355"/>
        <v>2.2547220379701556E-4</v>
      </c>
      <c r="W1017" s="22">
        <f t="shared" si="355"/>
        <v>2.2541582514785201E-4</v>
      </c>
      <c r="X1017" s="22">
        <f t="shared" si="355"/>
        <v>2.2536363782376035E-4</v>
      </c>
      <c r="Y1017" s="22">
        <f t="shared" si="355"/>
        <v>2.2531563619654834E-4</v>
      </c>
      <c r="Z1017" s="22">
        <f t="shared" si="355"/>
        <v>2.252717838340693E-4</v>
      </c>
      <c r="AA1017" s="22">
        <f t="shared" si="355"/>
        <v>2.2523211880978096E-4</v>
      </c>
      <c r="AB1017" s="22">
        <f t="shared" si="355"/>
        <v>2.2519667296374613E-4</v>
      </c>
      <c r="AC1017" s="22">
        <f t="shared" si="355"/>
        <v>2.2516547748833096E-4</v>
      </c>
      <c r="AD1017" s="22">
        <f t="shared" si="355"/>
        <v>2.2513856157343538E-4</v>
      </c>
      <c r="AE1017" s="22">
        <f t="shared" si="355"/>
        <v>2.2511594956938508E-4</v>
      </c>
      <c r="AF1017" s="22">
        <f t="shared" si="355"/>
        <v>2.2509766546392388E-4</v>
      </c>
      <c r="AG1017" s="22">
        <f t="shared" si="355"/>
        <v>2.2508372924619698E-4</v>
      </c>
      <c r="AH1017" s="22">
        <f t="shared" si="355"/>
        <v>2.2507415691637819E-4</v>
      </c>
      <c r="AI1017" s="22">
        <f t="shared" si="355"/>
        <v>2.2506896472540883E-4</v>
      </c>
      <c r="AJ1017" s="22">
        <f t="shared" si="355"/>
        <v>2.2506816740169194E-4</v>
      </c>
      <c r="AK1017" s="22">
        <f t="shared" si="355"/>
        <v>2.3173915690967529E-4</v>
      </c>
      <c r="AL1017" s="22">
        <f t="shared" si="355"/>
        <v>2.3174481192650851E-4</v>
      </c>
      <c r="AM1017" s="22">
        <f t="shared" si="355"/>
        <v>2.3175033813840453E-4</v>
      </c>
      <c r="AN1017" s="22">
        <f t="shared" si="355"/>
        <v>2.317557430868665E-4</v>
      </c>
      <c r="AO1017" s="22">
        <f t="shared" si="355"/>
        <v>2.3176103567601125E-4</v>
      </c>
      <c r="AP1017" s="22">
        <f t="shared" si="355"/>
        <v>2.3176619339798155E-4</v>
      </c>
      <c r="AQ1017" s="22">
        <f t="shared" si="355"/>
        <v>2.3177120105611021E-4</v>
      </c>
      <c r="AR1017" s="22">
        <f t="shared" si="355"/>
        <v>2.3177605672396827E-4</v>
      </c>
      <c r="AS1017" s="22">
        <f t="shared" si="355"/>
        <v>2.3178074234897451E-4</v>
      </c>
      <c r="AT1017" s="22">
        <f t="shared" si="355"/>
        <v>2.3178523783429981E-4</v>
      </c>
      <c r="AU1017" s="22">
        <f t="shared" si="355"/>
        <v>2.3178954052551076E-4</v>
      </c>
      <c r="AV1017" s="22">
        <f t="shared" si="355"/>
        <v>2.3179365312611745E-4</v>
      </c>
      <c r="AW1017" s="22">
        <f t="shared" si="355"/>
        <v>2.3179757747457624E-4</v>
      </c>
      <c r="AY1017" s="79"/>
      <c r="AZ1017" s="79"/>
    </row>
    <row r="1018" spans="1:52" x14ac:dyDescent="0.25">
      <c r="A1018" s="95" t="str">
        <f t="shared" si="345"/>
        <v>DS Leaching</v>
      </c>
      <c r="B1018" s="95" t="s">
        <v>974</v>
      </c>
      <c r="C1018" s="95" t="s">
        <v>1190</v>
      </c>
      <c r="D1018" t="s">
        <v>369</v>
      </c>
      <c r="E1018" t="s">
        <v>61</v>
      </c>
      <c r="F1018" t="s">
        <v>63</v>
      </c>
      <c r="G1018" t="s">
        <v>436</v>
      </c>
      <c r="H1018" t="s">
        <v>1188</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1.5036317830797959E-6</v>
      </c>
      <c r="U1018" s="94">
        <f>IF('Net zero activities &amp; levers'!$C$12="Off",'Activity data'!AN48*FracLEACH*MSLeachEF*NtoN2O*kgtoGg,'Net zero Activity data'!R48*FracLEACH*MSLeachEF*NtoN2O*kgtoGg)</f>
        <v>1.5030111538672925E-6</v>
      </c>
      <c r="V1018" s="94">
        <f>IF('Net zero activities &amp; levers'!$C$12="Off",'Activity data'!AO48*FracLEACH*MSLeachEF*NtoN2O*kgtoGg,'Net zero Activity data'!S48*FracLEACH*MSLeachEF*NtoN2O*kgtoGg)</f>
        <v>1.488116545060303E-6</v>
      </c>
      <c r="W1018" s="94">
        <f>IF('Net zero activities &amp; levers'!$C$12="Off",'Activity data'!AP48*FracLEACH*MSLeachEF*NtoN2O*kgtoGg,'Net zero Activity data'!T48*FracLEACH*MSLeachEF*NtoN2O*kgtoGg)</f>
        <v>1.487744445975823E-6</v>
      </c>
      <c r="X1018" s="94">
        <f>IF('Net zero activities &amp; levers'!$C$12="Off",'Activity data'!AQ48*FracLEACH*MSLeachEF*NtoN2O*kgtoGg,'Net zero Activity data'!U48*FracLEACH*MSLeachEF*NtoN2O*kgtoGg)</f>
        <v>1.4874000096368187E-6</v>
      </c>
      <c r="Y1018" s="94">
        <f>IF('Net zero activities &amp; levers'!$C$12="Off",'Activity data'!AR48*FracLEACH*MSLeachEF*NtoN2O*kgtoGg,'Net zero Activity data'!V48*FracLEACH*MSLeachEF*NtoN2O*kgtoGg)</f>
        <v>1.4870831988972194E-6</v>
      </c>
      <c r="Z1018" s="94">
        <f>IF('Net zero activities &amp; levers'!$C$12="Off",'Activity data'!AS48*FracLEACH*MSLeachEF*NtoN2O*kgtoGg,'Net zero Activity data'!W48*FracLEACH*MSLeachEF*NtoN2O*kgtoGg)</f>
        <v>1.4867937733048578E-6</v>
      </c>
      <c r="AA1018" s="94">
        <f>IF('Net zero activities &amp; levers'!$C$12="Off",'Activity data'!AT48*FracLEACH*MSLeachEF*NtoN2O*kgtoGg,'Net zero Activity data'!X48*FracLEACH*MSLeachEF*NtoN2O*kgtoGg)</f>
        <v>1.4865319841445543E-6</v>
      </c>
      <c r="AB1018" s="94">
        <f>IF('Net zero activities &amp; levers'!$C$12="Off",'Activity data'!AU48*FracLEACH*MSLeachEF*NtoN2O*kgtoGg,'Net zero Activity data'!Y48*FracLEACH*MSLeachEF*NtoN2O*kgtoGg)</f>
        <v>1.4862980415607246E-6</v>
      </c>
      <c r="AC1018" s="94">
        <f>IF('Net zero activities &amp; levers'!$C$12="Off",'Activity data'!AV48*FracLEACH*MSLeachEF*NtoN2O*kgtoGg,'Net zero Activity data'!Z48*FracLEACH*MSLeachEF*NtoN2O*kgtoGg)</f>
        <v>1.4860921514229842E-6</v>
      </c>
      <c r="AD1018" s="94">
        <f>IF('Net zero activities &amp; levers'!$C$12="Off",'Activity data'!AW48*FracLEACH*MSLeachEF*NtoN2O*kgtoGg,'Net zero Activity data'!AA48*FracLEACH*MSLeachEF*NtoN2O*kgtoGg)</f>
        <v>1.4859145063846736E-6</v>
      </c>
      <c r="AE1018" s="94">
        <f>IF('Net zero activities &amp; levers'!$C$12="Off",'Activity data'!AX48*FracLEACH*MSLeachEF*NtoN2O*kgtoGg,'Net zero Activity data'!AB48*FracLEACH*MSLeachEF*NtoN2O*kgtoGg)</f>
        <v>1.4857652671579419E-6</v>
      </c>
      <c r="AF1018" s="94">
        <f>IF('Net zero activities &amp; levers'!$C$12="Off",'Activity data'!AY48*FracLEACH*MSLeachEF*NtoN2O*kgtoGg,'Net zero Activity data'!AC48*FracLEACH*MSLeachEF*NtoN2O*kgtoGg)</f>
        <v>1.4856445920618978E-6</v>
      </c>
      <c r="AG1018" s="94">
        <f>IF('Net zero activities &amp; levers'!$C$12="Off",'Activity data'!AZ48*FracLEACH*MSLeachEF*NtoN2O*kgtoGg,'Net zero Activity data'!AD48*FracLEACH*MSLeachEF*NtoN2O*kgtoGg)</f>
        <v>1.4855526130249004E-6</v>
      </c>
      <c r="AH1018" s="94">
        <f>IF('Net zero activities &amp; levers'!$C$12="Off",'Activity data'!BA48*FracLEACH*MSLeachEF*NtoN2O*kgtoGg,'Net zero Activity data'!AE48*FracLEACH*MSLeachEF*NtoN2O*kgtoGg)</f>
        <v>1.4854894356480966E-6</v>
      </c>
      <c r="AI1018" s="94">
        <f>IF('Net zero activities &amp; levers'!$C$12="Off",'Activity data'!BB48*FracLEACH*MSLeachEF*NtoN2O*kgtoGg,'Net zero Activity data'!AF48*FracLEACH*MSLeachEF*NtoN2O*kgtoGg)</f>
        <v>1.4854551671876988E-6</v>
      </c>
      <c r="AJ1018" s="94">
        <f>IF('Net zero activities &amp; levers'!$C$12="Off",'Activity data'!BC48*FracLEACH*MSLeachEF*NtoN2O*kgtoGg,'Net zero Activity data'!AG48*FracLEACH*MSLeachEF*NtoN2O*kgtoGg)</f>
        <v>1.4854499048511669E-6</v>
      </c>
      <c r="AK1018" s="94">
        <f>IF('Net zero activities &amp; levers'!$C$12="Off",'Activity data'!BD48*FracLEACH*MSLeachEF*NtoN2O*kgtoGg,'Net zero Activity data'!AH48*FracLEACH*MSLeachEF*NtoN2O*kgtoGg)</f>
        <v>1.5294784356038574E-6</v>
      </c>
      <c r="AL1018" s="94">
        <f>IF('Net zero activities &amp; levers'!$C$12="Off",'Activity data'!BE48*FracLEACH*MSLeachEF*NtoN2O*kgtoGg,'Net zero Activity data'!AI48*FracLEACH*MSLeachEF*NtoN2O*kgtoGg)</f>
        <v>1.5295157587149565E-6</v>
      </c>
      <c r="AM1018" s="94">
        <f>IF('Net zero activities &amp; levers'!$C$12="Off",'Activity data'!BF48*FracLEACH*MSLeachEF*NtoN2O*kgtoGg,'Net zero Activity data'!AJ48*FracLEACH*MSLeachEF*NtoN2O*kgtoGg)</f>
        <v>1.5295522317134702E-6</v>
      </c>
      <c r="AN1018" s="94">
        <f>IF('Net zero activities &amp; levers'!$C$12="Off",'Activity data'!BG48*FracLEACH*MSLeachEF*NtoN2O*kgtoGg,'Net zero Activity data'!AK48*FracLEACH*MSLeachEF*NtoN2O*kgtoGg)</f>
        <v>1.5295879043733193E-6</v>
      </c>
      <c r="AO1018" s="94">
        <f>IF('Net zero activities &amp; levers'!$C$12="Off",'Activity data'!BH48*FracLEACH*MSLeachEF*NtoN2O*kgtoGg,'Net zero Activity data'!AL48*FracLEACH*MSLeachEF*NtoN2O*kgtoGg)</f>
        <v>1.5296228354616745E-6</v>
      </c>
      <c r="AP1018" s="94">
        <f>IF('Net zero activities &amp; levers'!$C$12="Off",'Activity data'!BI48*FracLEACH*MSLeachEF*NtoN2O*kgtoGg,'Net zero Activity data'!AM48*FracLEACH*MSLeachEF*NtoN2O*kgtoGg)</f>
        <v>1.5296568764266789E-6</v>
      </c>
      <c r="AQ1018" s="94">
        <f>IF('Net zero activities &amp; levers'!$C$12="Off",'Activity data'!BJ48*FracLEACH*MSLeachEF*NtoN2O*kgtoGg,'Net zero Activity data'!AN48*FracLEACH*MSLeachEF*NtoN2O*kgtoGg)</f>
        <v>1.5296899269703273E-6</v>
      </c>
      <c r="AR1018" s="94">
        <f>IF('Net zero activities &amp; levers'!$C$12="Off",'Activity data'!BK48*FracLEACH*MSLeachEF*NtoN2O*kgtoGg,'Net zero Activity data'!AO48*FracLEACH*MSLeachEF*NtoN2O*kgtoGg)</f>
        <v>1.5297219743781909E-6</v>
      </c>
      <c r="AS1018" s="94">
        <f>IF('Net zero activities &amp; levers'!$C$12="Off",'Activity data'!BL48*FracLEACH*MSLeachEF*NtoN2O*kgtoGg,'Net zero Activity data'!AP48*FracLEACH*MSLeachEF*NtoN2O*kgtoGg)</f>
        <v>1.5297528995032323E-6</v>
      </c>
      <c r="AT1018" s="94">
        <f>IF('Net zero activities &amp; levers'!$C$12="Off",'Activity data'!BM48*FracLEACH*MSLeachEF*NtoN2O*kgtoGg,'Net zero Activity data'!AQ48*FracLEACH*MSLeachEF*NtoN2O*kgtoGg)</f>
        <v>1.529782569706379E-6</v>
      </c>
      <c r="AU1018" s="94">
        <f>IF('Net zero activities &amp; levers'!$C$12="Off",'Activity data'!BN48*FracLEACH*MSLeachEF*NtoN2O*kgtoGg,'Net zero Activity data'!AR48*FracLEACH*MSLeachEF*NtoN2O*kgtoGg)</f>
        <v>1.5298109674683716E-6</v>
      </c>
      <c r="AV1018" s="94">
        <f>IF('Net zero activities &amp; levers'!$C$12="Off",'Activity data'!BO48*FracLEACH*MSLeachEF*NtoN2O*kgtoGg,'Net zero Activity data'!AS48*FracLEACH*MSLeachEF*NtoN2O*kgtoGg)</f>
        <v>1.5298381106323754E-6</v>
      </c>
      <c r="AW1018" s="94">
        <f>IF('Net zero activities &amp; levers'!$C$12="Off",'Activity data'!BP48*FracLEACH*MSLeachEF*NtoN2O*kgtoGg,'Net zero Activity data'!AT48*FracLEACH*MSLeachEF*NtoN2O*kgtoGg)</f>
        <v>1.5298640113322035E-6</v>
      </c>
      <c r="AY1018" s="79"/>
      <c r="AZ1018" s="79"/>
    </row>
    <row r="1019" spans="1:52" x14ac:dyDescent="0.25">
      <c r="A1019" s="95" t="str">
        <f t="shared" si="345"/>
        <v>DS Leaching</v>
      </c>
      <c r="B1019" s="95" t="s">
        <v>974</v>
      </c>
      <c r="C1019" s="95" t="s">
        <v>1190</v>
      </c>
      <c r="D1019" t="s">
        <v>369</v>
      </c>
      <c r="E1019" t="s">
        <v>61</v>
      </c>
      <c r="F1019" t="s">
        <v>63</v>
      </c>
      <c r="G1019" t="s">
        <v>437</v>
      </c>
      <c r="H1019" t="s">
        <v>1189</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0.20732835560623103</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0.20795637847695569</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0.20354939622414611</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0.18369364043125816</v>
      </c>
      <c r="T1019" s="94">
        <f>IF('Net zero activities &amp; levers'!$C$12="Off",SUM('Activity data'!AM50:AM65)*FracLEACH*MSLeachEF*NtoN2O*kgtoGg,SUM('Net zero Activity data'!AM50:AM65)*FracLEACH*MSLeachEF*NtoN2O*kgtoGg)</f>
        <v>0.19074245801308834</v>
      </c>
      <c r="U1019" s="94">
        <f>IF('Net zero activities &amp; levers'!$C$12="Off",SUM('Activity data'!AN50:AN65)*FracLEACH*MSLeachEF*NtoN2O*kgtoGg,SUM('Net zero Activity data'!AN50:AN65)*FracLEACH*MSLeachEF*NtoN2O*kgtoGg)</f>
        <v>0.54709913085173534</v>
      </c>
      <c r="V1019" s="94">
        <f>IF('Net zero activities &amp; levers'!$C$12="Off",SUM('Activity data'!AO50:AO65)*FracLEACH*MSLeachEF*NtoN2O*kgtoGg,SUM('Net zero Activity data'!AO50:AO65)*FracLEACH*MSLeachEF*NtoN2O*kgtoGg)</f>
        <v>0.55300351928587688</v>
      </c>
      <c r="W1019" s="94">
        <f>IF('Net zero activities &amp; levers'!$C$12="Off",SUM('Activity data'!AP50:AP65)*FracLEACH*MSLeachEF*NtoN2O*kgtoGg,SUM('Net zero Activity data'!AP50:AP65)*FracLEACH*MSLeachEF*NtoN2O*kgtoGg)</f>
        <v>0.55807464420509822</v>
      </c>
      <c r="X1019" s="94">
        <f>IF('Net zero activities &amp; levers'!$C$12="Off",SUM('Activity data'!AQ50:AQ65)*FracLEACH*MSLeachEF*NtoN2O*kgtoGg,SUM('Net zero Activity data'!AQ50:AQ65)*FracLEACH*MSLeachEF*NtoN2O*kgtoGg)</f>
        <v>0.56229419622275822</v>
      </c>
      <c r="Y1019" s="94">
        <f>IF('Net zero activities &amp; levers'!$C$12="Off",SUM('Activity data'!AR50:AR65)*FracLEACH*MSLeachEF*NtoN2O*kgtoGg,SUM('Net zero Activity data'!AR50:AR65)*FracLEACH*MSLeachEF*NtoN2O*kgtoGg)</f>
        <v>0.56565689030054322</v>
      </c>
      <c r="Z1019" s="94">
        <f>IF('Net zero activities &amp; levers'!$C$12="Off",SUM('Activity data'!AS50:AS65)*FracLEACH*MSLeachEF*NtoN2O*kgtoGg,SUM('Net zero Activity data'!AS50:AS65)*FracLEACH*MSLeachEF*NtoN2O*kgtoGg)</f>
        <v>0.56813718205802377</v>
      </c>
      <c r="AA1019" s="94">
        <f>IF('Net zero activities &amp; levers'!$C$12="Off",SUM('Activity data'!AT50:AT65)*FracLEACH*MSLeachEF*NtoN2O*kgtoGg,SUM('Net zero Activity data'!AT50:AT65)*FracLEACH*MSLeachEF*NtoN2O*kgtoGg)</f>
        <v>0.56971515638742798</v>
      </c>
      <c r="AB1019" s="94">
        <f>IF('Net zero activities &amp; levers'!$C$12="Off",SUM('Activity data'!AU50:AU65)*FracLEACH*MSLeachEF*NtoN2O*kgtoGg,SUM('Net zero Activity data'!AU50:AU65)*FracLEACH*MSLeachEF*NtoN2O*kgtoGg)</f>
        <v>0.57037496938758903</v>
      </c>
      <c r="AC1019" s="94">
        <f>IF('Net zero activities &amp; levers'!$C$12="Off",SUM('Activity data'!AV50:AV65)*FracLEACH*MSLeachEF*NtoN2O*kgtoGg,SUM('Net zero Activity data'!AV50:AV65)*FracLEACH*MSLeachEF*NtoN2O*kgtoGg)</f>
        <v>0.57010545707497351</v>
      </c>
      <c r="AD1019" s="94">
        <f>IF('Net zero activities &amp; levers'!$C$12="Off",SUM('Activity data'!AW50:AW65)*FracLEACH*MSLeachEF*NtoN2O*kgtoGg,SUM('Net zero Activity data'!AW50:AW65)*FracLEACH*MSLeachEF*NtoN2O*kgtoGg)</f>
        <v>0.56676670518887351</v>
      </c>
      <c r="AE1019" s="94">
        <f>IF('Net zero activities &amp; levers'!$C$12="Off",SUM('Activity data'!AX50:AX65)*FracLEACH*MSLeachEF*NtoN2O*kgtoGg,SUM('Net zero Activity data'!AX50:AX65)*FracLEACH*MSLeachEF*NtoN2O*kgtoGg)</f>
        <v>0.56250536936786533</v>
      </c>
      <c r="AF1019" s="94">
        <f>IF('Net zero activities &amp; levers'!$C$12="Off",SUM('Activity data'!AY50:AY65)*FracLEACH*MSLeachEF*NtoN2O*kgtoGg,SUM('Net zero Activity data'!AY50:AY65)*FracLEACH*MSLeachEF*NtoN2O*kgtoGg)</f>
        <v>0.55733683429481795</v>
      </c>
      <c r="AG1019" s="94">
        <f>IF('Net zero activities &amp; levers'!$C$12="Off",SUM('Activity data'!AZ50:AZ65)*FracLEACH*MSLeachEF*NtoN2O*kgtoGg,SUM('Net zero Activity data'!AZ50:AZ65)*FracLEACH*MSLeachEF*NtoN2O*kgtoGg)</f>
        <v>0.55128187856538813</v>
      </c>
      <c r="AH1019" s="94">
        <f>IF('Net zero activities &amp; levers'!$C$12="Off",SUM('Activity data'!BA50:BA65)*FracLEACH*MSLeachEF*NtoN2O*kgtoGg,SUM('Net zero Activity data'!BA50:BA65)*FracLEACH*MSLeachEF*NtoN2O*kgtoGg)</f>
        <v>0.54436526977326183</v>
      </c>
      <c r="AI1019" s="94">
        <f>IF('Net zero activities &amp; levers'!$C$12="Off",SUM('Activity data'!BB50:BB65)*FracLEACH*MSLeachEF*NtoN2O*kgtoGg,SUM('Net zero Activity data'!BB50:BB65)*FracLEACH*MSLeachEF*NtoN2O*kgtoGg)</f>
        <v>0.53661612965976202</v>
      </c>
      <c r="AJ1019" s="94">
        <f>IF('Net zero activities &amp; levers'!$C$12="Off",SUM('Activity data'!BC50:BC65)*FracLEACH*MSLeachEF*NtoN2O*kgtoGg,SUM('Net zero Activity data'!BC50:BC65)*FracLEACH*MSLeachEF*NtoN2O*kgtoGg)</f>
        <v>-1.3787440297582821E-2</v>
      </c>
      <c r="AK1019" s="94">
        <f>IF('Net zero activities &amp; levers'!$C$12="Off",SUM('Activity data'!BD50:BD65)*FracLEACH*MSLeachEF*NtoN2O*kgtoGg,SUM('Net zero Activity data'!BD50:BD65)*FracLEACH*MSLeachEF*NtoN2O*kgtoGg)</f>
        <v>-1.3365724301233515E-2</v>
      </c>
      <c r="AL1019" s="94">
        <f>IF('Net zero activities &amp; levers'!$C$12="Off",SUM('Activity data'!BE50:BE65)*FracLEACH*MSLeachEF*NtoN2O*kgtoGg,SUM('Net zero Activity data'!BE50:BE65)*FracLEACH*MSLeachEF*NtoN2O*kgtoGg)</f>
        <v>-1.2947271832122912E-2</v>
      </c>
      <c r="AM1019" s="94">
        <f>IF('Net zero activities &amp; levers'!$C$12="Off",SUM('Activity data'!BF50:BF65)*FracLEACH*MSLeachEF*NtoN2O*kgtoGg,SUM('Net zero Activity data'!BF50:BF65)*FracLEACH*MSLeachEF*NtoN2O*kgtoGg)</f>
        <v>-1.2532155025223722E-2</v>
      </c>
      <c r="AN1019" s="94">
        <f>IF('Net zero activities &amp; levers'!$C$12="Off",SUM('Activity data'!BG50:BG65)*FracLEACH*MSLeachEF*NtoN2O*kgtoGg,SUM('Net zero Activity data'!BG50:BG65)*FracLEACH*MSLeachEF*NtoN2O*kgtoGg)</f>
        <v>-1.2199737734429479E-2</v>
      </c>
      <c r="AO1019" s="94">
        <f>IF('Net zero activities &amp; levers'!$C$12="Off",SUM('Activity data'!BH50:BH65)*FracLEACH*MSLeachEF*NtoN2O*kgtoGg,SUM('Net zero Activity data'!BH50:BH65)*FracLEACH*MSLeachEF*NtoN2O*kgtoGg)</f>
        <v>-1.1869291383315354E-2</v>
      </c>
      <c r="AP1019" s="94">
        <f>IF('Net zero activities &amp; levers'!$C$12="Off",SUM('Activity data'!BI50:BI65)*FracLEACH*MSLeachEF*NtoN2O*kgtoGg,SUM('Net zero Activity data'!BI50:BI65)*FracLEACH*MSLeachEF*NtoN2O*kgtoGg)</f>
        <v>-1.1540487330895275E-2</v>
      </c>
      <c r="AQ1019" s="94">
        <f>IF('Net zero activities &amp; levers'!$C$12="Off",SUM('Activity data'!BJ50:BJ65)*FracLEACH*MSLeachEF*NtoN2O*kgtoGg,SUM('Net zero Activity data'!BJ50:BJ65)*FracLEACH*MSLeachEF*NtoN2O*kgtoGg)</f>
        <v>-1.1213279540447051E-2</v>
      </c>
      <c r="AR1019" s="94">
        <f>IF('Net zero activities &amp; levers'!$C$12="Off",SUM('Activity data'!BK50:BK65)*FracLEACH*MSLeachEF*NtoN2O*kgtoGg,SUM('Net zero Activity data'!BK50:BK65)*FracLEACH*MSLeachEF*NtoN2O*kgtoGg)</f>
        <v>-1.0887330717202761E-2</v>
      </c>
      <c r="AS1019" s="94">
        <f>IF('Net zero activities &amp; levers'!$C$12="Off",SUM('Activity data'!BL50:BL65)*FracLEACH*MSLeachEF*NtoN2O*kgtoGg,SUM('Net zero Activity data'!BL50:BL65)*FracLEACH*MSLeachEF*NtoN2O*kgtoGg)</f>
        <v>-1.0562298727174138E-2</v>
      </c>
      <c r="AT1019" s="94">
        <f>IF('Net zero activities &amp; levers'!$C$12="Off",SUM('Activity data'!BM50:BM65)*FracLEACH*MSLeachEF*NtoN2O*kgtoGg,SUM('Net zero Activity data'!BM50:BM65)*FracLEACH*MSLeachEF*NtoN2O*kgtoGg)</f>
        <v>-1.0238184478362713E-2</v>
      </c>
      <c r="AU1019" s="94">
        <f>IF('Net zero activities &amp; levers'!$C$12="Off",SUM('Activity data'!BN50:BN65)*FracLEACH*MSLeachEF*NtoN2O*kgtoGg,SUM('Net zero Activity data'!BN50:BN65)*FracLEACH*MSLeachEF*NtoN2O*kgtoGg)</f>
        <v>-9.9150869917118811E-3</v>
      </c>
      <c r="AV1019" s="94">
        <f>IF('Net zero activities &amp; levers'!$C$12="Off",SUM('Activity data'!BO50:BO65)*FracLEACH*MSLeachEF*NtoN2O*kgtoGg,SUM('Net zero Activity data'!BO50:BO65)*FracLEACH*MSLeachEF*NtoN2O*kgtoGg)</f>
        <v>-9.5930871912063547E-3</v>
      </c>
      <c r="AW1019" s="94">
        <f>IF('Net zero activities &amp; levers'!$C$12="Off",SUM('Activity data'!BP50:BP65)*FracLEACH*MSLeachEF*NtoN2O*kgtoGg,SUM('Net zero Activity data'!BP50:BP65)*FracLEACH*MSLeachEF*NtoN2O*kgtoGg)</f>
        <v>-9.27190554712015E-3</v>
      </c>
      <c r="AY1019" s="79"/>
      <c r="AZ1019" s="79"/>
    </row>
    <row r="1020" spans="1:52" x14ac:dyDescent="0.25">
      <c r="A1020" s="95" t="str">
        <f t="shared" si="345"/>
        <v>DS Leaching</v>
      </c>
      <c r="B1020" s="95" t="s">
        <v>974</v>
      </c>
      <c r="C1020" s="95" t="s">
        <v>1190</v>
      </c>
      <c r="D1020" t="s">
        <v>369</v>
      </c>
      <c r="E1020" t="s">
        <v>61</v>
      </c>
      <c r="F1020" t="s">
        <v>63</v>
      </c>
      <c r="G1020" t="s">
        <v>438</v>
      </c>
      <c r="H1020" t="s">
        <v>1191</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25">
      <c r="A1021" s="95" t="str">
        <f t="shared" si="345"/>
        <v>DS Leaching</v>
      </c>
      <c r="B1021" s="95" t="s">
        <v>974</v>
      </c>
      <c r="C1021" s="95" t="s">
        <v>1190</v>
      </c>
      <c r="D1021" t="s">
        <v>369</v>
      </c>
      <c r="E1021" t="s">
        <v>61</v>
      </c>
      <c r="F1021" t="s">
        <v>63</v>
      </c>
      <c r="G1021" t="s">
        <v>439</v>
      </c>
      <c r="H1021" t="s">
        <v>1192</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0.10250223308080923</v>
      </c>
      <c r="U1021" s="22">
        <f t="shared" si="356"/>
        <v>0.10320425755524179</v>
      </c>
      <c r="V1021" s="22">
        <f t="shared" si="356"/>
        <v>0.12005228808448951</v>
      </c>
      <c r="W1021" s="22">
        <f t="shared" si="356"/>
        <v>0.12047318780844027</v>
      </c>
      <c r="X1021" s="22">
        <f t="shared" si="356"/>
        <v>0.12086279682940448</v>
      </c>
      <c r="Y1021" s="22">
        <f t="shared" si="356"/>
        <v>0.12122115716514245</v>
      </c>
      <c r="Z1021" s="22">
        <f t="shared" si="356"/>
        <v>0.12154854080302378</v>
      </c>
      <c r="AA1021" s="22">
        <f t="shared" si="356"/>
        <v>0.12184466350232884</v>
      </c>
      <c r="AB1021" s="22">
        <f t="shared" si="356"/>
        <v>0.1221092875582894</v>
      </c>
      <c r="AC1021" s="22">
        <f t="shared" si="356"/>
        <v>0.12234218010157646</v>
      </c>
      <c r="AD1021" s="22">
        <f t="shared" si="356"/>
        <v>0.12254312321244377</v>
      </c>
      <c r="AE1021" s="22">
        <f t="shared" si="356"/>
        <v>0.12271193510141119</v>
      </c>
      <c r="AF1021" s="22">
        <f t="shared" si="356"/>
        <v>0.12284843668588494</v>
      </c>
      <c r="AG1021" s="22">
        <f t="shared" si="356"/>
        <v>0.12295247873515695</v>
      </c>
      <c r="AH1021" s="22">
        <f t="shared" si="356"/>
        <v>0.12302394179853401</v>
      </c>
      <c r="AI1021" s="22">
        <f t="shared" si="356"/>
        <v>0.12306270455319578</v>
      </c>
      <c r="AJ1021" s="22">
        <f t="shared" si="356"/>
        <v>0.12306865704296534</v>
      </c>
      <c r="AK1021" s="22">
        <f t="shared" si="356"/>
        <v>7.3265802876620559E-2</v>
      </c>
      <c r="AL1021" s="22">
        <f t="shared" si="356"/>
        <v>7.322358485509374E-2</v>
      </c>
      <c r="AM1021" s="22">
        <f t="shared" si="356"/>
        <v>7.3182328438063146E-2</v>
      </c>
      <c r="AN1021" s="22">
        <f t="shared" si="356"/>
        <v>7.3141977323778182E-2</v>
      </c>
      <c r="AO1021" s="22">
        <f t="shared" si="356"/>
        <v>7.3102465037779299E-2</v>
      </c>
      <c r="AP1021" s="22">
        <f t="shared" si="356"/>
        <v>7.3063959614436361E-2</v>
      </c>
      <c r="AQ1021" s="22">
        <f t="shared" si="356"/>
        <v>7.3026574505796304E-2</v>
      </c>
      <c r="AR1021" s="22">
        <f t="shared" si="356"/>
        <v>7.299032409378052E-2</v>
      </c>
      <c r="AS1021" s="22">
        <f t="shared" si="356"/>
        <v>7.2955343151510282E-2</v>
      </c>
      <c r="AT1021" s="22">
        <f t="shared" si="356"/>
        <v>7.2921781713616574E-2</v>
      </c>
      <c r="AU1021" s="22">
        <f t="shared" si="356"/>
        <v>7.2889659597002901E-2</v>
      </c>
      <c r="AV1021" s="22">
        <f t="shared" si="356"/>
        <v>7.2858956618379891E-2</v>
      </c>
      <c r="AW1021" s="22">
        <f t="shared" si="356"/>
        <v>7.282965905259077E-2</v>
      </c>
      <c r="AY1021" s="79"/>
      <c r="AZ1021" s="79"/>
    </row>
    <row r="1022" spans="1:52" x14ac:dyDescent="0.25">
      <c r="A1022" s="95" t="str">
        <f t="shared" si="345"/>
        <v>DS Leaching</v>
      </c>
      <c r="B1022" s="95" t="s">
        <v>974</v>
      </c>
      <c r="C1022" s="95" t="s">
        <v>1190</v>
      </c>
      <c r="D1022" t="s">
        <v>369</v>
      </c>
      <c r="E1022" t="s">
        <v>61</v>
      </c>
      <c r="F1022" t="s">
        <v>63</v>
      </c>
      <c r="G1022" t="s">
        <v>1193</v>
      </c>
      <c r="H1022" t="s">
        <v>1194</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25">
      <c r="A1023" s="95" t="str">
        <f t="shared" si="345"/>
        <v>DS Leaching</v>
      </c>
      <c r="B1023" s="95" t="s">
        <v>974</v>
      </c>
      <c r="C1023" s="95" t="s">
        <v>1190</v>
      </c>
      <c r="D1023" t="s">
        <v>369</v>
      </c>
      <c r="E1023" t="s">
        <v>61</v>
      </c>
      <c r="F1023" t="s">
        <v>63</v>
      </c>
      <c r="G1023" t="s">
        <v>1195</v>
      </c>
      <c r="H1023" t="s">
        <v>1196</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25">
      <c r="A1024" s="95" t="str">
        <f t="shared" si="345"/>
        <v>DS Leaching</v>
      </c>
      <c r="B1024" s="95" t="s">
        <v>974</v>
      </c>
      <c r="C1024" s="95" t="s">
        <v>1190</v>
      </c>
      <c r="D1024" t="s">
        <v>369</v>
      </c>
      <c r="E1024" t="s">
        <v>61</v>
      </c>
      <c r="F1024" t="s">
        <v>63</v>
      </c>
      <c r="G1024" t="s">
        <v>1197</v>
      </c>
      <c r="H1024" t="s">
        <v>1198</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25">
      <c r="A1025" s="95" t="str">
        <f t="shared" si="345"/>
        <v>DS Leaching</v>
      </c>
      <c r="B1025" s="95" t="s">
        <v>974</v>
      </c>
      <c r="C1025" s="95" t="s">
        <v>1190</v>
      </c>
      <c r="D1025" t="s">
        <v>369</v>
      </c>
      <c r="E1025" t="s">
        <v>61</v>
      </c>
      <c r="F1025" t="s">
        <v>63</v>
      </c>
      <c r="G1025" t="s">
        <v>1199</v>
      </c>
      <c r="H1025" t="s">
        <v>1200</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25">
      <c r="A1026" s="95" t="str">
        <f t="shared" si="345"/>
        <v>DS Leaching</v>
      </c>
      <c r="B1026" s="95" t="s">
        <v>974</v>
      </c>
      <c r="C1026" s="95" t="s">
        <v>1190</v>
      </c>
      <c r="D1026" t="s">
        <v>369</v>
      </c>
      <c r="E1026" t="s">
        <v>61</v>
      </c>
      <c r="F1026" t="s">
        <v>63</v>
      </c>
      <c r="G1026" t="s">
        <v>1201</v>
      </c>
      <c r="H1026" t="s">
        <v>1202</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25">
      <c r="A1027" s="95" t="str">
        <f t="shared" si="345"/>
        <v>DS Leaching</v>
      </c>
      <c r="B1027" s="95" t="s">
        <v>974</v>
      </c>
      <c r="C1027" s="95" t="s">
        <v>1190</v>
      </c>
      <c r="D1027" t="s">
        <v>369</v>
      </c>
      <c r="E1027" t="s">
        <v>61</v>
      </c>
      <c r="F1027" t="s">
        <v>63</v>
      </c>
      <c r="G1027" t="s">
        <v>1203</v>
      </c>
      <c r="H1027" t="s">
        <v>1204</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25">
      <c r="A1028" s="95" t="str">
        <f t="shared" si="345"/>
        <v>DS Leaching</v>
      </c>
      <c r="B1028" s="95" t="s">
        <v>974</v>
      </c>
      <c r="C1028" s="95" t="s">
        <v>1190</v>
      </c>
      <c r="D1028" t="s">
        <v>369</v>
      </c>
      <c r="E1028" t="s">
        <v>61</v>
      </c>
      <c r="F1028" t="s">
        <v>63</v>
      </c>
      <c r="G1028" t="s">
        <v>1205</v>
      </c>
      <c r="H1028" t="s">
        <v>1206</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25">
      <c r="A1029" s="95" t="str">
        <f t="shared" si="345"/>
        <v>DS Leaching</v>
      </c>
      <c r="B1029" s="95" t="s">
        <v>974</v>
      </c>
      <c r="C1029" s="95" t="s">
        <v>1190</v>
      </c>
      <c r="D1029" t="s">
        <v>369</v>
      </c>
      <c r="E1029" t="s">
        <v>61</v>
      </c>
      <c r="F1029" t="s">
        <v>63</v>
      </c>
      <c r="G1029" t="s">
        <v>1207</v>
      </c>
      <c r="H1029" t="s">
        <v>1208</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25">
      <c r="A1030" s="95" t="str">
        <f t="shared" si="345"/>
        <v>DS Leaching</v>
      </c>
      <c r="B1030" s="95" t="s">
        <v>974</v>
      </c>
      <c r="C1030" s="95" t="s">
        <v>1190</v>
      </c>
      <c r="D1030" t="s">
        <v>369</v>
      </c>
      <c r="E1030" t="s">
        <v>61</v>
      </c>
      <c r="F1030" t="s">
        <v>63</v>
      </c>
      <c r="G1030" t="s">
        <v>1209</v>
      </c>
      <c r="H1030" t="s">
        <v>1210</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25">
      <c r="A1031" s="95" t="str">
        <f t="shared" si="345"/>
        <v>DS Leaching</v>
      </c>
      <c r="B1031" s="95" t="s">
        <v>974</v>
      </c>
      <c r="C1031" s="95" t="s">
        <v>1190</v>
      </c>
      <c r="D1031" t="s">
        <v>369</v>
      </c>
      <c r="E1031" t="s">
        <v>61</v>
      </c>
      <c r="F1031" t="s">
        <v>63</v>
      </c>
      <c r="G1031" t="s">
        <v>1211</v>
      </c>
      <c r="H1031" t="s">
        <v>1212</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25">
      <c r="A1032" s="95" t="str">
        <f t="shared" si="345"/>
        <v>DS Leaching</v>
      </c>
      <c r="B1032" s="95" t="s">
        <v>974</v>
      </c>
      <c r="C1032" s="95" t="s">
        <v>1190</v>
      </c>
      <c r="D1032" t="s">
        <v>369</v>
      </c>
      <c r="E1032" t="s">
        <v>61</v>
      </c>
      <c r="F1032" t="s">
        <v>63</v>
      </c>
      <c r="G1032" t="s">
        <v>1213</v>
      </c>
      <c r="H1032" t="s">
        <v>1214</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25">
      <c r="A1033" s="95" t="str">
        <f t="shared" si="345"/>
        <v xml:space="preserve">DS </v>
      </c>
      <c r="B1033" s="95" t="s">
        <v>974</v>
      </c>
      <c r="C1033" s="95"/>
      <c r="D1033" t="s">
        <v>369</v>
      </c>
      <c r="E1033" t="s">
        <v>61</v>
      </c>
      <c r="F1033" t="s">
        <v>63</v>
      </c>
      <c r="G1033" t="s">
        <v>1215</v>
      </c>
      <c r="H1033" t="s">
        <v>1216</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25">
      <c r="A1034" s="95" t="str">
        <f t="shared" si="345"/>
        <v>DS MM Volatilisation</v>
      </c>
      <c r="B1034" s="95" t="s">
        <v>974</v>
      </c>
      <c r="C1034" s="95" t="s">
        <v>1332</v>
      </c>
      <c r="D1034" t="s">
        <v>369</v>
      </c>
      <c r="E1034" t="s">
        <v>64</v>
      </c>
      <c r="F1034" t="s">
        <v>62</v>
      </c>
      <c r="G1034" t="s">
        <v>1152</v>
      </c>
      <c r="H1034" t="s">
        <v>1290</v>
      </c>
      <c r="I1034" t="s">
        <v>139</v>
      </c>
      <c r="J1034" t="s">
        <v>287</v>
      </c>
      <c r="K1034" s="22">
        <f t="shared" ref="K1034:AW1034" si="360">K1531</f>
        <v>0.39609736661915962</v>
      </c>
      <c r="L1034" s="22">
        <f t="shared" si="360"/>
        <v>0.39831175345583053</v>
      </c>
      <c r="M1034" s="22">
        <f t="shared" si="360"/>
        <v>0.40145358914715529</v>
      </c>
      <c r="N1034" s="22">
        <f t="shared" si="360"/>
        <v>0.40347255325329029</v>
      </c>
      <c r="O1034" s="22">
        <f t="shared" si="360"/>
        <v>0.40481416413578281</v>
      </c>
      <c r="P1034" s="22">
        <f t="shared" si="360"/>
        <v>0.40546521734783819</v>
      </c>
      <c r="Q1034" s="22">
        <f t="shared" si="360"/>
        <v>0.40690363619044922</v>
      </c>
      <c r="R1034" s="22">
        <f t="shared" si="360"/>
        <v>0.40855374420631202</v>
      </c>
      <c r="S1034" s="22">
        <f t="shared" si="360"/>
        <v>0.39694485067455443</v>
      </c>
      <c r="T1034" s="22">
        <f t="shared" si="360"/>
        <v>0.40377484899001992</v>
      </c>
      <c r="U1034" s="22">
        <f t="shared" si="360"/>
        <v>0.69472691845052781</v>
      </c>
      <c r="V1034" s="22">
        <f t="shared" si="360"/>
        <v>0.70310152718694741</v>
      </c>
      <c r="W1034" s="22">
        <f t="shared" si="360"/>
        <v>0.71110880509409102</v>
      </c>
      <c r="X1034" s="22">
        <f t="shared" si="360"/>
        <v>0.718612550142118</v>
      </c>
      <c r="Y1034" s="22">
        <f t="shared" si="360"/>
        <v>0.7254123730618981</v>
      </c>
      <c r="Z1034" s="22">
        <f t="shared" si="360"/>
        <v>0.73147651852735551</v>
      </c>
      <c r="AA1034" s="22">
        <f t="shared" si="360"/>
        <v>0.73676965969026942</v>
      </c>
      <c r="AB1034" s="22">
        <f t="shared" si="360"/>
        <v>0.74126505933946241</v>
      </c>
      <c r="AC1034" s="22">
        <f t="shared" si="360"/>
        <v>0.74494151296918631</v>
      </c>
      <c r="AD1034" s="22">
        <f t="shared" si="360"/>
        <v>0.74777672987859323</v>
      </c>
      <c r="AE1034" s="22">
        <f t="shared" si="360"/>
        <v>0.7497573654957449</v>
      </c>
      <c r="AF1034" s="22">
        <f t="shared" si="360"/>
        <v>0.75087061941702216</v>
      </c>
      <c r="AG1034" s="22">
        <f t="shared" si="360"/>
        <v>0.75110412486622213</v>
      </c>
      <c r="AH1034" s="22">
        <f t="shared" si="360"/>
        <v>0.75045562343243666</v>
      </c>
      <c r="AI1034" s="22">
        <f t="shared" si="360"/>
        <v>0.74892880709192955</v>
      </c>
      <c r="AJ1034" s="22">
        <f t="shared" si="360"/>
        <v>0.2369481237841857</v>
      </c>
      <c r="AK1034" s="22">
        <f t="shared" si="360"/>
        <v>0.23712109193812289</v>
      </c>
      <c r="AL1034" s="22">
        <f t="shared" si="360"/>
        <v>0.23728160870243259</v>
      </c>
      <c r="AM1034" s="22">
        <f t="shared" si="360"/>
        <v>0.2374307599177384</v>
      </c>
      <c r="AN1034" s="22">
        <f t="shared" si="360"/>
        <v>0.2375698831121214</v>
      </c>
      <c r="AO1034" s="22">
        <f t="shared" si="360"/>
        <v>0.23769461188435137</v>
      </c>
      <c r="AP1034" s="22">
        <f t="shared" si="360"/>
        <v>0.2378020140279184</v>
      </c>
      <c r="AQ1034" s="22">
        <f t="shared" si="360"/>
        <v>0.23789161932894973</v>
      </c>
      <c r="AR1034" s="22">
        <f t="shared" si="360"/>
        <v>0.23796010078507188</v>
      </c>
      <c r="AS1034" s="22">
        <f t="shared" si="360"/>
        <v>0.2380038463120322</v>
      </c>
      <c r="AT1034" s="22">
        <f t="shared" si="360"/>
        <v>0.23802240976704672</v>
      </c>
      <c r="AU1034" s="22">
        <f t="shared" si="360"/>
        <v>0.23801630420250081</v>
      </c>
      <c r="AV1034" s="22">
        <f t="shared" si="360"/>
        <v>0.23798588741324539</v>
      </c>
      <c r="AW1034" s="22">
        <f t="shared" si="360"/>
        <v>0.23792776204046176</v>
      </c>
      <c r="AY1034" s="79"/>
      <c r="AZ1034" s="79"/>
    </row>
    <row r="1035" spans="1:52" x14ac:dyDescent="0.25">
      <c r="A1035" s="95" t="str">
        <f t="shared" si="345"/>
        <v>DS MM Volatilisation</v>
      </c>
      <c r="B1035" s="95" t="s">
        <v>974</v>
      </c>
      <c r="C1035" s="95" t="s">
        <v>1332</v>
      </c>
      <c r="D1035" t="s">
        <v>369</v>
      </c>
      <c r="E1035" t="s">
        <v>64</v>
      </c>
      <c r="F1035" t="s">
        <v>62</v>
      </c>
      <c r="G1035" t="s">
        <v>1154</v>
      </c>
      <c r="H1035" t="s">
        <v>1291</v>
      </c>
      <c r="I1035" t="s">
        <v>139</v>
      </c>
      <c r="J1035" t="s">
        <v>287</v>
      </c>
      <c r="K1035" s="22">
        <f t="shared" ref="K1035:AW1035" si="361">K1532</f>
        <v>3.1249813656142676E-2</v>
      </c>
      <c r="L1035" s="22">
        <f t="shared" si="361"/>
        <v>3.1424516095088999E-2</v>
      </c>
      <c r="M1035" s="22">
        <f t="shared" si="361"/>
        <v>3.1672388936885787E-2</v>
      </c>
      <c r="N1035" s="22">
        <f t="shared" si="361"/>
        <v>3.1831673641638247E-2</v>
      </c>
      <c r="O1035" s="22">
        <f t="shared" si="361"/>
        <v>3.1937519056453263E-2</v>
      </c>
      <c r="P1035" s="22">
        <f t="shared" si="361"/>
        <v>3.1988883426104654E-2</v>
      </c>
      <c r="Q1035" s="22">
        <f t="shared" si="361"/>
        <v>3.2102366434524382E-2</v>
      </c>
      <c r="R1035" s="22">
        <f t="shared" si="361"/>
        <v>3.2232550506305399E-2</v>
      </c>
      <c r="S1035" s="22">
        <f t="shared" si="361"/>
        <v>3.1316675294314346E-2</v>
      </c>
      <c r="T1035" s="22">
        <f t="shared" si="361"/>
        <v>3.1855523043926581E-2</v>
      </c>
      <c r="U1035" s="22">
        <f t="shared" si="361"/>
        <v>5.4809974953353012E-2</v>
      </c>
      <c r="V1035" s="22">
        <f t="shared" si="361"/>
        <v>5.547068361872478E-2</v>
      </c>
      <c r="W1035" s="22">
        <f t="shared" si="361"/>
        <v>5.6102411985482069E-2</v>
      </c>
      <c r="X1035" s="22">
        <f t="shared" si="361"/>
        <v>5.6694414493540908E-2</v>
      </c>
      <c r="Y1035" s="22">
        <f t="shared" si="361"/>
        <v>5.7230881577257239E-2</v>
      </c>
      <c r="Z1035" s="22">
        <f t="shared" si="361"/>
        <v>5.7709307923276061E-2</v>
      </c>
      <c r="AA1035" s="22">
        <f t="shared" si="361"/>
        <v>5.812690644560041E-2</v>
      </c>
      <c r="AB1035" s="22">
        <f t="shared" si="361"/>
        <v>5.8481567731400452E-2</v>
      </c>
      <c r="AC1035" s="22">
        <f t="shared" si="361"/>
        <v>5.8771618866617373E-2</v>
      </c>
      <c r="AD1035" s="22">
        <f t="shared" si="361"/>
        <v>5.8995301242619896E-2</v>
      </c>
      <c r="AE1035" s="22">
        <f t="shared" si="361"/>
        <v>5.9151562049110484E-2</v>
      </c>
      <c r="AF1035" s="22">
        <f t="shared" si="361"/>
        <v>5.9239391407555408E-2</v>
      </c>
      <c r="AG1035" s="22">
        <f t="shared" si="361"/>
        <v>5.9257813650140552E-2</v>
      </c>
      <c r="AH1035" s="22">
        <f t="shared" si="361"/>
        <v>5.9206650601179869E-2</v>
      </c>
      <c r="AI1035" s="22">
        <f t="shared" si="361"/>
        <v>5.9086193536455466E-2</v>
      </c>
      <c r="AJ1035" s="22">
        <f t="shared" si="361"/>
        <v>1.8693849892589171E-2</v>
      </c>
      <c r="AK1035" s="22">
        <f t="shared" si="361"/>
        <v>1.870749608929358E-2</v>
      </c>
      <c r="AL1035" s="22">
        <f t="shared" si="361"/>
        <v>1.8720159942669283E-2</v>
      </c>
      <c r="AM1035" s="22">
        <f t="shared" si="361"/>
        <v>1.873192711932253E-2</v>
      </c>
      <c r="AN1035" s="22">
        <f t="shared" si="361"/>
        <v>1.8742903142558495E-2</v>
      </c>
      <c r="AO1035" s="22">
        <f t="shared" si="361"/>
        <v>1.8752743528327825E-2</v>
      </c>
      <c r="AP1035" s="22">
        <f t="shared" si="361"/>
        <v>1.8761216942330506E-2</v>
      </c>
      <c r="AQ1035" s="22">
        <f t="shared" si="361"/>
        <v>1.8768286287385059E-2</v>
      </c>
      <c r="AR1035" s="22">
        <f t="shared" si="361"/>
        <v>1.8773689082058967E-2</v>
      </c>
      <c r="AS1035" s="22">
        <f t="shared" si="361"/>
        <v>1.8777140353592202E-2</v>
      </c>
      <c r="AT1035" s="22">
        <f t="shared" si="361"/>
        <v>1.8778604903874292E-2</v>
      </c>
      <c r="AU1035" s="22">
        <f t="shared" si="361"/>
        <v>1.877812320980005E-2</v>
      </c>
      <c r="AV1035" s="22">
        <f t="shared" si="361"/>
        <v>1.8775723499333995E-2</v>
      </c>
      <c r="AW1035" s="22">
        <f t="shared" si="361"/>
        <v>1.8771137740323057E-2</v>
      </c>
      <c r="AY1035" s="79"/>
      <c r="AZ1035" s="79"/>
    </row>
    <row r="1036" spans="1:52" x14ac:dyDescent="0.25">
      <c r="A1036" s="95" t="str">
        <f t="shared" si="345"/>
        <v>DS MM Volatilisation</v>
      </c>
      <c r="B1036" s="95" t="s">
        <v>974</v>
      </c>
      <c r="C1036" s="95" t="s">
        <v>1332</v>
      </c>
      <c r="D1036" t="s">
        <v>369</v>
      </c>
      <c r="E1036" t="s">
        <v>64</v>
      </c>
      <c r="F1036" t="s">
        <v>62</v>
      </c>
      <c r="G1036" t="s">
        <v>1156</v>
      </c>
      <c r="H1036" t="s">
        <v>1292</v>
      </c>
      <c r="I1036" t="s">
        <v>139</v>
      </c>
      <c r="J1036" t="s">
        <v>287</v>
      </c>
      <c r="K1036" s="22">
        <f t="shared" ref="K1036:AW1036" si="362">K1533</f>
        <v>2.8967336997006343E-4</v>
      </c>
      <c r="L1036" s="22">
        <f t="shared" si="362"/>
        <v>2.9129279224209421E-4</v>
      </c>
      <c r="M1036" s="22">
        <f t="shared" si="362"/>
        <v>2.9359047510821973E-4</v>
      </c>
      <c r="N1036" s="22">
        <f t="shared" si="362"/>
        <v>2.9506698110336069E-4</v>
      </c>
      <c r="O1036" s="22">
        <f t="shared" si="362"/>
        <v>2.960481260901027E-4</v>
      </c>
      <c r="P1036" s="22">
        <f t="shared" si="362"/>
        <v>2.9652425341095731E-4</v>
      </c>
      <c r="Q1036" s="22">
        <f t="shared" si="362"/>
        <v>2.9757619585915883E-4</v>
      </c>
      <c r="R1036" s="22">
        <f t="shared" si="362"/>
        <v>2.9878295053629658E-4</v>
      </c>
      <c r="S1036" s="22">
        <f t="shared" si="362"/>
        <v>2.9029315081944787E-4</v>
      </c>
      <c r="T1036" s="22">
        <f t="shared" si="362"/>
        <v>2.9528805559707279E-4</v>
      </c>
      <c r="U1036" s="22">
        <f t="shared" si="362"/>
        <v>5.0806671449036449E-4</v>
      </c>
      <c r="V1036" s="22">
        <f t="shared" si="362"/>
        <v>5.1419122159215467E-4</v>
      </c>
      <c r="W1036" s="22">
        <f t="shared" si="362"/>
        <v>5.200470928276717E-4</v>
      </c>
      <c r="X1036" s="22">
        <f t="shared" si="362"/>
        <v>5.2553472111970217E-4</v>
      </c>
      <c r="Y1036" s="22">
        <f t="shared" si="362"/>
        <v>5.3050755806932593E-4</v>
      </c>
      <c r="Z1036" s="22">
        <f t="shared" si="362"/>
        <v>5.3494238041606622E-4</v>
      </c>
      <c r="AA1036" s="22">
        <f t="shared" si="362"/>
        <v>5.3881335297888784E-4</v>
      </c>
      <c r="AB1036" s="22">
        <f t="shared" si="362"/>
        <v>5.42100922338055E-4</v>
      </c>
      <c r="AC1036" s="22">
        <f t="shared" si="362"/>
        <v>5.4478958124419888E-4</v>
      </c>
      <c r="AD1036" s="22">
        <f t="shared" si="362"/>
        <v>5.4686302809327551E-4</v>
      </c>
      <c r="AE1036" s="22">
        <f t="shared" si="362"/>
        <v>5.4831150375167243E-4</v>
      </c>
      <c r="AF1036" s="22">
        <f t="shared" si="362"/>
        <v>5.4912564704618944E-4</v>
      </c>
      <c r="AG1036" s="22">
        <f t="shared" si="362"/>
        <v>5.4929641392341823E-4</v>
      </c>
      <c r="AH1036" s="22">
        <f t="shared" si="362"/>
        <v>5.4882215276546513E-4</v>
      </c>
      <c r="AI1036" s="22">
        <f t="shared" si="362"/>
        <v>5.4770556358322664E-4</v>
      </c>
      <c r="AJ1036" s="22">
        <f t="shared" si="362"/>
        <v>1.7328456917170714E-4</v>
      </c>
      <c r="AK1036" s="22">
        <f t="shared" si="362"/>
        <v>1.7341106399916873E-4</v>
      </c>
      <c r="AL1036" s="22">
        <f t="shared" si="362"/>
        <v>1.7352845289385181E-4</v>
      </c>
      <c r="AM1036" s="22">
        <f t="shared" si="362"/>
        <v>1.7363752995119643E-4</v>
      </c>
      <c r="AN1036" s="22">
        <f t="shared" si="362"/>
        <v>1.7373927333036077E-4</v>
      </c>
      <c r="AO1036" s="22">
        <f t="shared" si="362"/>
        <v>1.7383048980092826E-4</v>
      </c>
      <c r="AP1036" s="22">
        <f t="shared" si="362"/>
        <v>1.7390903498575136E-4</v>
      </c>
      <c r="AQ1036" s="22">
        <f t="shared" si="362"/>
        <v>1.7397456500868103E-4</v>
      </c>
      <c r="AR1036" s="22">
        <f t="shared" si="362"/>
        <v>1.7402464677101302E-4</v>
      </c>
      <c r="AS1036" s="22">
        <f t="shared" si="362"/>
        <v>1.7405663868836374E-4</v>
      </c>
      <c r="AT1036" s="22">
        <f t="shared" si="362"/>
        <v>1.7407021448821884E-4</v>
      </c>
      <c r="AU1036" s="22">
        <f t="shared" si="362"/>
        <v>1.7406574937532841E-4</v>
      </c>
      <c r="AV1036" s="22">
        <f t="shared" si="362"/>
        <v>1.7404350501172027E-4</v>
      </c>
      <c r="AW1036" s="22">
        <f t="shared" si="362"/>
        <v>1.740009968457137E-4</v>
      </c>
      <c r="AY1036" s="79"/>
      <c r="AZ1036" s="79"/>
    </row>
    <row r="1037" spans="1:52" x14ac:dyDescent="0.25">
      <c r="A1037" s="95" t="str">
        <f t="shared" si="345"/>
        <v>DS MM Volatilisation</v>
      </c>
      <c r="B1037" s="95" t="s">
        <v>974</v>
      </c>
      <c r="C1037" s="95" t="s">
        <v>1332</v>
      </c>
      <c r="D1037" t="s">
        <v>369</v>
      </c>
      <c r="E1037" t="s">
        <v>64</v>
      </c>
      <c r="F1037" t="s">
        <v>62</v>
      </c>
      <c r="G1037" t="s">
        <v>1158</v>
      </c>
      <c r="H1037" t="s">
        <v>1293</v>
      </c>
      <c r="I1037" t="s">
        <v>139</v>
      </c>
      <c r="J1037" t="s">
        <v>287</v>
      </c>
      <c r="K1037" s="94">
        <f>IF('Net zero activities &amp; levers'!$C$12="Off",Constants!$H66*'Activity data'!AD8*Constants!$H84*EF!$H209*MMVolatEF*NtoN2O*kgtoGg,Constants!$H66*'Net zero Activity data'!AD8*Constants!$H84*EF!$H209*MMVolatEF*NtoN2O*kgtoGg)</f>
        <v>3.2323215352203878E-3</v>
      </c>
      <c r="L1037" s="94">
        <f>IF('Net zero activities &amp; levers'!$C$12="Off",Constants!$H66*'Activity data'!AE8*Constants!$H84*EF!$H209*MMVolatEF*NtoN2O*kgtoGg,Constants!$H66*'Net zero Activity data'!AE8*Constants!$H84*EF!$H209*MMVolatEF*NtoN2O*kgtoGg)</f>
        <v>3.2042886428129457E-3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3.1509707896886733E-3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3.0091897617382946E-3</v>
      </c>
      <c r="Q1037" s="94">
        <f>IF('Net zero activities &amp; levers'!$C$12="Off",Constants!$H66*'Activity data'!AJ8*Constants!$H84*EF!$H209*MMVolatEF*NtoN2O*kgtoGg,Constants!$H66*'Net zero Activity data'!AJ8*Constants!$H84*EF!$H209*MMVolatEF*NtoN2O*kgtoGg)</f>
        <v>2.9461872714039491E-3</v>
      </c>
      <c r="R1037" s="94">
        <f>IF('Net zero activities &amp; levers'!$C$12="Off",Constants!$H66*'Activity data'!AK8*Constants!$H84*EF!$H209*MMVolatEF*NtoN2O*kgtoGg,Constants!$H66*'Net zero Activity data'!AK8*Constants!$H84*EF!$H209*MMVolatEF*NtoN2O*kgtoGg)</f>
        <v>2.8865797531671873E-3</v>
      </c>
      <c r="S1037" s="94">
        <f>IF('Net zero activities &amp; levers'!$C$12="Off",Constants!$H66*'Activity data'!AL8*Constants!$H84*EF!$H209*MMVolatEF*NtoN2O*kgtoGg,Constants!$H66*'Net zero Activity data'!AL8*Constants!$H84*EF!$H209*MMVolatEF*NtoN2O*kgtoGg)</f>
        <v>2.5815224060103171E-3</v>
      </c>
      <c r="T1037" s="94">
        <f>IF('Net zero activities &amp; levers'!$C$12="Off",Constants!$H66*'Activity data'!AM8*Constants!$H84*EF!$H209*MMVolatEF*NtoN2O*kgtoGg,Constants!$H66*'Net zero Activity data'!AM8*Constants!$H84*EF!$H209*MMVolatEF*NtoN2O*kgtoGg)</f>
        <v>2.6809806193820299E-3</v>
      </c>
      <c r="U1037" s="94">
        <f>IF('Net zero activities &amp; levers'!$C$12="Off",Constants!$H66*'Activity data'!AN8*Constants!$H84*EF!$H209*MMVolatEF*NtoN2O*kgtoGg,Constants!$H66*'Net zero Activity data'!AN8*Constants!$H84*EF!$H209*MMVolatEF*NtoN2O*kgtoGg)</f>
        <v>8.4496349357244746E-3</v>
      </c>
      <c r="V1037" s="94">
        <f>IF('Net zero activities &amp; levers'!$C$12="Off",Constants!$H66*'Activity data'!AO8*Constants!$H84*EF!$H209*MMVolatEF*NtoN2O*kgtoGg,Constants!$H66*'Net zero Activity data'!AO8*Constants!$H84*EF!$H209*MMVolatEF*NtoN2O*kgtoGg)</f>
        <v>8.490390729273779E-3</v>
      </c>
      <c r="W1037" s="94">
        <f>IF('Net zero activities &amp; levers'!$C$12="Off",Constants!$H66*'Activity data'!AP8*Constants!$H84*EF!$H209*MMVolatEF*NtoN2O*kgtoGg,Constants!$H66*'Net zero Activity data'!AP8*Constants!$H84*EF!$H209*MMVolatEF*NtoN2O*kgtoGg)</f>
        <v>8.5164743363873984E-3</v>
      </c>
      <c r="X1037" s="94">
        <f>IF('Net zero activities &amp; levers'!$C$12="Off",Constants!$H66*'Activity data'!AQ8*Constants!$H84*EF!$H209*MMVolatEF*NtoN2O*kgtoGg,Constants!$H66*'Net zero Activity data'!AQ8*Constants!$H84*EF!$H209*MMVolatEF*NtoN2O*kgtoGg)</f>
        <v>8.5278804443353062E-3</v>
      </c>
      <c r="Y1037" s="94">
        <f>IF('Net zero activities &amp; levers'!$C$12="Off",Constants!$H66*'Activity data'!AR8*Constants!$H84*EF!$H209*MMVolatEF*NtoN2O*kgtoGg,Constants!$H66*'Net zero Activity data'!AR8*Constants!$H84*EF!$H209*MMVolatEF*NtoN2O*kgtoGg)</f>
        <v>8.5248506776145015E-3</v>
      </c>
      <c r="Z1037" s="94">
        <f>IF('Net zero activities &amp; levers'!$C$12="Off",Constants!$H66*'Activity data'!AS8*Constants!$H84*EF!$H209*MMVolatEF*NtoN2O*kgtoGg,Constants!$H66*'Net zero Activity data'!AS8*Constants!$H84*EF!$H209*MMVolatEF*NtoN2O*kgtoGg)</f>
        <v>8.5072398121281648E-3</v>
      </c>
      <c r="AA1037" s="94">
        <f>IF('Net zero activities &amp; levers'!$C$12="Off",Constants!$H66*'Activity data'!AT8*Constants!$H84*EF!$H209*MMVolatEF*NtoN2O*kgtoGg,Constants!$H66*'Net zero Activity data'!AT8*Constants!$H84*EF!$H209*MMVolatEF*NtoN2O*kgtoGg)</f>
        <v>8.4750047085989932E-3</v>
      </c>
      <c r="AB1037" s="94">
        <f>IF('Net zero activities &amp; levers'!$C$12="Off",Constants!$H66*'Activity data'!AU8*Constants!$H84*EF!$H209*MMVolatEF*NtoN2O*kgtoGg,Constants!$H66*'Net zero Activity data'!AU8*Constants!$H84*EF!$H209*MMVolatEF*NtoN2O*kgtoGg)</f>
        <v>8.4281720385821924E-3</v>
      </c>
      <c r="AC1037" s="94">
        <f>IF('Net zero activities &amp; levers'!$C$12="Off",Constants!$H66*'Activity data'!AV8*Constants!$H84*EF!$H209*MMVolatEF*NtoN2O*kgtoGg,Constants!$H66*'Net zero Activity data'!AV8*Constants!$H84*EF!$H209*MMVolatEF*NtoN2O*kgtoGg)</f>
        <v>8.3668471101216637E-3</v>
      </c>
      <c r="AD1037" s="94">
        <f>IF('Net zero activities &amp; levers'!$C$12="Off",Constants!$H66*'Activity data'!AW8*Constants!$H84*EF!$H209*MMVolatEF*NtoN2O*kgtoGg,Constants!$H66*'Net zero Activity data'!AW8*Constants!$H84*EF!$H209*MMVolatEF*NtoN2O*kgtoGg)</f>
        <v>8.2215560258446178E-3</v>
      </c>
      <c r="AE1037" s="94">
        <f>IF('Net zero activities &amp; levers'!$C$12="Off",Constants!$H66*'Activity data'!AX8*Constants!$H84*EF!$H209*MMVolatEF*NtoN2O*kgtoGg,Constants!$H66*'Net zero Activity data'!AX8*Constants!$H84*EF!$H209*MMVolatEF*NtoN2O*kgtoGg)</f>
        <v>8.0625794404136485E-3</v>
      </c>
      <c r="AF1037" s="94">
        <f>IF('Net zero activities &amp; levers'!$C$12="Off",Constants!$H66*'Activity data'!AY8*Constants!$H84*EF!$H209*MMVolatEF*NtoN2O*kgtoGg,Constants!$H66*'Net zero Activity data'!AY8*Constants!$H84*EF!$H209*MMVolatEF*NtoN2O*kgtoGg)</f>
        <v>7.8906316671852623E-3</v>
      </c>
      <c r="AG1037" s="94">
        <f>IF('Net zero activities &amp; levers'!$C$12="Off",Constants!$H66*'Activity data'!AZ8*Constants!$H84*EF!$H209*MMVolatEF*NtoN2O*kgtoGg,Constants!$H66*'Net zero Activity data'!AZ8*Constants!$H84*EF!$H209*MMVolatEF*NtoN2O*kgtoGg)</f>
        <v>7.7065081858302149E-3</v>
      </c>
      <c r="AH1037" s="94">
        <f>IF('Net zero activities &amp; levers'!$C$12="Off",Constants!$H66*'Activity data'!BA8*Constants!$H84*EF!$H209*MMVolatEF*NtoN2O*kgtoGg,Constants!$H66*'Net zero Activity data'!BA8*Constants!$H84*EF!$H209*MMVolatEF*NtoN2O*kgtoGg)</f>
        <v>7.5110558523361756E-3</v>
      </c>
      <c r="AI1037" s="94">
        <f>IF('Net zero activities &amp; levers'!$C$12="Off",Constants!$H66*'Activity data'!BB8*Constants!$H84*EF!$H209*MMVolatEF*NtoN2O*kgtoGg,Constants!$H66*'Net zero Activity data'!BB8*Constants!$H84*EF!$H209*MMVolatEF*NtoN2O*kgtoGg)</f>
        <v>7.3051764470657117E-3</v>
      </c>
      <c r="AJ1037" s="94">
        <f>IF('Net zero activities &amp; levers'!$C$12="Off",Constants!$H66*'Activity data'!BC8*Constants!$H84*EF!$H209*MMVolatEF*NtoN2O*kgtoGg,Constants!$H66*'Net zero Activity data'!BC8*Constants!$H84*EF!$H209*MMVolatEF*NtoN2O*kgtoGg)</f>
        <v>-5.6405599805615676E-4</v>
      </c>
      <c r="AK1037" s="94">
        <f>IF('Net zero activities &amp; levers'!$C$12="Off",Constants!$H66*'Activity data'!BD8*Constants!$H84*EF!$H209*MMVolatEF*NtoN2O*kgtoGg,Constants!$H66*'Net zero Activity data'!BD8*Constants!$H84*EF!$H209*MMVolatEF*NtoN2O*kgtoGg)</f>
        <v>-5.5047515962352916E-4</v>
      </c>
      <c r="AL1037" s="94">
        <f>IF('Net zero activities &amp; levers'!$C$12="Off",Constants!$H66*'Activity data'!BE8*Constants!$H84*EF!$H209*MMVolatEF*NtoN2O*kgtoGg,Constants!$H66*'Net zero Activity data'!BE8*Constants!$H84*EF!$H209*MMVolatEF*NtoN2O*kgtoGg)</f>
        <v>-5.3703562288424922E-4</v>
      </c>
      <c r="AM1037" s="94">
        <f>IF('Net zero activities &amp; levers'!$C$12="Off",Constants!$H66*'Activity data'!BF8*Constants!$H84*EF!$H209*MMVolatEF*NtoN2O*kgtoGg,Constants!$H66*'Net zero Activity data'!BF8*Constants!$H84*EF!$H209*MMVolatEF*NtoN2O*kgtoGg)</f>
        <v>-5.2373599978206974E-4</v>
      </c>
      <c r="AN1037" s="94">
        <f>IF('Net zero activities &amp; levers'!$C$12="Off",Constants!$H66*'Activity data'!BG8*Constants!$H84*EF!$H209*MMVolatEF*NtoN2O*kgtoGg,Constants!$H66*'Net zero Activity data'!BG8*Constants!$H84*EF!$H209*MMVolatEF*NtoN2O*kgtoGg)</f>
        <v>-5.1318044022279606E-4</v>
      </c>
      <c r="AO1037" s="94">
        <f>IF('Net zero activities &amp; levers'!$C$12="Off",Constants!$H66*'Activity data'!BH8*Constants!$H84*EF!$H209*MMVolatEF*NtoN2O*kgtoGg,Constants!$H66*'Net zero Activity data'!BH8*Constants!$H84*EF!$H209*MMVolatEF*NtoN2O*kgtoGg)</f>
        <v>-5.0272501169057937E-4</v>
      </c>
      <c r="AP1037" s="94">
        <f>IF('Net zero activities &amp; levers'!$C$12="Off",Constants!$H66*'Activity data'!BI8*Constants!$H84*EF!$H209*MMVolatEF*NtoN2O*kgtoGg,Constants!$H66*'Net zero Activity data'!BI8*Constants!$H84*EF!$H209*MMVolatEF*NtoN2O*kgtoGg)</f>
        <v>-4.9236193773087231E-4</v>
      </c>
      <c r="AQ1037" s="94">
        <f>IF('Net zero activities &amp; levers'!$C$12="Off",Constants!$H66*'Activity data'!BJ8*Constants!$H84*EF!$H209*MMVolatEF*NtoN2O*kgtoGg,Constants!$H66*'Net zero Activity data'!BJ8*Constants!$H84*EF!$H209*MMVolatEF*NtoN2O*kgtoGg)</f>
        <v>-4.8208865134491532E-4</v>
      </c>
      <c r="AR1037" s="94">
        <f>IF('Net zero activities &amp; levers'!$C$12="Off",Constants!$H66*'Activity data'!BK8*Constants!$H84*EF!$H209*MMVolatEF*NtoN2O*kgtoGg,Constants!$H66*'Net zero Activity data'!BK8*Constants!$H84*EF!$H209*MMVolatEF*NtoN2O*kgtoGg)</f>
        <v>-4.7189764173024049E-4</v>
      </c>
      <c r="AS1037" s="94">
        <f>IF('Net zero activities &amp; levers'!$C$12="Off",Constants!$H66*'Activity data'!BL8*Constants!$H84*EF!$H209*MMVolatEF*NtoN2O*kgtoGg,Constants!$H66*'Net zero Activity data'!BL8*Constants!$H84*EF!$H209*MMVolatEF*NtoN2O*kgtoGg)</f>
        <v>-4.6178155356127546E-4</v>
      </c>
      <c r="AT1037" s="94">
        <f>IF('Net zero activities &amp; levers'!$C$12="Off",Constants!$H66*'Activity data'!BM8*Constants!$H84*EF!$H209*MMVolatEF*NtoN2O*kgtoGg,Constants!$H66*'Net zero Activity data'!BM8*Constants!$H84*EF!$H209*MMVolatEF*NtoN2O*kgtoGg)</f>
        <v>-4.5173920552966836E-4</v>
      </c>
      <c r="AU1037" s="94">
        <f>IF('Net zero activities &amp; levers'!$C$12="Off",Constants!$H66*'Activity data'!BN8*Constants!$H84*EF!$H209*MMVolatEF*NtoN2O*kgtoGg,Constants!$H66*'Net zero Activity data'!BN8*Constants!$H84*EF!$H209*MMVolatEF*NtoN2O*kgtoGg)</f>
        <v>-4.4177121806458731E-4</v>
      </c>
      <c r="AV1037" s="94">
        <f>IF('Net zero activities &amp; levers'!$C$12="Off",Constants!$H66*'Activity data'!BO8*Constants!$H84*EF!$H209*MMVolatEF*NtoN2O*kgtoGg,Constants!$H66*'Net zero Activity data'!BO8*Constants!$H84*EF!$H209*MMVolatEF*NtoN2O*kgtoGg)</f>
        <v>-4.31877971766583E-4</v>
      </c>
      <c r="AW1037" s="94">
        <f>IF('Net zero activities &amp; levers'!$C$12="Off",Constants!$H66*'Activity data'!BP8*Constants!$H84*EF!$H209*MMVolatEF*NtoN2O*kgtoGg,Constants!$H66*'Net zero Activity data'!BP8*Constants!$H84*EF!$H209*MMVolatEF*NtoN2O*kgtoGg)</f>
        <v>-4.220537843353357E-4</v>
      </c>
      <c r="AY1037" s="79"/>
      <c r="AZ1037" s="79"/>
    </row>
    <row r="1038" spans="1:52" x14ac:dyDescent="0.25">
      <c r="A1038" s="95" t="str">
        <f t="shared" si="345"/>
        <v>DS MM Volatilisation</v>
      </c>
      <c r="B1038" s="95" t="s">
        <v>974</v>
      </c>
      <c r="C1038" s="95" t="s">
        <v>1332</v>
      </c>
      <c r="D1038" t="s">
        <v>369</v>
      </c>
      <c r="E1038" t="s">
        <v>64</v>
      </c>
      <c r="F1038" t="s">
        <v>62</v>
      </c>
      <c r="G1038" t="s">
        <v>1160</v>
      </c>
      <c r="H1038" t="s">
        <v>1294</v>
      </c>
      <c r="I1038" t="s">
        <v>139</v>
      </c>
      <c r="J1038" t="s">
        <v>287</v>
      </c>
      <c r="K1038" s="94">
        <f>IF('Net zero activities &amp; levers'!$C$12="Off",Constants!$H67*'Activity data'!AD9*Constants!$H85*EF!$H210*MMVolatEF*NtoN2O*kgtoGg,Constants!$H67*'Net zero Activity data'!AD9*Constants!$H85*EF!$H210*MMVolatEF*NtoN2O*kgtoGg)</f>
        <v>1.6090517274103568E-2</v>
      </c>
      <c r="L1038" s="94">
        <f>IF('Net zero activities &amp; levers'!$C$12="Off",Constants!$H67*'Activity data'!AE9*Constants!$H85*EF!$H210*MMVolatEF*NtoN2O*kgtoGg,Constants!$H67*'Net zero Activity data'!AE9*Constants!$H85*EF!$H210*MMVolatEF*NtoN2O*kgtoGg)</f>
        <v>1.5950969356419611E-2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1.5685552742581491E-2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1.4979765878707448E-2</v>
      </c>
      <c r="Q1038" s="94">
        <f>IF('Net zero activities &amp; levers'!$C$12="Off",Constants!$H67*'Activity data'!AJ9*Constants!$H85*EF!$H210*MMVolatEF*NtoN2O*kgtoGg,Constants!$H67*'Net zero Activity data'!AJ9*Constants!$H85*EF!$H210*MMVolatEF*NtoN2O*kgtoGg)</f>
        <v>1.4666139078901096E-2</v>
      </c>
      <c r="R1038" s="94">
        <f>IF('Net zero activities &amp; levers'!$C$12="Off",Constants!$H67*'Activity data'!AK9*Constants!$H85*EF!$H210*MMVolatEF*NtoN2O*kgtoGg,Constants!$H67*'Net zero Activity data'!AK9*Constants!$H85*EF!$H210*MMVolatEF*NtoN2O*kgtoGg)</f>
        <v>1.4369412471908493E-2</v>
      </c>
      <c r="S1038" s="94">
        <f>IF('Net zero activities &amp; levers'!$C$12="Off",Constants!$H67*'Activity data'!AL9*Constants!$H85*EF!$H210*MMVolatEF*NtoN2O*kgtoGg,Constants!$H67*'Net zero Activity data'!AL9*Constants!$H85*EF!$H210*MMVolatEF*NtoN2O*kgtoGg)</f>
        <v>1.2850835046817909E-2</v>
      </c>
      <c r="T1038" s="94">
        <f>IF('Net zero activities &amp; levers'!$C$12="Off",Constants!$H67*'Activity data'!AM9*Constants!$H85*EF!$H210*MMVolatEF*NtoN2O*kgtoGg,Constants!$H67*'Net zero Activity data'!AM9*Constants!$H85*EF!$H210*MMVolatEF*NtoN2O*kgtoGg)</f>
        <v>1.3345938669050808E-2</v>
      </c>
      <c r="U1038" s="94">
        <f>IF('Net zero activities &amp; levers'!$C$12="Off",Constants!$H67*'Activity data'!AN9*Constants!$H85*EF!$H210*MMVolatEF*NtoN2O*kgtoGg,Constants!$H67*'Net zero Activity data'!AN9*Constants!$H85*EF!$H210*MMVolatEF*NtoN2O*kgtoGg)</f>
        <v>4.2062336748275767E-2</v>
      </c>
      <c r="V1038" s="94">
        <f>IF('Net zero activities &amp; levers'!$C$12="Off",Constants!$H67*'Activity data'!AO9*Constants!$H85*EF!$H210*MMVolatEF*NtoN2O*kgtoGg,Constants!$H67*'Net zero Activity data'!AO9*Constants!$H85*EF!$H210*MMVolatEF*NtoN2O*kgtoGg)</f>
        <v>4.2265219349211125E-2</v>
      </c>
      <c r="W1038" s="94">
        <f>IF('Net zero activities &amp; levers'!$C$12="Off",Constants!$H67*'Activity data'!AP9*Constants!$H85*EF!$H210*MMVolatEF*NtoN2O*kgtoGg,Constants!$H67*'Net zero Activity data'!AP9*Constants!$H85*EF!$H210*MMVolatEF*NtoN2O*kgtoGg)</f>
        <v>4.2395063712236107E-2</v>
      </c>
      <c r="X1038" s="94">
        <f>IF('Net zero activities &amp; levers'!$C$12="Off",Constants!$H67*'Activity data'!AQ9*Constants!$H85*EF!$H210*MMVolatEF*NtoN2O*kgtoGg,Constants!$H67*'Net zero Activity data'!AQ9*Constants!$H85*EF!$H210*MMVolatEF*NtoN2O*kgtoGg)</f>
        <v>4.2451843390546674E-2</v>
      </c>
      <c r="Y1038" s="94">
        <f>IF('Net zero activities &amp; levers'!$C$12="Off",Constants!$H67*'Activity data'!AR9*Constants!$H85*EF!$H210*MMVolatEF*NtoN2O*kgtoGg,Constants!$H67*'Net zero Activity data'!AR9*Constants!$H85*EF!$H210*MMVolatEF*NtoN2O*kgtoGg)</f>
        <v>4.2436761192434141E-2</v>
      </c>
      <c r="Z1038" s="94">
        <f>IF('Net zero activities &amp; levers'!$C$12="Off",Constants!$H67*'Activity data'!AS9*Constants!$H85*EF!$H210*MMVolatEF*NtoN2O*kgtoGg,Constants!$H67*'Net zero Activity data'!AS9*Constants!$H85*EF!$H210*MMVolatEF*NtoN2O*kgtoGg)</f>
        <v>4.234909419141579E-2</v>
      </c>
      <c r="AA1038" s="94">
        <f>IF('Net zero activities &amp; levers'!$C$12="Off",Constants!$H67*'Activity data'!AT9*Constants!$H85*EF!$H210*MMVolatEF*NtoN2O*kgtoGg,Constants!$H67*'Net zero Activity data'!AT9*Constants!$H85*EF!$H210*MMVolatEF*NtoN2O*kgtoGg)</f>
        <v>4.2188627639893318E-2</v>
      </c>
      <c r="AB1038" s="94">
        <f>IF('Net zero activities &amp; levers'!$C$12="Off",Constants!$H67*'Activity data'!AU9*Constants!$H85*EF!$H210*MMVolatEF*NtoN2O*kgtoGg,Constants!$H67*'Net zero Activity data'!AU9*Constants!$H85*EF!$H210*MMVolatEF*NtoN2O*kgtoGg)</f>
        <v>4.195549430903911E-2</v>
      </c>
      <c r="AC1038" s="94">
        <f>IF('Net zero activities &amp; levers'!$C$12="Off",Constants!$H67*'Activity data'!AV9*Constants!$H85*EF!$H210*MMVolatEF*NtoN2O*kgtoGg,Constants!$H67*'Net zero Activity data'!AV9*Constants!$H85*EF!$H210*MMVolatEF*NtoN2O*kgtoGg)</f>
        <v>4.1650218422969176E-2</v>
      </c>
      <c r="AD1038" s="94">
        <f>IF('Net zero activities &amp; levers'!$C$12="Off",Constants!$H67*'Activity data'!AW9*Constants!$H85*EF!$H210*MMVolatEF*NtoN2O*kgtoGg,Constants!$H67*'Net zero Activity data'!AW9*Constants!$H85*EF!$H210*MMVolatEF*NtoN2O*kgtoGg)</f>
        <v>4.0926958476252988E-2</v>
      </c>
      <c r="AE1038" s="94">
        <f>IF('Net zero activities &amp; levers'!$C$12="Off",Constants!$H67*'Activity data'!AX9*Constants!$H85*EF!$H210*MMVolatEF*NtoN2O*kgtoGg,Constants!$H67*'Net zero Activity data'!AX9*Constants!$H85*EF!$H210*MMVolatEF*NtoN2O*kgtoGg)</f>
        <v>4.0135572017269229E-2</v>
      </c>
      <c r="AF1038" s="94">
        <f>IF('Net zero activities &amp; levers'!$C$12="Off",Constants!$H67*'Activity data'!AY9*Constants!$H85*EF!$H210*MMVolatEF*NtoN2O*kgtoGg,Constants!$H67*'Net zero Activity data'!AY9*Constants!$H85*EF!$H210*MMVolatEF*NtoN2O*kgtoGg)</f>
        <v>3.9279614902474849E-2</v>
      </c>
      <c r="AG1038" s="94">
        <f>IF('Net zero activities &amp; levers'!$C$12="Off",Constants!$H67*'Activity data'!AZ9*Constants!$H85*EF!$H210*MMVolatEF*NtoN2O*kgtoGg,Constants!$H67*'Net zero Activity data'!AZ9*Constants!$H85*EF!$H210*MMVolatEF*NtoN2O*kgtoGg)</f>
        <v>3.8363047034758228E-2</v>
      </c>
      <c r="AH1038" s="94">
        <f>IF('Net zero activities &amp; levers'!$C$12="Off",Constants!$H67*'Activity data'!BA9*Constants!$H85*EF!$H210*MMVolatEF*NtoN2O*kgtoGg,Constants!$H67*'Net zero Activity data'!BA9*Constants!$H85*EF!$H210*MMVolatEF*NtoN2O*kgtoGg)</f>
        <v>3.7390084068641902E-2</v>
      </c>
      <c r="AI1038" s="94">
        <f>IF('Net zero activities &amp; levers'!$C$12="Off",Constants!$H67*'Activity data'!BB9*Constants!$H85*EF!$H210*MMVolatEF*NtoN2O*kgtoGg,Constants!$H67*'Net zero Activity data'!BB9*Constants!$H85*EF!$H210*MMVolatEF*NtoN2O*kgtoGg)</f>
        <v>3.6365215072537933E-2</v>
      </c>
      <c r="AJ1038" s="94">
        <f>IF('Net zero activities &amp; levers'!$C$12="Off",Constants!$H67*'Activity data'!BC9*Constants!$H85*EF!$H210*MMVolatEF*NtoN2O*kgtoGg,Constants!$H67*'Net zero Activity data'!BC9*Constants!$H85*EF!$H210*MMVolatEF*NtoN2O*kgtoGg)</f>
        <v>-2.8078743656501674E-3</v>
      </c>
      <c r="AK1038" s="94">
        <f>IF('Net zero activities &amp; levers'!$C$12="Off",Constants!$H67*'Activity data'!BD9*Constants!$H85*EF!$H210*MMVolatEF*NtoN2O*kgtoGg,Constants!$H67*'Net zero Activity data'!BD9*Constants!$H85*EF!$H210*MMVolatEF*NtoN2O*kgtoGg)</f>
        <v>-2.7402688650785463E-3</v>
      </c>
      <c r="AL1038" s="94">
        <f>IF('Net zero activities &amp; levers'!$C$12="Off",Constants!$H67*'Activity data'!BE9*Constants!$H85*EF!$H210*MMVolatEF*NtoN2O*kgtoGg,Constants!$H67*'Net zero Activity data'!BE9*Constants!$H85*EF!$H210*MMVolatEF*NtoN2O*kgtoGg)</f>
        <v>-2.6733667652400826E-3</v>
      </c>
      <c r="AM1038" s="94">
        <f>IF('Net zero activities &amp; levers'!$C$12="Off",Constants!$H67*'Activity data'!BF9*Constants!$H85*EF!$H210*MMVolatEF*NtoN2O*kgtoGg,Constants!$H67*'Net zero Activity data'!BF9*Constants!$H85*EF!$H210*MMVolatEF*NtoN2O*kgtoGg)</f>
        <v>-2.6071611563818981E-3</v>
      </c>
      <c r="AN1038" s="94">
        <f>IF('Net zero activities &amp; levers'!$C$12="Off",Constants!$H67*'Activity data'!BG9*Constants!$H85*EF!$H210*MMVolatEF*NtoN2O*kgtoGg,Constants!$H67*'Net zero Activity data'!BG9*Constants!$H85*EF!$H210*MMVolatEF*NtoN2O*kgtoGg)</f>
        <v>-2.554615513389502E-3</v>
      </c>
      <c r="AO1038" s="94">
        <f>IF('Net zero activities &amp; levers'!$C$12="Off",Constants!$H67*'Activity data'!BH9*Constants!$H85*EF!$H210*MMVolatEF*NtoN2O*kgtoGg,Constants!$H67*'Net zero Activity data'!BH9*Constants!$H85*EF!$H210*MMVolatEF*NtoN2O*kgtoGg)</f>
        <v>-2.5025683232901678E-3</v>
      </c>
      <c r="AP1038" s="94">
        <f>IF('Net zero activities &amp; levers'!$C$12="Off",Constants!$H67*'Activity data'!BI9*Constants!$H85*EF!$H210*MMVolatEF*NtoN2O*kgtoGg,Constants!$H67*'Net zero Activity data'!BI9*Constants!$H85*EF!$H210*MMVolatEF*NtoN2O*kgtoGg)</f>
        <v>-2.4509808748434249E-3</v>
      </c>
      <c r="AQ1038" s="94">
        <f>IF('Net zero activities &amp; levers'!$C$12="Off",Constants!$H67*'Activity data'!BJ9*Constants!$H85*EF!$H210*MMVolatEF*NtoN2O*kgtoGg,Constants!$H67*'Net zero Activity data'!BJ9*Constants!$H85*EF!$H210*MMVolatEF*NtoN2O*kgtoGg)</f>
        <v>-2.3998403895130306E-3</v>
      </c>
      <c r="AR1038" s="94">
        <f>IF('Net zero activities &amp; levers'!$C$12="Off",Constants!$H67*'Activity data'!BK9*Constants!$H85*EF!$H210*MMVolatEF*NtoN2O*kgtoGg,Constants!$H67*'Net zero Activity data'!BK9*Constants!$H85*EF!$H210*MMVolatEF*NtoN2O*kgtoGg)</f>
        <v>-2.3491094784762676E-3</v>
      </c>
      <c r="AS1038" s="94">
        <f>IF('Net zero activities &amp; levers'!$C$12="Off",Constants!$H67*'Activity data'!BL9*Constants!$H85*EF!$H210*MMVolatEF*NtoN2O*kgtoGg,Constants!$H67*'Net zero Activity data'!BL9*Constants!$H85*EF!$H210*MMVolatEF*NtoN2O*kgtoGg)</f>
        <v>-2.2987515268753948E-3</v>
      </c>
      <c r="AT1038" s="94">
        <f>IF('Net zero activities &amp; levers'!$C$12="Off",Constants!$H67*'Activity data'!BM9*Constants!$H85*EF!$H210*MMVolatEF*NtoN2O*kgtoGg,Constants!$H67*'Net zero Activity data'!BM9*Constants!$H85*EF!$H210*MMVolatEF*NtoN2O*kgtoGg)</f>
        <v>-2.2487606541498821E-3</v>
      </c>
      <c r="AU1038" s="94">
        <f>IF('Net zero activities &amp; levers'!$C$12="Off",Constants!$H67*'Activity data'!BN9*Constants!$H85*EF!$H210*MMVolatEF*NtoN2O*kgtoGg,Constants!$H67*'Net zero Activity data'!BN9*Constants!$H85*EF!$H210*MMVolatEF*NtoN2O*kgtoGg)</f>
        <v>-2.1991399488000989E-3</v>
      </c>
      <c r="AV1038" s="94">
        <f>IF('Net zero activities &amp; levers'!$C$12="Off",Constants!$H67*'Activity data'!BO9*Constants!$H85*EF!$H210*MMVolatEF*NtoN2O*kgtoGg,Constants!$H67*'Net zero Activity data'!BO9*Constants!$H85*EF!$H210*MMVolatEF*NtoN2O*kgtoGg)</f>
        <v>-2.1498913054580166E-3</v>
      </c>
      <c r="AW1038" s="94">
        <f>IF('Net zero activities &amp; levers'!$C$12="Off",Constants!$H67*'Activity data'!BP9*Constants!$H85*EF!$H210*MMVolatEF*NtoN2O*kgtoGg,Constants!$H67*'Net zero Activity data'!BP9*Constants!$H85*EF!$H210*MMVolatEF*NtoN2O*kgtoGg)</f>
        <v>-2.1009864375963051E-3</v>
      </c>
      <c r="AY1038" s="79"/>
      <c r="AZ1038" s="79"/>
    </row>
    <row r="1039" spans="1:52" x14ac:dyDescent="0.25">
      <c r="A1039" s="95" t="str">
        <f t="shared" si="345"/>
        <v>DS MM Volatilisation</v>
      </c>
      <c r="B1039" s="95" t="s">
        <v>974</v>
      </c>
      <c r="C1039" s="95" t="s">
        <v>1332</v>
      </c>
      <c r="D1039" t="s">
        <v>369</v>
      </c>
      <c r="E1039" t="s">
        <v>64</v>
      </c>
      <c r="F1039" t="s">
        <v>62</v>
      </c>
      <c r="G1039" t="s">
        <v>1162</v>
      </c>
      <c r="H1039" t="s">
        <v>1295</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0.16370016056893644</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0.17476418316081979</v>
      </c>
      <c r="O1039" s="94">
        <f>IF('Net zero activities &amp; levers'!$C$12="Off",Constants!$H68*'Activity data'!AH10*Constants!$H86*EF!$H211*MMVolatEF*NtoN2O*kgtoGg,Constants!$H68*'Net zero Activity data'!AH10*Constants!$H86*EF!$H211*MMVolatEF*NtoN2O*kgtoGg)</f>
        <v>0.1784091501709566</v>
      </c>
      <c r="P1039" s="94">
        <f>IF('Net zero activities &amp; levers'!$C$12="Off",Constants!$H68*'Activity data'!AI10*Constants!$H86*EF!$H211*MMVolatEF*NtoN2O*kgtoGg,Constants!$H68*'Net zero Activity data'!AI10*Constants!$H86*EF!$H211*MMVolatEF*NtoN2O*kgtoGg)</f>
        <v>0.18092055691117109</v>
      </c>
      <c r="Q1039" s="94">
        <f>IF('Net zero activities &amp; levers'!$C$12="Off",Constants!$H68*'Activity data'!AJ10*Constants!$H86*EF!$H211*MMVolatEF*NtoN2O*kgtoGg,Constants!$H68*'Net zero Activity data'!AJ10*Constants!$H86*EF!$H211*MMVolatEF*NtoN2O*kgtoGg)</f>
        <v>0.18434967364231722</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0.17487533171838066</v>
      </c>
      <c r="T1039" s="94">
        <f>IF('Net zero activities &amp; levers'!$C$12="Off",Constants!$H68*'Activity data'!AM10*Constants!$H86*EF!$H211*MMVolatEF*NtoN2O*kgtoGg,Constants!$H68*'Net zero Activity data'!AM10*Constants!$H86*EF!$H211*MMVolatEF*NtoN2O*kgtoGg)</f>
        <v>0.18598828710895501</v>
      </c>
      <c r="U1039" s="94">
        <f>IF('Net zero activities &amp; levers'!$C$12="Off",Constants!$H68*'Activity data'!AN10*Constants!$H86*EF!$H211*MMVolatEF*NtoN2O*kgtoGg,Constants!$H68*'Net zero Activity data'!AN10*Constants!$H86*EF!$H211*MMVolatEF*NtoN2O*kgtoGg)</f>
        <v>0.60010716171461598</v>
      </c>
      <c r="V1039" s="94">
        <f>IF('Net zero activities &amp; levers'!$C$12="Off",Constants!$H68*'Activity data'!AO10*Constants!$H86*EF!$H211*MMVolatEF*NtoN2O*kgtoGg,Constants!$H68*'Net zero Activity data'!AO10*Constants!$H86*EF!$H211*MMVolatEF*NtoN2O*kgtoGg)</f>
        <v>0.61714803501653059</v>
      </c>
      <c r="W1039" s="94">
        <f>IF('Net zero activities &amp; levers'!$C$12="Off",Constants!$H68*'Activity data'!AP10*Constants!$H86*EF!$H211*MMVolatEF*NtoN2O*kgtoGg,Constants!$H68*'Net zero Activity data'!AP10*Constants!$H86*EF!$H211*MMVolatEF*NtoN2O*kgtoGg)</f>
        <v>0.63339573291461304</v>
      </c>
      <c r="X1039" s="94">
        <f>IF('Net zero activities &amp; levers'!$C$12="Off",Constants!$H68*'Activity data'!AQ10*Constants!$H86*EF!$H211*MMVolatEF*NtoN2O*kgtoGg,Constants!$H68*'Net zero Activity data'!AQ10*Constants!$H86*EF!$H211*MMVolatEF*NtoN2O*kgtoGg)</f>
        <v>0.64878782379484634</v>
      </c>
      <c r="Y1039" s="94">
        <f>IF('Net zero activities &amp; levers'!$C$12="Off",Constants!$H68*'Activity data'!AR10*Constants!$H86*EF!$H211*MMVolatEF*NtoN2O*kgtoGg,Constants!$H68*'Net zero Activity data'!AR10*Constants!$H86*EF!$H211*MMVolatEF*NtoN2O*kgtoGg)</f>
        <v>0.6632790614565599</v>
      </c>
      <c r="Z1039" s="94">
        <f>IF('Net zero activities &amp; levers'!$C$12="Off",Constants!$H68*'Activity data'!AS10*Constants!$H86*EF!$H211*MMVolatEF*NtoN2O*kgtoGg,Constants!$H68*'Net zero Activity data'!AS10*Constants!$H86*EF!$H211*MMVolatEF*NtoN2O*kgtoGg)</f>
        <v>0.67679301375274348</v>
      </c>
      <c r="AA1039" s="94">
        <f>IF('Net zero activities &amp; levers'!$C$12="Off",Constants!$H68*'Activity data'!AT10*Constants!$H86*EF!$H211*MMVolatEF*NtoN2O*kgtoGg,Constants!$H68*'Net zero Activity data'!AT10*Constants!$H86*EF!$H211*MMVolatEF*NtoN2O*kgtoGg)</f>
        <v>0.68925834109941053</v>
      </c>
      <c r="AB1039" s="94">
        <f>IF('Net zero activities &amp; levers'!$C$12="Off",Constants!$H68*'Activity data'!AU10*Constants!$H86*EF!$H211*MMVolatEF*NtoN2O*kgtoGg,Constants!$H68*'Net zero Activity data'!AU10*Constants!$H86*EF!$H211*MMVolatEF*NtoN2O*kgtoGg)</f>
        <v>0.70060688133816351</v>
      </c>
      <c r="AC1039" s="94">
        <f>IF('Net zero activities &amp; levers'!$C$12="Off",Constants!$H68*'Activity data'!AV10*Constants!$H86*EF!$H211*MMVolatEF*NtoN2O*kgtoGg,Constants!$H68*'Net zero Activity data'!AV10*Constants!$H86*EF!$H211*MMVolatEF*NtoN2O*kgtoGg)</f>
        <v>0.71077490529773002</v>
      </c>
      <c r="AD1039" s="94">
        <f>IF('Net zero activities &amp; levers'!$C$12="Off",Constants!$H68*'Activity data'!AW10*Constants!$H86*EF!$H211*MMVolatEF*NtoN2O*kgtoGg,Constants!$H68*'Net zero Activity data'!AW10*Constants!$H86*EF!$H211*MMVolatEF*NtoN2O*kgtoGg)</f>
        <v>0.72159413752844115</v>
      </c>
      <c r="AE1039" s="94">
        <f>IF('Net zero activities &amp; levers'!$C$12="Off",Constants!$H68*'Activity data'!AX10*Constants!$H86*EF!$H211*MMVolatEF*NtoN2O*kgtoGg,Constants!$H68*'Net zero Activity data'!AX10*Constants!$H86*EF!$H211*MMVolatEF*NtoN2O*kgtoGg)</f>
        <v>0.73115327204335434</v>
      </c>
      <c r="AF1039" s="94">
        <f>IF('Net zero activities &amp; levers'!$C$12="Off",Constants!$H68*'Activity data'!AY10*Constants!$H86*EF!$H211*MMVolatEF*NtoN2O*kgtoGg,Constants!$H68*'Net zero Activity data'!AY10*Constants!$H86*EF!$H211*MMVolatEF*NtoN2O*kgtoGg)</f>
        <v>0.7393963545283444</v>
      </c>
      <c r="AG1039" s="94">
        <f>IF('Net zero activities &amp; levers'!$C$12="Off",Constants!$H68*'Activity data'!AZ10*Constants!$H86*EF!$H211*MMVolatEF*NtoN2O*kgtoGg,Constants!$H68*'Net zero Activity data'!AZ10*Constants!$H86*EF!$H211*MMVolatEF*NtoN2O*kgtoGg)</f>
        <v>0.74627481362949688</v>
      </c>
      <c r="AH1039" s="94">
        <f>IF('Net zero activities &amp; levers'!$C$12="Off",Constants!$H68*'Activity data'!BA10*Constants!$H86*EF!$H211*MMVolatEF*NtoN2O*kgtoGg,Constants!$H68*'Net zero Activity data'!BA10*Constants!$H86*EF!$H211*MMVolatEF*NtoN2O*kgtoGg)</f>
        <v>0.75174577116771069</v>
      </c>
      <c r="AI1039" s="94">
        <f>IF('Net zero activities &amp; levers'!$C$12="Off",Constants!$H68*'Activity data'!BB10*Constants!$H86*EF!$H211*MMVolatEF*NtoN2O*kgtoGg,Constants!$H68*'Net zero Activity data'!BB10*Constants!$H86*EF!$H211*MMVolatEF*NtoN2O*kgtoGg)</f>
        <v>0.75577335036803739</v>
      </c>
      <c r="AJ1039" s="94">
        <f>IF('Net zero activities &amp; levers'!$C$12="Off",Constants!$H68*'Activity data'!BC10*Constants!$H86*EF!$H211*MMVolatEF*NtoN2O*kgtoGg,Constants!$H68*'Net zero Activity data'!BC10*Constants!$H86*EF!$H211*MMVolatEF*NtoN2O*kgtoGg)</f>
        <v>-6.0331583230930269E-2</v>
      </c>
      <c r="AK1039" s="94">
        <f>IF('Net zero activities &amp; levers'!$C$12="Off",Constants!$H68*'Activity data'!BD10*Constants!$H86*EF!$H211*MMVolatEF*NtoN2O*kgtoGg,Constants!$H68*'Net zero Activity data'!BD10*Constants!$H86*EF!$H211*MMVolatEF*NtoN2O*kgtoGg)</f>
        <v>-6.0883763489548361E-2</v>
      </c>
      <c r="AL1039" s="94">
        <f>IF('Net zero activities &amp; levers'!$C$12="Off",Constants!$H68*'Activity data'!BE10*Constants!$H86*EF!$H211*MMVolatEF*NtoN2O*kgtoGg,Constants!$H68*'Net zero Activity data'!BE10*Constants!$H86*EF!$H211*MMVolatEF*NtoN2O*kgtoGg)</f>
        <v>-6.1432292472249253E-2</v>
      </c>
      <c r="AM1039" s="94">
        <f>IF('Net zero activities &amp; levers'!$C$12="Off",Constants!$H68*'Activity data'!BF10*Constants!$H86*EF!$H211*MMVolatEF*NtoN2O*kgtoGg,Constants!$H68*'Net zero Activity data'!BF10*Constants!$H86*EF!$H211*MMVolatEF*NtoN2O*kgtoGg)</f>
        <v>-6.1977443387012172E-2</v>
      </c>
      <c r="AN1039" s="94">
        <f>IF('Net zero activities &amp; levers'!$C$12="Off",Constants!$H68*'Activity data'!BG10*Constants!$H86*EF!$H211*MMVolatEF*NtoN2O*kgtoGg,Constants!$H68*'Net zero Activity data'!BG10*Constants!$H86*EF!$H211*MMVolatEF*NtoN2O*kgtoGg)</f>
        <v>-6.2441792261108069E-2</v>
      </c>
      <c r="AO1039" s="94">
        <f>IF('Net zero activities &amp; levers'!$C$12="Off",Constants!$H68*'Activity data'!BH10*Constants!$H86*EF!$H211*MMVolatEF*NtoN2O*kgtoGg,Constants!$H68*'Net zero Activity data'!BH10*Constants!$H86*EF!$H211*MMVolatEF*NtoN2O*kgtoGg)</f>
        <v>-6.2901498019431304E-2</v>
      </c>
      <c r="AP1039" s="94">
        <f>IF('Net zero activities &amp; levers'!$C$12="Off",Constants!$H68*'Activity data'!BI10*Constants!$H86*EF!$H211*MMVolatEF*NtoN2O*kgtoGg,Constants!$H68*'Net zero Activity data'!BI10*Constants!$H86*EF!$H211*MMVolatEF*NtoN2O*kgtoGg)</f>
        <v>-6.3355857064212845E-2</v>
      </c>
      <c r="AQ1039" s="94">
        <f>IF('Net zero activities &amp; levers'!$C$12="Off",Constants!$H68*'Activity data'!BJ10*Constants!$H86*EF!$H211*MMVolatEF*NtoN2O*kgtoGg,Constants!$H68*'Net zero Activity data'!BJ10*Constants!$H86*EF!$H211*MMVolatEF*NtoN2O*kgtoGg)</f>
        <v>-6.3804744436236446E-2</v>
      </c>
      <c r="AR1039" s="94">
        <f>IF('Net zero activities &amp; levers'!$C$12="Off",Constants!$H68*'Activity data'!BK10*Constants!$H86*EF!$H211*MMVolatEF*NtoN2O*kgtoGg,Constants!$H68*'Net zero Activity data'!BK10*Constants!$H86*EF!$H211*MMVolatEF*NtoN2O*kgtoGg)</f>
        <v>-6.4247322567233908E-2</v>
      </c>
      <c r="AS1039" s="94">
        <f>IF('Net zero activities &amp; levers'!$C$12="Off",Constants!$H68*'Activity data'!BL10*Constants!$H86*EF!$H211*MMVolatEF*NtoN2O*kgtoGg,Constants!$H68*'Net zero Activity data'!BL10*Constants!$H86*EF!$H211*MMVolatEF*NtoN2O*kgtoGg)</f>
        <v>-6.4682656506044156E-2</v>
      </c>
      <c r="AT1039" s="94">
        <f>IF('Net zero activities &amp; levers'!$C$12="Off",Constants!$H68*'Activity data'!BM10*Constants!$H86*EF!$H211*MMVolatEF*NtoN2O*kgtoGg,Constants!$H68*'Net zero Activity data'!BM10*Constants!$H86*EF!$H211*MMVolatEF*NtoN2O*kgtoGg)</f>
        <v>-6.5110575477313207E-2</v>
      </c>
      <c r="AU1039" s="94">
        <f>IF('Net zero activities &amp; levers'!$C$12="Off",Constants!$H68*'Activity data'!BN10*Constants!$H86*EF!$H211*MMVolatEF*NtoN2O*kgtoGg,Constants!$H68*'Net zero Activity data'!BN10*Constants!$H86*EF!$H211*MMVolatEF*NtoN2O*kgtoGg)</f>
        <v>-6.5531144171927541E-2</v>
      </c>
      <c r="AV1039" s="94">
        <f>IF('Net zero activities &amp; levers'!$C$12="Off",Constants!$H68*'Activity data'!BO10*Constants!$H86*EF!$H211*MMVolatEF*NtoN2O*kgtoGg,Constants!$H68*'Net zero Activity data'!BO10*Constants!$H86*EF!$H211*MMVolatEF*NtoN2O*kgtoGg)</f>
        <v>-6.5944388466371143E-2</v>
      </c>
      <c r="AW1039" s="94">
        <f>IF('Net zero activities &amp; levers'!$C$12="Off",Constants!$H68*'Activity data'!BP10*Constants!$H86*EF!$H211*MMVolatEF*NtoN2O*kgtoGg,Constants!$H68*'Net zero Activity data'!BP10*Constants!$H86*EF!$H211*MMVolatEF*NtoN2O*kgtoGg)</f>
        <v>-6.6349375385408998E-2</v>
      </c>
      <c r="AY1039" s="79"/>
      <c r="AZ1039" s="79"/>
    </row>
    <row r="1040" spans="1:52" x14ac:dyDescent="0.25">
      <c r="A1040" s="95" t="str">
        <f t="shared" si="345"/>
        <v>DS MM Volatilisation</v>
      </c>
      <c r="B1040" s="95" t="s">
        <v>974</v>
      </c>
      <c r="C1040" s="95" t="s">
        <v>1332</v>
      </c>
      <c r="D1040" t="s">
        <v>369</v>
      </c>
      <c r="E1040" t="s">
        <v>64</v>
      </c>
      <c r="F1040" t="s">
        <v>62</v>
      </c>
      <c r="G1040" t="s">
        <v>1164</v>
      </c>
      <c r="H1040" t="s">
        <v>1296</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1.188899025036581E-4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1.189690287837306E-4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1.205186108228768E-4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1.2055641166730559E-4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1.2071810381709918E-4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1.2095183374420191E-4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1.2116896083678348E-4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1.2137217342001694E-4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1.2156038787143942E-4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1.2173530001872475E-4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1.2189956310100272E-4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1.2205302234453671E-4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1.2219813225383718E-4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1.2233524409037175E-4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1.2246247857835598E-4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1.2258099962950754E-4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1.226926980528978E-4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1.2000006421083369E-4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1.2011041514130369E-4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1.2021334415571778E-4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1.2030948030331916E-4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1.2039958826810335E-4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1.2048129784431056E-4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1.2055302618273209E-4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1.2061454144456668E-4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1.2066404237348151E-4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1.206995710531147E-4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1.2072090668873017E-4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1.2072835361242823E-4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1.2072212964886386E-4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1.2070039195556491E-4</v>
      </c>
      <c r="AY1040" s="79"/>
      <c r="AZ1040" s="79"/>
    </row>
    <row r="1041" spans="1:52" x14ac:dyDescent="0.25">
      <c r="A1041" s="95" t="str">
        <f t="shared" si="345"/>
        <v>DS MM Volatilisation</v>
      </c>
      <c r="B1041" s="95" t="s">
        <v>974</v>
      </c>
      <c r="C1041" s="95" t="s">
        <v>1332</v>
      </c>
      <c r="D1041" t="s">
        <v>369</v>
      </c>
      <c r="E1041" t="s">
        <v>64</v>
      </c>
      <c r="F1041" t="s">
        <v>62</v>
      </c>
      <c r="G1041" t="s">
        <v>1166</v>
      </c>
      <c r="H1041" t="s">
        <v>1297</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8.1588376197320827E-4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8.1642676727220354E-4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8.2706079755535391E-4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8.2732020642447472E-4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8.2842982125867857E-4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8.3003379643398353E-4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8.3152383440517541E-4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8.3291838384459249E-4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8.342100083766216E-4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8.3541034564443633E-4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8.3653760354186898E-4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8.3759071993180138E-4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8.385865388887226E-4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8.3952747094978998E-4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8.404006195563853E-4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8.4121397207035167E-4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8.4198050419766407E-4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8.2350226355303057E-4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8.2425954848970833E-4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8.2496590041470697E-4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8.256256361880137E-4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8.2624400346516431E-4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8.2680473667312636E-4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8.2729697348516047E-4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8.2771912290397116E-4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8.2805882378061209E-4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8.2830263988430608E-4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8.2844905600782401E-4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8.2850016063482762E-4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8.2845744859031962E-4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8.2830827333984093E-4</v>
      </c>
      <c r="AY1041" s="79"/>
      <c r="AZ1041" s="79"/>
    </row>
    <row r="1042" spans="1:52" x14ac:dyDescent="0.25">
      <c r="A1042" s="95" t="str">
        <f t="shared" si="345"/>
        <v>DS MM Volatilisation</v>
      </c>
      <c r="B1042" s="95" t="s">
        <v>974</v>
      </c>
      <c r="C1042" s="95" t="s">
        <v>1332</v>
      </c>
      <c r="D1042" t="s">
        <v>369</v>
      </c>
      <c r="E1042" t="s">
        <v>64</v>
      </c>
      <c r="F1042" t="s">
        <v>62</v>
      </c>
      <c r="G1042" t="s">
        <v>1168</v>
      </c>
      <c r="H1042" t="s">
        <v>1298</v>
      </c>
      <c r="I1042" t="s">
        <v>139</v>
      </c>
      <c r="J1042" t="s">
        <v>287</v>
      </c>
      <c r="K1042" s="22">
        <f t="shared" ref="K1042:Z1045" si="363">K1539</f>
        <v>1.4486129996083085E-5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1.489070601115726E-5</v>
      </c>
      <c r="R1042" s="22">
        <f t="shared" si="363"/>
        <v>1.4988675221399694E-5</v>
      </c>
      <c r="S1042" s="22">
        <f t="shared" si="363"/>
        <v>1.4952125307683929E-5</v>
      </c>
      <c r="T1042" s="22">
        <f t="shared" si="363"/>
        <v>1.497659485650934E-5</v>
      </c>
      <c r="U1042" s="22">
        <f t="shared" si="363"/>
        <v>1.5280249217669806E-5</v>
      </c>
      <c r="V1042" s="22">
        <f t="shared" si="363"/>
        <v>1.5293967954982136E-5</v>
      </c>
      <c r="W1042" s="22">
        <f t="shared" si="363"/>
        <v>1.5330288500558316E-5</v>
      </c>
      <c r="X1042" s="22">
        <f t="shared" si="363"/>
        <v>1.5379307775042966E-5</v>
      </c>
      <c r="Y1042" s="22">
        <f t="shared" si="363"/>
        <v>1.5424265287422665E-5</v>
      </c>
      <c r="Z1042" s="22">
        <f t="shared" si="363"/>
        <v>1.5465755297522265E-5</v>
      </c>
      <c r="AA1042" s="22">
        <f t="shared" ref="L1042:AW1045" si="364">AA1539</f>
        <v>1.5503650543984476E-5</v>
      </c>
      <c r="AB1042" s="22">
        <f t="shared" si="364"/>
        <v>1.5538340165319424E-5</v>
      </c>
      <c r="AC1042" s="22">
        <f t="shared" si="364"/>
        <v>1.5570383853796525E-5</v>
      </c>
      <c r="AD1042" s="22">
        <f t="shared" si="364"/>
        <v>1.5599807426957594E-5</v>
      </c>
      <c r="AE1042" s="22">
        <f t="shared" si="364"/>
        <v>1.5627118939580073E-5</v>
      </c>
      <c r="AF1042" s="22">
        <f t="shared" si="364"/>
        <v>1.5652427506297688E-5</v>
      </c>
      <c r="AG1042" s="22">
        <f t="shared" si="364"/>
        <v>1.56754241207766E-5</v>
      </c>
      <c r="AH1042" s="22">
        <f t="shared" si="364"/>
        <v>1.5696363462061687E-5</v>
      </c>
      <c r="AI1042" s="22">
        <f t="shared" si="364"/>
        <v>1.5715630256505464E-5</v>
      </c>
      <c r="AJ1042" s="22">
        <f t="shared" si="364"/>
        <v>1.5216731234132435E-5</v>
      </c>
      <c r="AK1042" s="22">
        <f t="shared" si="364"/>
        <v>1.5235961154748287E-5</v>
      </c>
      <c r="AL1042" s="22">
        <f t="shared" si="364"/>
        <v>1.525346973608994E-5</v>
      </c>
      <c r="AM1042" s="22">
        <f t="shared" si="364"/>
        <v>1.5269398678749372E-5</v>
      </c>
      <c r="AN1042" s="22">
        <f t="shared" si="364"/>
        <v>1.528391208207959E-5</v>
      </c>
      <c r="AO1042" s="22">
        <f t="shared" si="364"/>
        <v>1.5296597939016457E-5</v>
      </c>
      <c r="AP1042" s="22">
        <f t="shared" si="364"/>
        <v>1.5307189728189323E-5</v>
      </c>
      <c r="AQ1042" s="22">
        <f t="shared" si="364"/>
        <v>1.5315667991874673E-5</v>
      </c>
      <c r="AR1042" s="22">
        <f t="shared" si="364"/>
        <v>1.5321726619352006E-5</v>
      </c>
      <c r="AS1042" s="22">
        <f t="shared" si="364"/>
        <v>1.5325032079315766E-5</v>
      </c>
      <c r="AT1042" s="22">
        <f t="shared" si="364"/>
        <v>1.5325567315367108E-5</v>
      </c>
      <c r="AU1042" s="22">
        <f t="shared" si="364"/>
        <v>1.532340963092266E-5</v>
      </c>
      <c r="AV1042" s="22">
        <f t="shared" si="364"/>
        <v>1.5318619367085747E-5</v>
      </c>
      <c r="AW1042" s="22">
        <f t="shared" si="364"/>
        <v>1.5310883587655619E-5</v>
      </c>
      <c r="AY1042" s="79"/>
      <c r="AZ1042" s="79"/>
    </row>
    <row r="1043" spans="1:52" x14ac:dyDescent="0.25">
      <c r="A1043" s="95" t="str">
        <f t="shared" si="345"/>
        <v>DS MM Volatilisation</v>
      </c>
      <c r="B1043" s="95" t="s">
        <v>974</v>
      </c>
      <c r="C1043" s="95" t="s">
        <v>1332</v>
      </c>
      <c r="D1043" t="s">
        <v>369</v>
      </c>
      <c r="E1043" t="s">
        <v>64</v>
      </c>
      <c r="F1043" t="s">
        <v>62</v>
      </c>
      <c r="G1043" t="s">
        <v>1170</v>
      </c>
      <c r="H1043" t="s">
        <v>1299</v>
      </c>
      <c r="I1043" t="s">
        <v>139</v>
      </c>
      <c r="J1043" t="s">
        <v>287</v>
      </c>
      <c r="K1043" s="22">
        <f t="shared" si="363"/>
        <v>1.4738364076719787E-3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1.5149984613639169E-3</v>
      </c>
      <c r="R1043" s="22">
        <f t="shared" si="364"/>
        <v>1.5249659674490626E-3</v>
      </c>
      <c r="S1043" s="22">
        <f t="shared" si="364"/>
        <v>1.5212473349677769E-3</v>
      </c>
      <c r="T1043" s="22">
        <f t="shared" si="364"/>
        <v>1.5237368964964909E-3</v>
      </c>
      <c r="U1043" s="22">
        <f t="shared" si="364"/>
        <v>1.5546310589089282E-3</v>
      </c>
      <c r="V1043" s="22">
        <f t="shared" si="364"/>
        <v>1.5560268198556864E-3</v>
      </c>
      <c r="W1043" s="22">
        <f t="shared" si="364"/>
        <v>1.5597221161446995E-3</v>
      </c>
      <c r="X1043" s="22">
        <f t="shared" si="364"/>
        <v>1.5647093964902903E-3</v>
      </c>
      <c r="Y1043" s="22">
        <f t="shared" si="364"/>
        <v>1.5692834282407637E-3</v>
      </c>
      <c r="Z1043" s="22">
        <f t="shared" si="364"/>
        <v>1.5735046721103132E-3</v>
      </c>
      <c r="AA1043" s="22">
        <f t="shared" si="364"/>
        <v>1.5773601803743434E-3</v>
      </c>
      <c r="AB1043" s="22">
        <f t="shared" si="364"/>
        <v>1.5808895444560981E-3</v>
      </c>
      <c r="AC1043" s="22">
        <f t="shared" si="364"/>
        <v>1.5841497081248222E-3</v>
      </c>
      <c r="AD1043" s="22">
        <f t="shared" si="364"/>
        <v>1.5871432980884847E-3</v>
      </c>
      <c r="AE1043" s="22">
        <f t="shared" si="364"/>
        <v>1.5899220044553674E-3</v>
      </c>
      <c r="AF1043" s="22">
        <f t="shared" si="364"/>
        <v>1.5924969286804358E-3</v>
      </c>
      <c r="AG1043" s="22">
        <f t="shared" si="364"/>
        <v>1.5948366320850983E-3</v>
      </c>
      <c r="AH1043" s="22">
        <f t="shared" si="364"/>
        <v>1.5969670260237814E-3</v>
      </c>
      <c r="AI1043" s="22">
        <f t="shared" si="364"/>
        <v>1.5989272530214718E-3</v>
      </c>
      <c r="AJ1043" s="22">
        <f t="shared" si="364"/>
        <v>1.54816866234721E-3</v>
      </c>
      <c r="AK1043" s="22">
        <f t="shared" si="364"/>
        <v>1.5501251377569953E-3</v>
      </c>
      <c r="AL1043" s="22">
        <f t="shared" si="364"/>
        <v>1.5519064820245804E-3</v>
      </c>
      <c r="AM1043" s="22">
        <f t="shared" si="364"/>
        <v>1.5535271119397841E-3</v>
      </c>
      <c r="AN1043" s="22">
        <f t="shared" si="364"/>
        <v>1.5550037231694973E-3</v>
      </c>
      <c r="AO1043" s="22">
        <f t="shared" si="364"/>
        <v>1.5562943976160978E-3</v>
      </c>
      <c r="AP1043" s="22">
        <f t="shared" si="364"/>
        <v>1.5573720190725925E-3</v>
      </c>
      <c r="AQ1043" s="22">
        <f t="shared" si="364"/>
        <v>1.5582346078866301E-3</v>
      </c>
      <c r="AR1043" s="22">
        <f t="shared" si="364"/>
        <v>1.5588510199828238E-3</v>
      </c>
      <c r="AS1043" s="22">
        <f t="shared" si="364"/>
        <v>1.5591873214822584E-3</v>
      </c>
      <c r="AT1043" s="22">
        <f t="shared" si="364"/>
        <v>1.5592417770462618E-3</v>
      </c>
      <c r="AU1043" s="22">
        <f t="shared" si="364"/>
        <v>1.5590222516180525E-3</v>
      </c>
      <c r="AV1043" s="22">
        <f t="shared" si="364"/>
        <v>1.5585348843745505E-3</v>
      </c>
      <c r="AW1043" s="22">
        <f t="shared" si="364"/>
        <v>1.5577478368077457E-3</v>
      </c>
      <c r="AY1043" s="79"/>
      <c r="AZ1043" s="79"/>
    </row>
    <row r="1044" spans="1:52" x14ac:dyDescent="0.25">
      <c r="A1044" s="95" t="str">
        <f t="shared" si="345"/>
        <v>DS MM Volatilisation</v>
      </c>
      <c r="B1044" s="95" t="s">
        <v>974</v>
      </c>
      <c r="C1044" s="95" t="s">
        <v>1332</v>
      </c>
      <c r="D1044" t="s">
        <v>369</v>
      </c>
      <c r="E1044" t="s">
        <v>64</v>
      </c>
      <c r="F1044" t="s">
        <v>62</v>
      </c>
      <c r="G1044" t="s">
        <v>1172</v>
      </c>
      <c r="H1044" t="s">
        <v>1300</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25">
      <c r="A1045" s="95" t="str">
        <f t="shared" si="345"/>
        <v>DS MM Volatilisation</v>
      </c>
      <c r="B1045" s="95" t="s">
        <v>974</v>
      </c>
      <c r="C1045" s="95" t="s">
        <v>1332</v>
      </c>
      <c r="D1045" t="s">
        <v>369</v>
      </c>
      <c r="E1045" t="s">
        <v>64</v>
      </c>
      <c r="F1045" t="s">
        <v>62</v>
      </c>
      <c r="G1045" t="s">
        <v>1174</v>
      </c>
      <c r="H1045" t="s">
        <v>1301</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25">
      <c r="A1046" s="95" t="str">
        <f t="shared" si="345"/>
        <v>DS MM Volatilisation</v>
      </c>
      <c r="B1046" s="95" t="s">
        <v>974</v>
      </c>
      <c r="C1046" s="95" t="s">
        <v>1332</v>
      </c>
      <c r="D1046" t="s">
        <v>369</v>
      </c>
      <c r="E1046" t="s">
        <v>64</v>
      </c>
      <c r="F1046" t="s">
        <v>62</v>
      </c>
      <c r="G1046" t="s">
        <v>1176</v>
      </c>
      <c r="H1046" t="s">
        <v>1302</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0.13004550543955865</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0.13010384136507711</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0.1205683722616282</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0.10847829407061217</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0.1123518575177655</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0.35913477358816853</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0.36011925097262676</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0.36048284734734032</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0.36024196834078215</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0.35943295375101947</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0.35804837226792258</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0.35608623415272644</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0.35354672339575033</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0.350433097152205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0.34675336928081568</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0.34251767477610762</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0.33774033524299119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0.33243970303339465</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0.32663565742792322</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0.32035050647820129</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-2.9850992029554574E-2</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-2.9527827789556205E-2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-2.9203518600220937E-2</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-2.8878400916482732E-2</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-2.8552846585961845E-2</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-2.8225992627032188E-2</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-2.7897329553488923E-2</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-2.756688911429131E-2</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-2.7234123713642547E-2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-2.6898465289903917E-2</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-2.6560009108900318E-2</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-2.6219036811035483E-2</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-2.5875789307707536E-2</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-2.5529791390037318E-2</v>
      </c>
      <c r="AY1046" s="79"/>
      <c r="AZ1046" s="79"/>
    </row>
    <row r="1047" spans="1:52" x14ac:dyDescent="0.25">
      <c r="A1047" s="95" t="str">
        <f t="shared" si="345"/>
        <v>DS MM Volatilisation</v>
      </c>
      <c r="B1047" s="95" t="s">
        <v>974</v>
      </c>
      <c r="C1047" s="95" t="s">
        <v>1332</v>
      </c>
      <c r="D1047" t="s">
        <v>369</v>
      </c>
      <c r="E1047" t="s">
        <v>64</v>
      </c>
      <c r="F1047" t="s">
        <v>62</v>
      </c>
      <c r="G1047" t="s">
        <v>1178</v>
      </c>
      <c r="H1047" t="s">
        <v>1303</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1.2655466337890211E-2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1.2661143337946407E-2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1.2094642930917438E-2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1.1733192711380723E-2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1.0556638573260382E-2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1.0933597020593381E-2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3.4949443447111525E-2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3.504524852978097E-2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3.5080632156959869E-2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3.5057190853481544E-2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3.4978461051378834E-2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3.484371956767917E-2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3.465277276960857E-2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3.4405638562309424E-2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3.4102633918044564E-2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3.3744538710897186E-2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3.3332339234715881E-2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3.2867429206171077E-2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3.2351594596806102E-2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3.1786769972261424E-2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3.117512625567229E-2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-2.9049694836107746E-3</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-2.8735205369740911E-3</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-2.8419601688181263E-3</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-2.8103211214823929E-3</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-2.7786395815696092E-3</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-2.7468315674390254E-3</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-2.714847498095948E-3</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-2.6826904632118271E-3</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-2.6503071731312461E-3</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-2.61764234655154E-3</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-2.5847052543309036E-3</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-2.5515233044957585E-3</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-2.5181199415017898E-3</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-2.4844489200754436E-3</v>
      </c>
      <c r="AY1047" s="79"/>
      <c r="AZ1047" s="79"/>
    </row>
    <row r="1048" spans="1:52" x14ac:dyDescent="0.25">
      <c r="A1048" s="95" t="str">
        <f t="shared" si="345"/>
        <v>DS MM Volatilisation</v>
      </c>
      <c r="B1048" s="95" t="s">
        <v>974</v>
      </c>
      <c r="C1048" s="95" t="s">
        <v>1332</v>
      </c>
      <c r="D1048" t="s">
        <v>369</v>
      </c>
      <c r="E1048" t="s">
        <v>64</v>
      </c>
      <c r="F1048" t="s">
        <v>62</v>
      </c>
      <c r="G1048" t="s">
        <v>1180</v>
      </c>
      <c r="H1048" t="s">
        <v>1304</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6.4453339767617121E-2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6.5763803942104557E-2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7.0122113289878357E-2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7.1969839340941866E-2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6.9132641817907584E-2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7.1668538235416565E-2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0.15927878056001546</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0.16278043280676852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0.1661384841502746</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0.16932327786154089</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0.17229459764803176</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0.17503945749810612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0.17754464171079537</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0.17979875003476928</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0.18179177836428806</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0.18351408832752805</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0.18495811914653704</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0.18611704996451123</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0.18698481434150752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0.18755776005425462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0.18783399692655736</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2.4486671101770791E-2</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2.4666387221284058E-2</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2.4841648409900843E-2</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2.5012718687706617E-2</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2.5179902406593305E-2</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2.5342514084649829E-2</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2.5500102306234843E-2</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2.5652633826306989E-2</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2.5799570928013445E-2</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2.5940314994938186E-2</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2.6074813676088864E-2</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2.6203180413111957E-2</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2.6325499899042631E-2</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2.6441188397219272E-2</v>
      </c>
      <c r="AY1048" s="79"/>
      <c r="AZ1048" s="79"/>
    </row>
    <row r="1049" spans="1:52" x14ac:dyDescent="0.25">
      <c r="A1049" s="95" t="str">
        <f t="shared" si="345"/>
        <v>DS MM Volatilisation</v>
      </c>
      <c r="B1049" s="95" t="s">
        <v>974</v>
      </c>
      <c r="C1049" s="95" t="s">
        <v>1332</v>
      </c>
      <c r="D1049" t="s">
        <v>369</v>
      </c>
      <c r="E1049" t="s">
        <v>64</v>
      </c>
      <c r="F1049" t="s">
        <v>62</v>
      </c>
      <c r="G1049" t="s">
        <v>1182</v>
      </c>
      <c r="H1049" t="s">
        <v>1305</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0.31034319165291735</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0.31442985679016994</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0.32099421325528482</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0.32287903178152921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0.31577785743754255</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0.31441607582114939</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0.27420619396536416</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0.29495818532939488</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1.2825520746937493</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1.3055461044676304</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1.3259738285316456</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1.3439224713343889</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1.3596359578831905</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1.3729964225138076</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1.3839133762561158</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1.392297876830487</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1.3980705991762232</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1.4011774518837516</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1.4015682854114344</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1.3992160776881843</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1.3941175452078094</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1.3862722906542229</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1.3756920657497529</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-0.29376675967597721</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-0.29418248669382474</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-0.29455892044172599</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-0.29489926202307742</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-0.2952071711728716</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-0.29547405449445624</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-0.29569441698810944</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-0.29586800918156786</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-0.29598849617700645</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-0.29604896826052718</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-0.29604922742667927</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-0.29599106772821226</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-0.29587591492784127</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-0.29569729144234697</v>
      </c>
      <c r="AY1049" s="79"/>
      <c r="AZ1049" s="79"/>
    </row>
    <row r="1050" spans="1:52" x14ac:dyDescent="0.25">
      <c r="A1050" s="95" t="str">
        <f t="shared" si="345"/>
        <v>DS MM Leaching</v>
      </c>
      <c r="B1050" s="95" t="s">
        <v>974</v>
      </c>
      <c r="C1050" s="95" t="s">
        <v>1333</v>
      </c>
      <c r="D1050" t="s">
        <v>369</v>
      </c>
      <c r="E1050" t="s">
        <v>64</v>
      </c>
      <c r="F1050" t="s">
        <v>63</v>
      </c>
      <c r="G1050" t="s">
        <v>1152</v>
      </c>
      <c r="H1050" t="s">
        <v>1306</v>
      </c>
      <c r="I1050" t="s">
        <v>139</v>
      </c>
      <c r="J1050" t="s">
        <v>287</v>
      </c>
      <c r="K1050" s="22">
        <f t="shared" ref="K1050:AW1050" si="365">K1547</f>
        <v>8.9211118607918846E-2</v>
      </c>
      <c r="L1050" s="22">
        <f t="shared" si="365"/>
        <v>8.9709854381943815E-2</v>
      </c>
      <c r="M1050" s="22">
        <f t="shared" si="365"/>
        <v>9.0417475033143083E-2</v>
      </c>
      <c r="N1050" s="22">
        <f t="shared" si="365"/>
        <v>9.0872196678668984E-2</v>
      </c>
      <c r="O1050" s="22">
        <f t="shared" si="365"/>
        <v>9.1174361291842948E-2</v>
      </c>
      <c r="P1050" s="22">
        <f t="shared" si="365"/>
        <v>9.1320994898161756E-2</v>
      </c>
      <c r="Q1050" s="22">
        <f t="shared" si="365"/>
        <v>9.1644963105957017E-2</v>
      </c>
      <c r="R1050" s="22">
        <f t="shared" si="365"/>
        <v>9.2016609055475665E-2</v>
      </c>
      <c r="S1050" s="22">
        <f t="shared" si="365"/>
        <v>8.940199339516991E-2</v>
      </c>
      <c r="T1050" s="22">
        <f t="shared" si="365"/>
        <v>9.0940281304058526E-2</v>
      </c>
      <c r="U1050" s="22">
        <f t="shared" si="365"/>
        <v>0.1564700266780468</v>
      </c>
      <c r="V1050" s="22">
        <f t="shared" si="365"/>
        <v>0.15835619981688001</v>
      </c>
      <c r="W1050" s="22">
        <f t="shared" si="365"/>
        <v>0.16015964078695746</v>
      </c>
      <c r="X1050" s="22">
        <f t="shared" si="365"/>
        <v>0.161849673455432</v>
      </c>
      <c r="Y1050" s="22">
        <f t="shared" si="365"/>
        <v>0.16338116510403111</v>
      </c>
      <c r="Z1050" s="22">
        <f t="shared" si="365"/>
        <v>0.16474696363228722</v>
      </c>
      <c r="AA1050" s="22">
        <f t="shared" si="365"/>
        <v>0.16593911254285348</v>
      </c>
      <c r="AB1050" s="22">
        <f t="shared" si="365"/>
        <v>0.16695158994132034</v>
      </c>
      <c r="AC1050" s="22">
        <f t="shared" si="365"/>
        <v>0.16777962003810495</v>
      </c>
      <c r="AD1050" s="22">
        <f t="shared" si="365"/>
        <v>0.16841818240508855</v>
      </c>
      <c r="AE1050" s="22">
        <f t="shared" si="365"/>
        <v>0.16886427150805067</v>
      </c>
      <c r="AF1050" s="22">
        <f t="shared" si="365"/>
        <v>0.1691150043732032</v>
      </c>
      <c r="AG1050" s="22">
        <f t="shared" si="365"/>
        <v>0.16916759569059056</v>
      </c>
      <c r="AH1050" s="22">
        <f t="shared" si="365"/>
        <v>0.16902153680910736</v>
      </c>
      <c r="AI1050" s="22">
        <f t="shared" si="365"/>
        <v>0.16867765925493905</v>
      </c>
      <c r="AJ1050" s="22">
        <f t="shared" si="365"/>
        <v>5.3366694545987768E-2</v>
      </c>
      <c r="AK1050" s="22">
        <f t="shared" si="365"/>
        <v>5.3405651337415067E-2</v>
      </c>
      <c r="AL1050" s="22">
        <f t="shared" si="365"/>
        <v>5.344180376180914E-2</v>
      </c>
      <c r="AM1050" s="22">
        <f t="shared" si="365"/>
        <v>5.3475396377869022E-2</v>
      </c>
      <c r="AN1050" s="22">
        <f t="shared" si="365"/>
        <v>5.3506730430657977E-2</v>
      </c>
      <c r="AO1050" s="22">
        <f t="shared" si="365"/>
        <v>5.353482249647553E-2</v>
      </c>
      <c r="AP1050" s="22">
        <f t="shared" si="365"/>
        <v>5.3559012168450083E-2</v>
      </c>
      <c r="AQ1050" s="22">
        <f t="shared" si="365"/>
        <v>5.3579193542556233E-2</v>
      </c>
      <c r="AR1050" s="22">
        <f t="shared" si="365"/>
        <v>5.3594617293935103E-2</v>
      </c>
      <c r="AS1050" s="22">
        <f t="shared" si="365"/>
        <v>5.3604469890097345E-2</v>
      </c>
      <c r="AT1050" s="22">
        <f t="shared" si="365"/>
        <v>5.3608650848433942E-2</v>
      </c>
      <c r="AU1050" s="22">
        <f t="shared" si="365"/>
        <v>5.3607275721283966E-2</v>
      </c>
      <c r="AV1050" s="22">
        <f t="shared" si="365"/>
        <v>5.3600425093073278E-2</v>
      </c>
      <c r="AW1050" s="22">
        <f t="shared" si="365"/>
        <v>5.3587333792896791E-2</v>
      </c>
      <c r="AY1050" s="79"/>
      <c r="AZ1050" s="79"/>
    </row>
    <row r="1051" spans="1:52" x14ac:dyDescent="0.25">
      <c r="A1051" s="95" t="str">
        <f t="shared" si="345"/>
        <v>DS MM Leaching</v>
      </c>
      <c r="B1051" s="95" t="s">
        <v>974</v>
      </c>
      <c r="C1051" s="95" t="s">
        <v>1333</v>
      </c>
      <c r="D1051" t="s">
        <v>369</v>
      </c>
      <c r="E1051" t="s">
        <v>64</v>
      </c>
      <c r="F1051" t="s">
        <v>63</v>
      </c>
      <c r="G1051" t="s">
        <v>1154</v>
      </c>
      <c r="H1051" t="s">
        <v>1307</v>
      </c>
      <c r="I1051" t="s">
        <v>139</v>
      </c>
      <c r="J1051" t="s">
        <v>287</v>
      </c>
      <c r="K1051" s="22">
        <f t="shared" ref="K1051:AW1051" si="366">K1548</f>
        <v>2.6939494531157477E-2</v>
      </c>
      <c r="L1051" s="22">
        <f t="shared" si="366"/>
        <v>2.7090100081973278E-2</v>
      </c>
      <c r="M1051" s="22">
        <f t="shared" si="366"/>
        <v>2.730378356628085E-2</v>
      </c>
      <c r="N1051" s="22">
        <f t="shared" si="366"/>
        <v>2.7441097966929517E-2</v>
      </c>
      <c r="O1051" s="22">
        <f t="shared" si="366"/>
        <v>2.7532344014183842E-2</v>
      </c>
      <c r="P1051" s="22">
        <f t="shared" si="366"/>
        <v>2.757662364319367E-2</v>
      </c>
      <c r="Q1051" s="22">
        <f t="shared" si="366"/>
        <v>2.7674453822865853E-2</v>
      </c>
      <c r="R1051" s="22">
        <f t="shared" si="366"/>
        <v>2.7786681470952937E-2</v>
      </c>
      <c r="S1051" s="22">
        <f t="shared" si="366"/>
        <v>2.699713387440892E-2</v>
      </c>
      <c r="T1051" s="22">
        <f t="shared" si="366"/>
        <v>2.7461657796488435E-2</v>
      </c>
      <c r="U1051" s="22">
        <f t="shared" si="366"/>
        <v>4.7249978408062936E-2</v>
      </c>
      <c r="V1051" s="22">
        <f t="shared" si="366"/>
        <v>4.7819554843728261E-2</v>
      </c>
      <c r="W1051" s="22">
        <f t="shared" si="366"/>
        <v>4.8364148263346618E-2</v>
      </c>
      <c r="X1051" s="22">
        <f t="shared" si="366"/>
        <v>4.8874495253052513E-2</v>
      </c>
      <c r="Y1051" s="22">
        <f t="shared" si="366"/>
        <v>4.9336966876945901E-2</v>
      </c>
      <c r="Z1051" s="22">
        <f t="shared" si="366"/>
        <v>4.9749403382134544E-2</v>
      </c>
      <c r="AA1051" s="22">
        <f t="shared" si="366"/>
        <v>5.0109402108276212E-2</v>
      </c>
      <c r="AB1051" s="22">
        <f t="shared" si="366"/>
        <v>5.0415144596034883E-2</v>
      </c>
      <c r="AC1051" s="22">
        <f t="shared" si="366"/>
        <v>5.0665188678118429E-2</v>
      </c>
      <c r="AD1051" s="22">
        <f t="shared" si="366"/>
        <v>5.0858018312603365E-2</v>
      </c>
      <c r="AE1051" s="22">
        <f t="shared" si="366"/>
        <v>5.0992725904405595E-2</v>
      </c>
      <c r="AF1051" s="22">
        <f t="shared" si="366"/>
        <v>5.1068440868582254E-2</v>
      </c>
      <c r="AG1051" s="22">
        <f t="shared" si="366"/>
        <v>5.1084322112190127E-2</v>
      </c>
      <c r="AH1051" s="22">
        <f t="shared" si="366"/>
        <v>5.104021603549988E-2</v>
      </c>
      <c r="AI1051" s="22">
        <f t="shared" si="366"/>
        <v>5.0936373738323673E-2</v>
      </c>
      <c r="AJ1051" s="22">
        <f t="shared" si="366"/>
        <v>1.6115387838438942E-2</v>
      </c>
      <c r="AK1051" s="22">
        <f t="shared" si="366"/>
        <v>1.6127151801115156E-2</v>
      </c>
      <c r="AL1051" s="22">
        <f t="shared" si="366"/>
        <v>1.6138068916094209E-2</v>
      </c>
      <c r="AM1051" s="22">
        <f t="shared" si="366"/>
        <v>1.6148213033898736E-2</v>
      </c>
      <c r="AN1051" s="22">
        <f t="shared" si="366"/>
        <v>1.6157675122895256E-2</v>
      </c>
      <c r="AO1051" s="22">
        <f t="shared" si="366"/>
        <v>1.6166158214075712E-2</v>
      </c>
      <c r="AP1051" s="22">
        <f t="shared" si="366"/>
        <v>1.6173462881319406E-2</v>
      </c>
      <c r="AQ1051" s="22">
        <f t="shared" si="366"/>
        <v>1.617955714429747E-2</v>
      </c>
      <c r="AR1051" s="22">
        <f t="shared" si="366"/>
        <v>1.6184214725912905E-2</v>
      </c>
      <c r="AS1051" s="22">
        <f t="shared" si="366"/>
        <v>1.618718995999328E-2</v>
      </c>
      <c r="AT1051" s="22">
        <f t="shared" si="366"/>
        <v>1.618845250333991E-2</v>
      </c>
      <c r="AU1051" s="22">
        <f t="shared" si="366"/>
        <v>1.6188037249827626E-2</v>
      </c>
      <c r="AV1051" s="22">
        <f t="shared" si="366"/>
        <v>1.6185968533908621E-2</v>
      </c>
      <c r="AW1051" s="22">
        <f t="shared" si="366"/>
        <v>1.6182015293381945E-2</v>
      </c>
      <c r="AY1051" s="79"/>
      <c r="AZ1051" s="79"/>
    </row>
    <row r="1052" spans="1:52" x14ac:dyDescent="0.25">
      <c r="A1052" s="95" t="str">
        <f t="shared" si="345"/>
        <v>DS MM Leaching</v>
      </c>
      <c r="B1052" s="95" t="s">
        <v>974</v>
      </c>
      <c r="C1052" s="95" t="s">
        <v>1333</v>
      </c>
      <c r="D1052" t="s">
        <v>369</v>
      </c>
      <c r="E1052" t="s">
        <v>64</v>
      </c>
      <c r="F1052" t="s">
        <v>63</v>
      </c>
      <c r="G1052" t="s">
        <v>1156</v>
      </c>
      <c r="H1052" t="s">
        <v>1308</v>
      </c>
      <c r="I1052" t="s">
        <v>139</v>
      </c>
      <c r="J1052" t="s">
        <v>287</v>
      </c>
      <c r="K1052" s="22">
        <f t="shared" ref="K1052:AW1052" si="367">K1549</f>
        <v>1.4483668498503175E-3</v>
      </c>
      <c r="L1052" s="22">
        <f t="shared" si="367"/>
        <v>1.4564639612104711E-3</v>
      </c>
      <c r="M1052" s="22">
        <f t="shared" si="367"/>
        <v>1.4679523755410987E-3</v>
      </c>
      <c r="N1052" s="22">
        <f t="shared" si="367"/>
        <v>1.4753349055168039E-3</v>
      </c>
      <c r="O1052" s="22">
        <f t="shared" si="367"/>
        <v>1.4802406304505133E-3</v>
      </c>
      <c r="P1052" s="22">
        <f t="shared" si="367"/>
        <v>1.4826212670547866E-3</v>
      </c>
      <c r="Q1052" s="22">
        <f t="shared" si="367"/>
        <v>1.4878809792957942E-3</v>
      </c>
      <c r="R1052" s="22">
        <f t="shared" si="367"/>
        <v>1.4939147526814829E-3</v>
      </c>
      <c r="S1052" s="22">
        <f t="shared" si="367"/>
        <v>1.4514657540972396E-3</v>
      </c>
      <c r="T1052" s="22">
        <f t="shared" si="367"/>
        <v>1.476440277985364E-3</v>
      </c>
      <c r="U1052" s="22">
        <f t="shared" si="367"/>
        <v>2.5403335724518226E-3</v>
      </c>
      <c r="V1052" s="22">
        <f t="shared" si="367"/>
        <v>2.5709561079607732E-3</v>
      </c>
      <c r="W1052" s="22">
        <f t="shared" si="367"/>
        <v>2.6002354641383586E-3</v>
      </c>
      <c r="X1052" s="22">
        <f t="shared" si="367"/>
        <v>2.6276736055985106E-3</v>
      </c>
      <c r="Y1052" s="22">
        <f t="shared" si="367"/>
        <v>2.6525377903466292E-3</v>
      </c>
      <c r="Z1052" s="22">
        <f t="shared" si="367"/>
        <v>2.6747119020803316E-3</v>
      </c>
      <c r="AA1052" s="22">
        <f t="shared" si="367"/>
        <v>2.6940667648944388E-3</v>
      </c>
      <c r="AB1052" s="22">
        <f t="shared" si="367"/>
        <v>2.7105046116902751E-3</v>
      </c>
      <c r="AC1052" s="22">
        <f t="shared" si="367"/>
        <v>2.7239479062209941E-3</v>
      </c>
      <c r="AD1052" s="22">
        <f t="shared" si="367"/>
        <v>2.7343151404663774E-3</v>
      </c>
      <c r="AE1052" s="22">
        <f t="shared" si="367"/>
        <v>2.741557518758363E-3</v>
      </c>
      <c r="AF1052" s="22">
        <f t="shared" si="367"/>
        <v>2.7456282352309475E-3</v>
      </c>
      <c r="AG1052" s="22">
        <f t="shared" si="367"/>
        <v>2.7464820696170918E-3</v>
      </c>
      <c r="AH1052" s="22">
        <f t="shared" si="367"/>
        <v>2.7441107638273262E-3</v>
      </c>
      <c r="AI1052" s="22">
        <f t="shared" si="367"/>
        <v>2.738527817916133E-3</v>
      </c>
      <c r="AJ1052" s="22">
        <f t="shared" si="367"/>
        <v>8.664228458585355E-4</v>
      </c>
      <c r="AK1052" s="22">
        <f t="shared" si="367"/>
        <v>8.6705531999584366E-4</v>
      </c>
      <c r="AL1052" s="22">
        <f t="shared" si="367"/>
        <v>8.6764226446925895E-4</v>
      </c>
      <c r="AM1052" s="22">
        <f t="shared" si="367"/>
        <v>8.6818764975598228E-4</v>
      </c>
      <c r="AN1052" s="22">
        <f t="shared" si="367"/>
        <v>8.6869636665180383E-4</v>
      </c>
      <c r="AO1052" s="22">
        <f t="shared" si="367"/>
        <v>8.691524490046414E-4</v>
      </c>
      <c r="AP1052" s="22">
        <f t="shared" si="367"/>
        <v>8.6954517492875681E-4</v>
      </c>
      <c r="AQ1052" s="22">
        <f t="shared" si="367"/>
        <v>8.6987282504340517E-4</v>
      </c>
      <c r="AR1052" s="22">
        <f t="shared" si="367"/>
        <v>8.7012323385506529E-4</v>
      </c>
      <c r="AS1052" s="22">
        <f t="shared" si="367"/>
        <v>8.7028319344181889E-4</v>
      </c>
      <c r="AT1052" s="22">
        <f t="shared" si="367"/>
        <v>8.7035107244109425E-4</v>
      </c>
      <c r="AU1052" s="22">
        <f t="shared" si="367"/>
        <v>8.7032874687664199E-4</v>
      </c>
      <c r="AV1052" s="22">
        <f t="shared" si="367"/>
        <v>8.7021752505860126E-4</v>
      </c>
      <c r="AW1052" s="22">
        <f t="shared" si="367"/>
        <v>8.7000498422856851E-4</v>
      </c>
      <c r="AY1052" s="79"/>
      <c r="AZ1052" s="79"/>
    </row>
    <row r="1053" spans="1:52" x14ac:dyDescent="0.25">
      <c r="A1053" s="95" t="str">
        <f t="shared" si="345"/>
        <v>DS MM Leaching</v>
      </c>
      <c r="B1053" s="95" t="s">
        <v>974</v>
      </c>
      <c r="C1053" s="95" t="s">
        <v>1333</v>
      </c>
      <c r="D1053" t="s">
        <v>369</v>
      </c>
      <c r="E1053" t="s">
        <v>64</v>
      </c>
      <c r="F1053" t="s">
        <v>63</v>
      </c>
      <c r="G1053" t="s">
        <v>1158</v>
      </c>
      <c r="H1053" t="s">
        <v>1309</v>
      </c>
      <c r="I1053" t="s">
        <v>139</v>
      </c>
      <c r="J1053" t="s">
        <v>287</v>
      </c>
      <c r="K1053" s="94">
        <f>IF('Net zero activities &amp; levers'!$C$12="Off",Constants!$H66*'Activity data'!AD8*Constants!$H84*FracLEACHMM*MMLeachEF*NtoN2O*kgtoGg,Constants!$H66*'Net zero Activity data'!AD8*Constants!$H84*FracLEACHMM*MMLeachEF*NtoN2O*kgtoGg)</f>
        <v>3.0303014392691133E-2</v>
      </c>
      <c r="L1053" s="94">
        <f>IF('Net zero activities &amp; levers'!$C$12="Off",Constants!$H66*'Activity data'!AE8*Constants!$H84*FracLEACHMM*MMLeachEF*NtoN2O*kgtoGg,Constants!$H66*'Net zero Activity data'!AE8*Constants!$H84*FracLEACHMM*MMLeachEF*NtoN2O*kgtoGg)</f>
        <v>3.0040206026371367E-2</v>
      </c>
      <c r="M1053" s="94">
        <f>IF('Net zero activities &amp; levers'!$C$12="Off",Constants!$H66*'Activity data'!AF8*Constants!$H84*FracLEACHMM*MMLeachEF*NtoN2O*kgtoGg,Constants!$H66*'Net zero Activity data'!AF8*Constants!$H84*FracLEACHMM*MMLeachEF*NtoN2O*kgtoGg)</f>
        <v>2.9940162837193193E-2</v>
      </c>
      <c r="N1053" s="94">
        <f>IF('Net zero activities &amp; levers'!$C$12="Off",Constants!$H66*'Activity data'!AG8*Constants!$H84*FracLEACHMM*MMLeachEF*NtoN2O*kgtoGg,Constants!$H66*'Net zero Activity data'!AG8*Constants!$H84*FracLEACHMM*MMLeachEF*NtoN2O*kgtoGg)</f>
        <v>2.9540351153331305E-2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2.8211154016296508E-2</v>
      </c>
      <c r="Q1053" s="94">
        <f>IF('Net zero activities &amp; levers'!$C$12="Off",Constants!$H66*'Activity data'!AJ8*Constants!$H84*FracLEACHMM*MMLeachEF*NtoN2O*kgtoGg,Constants!$H66*'Net zero Activity data'!AJ8*Constants!$H84*FracLEACHMM*MMLeachEF*NtoN2O*kgtoGg)</f>
        <v>2.7620505669412019E-2</v>
      </c>
      <c r="R1053" s="94">
        <f>IF('Net zero activities &amp; levers'!$C$12="Off",Constants!$H66*'Activity data'!AK8*Constants!$H84*FracLEACHMM*MMLeachEF*NtoN2O*kgtoGg,Constants!$H66*'Net zero Activity data'!AK8*Constants!$H84*FracLEACHMM*MMLeachEF*NtoN2O*kgtoGg)</f>
        <v>2.7061685185942382E-2</v>
      </c>
      <c r="S1053" s="94">
        <f>IF('Net zero activities &amp; levers'!$C$12="Off",Constants!$H66*'Activity data'!AL8*Constants!$H84*FracLEACHMM*MMLeachEF*NtoN2O*kgtoGg,Constants!$H66*'Net zero Activity data'!AL8*Constants!$H84*FracLEACHMM*MMLeachEF*NtoN2O*kgtoGg)</f>
        <v>2.4201772556346722E-2</v>
      </c>
      <c r="T1053" s="94">
        <f>IF('Net zero activities &amp; levers'!$C$12="Off",Constants!$H66*'Activity data'!AM8*Constants!$H84*FracLEACHMM*MMLeachEF*NtoN2O*kgtoGg,Constants!$H66*'Net zero Activity data'!AM8*Constants!$H84*FracLEACHMM*MMLeachEF*NtoN2O*kgtoGg)</f>
        <v>2.5134193306706524E-2</v>
      </c>
      <c r="U1053" s="94">
        <f>IF('Net zero activities &amp; levers'!$C$12="Off",Constants!$H66*'Activity data'!AN8*Constants!$H84*FracLEACHMM*MMLeachEF*NtoN2O*kgtoGg,Constants!$H66*'Net zero Activity data'!AN8*Constants!$H84*FracLEACHMM*MMLeachEF*NtoN2O*kgtoGg)</f>
        <v>7.9215327522416931E-2</v>
      </c>
      <c r="V1053" s="94">
        <f>IF('Net zero activities &amp; levers'!$C$12="Off",Constants!$H66*'Activity data'!AO8*Constants!$H84*FracLEACHMM*MMLeachEF*NtoN2O*kgtoGg,Constants!$H66*'Net zero Activity data'!AO8*Constants!$H84*FracLEACHMM*MMLeachEF*NtoN2O*kgtoGg)</f>
        <v>7.9597413086941654E-2</v>
      </c>
      <c r="W1053" s="94">
        <f>IF('Net zero activities &amp; levers'!$C$12="Off",Constants!$H66*'Activity data'!AP8*Constants!$H84*FracLEACHMM*MMLeachEF*NtoN2O*kgtoGg,Constants!$H66*'Net zero Activity data'!AP8*Constants!$H84*FracLEACHMM*MMLeachEF*NtoN2O*kgtoGg)</f>
        <v>7.9841946903631861E-2</v>
      </c>
      <c r="X1053" s="94">
        <f>IF('Net zero activities &amp; levers'!$C$12="Off",Constants!$H66*'Activity data'!AQ8*Constants!$H84*FracLEACHMM*MMLeachEF*NtoN2O*kgtoGg,Constants!$H66*'Net zero Activity data'!AQ8*Constants!$H84*FracLEACHMM*MMLeachEF*NtoN2O*kgtoGg)</f>
        <v>7.9948879165643486E-2</v>
      </c>
      <c r="Y1053" s="94">
        <f>IF('Net zero activities &amp; levers'!$C$12="Off",Constants!$H66*'Activity data'!AR8*Constants!$H84*FracLEACHMM*MMLeachEF*NtoN2O*kgtoGg,Constants!$H66*'Net zero Activity data'!AR8*Constants!$H84*FracLEACHMM*MMLeachEF*NtoN2O*kgtoGg)</f>
        <v>7.992047510263596E-2</v>
      </c>
      <c r="Z1053" s="94">
        <f>IF('Net zero activities &amp; levers'!$C$12="Off",Constants!$H66*'Activity data'!AS8*Constants!$H84*FracLEACHMM*MMLeachEF*NtoN2O*kgtoGg,Constants!$H66*'Net zero Activity data'!AS8*Constants!$H84*FracLEACHMM*MMLeachEF*NtoN2O*kgtoGg)</f>
        <v>7.9755373238701549E-2</v>
      </c>
      <c r="AA1053" s="94">
        <f>IF('Net zero activities &amp; levers'!$C$12="Off",Constants!$H66*'Activity data'!AT8*Constants!$H84*FracLEACHMM*MMLeachEF*NtoN2O*kgtoGg,Constants!$H66*'Net zero Activity data'!AT8*Constants!$H84*FracLEACHMM*MMLeachEF*NtoN2O*kgtoGg)</f>
        <v>7.9453169143115579E-2</v>
      </c>
      <c r="AB1053" s="94">
        <f>IF('Net zero activities &amp; levers'!$C$12="Off",Constants!$H66*'Activity data'!AU8*Constants!$H84*FracLEACHMM*MMLeachEF*NtoN2O*kgtoGg,Constants!$H66*'Net zero Activity data'!AU8*Constants!$H84*FracLEACHMM*MMLeachEF*NtoN2O*kgtoGg)</f>
        <v>7.9014112861708063E-2</v>
      </c>
      <c r="AC1053" s="94">
        <f>IF('Net zero activities &amp; levers'!$C$12="Off",Constants!$H66*'Activity data'!AV8*Constants!$H84*FracLEACHMM*MMLeachEF*NtoN2O*kgtoGg,Constants!$H66*'Net zero Activity data'!AV8*Constants!$H84*FracLEACHMM*MMLeachEF*NtoN2O*kgtoGg)</f>
        <v>7.8439191657390592E-2</v>
      </c>
      <c r="AD1053" s="94">
        <f>IF('Net zero activities &amp; levers'!$C$12="Off",Constants!$H66*'Activity data'!AW8*Constants!$H84*FracLEACHMM*MMLeachEF*NtoN2O*kgtoGg,Constants!$H66*'Net zero Activity data'!AW8*Constants!$H84*FracLEACHMM*MMLeachEF*NtoN2O*kgtoGg)</f>
        <v>7.7077087742293285E-2</v>
      </c>
      <c r="AE1053" s="94">
        <f>IF('Net zero activities &amp; levers'!$C$12="Off",Constants!$H66*'Activity data'!AX8*Constants!$H84*FracLEACHMM*MMLeachEF*NtoN2O*kgtoGg,Constants!$H66*'Net zero Activity data'!AX8*Constants!$H84*FracLEACHMM*MMLeachEF*NtoN2O*kgtoGg)</f>
        <v>7.5586682253877949E-2</v>
      </c>
      <c r="AF1053" s="94">
        <f>IF('Net zero activities &amp; levers'!$C$12="Off",Constants!$H66*'Activity data'!AY8*Constants!$H84*FracLEACHMM*MMLeachEF*NtoN2O*kgtoGg,Constants!$H66*'Net zero Activity data'!AY8*Constants!$H84*FracLEACHMM*MMLeachEF*NtoN2O*kgtoGg)</f>
        <v>7.3974671879861814E-2</v>
      </c>
      <c r="AG1053" s="94">
        <f>IF('Net zero activities &amp; levers'!$C$12="Off",Constants!$H66*'Activity data'!AZ8*Constants!$H84*FracLEACHMM*MMLeachEF*NtoN2O*kgtoGg,Constants!$H66*'Net zero Activity data'!AZ8*Constants!$H84*FracLEACHMM*MMLeachEF*NtoN2O*kgtoGg)</f>
        <v>7.2248514242158265E-2</v>
      </c>
      <c r="AH1053" s="94">
        <f>IF('Net zero activities &amp; levers'!$C$12="Off",Constants!$H66*'Activity data'!BA8*Constants!$H84*FracLEACHMM*MMLeachEF*NtoN2O*kgtoGg,Constants!$H66*'Net zero Activity data'!BA8*Constants!$H84*FracLEACHMM*MMLeachEF*NtoN2O*kgtoGg)</f>
        <v>7.0416148615651625E-2</v>
      </c>
      <c r="AI1053" s="94">
        <f>IF('Net zero activities &amp; levers'!$C$12="Off",Constants!$H66*'Activity data'!BB8*Constants!$H84*FracLEACHMM*MMLeachEF*NtoN2O*kgtoGg,Constants!$H66*'Net zero Activity data'!BB8*Constants!$H84*FracLEACHMM*MMLeachEF*NtoN2O*kgtoGg)</f>
        <v>6.8486029191241041E-2</v>
      </c>
      <c r="AJ1053" s="94">
        <f>IF('Net zero activities &amp; levers'!$C$12="Off",Constants!$H66*'Activity data'!BC8*Constants!$H84*FracLEACHMM*MMLeachEF*NtoN2O*kgtoGg,Constants!$H66*'Net zero Activity data'!BC8*Constants!$H84*FracLEACHMM*MMLeachEF*NtoN2O*kgtoGg)</f>
        <v>-5.2880249817764688E-3</v>
      </c>
      <c r="AK1053" s="94">
        <f>IF('Net zero activities &amp; levers'!$C$12="Off",Constants!$H66*'Activity data'!BD8*Constants!$H84*FracLEACHMM*MMLeachEF*NtoN2O*kgtoGg,Constants!$H66*'Net zero Activity data'!BD8*Constants!$H84*FracLEACHMM*MMLeachEF*NtoN2O*kgtoGg)</f>
        <v>-5.1607046214705845E-3</v>
      </c>
      <c r="AL1053" s="94">
        <f>IF('Net zero activities &amp; levers'!$C$12="Off",Constants!$H66*'Activity data'!BE8*Constants!$H84*FracLEACHMM*MMLeachEF*NtoN2O*kgtoGg,Constants!$H66*'Net zero Activity data'!BE8*Constants!$H84*FracLEACHMM*MMLeachEF*NtoN2O*kgtoGg)</f>
        <v>-5.0347089645398375E-3</v>
      </c>
      <c r="AM1053" s="94">
        <f>IF('Net zero activities &amp; levers'!$C$12="Off",Constants!$H66*'Activity data'!BF8*Constants!$H84*FracLEACHMM*MMLeachEF*NtoN2O*kgtoGg,Constants!$H66*'Net zero Activity data'!BF8*Constants!$H84*FracLEACHMM*MMLeachEF*NtoN2O*kgtoGg)</f>
        <v>-4.9100249979569036E-3</v>
      </c>
      <c r="AN1053" s="94">
        <f>IF('Net zero activities &amp; levers'!$C$12="Off",Constants!$H66*'Activity data'!BG8*Constants!$H84*FracLEACHMM*MMLeachEF*NtoN2O*kgtoGg,Constants!$H66*'Net zero Activity data'!BG8*Constants!$H84*FracLEACHMM*MMLeachEF*NtoN2O*kgtoGg)</f>
        <v>-4.8110666270887118E-3</v>
      </c>
      <c r="AO1053" s="94">
        <f>IF('Net zero activities &amp; levers'!$C$12="Off",Constants!$H66*'Activity data'!BH8*Constants!$H84*FracLEACHMM*MMLeachEF*NtoN2O*kgtoGg,Constants!$H66*'Net zero Activity data'!BH8*Constants!$H84*FracLEACHMM*MMLeachEF*NtoN2O*kgtoGg)</f>
        <v>-4.7130469845991819E-3</v>
      </c>
      <c r="AP1053" s="94">
        <f>IF('Net zero activities &amp; levers'!$C$12="Off",Constants!$H66*'Activity data'!BI8*Constants!$H84*FracLEACHMM*MMLeachEF*NtoN2O*kgtoGg,Constants!$H66*'Net zero Activity data'!BI8*Constants!$H84*FracLEACHMM*MMLeachEF*NtoN2O*kgtoGg)</f>
        <v>-4.6158931662269266E-3</v>
      </c>
      <c r="AQ1053" s="94">
        <f>IF('Net zero activities &amp; levers'!$C$12="Off",Constants!$H66*'Activity data'!BJ8*Constants!$H84*FracLEACHMM*MMLeachEF*NtoN2O*kgtoGg,Constants!$H66*'Net zero Activity data'!BJ8*Constants!$H84*FracLEACHMM*MMLeachEF*NtoN2O*kgtoGg)</f>
        <v>-4.5195811063585816E-3</v>
      </c>
      <c r="AR1053" s="94">
        <f>IF('Net zero activities &amp; levers'!$C$12="Off",Constants!$H66*'Activity data'!BK8*Constants!$H84*FracLEACHMM*MMLeachEF*NtoN2O*kgtoGg,Constants!$H66*'Net zero Activity data'!BK8*Constants!$H84*FracLEACHMM*MMLeachEF*NtoN2O*kgtoGg)</f>
        <v>-4.424040391221005E-3</v>
      </c>
      <c r="AS1053" s="94">
        <f>IF('Net zero activities &amp; levers'!$C$12="Off",Constants!$H66*'Activity data'!BL8*Constants!$H84*FracLEACHMM*MMLeachEF*NtoN2O*kgtoGg,Constants!$H66*'Net zero Activity data'!BL8*Constants!$H84*FracLEACHMM*MMLeachEF*NtoN2O*kgtoGg)</f>
        <v>-4.3292020646369571E-3</v>
      </c>
      <c r="AT1053" s="94">
        <f>IF('Net zero activities &amp; levers'!$C$12="Off",Constants!$H66*'Activity data'!BM8*Constants!$H84*FracLEACHMM*MMLeachEF*NtoN2O*kgtoGg,Constants!$H66*'Net zero Activity data'!BM8*Constants!$H84*FracLEACHMM*MMLeachEF*NtoN2O*kgtoGg)</f>
        <v>-4.2350550518406409E-3</v>
      </c>
      <c r="AU1053" s="94">
        <f>IF('Net zero activities &amp; levers'!$C$12="Off",Constants!$H66*'Activity data'!BN8*Constants!$H84*FracLEACHMM*MMLeachEF*NtoN2O*kgtoGg,Constants!$H66*'Net zero Activity data'!BN8*Constants!$H84*FracLEACHMM*MMLeachEF*NtoN2O*kgtoGg)</f>
        <v>-4.1416051693555066E-3</v>
      </c>
      <c r="AV1053" s="94">
        <f>IF('Net zero activities &amp; levers'!$C$12="Off",Constants!$H66*'Activity data'!BO8*Constants!$H84*FracLEACHMM*MMLeachEF*NtoN2O*kgtoGg,Constants!$H66*'Net zero Activity data'!BO8*Constants!$H84*FracLEACHMM*MMLeachEF*NtoN2O*kgtoGg)</f>
        <v>-4.0488559853117164E-3</v>
      </c>
      <c r="AW1053" s="94">
        <f>IF('Net zero activities &amp; levers'!$C$12="Off",Constants!$H66*'Activity data'!BP8*Constants!$H84*FracLEACHMM*MMLeachEF*NtoN2O*kgtoGg,Constants!$H66*'Net zero Activity data'!BP8*Constants!$H84*FracLEACHMM*MMLeachEF*NtoN2O*kgtoGg)</f>
        <v>-3.9567542281437719E-3</v>
      </c>
      <c r="AY1053" s="79"/>
      <c r="AZ1053" s="79"/>
    </row>
    <row r="1054" spans="1:52" x14ac:dyDescent="0.25">
      <c r="A1054" s="95" t="str">
        <f t="shared" si="345"/>
        <v>DS MM Leaching</v>
      </c>
      <c r="B1054" s="95" t="s">
        <v>974</v>
      </c>
      <c r="C1054" s="95" t="s">
        <v>1333</v>
      </c>
      <c r="D1054" t="s">
        <v>369</v>
      </c>
      <c r="E1054" t="s">
        <v>64</v>
      </c>
      <c r="F1054" t="s">
        <v>63</v>
      </c>
      <c r="G1054" t="s">
        <v>1160</v>
      </c>
      <c r="H1054" t="s">
        <v>1310</v>
      </c>
      <c r="I1054" t="s">
        <v>139</v>
      </c>
      <c r="J1054" t="s">
        <v>287</v>
      </c>
      <c r="K1054" s="94">
        <f>IF('Net zero activities &amp; levers'!$C$12="Off",Constants!$H67*'Activity data'!AD9*Constants!$H85*FracLEACHMM*MMLeachEF*NtoN2O*kgtoGg,Constants!$H67*'Net zero Activity data'!AD9*Constants!$H85*FracLEACHMM*MMLeachEF*NtoN2O*kgtoGg)</f>
        <v>4.0226293185258929E-2</v>
      </c>
      <c r="L1054" s="94">
        <f>IF('Net zero activities &amp; levers'!$C$12="Off",Constants!$H67*'Activity data'!AE9*Constants!$H85*FracLEACHMM*MMLeachEF*NtoN2O*kgtoGg,Constants!$H67*'Net zero Activity data'!AE9*Constants!$H85*FracLEACHMM*MMLeachEF*NtoN2O*kgtoGg)</f>
        <v>3.9877423391049029E-2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3.9213881856453726E-2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3.7449414696768615E-2</v>
      </c>
      <c r="Q1054" s="94">
        <f>IF('Net zero activities &amp; levers'!$C$12="Off",Constants!$H67*'Activity data'!AJ9*Constants!$H85*FracLEACHMM*MMLeachEF*NtoN2O*kgtoGg,Constants!$H67*'Net zero Activity data'!AJ9*Constants!$H85*FracLEACHMM*MMLeachEF*NtoN2O*kgtoGg)</f>
        <v>3.6665347697252743E-2</v>
      </c>
      <c r="R1054" s="94">
        <f>IF('Net zero activities &amp; levers'!$C$12="Off",Constants!$H67*'Activity data'!AK9*Constants!$H85*FracLEACHMM*MMLeachEF*NtoN2O*kgtoGg,Constants!$H67*'Net zero Activity data'!AK9*Constants!$H85*FracLEACHMM*MMLeachEF*NtoN2O*kgtoGg)</f>
        <v>3.5923531179771234E-2</v>
      </c>
      <c r="S1054" s="94">
        <f>IF('Net zero activities &amp; levers'!$C$12="Off",Constants!$H67*'Activity data'!AL9*Constants!$H85*FracLEACHMM*MMLeachEF*NtoN2O*kgtoGg,Constants!$H67*'Net zero Activity data'!AL9*Constants!$H85*FracLEACHMM*MMLeachEF*NtoN2O*kgtoGg)</f>
        <v>3.2127087617044768E-2</v>
      </c>
      <c r="T1054" s="94">
        <f>IF('Net zero activities &amp; levers'!$C$12="Off",Constants!$H67*'Activity data'!AM9*Constants!$H85*FracLEACHMM*MMLeachEF*NtoN2O*kgtoGg,Constants!$H67*'Net zero Activity data'!AM9*Constants!$H85*FracLEACHMM*MMLeachEF*NtoN2O*kgtoGg)</f>
        <v>3.336484667262702E-2</v>
      </c>
      <c r="U1054" s="94">
        <f>IF('Net zero activities &amp; levers'!$C$12="Off",Constants!$H67*'Activity data'!AN9*Constants!$H85*FracLEACHMM*MMLeachEF*NtoN2O*kgtoGg,Constants!$H67*'Net zero Activity data'!AN9*Constants!$H85*FracLEACHMM*MMLeachEF*NtoN2O*kgtoGg)</f>
        <v>0.10515584187068941</v>
      </c>
      <c r="V1054" s="94">
        <f>IF('Net zero activities &amp; levers'!$C$12="Off",Constants!$H67*'Activity data'!AO9*Constants!$H85*FracLEACHMM*MMLeachEF*NtoN2O*kgtoGg,Constants!$H67*'Net zero Activity data'!AO9*Constants!$H85*FracLEACHMM*MMLeachEF*NtoN2O*kgtoGg)</f>
        <v>0.1056630483730278</v>
      </c>
      <c r="W1054" s="94">
        <f>IF('Net zero activities &amp; levers'!$C$12="Off",Constants!$H67*'Activity data'!AP9*Constants!$H85*FracLEACHMM*MMLeachEF*NtoN2O*kgtoGg,Constants!$H67*'Net zero Activity data'!AP9*Constants!$H85*FracLEACHMM*MMLeachEF*NtoN2O*kgtoGg)</f>
        <v>0.10598765928059027</v>
      </c>
      <c r="X1054" s="94">
        <f>IF('Net zero activities &amp; levers'!$C$12="Off",Constants!$H67*'Activity data'!AQ9*Constants!$H85*FracLEACHMM*MMLeachEF*NtoN2O*kgtoGg,Constants!$H67*'Net zero Activity data'!AQ9*Constants!$H85*FracLEACHMM*MMLeachEF*NtoN2O*kgtoGg)</f>
        <v>0.10612960847636668</v>
      </c>
      <c r="Y1054" s="94">
        <f>IF('Net zero activities &amp; levers'!$C$12="Off",Constants!$H67*'Activity data'!AR9*Constants!$H85*FracLEACHMM*MMLeachEF*NtoN2O*kgtoGg,Constants!$H67*'Net zero Activity data'!AR9*Constants!$H85*FracLEACHMM*MMLeachEF*NtoN2O*kgtoGg)</f>
        <v>0.10609190298108537</v>
      </c>
      <c r="Z1054" s="94">
        <f>IF('Net zero activities &amp; levers'!$C$12="Off",Constants!$H67*'Activity data'!AS9*Constants!$H85*FracLEACHMM*MMLeachEF*NtoN2O*kgtoGg,Constants!$H67*'Net zero Activity data'!AS9*Constants!$H85*FracLEACHMM*MMLeachEF*NtoN2O*kgtoGg)</f>
        <v>0.10587273547853948</v>
      </c>
      <c r="AA1054" s="94">
        <f>IF('Net zero activities &amp; levers'!$C$12="Off",Constants!$H67*'Activity data'!AT9*Constants!$H85*FracLEACHMM*MMLeachEF*NtoN2O*kgtoGg,Constants!$H67*'Net zero Activity data'!AT9*Constants!$H85*FracLEACHMM*MMLeachEF*NtoN2O*kgtoGg)</f>
        <v>0.10547156909973328</v>
      </c>
      <c r="AB1054" s="94">
        <f>IF('Net zero activities &amp; levers'!$C$12="Off",Constants!$H67*'Activity data'!AU9*Constants!$H85*FracLEACHMM*MMLeachEF*NtoN2O*kgtoGg,Constants!$H67*'Net zero Activity data'!AU9*Constants!$H85*FracLEACHMM*MMLeachEF*NtoN2O*kgtoGg)</f>
        <v>0.10488873577259779</v>
      </c>
      <c r="AC1054" s="94">
        <f>IF('Net zero activities &amp; levers'!$C$12="Off",Constants!$H67*'Activity data'!AV9*Constants!$H85*FracLEACHMM*MMLeachEF*NtoN2O*kgtoGg,Constants!$H67*'Net zero Activity data'!AV9*Constants!$H85*FracLEACHMM*MMLeachEF*NtoN2O*kgtoGg)</f>
        <v>0.10412554605742294</v>
      </c>
      <c r="AD1054" s="94">
        <f>IF('Net zero activities &amp; levers'!$C$12="Off",Constants!$H67*'Activity data'!AW9*Constants!$H85*FracLEACHMM*MMLeachEF*NtoN2O*kgtoGg,Constants!$H67*'Net zero Activity data'!AW9*Constants!$H85*FracLEACHMM*MMLeachEF*NtoN2O*kgtoGg)</f>
        <v>0.10231739619063251</v>
      </c>
      <c r="AE1054" s="94">
        <f>IF('Net zero activities &amp; levers'!$C$12="Off",Constants!$H67*'Activity data'!AX9*Constants!$H85*FracLEACHMM*MMLeachEF*NtoN2O*kgtoGg,Constants!$H67*'Net zero Activity data'!AX9*Constants!$H85*FracLEACHMM*MMLeachEF*NtoN2O*kgtoGg)</f>
        <v>0.10033893004317308</v>
      </c>
      <c r="AF1054" s="94">
        <f>IF('Net zero activities &amp; levers'!$C$12="Off",Constants!$H67*'Activity data'!AY9*Constants!$H85*FracLEACHMM*MMLeachEF*NtoN2O*kgtoGg,Constants!$H67*'Net zero Activity data'!AY9*Constants!$H85*FracLEACHMM*MMLeachEF*NtoN2O*kgtoGg)</f>
        <v>9.8199037256187116E-2</v>
      </c>
      <c r="AG1054" s="94">
        <f>IF('Net zero activities &amp; levers'!$C$12="Off",Constants!$H67*'Activity data'!AZ9*Constants!$H85*FracLEACHMM*MMLeachEF*NtoN2O*kgtoGg,Constants!$H67*'Net zero Activity data'!AZ9*Constants!$H85*FracLEACHMM*MMLeachEF*NtoN2O*kgtoGg)</f>
        <v>9.5907617586895574E-2</v>
      </c>
      <c r="AH1054" s="94">
        <f>IF('Net zero activities &amp; levers'!$C$12="Off",Constants!$H67*'Activity data'!BA9*Constants!$H85*FracLEACHMM*MMLeachEF*NtoN2O*kgtoGg,Constants!$H67*'Net zero Activity data'!BA9*Constants!$H85*FracLEACHMM*MMLeachEF*NtoN2O*kgtoGg)</f>
        <v>9.3475210171604761E-2</v>
      </c>
      <c r="AI1054" s="94">
        <f>IF('Net zero activities &amp; levers'!$C$12="Off",Constants!$H67*'Activity data'!BB9*Constants!$H85*FracLEACHMM*MMLeachEF*NtoN2O*kgtoGg,Constants!$H67*'Net zero Activity data'!BB9*Constants!$H85*FracLEACHMM*MMLeachEF*NtoN2O*kgtoGg)</f>
        <v>9.091303768134483E-2</v>
      </c>
      <c r="AJ1054" s="94">
        <f>IF('Net zero activities &amp; levers'!$C$12="Off",Constants!$H67*'Activity data'!BC9*Constants!$H85*FracLEACHMM*MMLeachEF*NtoN2O*kgtoGg,Constants!$H67*'Net zero Activity data'!BC9*Constants!$H85*FracLEACHMM*MMLeachEF*NtoN2O*kgtoGg)</f>
        <v>-7.0196859141254189E-3</v>
      </c>
      <c r="AK1054" s="94">
        <f>IF('Net zero activities &amp; levers'!$C$12="Off",Constants!$H67*'Activity data'!BD9*Constants!$H85*FracLEACHMM*MMLeachEF*NtoN2O*kgtoGg,Constants!$H67*'Net zero Activity data'!BD9*Constants!$H85*FracLEACHMM*MMLeachEF*NtoN2O*kgtoGg)</f>
        <v>-6.8506721626963654E-3</v>
      </c>
      <c r="AL1054" s="94">
        <f>IF('Net zero activities &amp; levers'!$C$12="Off",Constants!$H67*'Activity data'!BE9*Constants!$H85*FracLEACHMM*MMLeachEF*NtoN2O*kgtoGg,Constants!$H67*'Net zero Activity data'!BE9*Constants!$H85*FracLEACHMM*MMLeachEF*NtoN2O*kgtoGg)</f>
        <v>-6.6834169131002059E-3</v>
      </c>
      <c r="AM1054" s="94">
        <f>IF('Net zero activities &amp; levers'!$C$12="Off",Constants!$H67*'Activity data'!BF9*Constants!$H85*FracLEACHMM*MMLeachEF*NtoN2O*kgtoGg,Constants!$H67*'Net zero Activity data'!BF9*Constants!$H85*FracLEACHMM*MMLeachEF*NtoN2O*kgtoGg)</f>
        <v>-6.5179028909547456E-3</v>
      </c>
      <c r="AN1054" s="94">
        <f>IF('Net zero activities &amp; levers'!$C$12="Off",Constants!$H67*'Activity data'!BG9*Constants!$H85*FracLEACHMM*MMLeachEF*NtoN2O*kgtoGg,Constants!$H67*'Net zero Activity data'!BG9*Constants!$H85*FracLEACHMM*MMLeachEF*NtoN2O*kgtoGg)</f>
        <v>-6.3865387834737544E-3</v>
      </c>
      <c r="AO1054" s="94">
        <f>IF('Net zero activities &amp; levers'!$C$12="Off",Constants!$H67*'Activity data'!BH9*Constants!$H85*FracLEACHMM*MMLeachEF*NtoN2O*kgtoGg,Constants!$H67*'Net zero Activity data'!BH9*Constants!$H85*FracLEACHMM*MMLeachEF*NtoN2O*kgtoGg)</f>
        <v>-6.2564208082254193E-3</v>
      </c>
      <c r="AP1054" s="94">
        <f>IF('Net zero activities &amp; levers'!$C$12="Off",Constants!$H67*'Activity data'!BI9*Constants!$H85*FracLEACHMM*MMLeachEF*NtoN2O*kgtoGg,Constants!$H67*'Net zero Activity data'!BI9*Constants!$H85*FracLEACHMM*MMLeachEF*NtoN2O*kgtoGg)</f>
        <v>-6.1274521871085615E-3</v>
      </c>
      <c r="AQ1054" s="94">
        <f>IF('Net zero activities &amp; levers'!$C$12="Off",Constants!$H67*'Activity data'!BJ9*Constants!$H85*FracLEACHMM*MMLeachEF*NtoN2O*kgtoGg,Constants!$H67*'Net zero Activity data'!BJ9*Constants!$H85*FracLEACHMM*MMLeachEF*NtoN2O*kgtoGg)</f>
        <v>-5.9996009737825779E-3</v>
      </c>
      <c r="AR1054" s="94">
        <f>IF('Net zero activities &amp; levers'!$C$12="Off",Constants!$H67*'Activity data'!BK9*Constants!$H85*FracLEACHMM*MMLeachEF*NtoN2O*kgtoGg,Constants!$H67*'Net zero Activity data'!BK9*Constants!$H85*FracLEACHMM*MMLeachEF*NtoN2O*kgtoGg)</f>
        <v>-5.872773696190668E-3</v>
      </c>
      <c r="AS1054" s="94">
        <f>IF('Net zero activities &amp; levers'!$C$12="Off",Constants!$H67*'Activity data'!BL9*Constants!$H85*FracLEACHMM*MMLeachEF*NtoN2O*kgtoGg,Constants!$H67*'Net zero Activity data'!BL9*Constants!$H85*FracLEACHMM*MMLeachEF*NtoN2O*kgtoGg)</f>
        <v>-5.7468788171884874E-3</v>
      </c>
      <c r="AT1054" s="94">
        <f>IF('Net zero activities &amp; levers'!$C$12="Off",Constants!$H67*'Activity data'!BM9*Constants!$H85*FracLEACHMM*MMLeachEF*NtoN2O*kgtoGg,Constants!$H67*'Net zero Activity data'!BM9*Constants!$H85*FracLEACHMM*MMLeachEF*NtoN2O*kgtoGg)</f>
        <v>-5.6219016353747063E-3</v>
      </c>
      <c r="AU1054" s="94">
        <f>IF('Net zero activities &amp; levers'!$C$12="Off",Constants!$H67*'Activity data'!BN9*Constants!$H85*FracLEACHMM*MMLeachEF*NtoN2O*kgtoGg,Constants!$H67*'Net zero Activity data'!BN9*Constants!$H85*FracLEACHMM*MMLeachEF*NtoN2O*kgtoGg)</f>
        <v>-5.4978498720002471E-3</v>
      </c>
      <c r="AV1054" s="94">
        <f>IF('Net zero activities &amp; levers'!$C$12="Off",Constants!$H67*'Activity data'!BO9*Constants!$H85*FracLEACHMM*MMLeachEF*NtoN2O*kgtoGg,Constants!$H67*'Net zero Activity data'!BO9*Constants!$H85*FracLEACHMM*MMLeachEF*NtoN2O*kgtoGg)</f>
        <v>-5.3747282636450412E-3</v>
      </c>
      <c r="AW1054" s="94">
        <f>IF('Net zero activities &amp; levers'!$C$12="Off",Constants!$H67*'Activity data'!BP9*Constants!$H85*FracLEACHMM*MMLeachEF*NtoN2O*kgtoGg,Constants!$H67*'Net zero Activity data'!BP9*Constants!$H85*FracLEACHMM*MMLeachEF*NtoN2O*kgtoGg)</f>
        <v>-5.2524660939907621E-3</v>
      </c>
      <c r="AY1054" s="79"/>
      <c r="AZ1054" s="79"/>
    </row>
    <row r="1055" spans="1:52" x14ac:dyDescent="0.25">
      <c r="A1055" s="95" t="str">
        <f t="shared" si="345"/>
        <v>DS MM Leaching</v>
      </c>
      <c r="B1055" s="95" t="s">
        <v>974</v>
      </c>
      <c r="C1055" s="95" t="s">
        <v>1333</v>
      </c>
      <c r="D1055" t="s">
        <v>369</v>
      </c>
      <c r="E1055" t="s">
        <v>64</v>
      </c>
      <c r="F1055" t="s">
        <v>63</v>
      </c>
      <c r="G1055" t="s">
        <v>1162</v>
      </c>
      <c r="H1055" t="s">
        <v>1311</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4.3383434779753476E-2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4.6315596244033509E-2</v>
      </c>
      <c r="O1055" s="94">
        <f>IF('Net zero activities &amp; levers'!$C$12="Off",Constants!$H68*'Activity data'!AH10*Constants!$H86*FracLEACHMM*MMLeachEF*NtoN2O*kgtoGg,Constants!$H68*'Net zero Activity data'!AH10*Constants!$H86*FracLEACHMM*MMLeachEF*NtoN2O*kgtoGg)</f>
        <v>4.7281576900430194E-2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4.8855920576585839E-2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4.6345052575542584E-2</v>
      </c>
      <c r="T1055" s="94">
        <f>IF('Net zero activities &amp; levers'!$C$12="Off",Constants!$H68*'Activity data'!AM10*Constants!$H86*FracLEACHMM*MMLeachEF*NtoN2O*kgtoGg,Constants!$H68*'Net zero Activity data'!AM10*Constants!$H86*FracLEACHMM*MMLeachEF*NtoN2O*kgtoGg)</f>
        <v>4.9290182096012818E-2</v>
      </c>
      <c r="U1055" s="94">
        <f>IF('Net zero activities &amp; levers'!$C$12="Off",Constants!$H68*'Activity data'!AN10*Constants!$H86*FracLEACHMM*MMLeachEF*NtoN2O*kgtoGg,Constants!$H68*'Net zero Activity data'!AN10*Constants!$H86*FracLEACHMM*MMLeachEF*NtoN2O*kgtoGg)</f>
        <v>0.1590390004544035</v>
      </c>
      <c r="V1055" s="94">
        <f>IF('Net zero activities &amp; levers'!$C$12="Off",Constants!$H68*'Activity data'!AO10*Constants!$H86*FracLEACHMM*MMLeachEF*NtoN2O*kgtoGg,Constants!$H68*'Net zero Activity data'!AO10*Constants!$H86*FracLEACHMM*MMLeachEF*NtoN2O*kgtoGg)</f>
        <v>0.16355513295491098</v>
      </c>
      <c r="W1055" s="94">
        <f>IF('Net zero activities &amp; levers'!$C$12="Off",Constants!$H68*'Activity data'!AP10*Constants!$H86*FracLEACHMM*MMLeachEF*NtoN2O*kgtoGg,Constants!$H68*'Net zero Activity data'!AP10*Constants!$H86*FracLEACHMM*MMLeachEF*NtoN2O*kgtoGg)</f>
        <v>0.16786105995970313</v>
      </c>
      <c r="X1055" s="94">
        <f>IF('Net zero activities &amp; levers'!$C$12="Off",Constants!$H68*'Activity data'!AQ10*Constants!$H86*FracLEACHMM*MMLeachEF*NtoN2O*kgtoGg,Constants!$H68*'Net zero Activity data'!AQ10*Constants!$H86*FracLEACHMM*MMLeachEF*NtoN2O*kgtoGg)</f>
        <v>0.17194023598803351</v>
      </c>
      <c r="Y1055" s="94">
        <f>IF('Net zero activities &amp; levers'!$C$12="Off",Constants!$H68*'Activity data'!AR10*Constants!$H86*FracLEACHMM*MMLeachEF*NtoN2O*kgtoGg,Constants!$H68*'Net zero Activity data'!AR10*Constants!$H86*FracLEACHMM*MMLeachEF*NtoN2O*kgtoGg)</f>
        <v>0.17578066999732156</v>
      </c>
      <c r="Z1055" s="94">
        <f>IF('Net zero activities &amp; levers'!$C$12="Off",Constants!$H68*'Activity data'!AS10*Constants!$H86*FracLEACHMM*MMLeachEF*NtoN2O*kgtoGg,Constants!$H68*'Net zero Activity data'!AS10*Constants!$H86*FracLEACHMM*MMLeachEF*NtoN2O*kgtoGg)</f>
        <v>0.17936210611821823</v>
      </c>
      <c r="AA1055" s="94">
        <f>IF('Net zero activities &amp; levers'!$C$12="Off",Constants!$H68*'Activity data'!AT10*Constants!$H86*FracLEACHMM*MMLeachEF*NtoN2O*kgtoGg,Constants!$H68*'Net zero Activity data'!AT10*Constants!$H86*FracLEACHMM*MMLeachEF*NtoN2O*kgtoGg)</f>
        <v>0.1826656381005505</v>
      </c>
      <c r="AB1055" s="94">
        <f>IF('Net zero activities &amp; levers'!$C$12="Off",Constants!$H68*'Activity data'!AU10*Constants!$H86*FracLEACHMM*MMLeachEF*NtoN2O*kgtoGg,Constants!$H68*'Net zero Activity data'!AU10*Constants!$H86*FracLEACHMM*MMLeachEF*NtoN2O*kgtoGg)</f>
        <v>0.18567320176806454</v>
      </c>
      <c r="AC1055" s="94">
        <f>IF('Net zero activities &amp; levers'!$C$12="Off",Constants!$H68*'Activity data'!AV10*Constants!$H86*FracLEACHMM*MMLeachEF*NtoN2O*kgtoGg,Constants!$H68*'Net zero Activity data'!AV10*Constants!$H86*FracLEACHMM*MMLeachEF*NtoN2O*kgtoGg)</f>
        <v>0.18836790776441609</v>
      </c>
      <c r="AD1055" s="94">
        <f>IF('Net zero activities &amp; levers'!$C$12="Off",Constants!$H68*'Activity data'!AW10*Constants!$H86*FracLEACHMM*MMLeachEF*NtoN2O*kgtoGg,Constants!$H68*'Net zero Activity data'!AW10*Constants!$H86*FracLEACHMM*MMLeachEF*NtoN2O*kgtoGg)</f>
        <v>0.19123519545806747</v>
      </c>
      <c r="AE1055" s="94">
        <f>IF('Net zero activities &amp; levers'!$C$12="Off",Constants!$H68*'Activity data'!AX10*Constants!$H86*FracLEACHMM*MMLeachEF*NtoN2O*kgtoGg,Constants!$H68*'Net zero Activity data'!AX10*Constants!$H86*FracLEACHMM*MMLeachEF*NtoN2O*kgtoGg)</f>
        <v>0.19376853499382182</v>
      </c>
      <c r="AF1055" s="94">
        <f>IF('Net zero activities &amp; levers'!$C$12="Off",Constants!$H68*'Activity data'!AY10*Constants!$H86*FracLEACHMM*MMLeachEF*NtoN2O*kgtoGg,Constants!$H68*'Net zero Activity data'!AY10*Constants!$H86*FracLEACHMM*MMLeachEF*NtoN2O*kgtoGg)</f>
        <v>0.19595309748984396</v>
      </c>
      <c r="AG1055" s="94">
        <f>IF('Net zero activities &amp; levers'!$C$12="Off",Constants!$H68*'Activity data'!AZ10*Constants!$H86*FracLEACHMM*MMLeachEF*NtoN2O*kgtoGg,Constants!$H68*'Net zero Activity data'!AZ10*Constants!$H86*FracLEACHMM*MMLeachEF*NtoN2O*kgtoGg)</f>
        <v>0.19777601067919534</v>
      </c>
      <c r="AH1055" s="94">
        <f>IF('Net zero activities &amp; levers'!$C$12="Off",Constants!$H68*'Activity data'!BA10*Constants!$H86*FracLEACHMM*MMLeachEF*NtoN2O*kgtoGg,Constants!$H68*'Net zero Activity data'!BA10*Constants!$H86*FracLEACHMM*MMLeachEF*NtoN2O*kgtoGg)</f>
        <v>0.19922591108684914</v>
      </c>
      <c r="AI1055" s="94">
        <f>IF('Net zero activities &amp; levers'!$C$12="Off",Constants!$H68*'Activity data'!BB10*Constants!$H86*FracLEACHMM*MMLeachEF*NtoN2O*kgtoGg,Constants!$H68*'Net zero Activity data'!BB10*Constants!$H86*FracLEACHMM*MMLeachEF*NtoN2O*kgtoGg)</f>
        <v>0.20029329073357882</v>
      </c>
      <c r="AJ1055" s="94">
        <f>IF('Net zero activities &amp; levers'!$C$12="Off",Constants!$H68*'Activity data'!BC10*Constants!$H86*FracLEACHMM*MMLeachEF*NtoN2O*kgtoGg,Constants!$H68*'Net zero Activity data'!BC10*Constants!$H86*FracLEACHMM*MMLeachEF*NtoN2O*kgtoGg)</f>
        <v>-1.5988935485228874E-2</v>
      </c>
      <c r="AK1055" s="94">
        <f>IF('Net zero activities &amp; levers'!$C$12="Off",Constants!$H68*'Activity data'!BD10*Constants!$H86*FracLEACHMM*MMLeachEF*NtoN2O*kgtoGg,Constants!$H68*'Net zero Activity data'!BD10*Constants!$H86*FracLEACHMM*MMLeachEF*NtoN2O*kgtoGg)</f>
        <v>-1.6135273009597623E-2</v>
      </c>
      <c r="AL1055" s="94">
        <f>IF('Net zero activities &amp; levers'!$C$12="Off",Constants!$H68*'Activity data'!BE10*Constants!$H86*FracLEACHMM*MMLeachEF*NtoN2O*kgtoGg,Constants!$H68*'Net zero Activity data'!BE10*Constants!$H86*FracLEACHMM*MMLeachEF*NtoN2O*kgtoGg)</f>
        <v>-1.6280642881338143E-2</v>
      </c>
      <c r="AM1055" s="94">
        <f>IF('Net zero activities &amp; levers'!$C$12="Off",Constants!$H68*'Activity data'!BF10*Constants!$H86*FracLEACHMM*MMLeachEF*NtoN2O*kgtoGg,Constants!$H68*'Net zero Activity data'!BF10*Constants!$H86*FracLEACHMM*MMLeachEF*NtoN2O*kgtoGg)</f>
        <v>-1.6425117505391919E-2</v>
      </c>
      <c r="AN1055" s="94">
        <f>IF('Net zero activities &amp; levers'!$C$12="Off",Constants!$H68*'Activity data'!BG10*Constants!$H86*FracLEACHMM*MMLeachEF*NtoN2O*kgtoGg,Constants!$H68*'Net zero Activity data'!BG10*Constants!$H86*FracLEACHMM*MMLeachEF*NtoN2O*kgtoGg)</f>
        <v>-1.6548178161071046E-2</v>
      </c>
      <c r="AO1055" s="94">
        <f>IF('Net zero activities &amp; levers'!$C$12="Off",Constants!$H68*'Activity data'!BH10*Constants!$H86*FracLEACHMM*MMLeachEF*NtoN2O*kgtoGg,Constants!$H68*'Net zero Activity data'!BH10*Constants!$H86*FracLEACHMM*MMLeachEF*NtoN2O*kgtoGg)</f>
        <v>-1.6670008309036564E-2</v>
      </c>
      <c r="AP1055" s="94">
        <f>IF('Net zero activities &amp; levers'!$C$12="Off",Constants!$H68*'Activity data'!BI10*Constants!$H86*FracLEACHMM*MMLeachEF*NtoN2O*kgtoGg,Constants!$H68*'Net zero Activity data'!BI10*Constants!$H86*FracLEACHMM*MMLeachEF*NtoN2O*kgtoGg)</f>
        <v>-1.6790421483448635E-2</v>
      </c>
      <c r="AQ1055" s="94">
        <f>IF('Net zero activities &amp; levers'!$C$12="Off",Constants!$H68*'Activity data'!BJ10*Constants!$H86*FracLEACHMM*MMLeachEF*NtoN2O*kgtoGg,Constants!$H68*'Net zero Activity data'!BJ10*Constants!$H86*FracLEACHMM*MMLeachEF*NtoN2O*kgtoGg)</f>
        <v>-1.6909384567907186E-2</v>
      </c>
      <c r="AR1055" s="94">
        <f>IF('Net zero activities &amp; levers'!$C$12="Off",Constants!$H68*'Activity data'!BK10*Constants!$H86*FracLEACHMM*MMLeachEF*NtoN2O*kgtoGg,Constants!$H68*'Net zero Activity data'!BK10*Constants!$H86*FracLEACHMM*MMLeachEF*NtoN2O*kgtoGg)</f>
        <v>-1.7026675592023126E-2</v>
      </c>
      <c r="AS1055" s="94">
        <f>IF('Net zero activities &amp; levers'!$C$12="Off",Constants!$H68*'Activity data'!BL10*Constants!$H86*FracLEACHMM*MMLeachEF*NtoN2O*kgtoGg,Constants!$H68*'Net zero Activity data'!BL10*Constants!$H86*FracLEACHMM*MMLeachEF*NtoN2O*kgtoGg)</f>
        <v>-1.7142046777220185E-2</v>
      </c>
      <c r="AT1055" s="94">
        <f>IF('Net zero activities &amp; levers'!$C$12="Off",Constants!$H68*'Activity data'!BM10*Constants!$H86*FracLEACHMM*MMLeachEF*NtoN2O*kgtoGg,Constants!$H68*'Net zero Activity data'!BM10*Constants!$H86*FracLEACHMM*MMLeachEF*NtoN2O*kgtoGg)</f>
        <v>-1.725545286501233E-2</v>
      </c>
      <c r="AU1055" s="94">
        <f>IF('Net zero activities &amp; levers'!$C$12="Off",Constants!$H68*'Activity data'!BN10*Constants!$H86*FracLEACHMM*MMLeachEF*NtoN2O*kgtoGg,Constants!$H68*'Net zero Activity data'!BN10*Constants!$H86*FracLEACHMM*MMLeachEF*NtoN2O*kgtoGg)</f>
        <v>-1.7366910999627443E-2</v>
      </c>
      <c r="AV1055" s="94">
        <f>IF('Net zero activities &amp; levers'!$C$12="Off",Constants!$H68*'Activity data'!BO10*Constants!$H86*FracLEACHMM*MMLeachEF*NtoN2O*kgtoGg,Constants!$H68*'Net zero Activity data'!BO10*Constants!$H86*FracLEACHMM*MMLeachEF*NtoN2O*kgtoGg)</f>
        <v>-1.7476428038790941E-2</v>
      </c>
      <c r="AW1055" s="94">
        <f>IF('Net zero activities &amp; levers'!$C$12="Off",Constants!$H68*'Activity data'!BP10*Constants!$H86*FracLEACHMM*MMLeachEF*NtoN2O*kgtoGg,Constants!$H68*'Net zero Activity data'!BP10*Constants!$H86*FracLEACHMM*MMLeachEF*NtoN2O*kgtoGg)</f>
        <v>-1.7583756727581886E-2</v>
      </c>
      <c r="AY1055" s="79"/>
      <c r="AZ1055" s="79"/>
    </row>
    <row r="1056" spans="1:52" x14ac:dyDescent="0.25">
      <c r="A1056" s="95" t="str">
        <f t="shared" si="345"/>
        <v>DS MM Leaching</v>
      </c>
      <c r="B1056" s="95" t="s">
        <v>974</v>
      </c>
      <c r="C1056" s="95" t="s">
        <v>1333</v>
      </c>
      <c r="D1056" t="s">
        <v>369</v>
      </c>
      <c r="E1056" t="s">
        <v>64</v>
      </c>
      <c r="F1056" t="s">
        <v>63</v>
      </c>
      <c r="G1056" t="s">
        <v>1164</v>
      </c>
      <c r="H1056" t="s">
        <v>1312</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4.4583713438871775E-3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4.4613385793898985E-3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4.5194479058578802E-3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4.5208654375239604E-3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4.5269288931412202E-3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4.5356937654075719E-3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4.5438360313793799E-3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4.5514565032506353E-3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4.5585145451789771E-3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4.5650737507021777E-3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4.5712336162876026E-3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4.5769883379201265E-3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4.5824299595188939E-3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4.5875716533889405E-3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4.5923429466883485E-3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4.5967874861065324E-3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4.6009761769836678E-3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4.5000024079062629E-3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4.504140567798888E-3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4.5080004058394166E-3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4.5116055113744672E-3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4.5149845600538762E-3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4.5180486691616456E-3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4.5207384818524527E-3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4.5230453041712505E-3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4.5249015890055574E-3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4.526233914491801E-3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4.5270340008273808E-3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4.5273132604660591E-3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4.5270798618323943E-3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4.5262646983336846E-3</v>
      </c>
      <c r="AY1056" s="79"/>
      <c r="AZ1056" s="79"/>
    </row>
    <row r="1057" spans="1:52" x14ac:dyDescent="0.25">
      <c r="A1057" s="95" t="str">
        <f t="shared" si="345"/>
        <v>DS MM Leaching</v>
      </c>
      <c r="B1057" s="95" t="s">
        <v>974</v>
      </c>
      <c r="C1057" s="95" t="s">
        <v>1333</v>
      </c>
      <c r="D1057" t="s">
        <v>369</v>
      </c>
      <c r="E1057" t="s">
        <v>64</v>
      </c>
      <c r="F1057" t="s">
        <v>63</v>
      </c>
      <c r="G1057" t="s">
        <v>1166</v>
      </c>
      <c r="H1057" t="s">
        <v>1313</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3.7085625544236744E-3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3.7110307603281981E-3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3.7593672616152451E-3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3.7605463928385213E-3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3.7655900966303579E-3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3.7728808928817431E-3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3.7796537927507973E-3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3.7859926538390569E-3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3.7918636744391884E-3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3.7973197529292549E-3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3.8024436524630406E-3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3.8072305451445519E-3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3.8117569949487401E-3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3.8160339588626819E-3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3.8200028161653869E-3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3.8236998730470525E-3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3.8271841099893822E-3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3.7431921070592298E-3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3.7466343113168547E-3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3.7498450018850307E-3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3.7528438008546071E-3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3.7556545612052921E-3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3.7582033485142104E-3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3.760440788568911E-3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3.7623596495635048E-3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3.7639037444573268E-3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3.7650119994741185E-3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3.7656775273082915E-3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3.7659098210673977E-3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3.7657156754105432E-3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3.7650376060901856E-3</v>
      </c>
      <c r="AY1057" s="79"/>
      <c r="AZ1057" s="79"/>
    </row>
    <row r="1058" spans="1:52" x14ac:dyDescent="0.25">
      <c r="A1058" s="95" t="str">
        <f t="shared" ref="A1058:A1065" si="368">B1058&amp;" "&amp;C1058</f>
        <v>DS MM Leaching</v>
      </c>
      <c r="B1058" s="95" t="s">
        <v>974</v>
      </c>
      <c r="C1058" s="95" t="s">
        <v>1333</v>
      </c>
      <c r="D1058" t="s">
        <v>369</v>
      </c>
      <c r="E1058" t="s">
        <v>64</v>
      </c>
      <c r="F1058" t="s">
        <v>63</v>
      </c>
      <c r="G1058" t="s">
        <v>1168</v>
      </c>
      <c r="H1058" t="s">
        <v>1314</v>
      </c>
      <c r="I1058" t="s">
        <v>139</v>
      </c>
      <c r="J1058" t="s">
        <v>287</v>
      </c>
      <c r="K1058" s="22">
        <f t="shared" ref="K1058:AW1058" si="369">K1555</f>
        <v>5.4322987485311562E-4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5.5840147541839718E-4</v>
      </c>
      <c r="R1058" s="22">
        <f t="shared" si="369"/>
        <v>5.620753208024884E-4</v>
      </c>
      <c r="S1058" s="22">
        <f t="shared" si="369"/>
        <v>5.6070469903814733E-4</v>
      </c>
      <c r="T1058" s="22">
        <f t="shared" si="369"/>
        <v>5.6162230711910024E-4</v>
      </c>
      <c r="U1058" s="22">
        <f t="shared" si="369"/>
        <v>5.7300934566261764E-4</v>
      </c>
      <c r="V1058" s="22">
        <f t="shared" si="369"/>
        <v>5.735237983118301E-4</v>
      </c>
      <c r="W1058" s="22">
        <f t="shared" si="369"/>
        <v>5.7488581877093682E-4</v>
      </c>
      <c r="X1058" s="22">
        <f t="shared" si="369"/>
        <v>5.7672404156411123E-4</v>
      </c>
      <c r="Y1058" s="22">
        <f t="shared" si="369"/>
        <v>5.7840994827834994E-4</v>
      </c>
      <c r="Z1058" s="22">
        <f t="shared" si="369"/>
        <v>5.7996582365708491E-4</v>
      </c>
      <c r="AA1058" s="22">
        <f t="shared" si="369"/>
        <v>5.8138689539941784E-4</v>
      </c>
      <c r="AB1058" s="22">
        <f t="shared" si="369"/>
        <v>5.8268775619947839E-4</v>
      </c>
      <c r="AC1058" s="22">
        <f t="shared" si="369"/>
        <v>5.838893945173696E-4</v>
      </c>
      <c r="AD1058" s="22">
        <f t="shared" si="369"/>
        <v>5.8499277851090971E-4</v>
      </c>
      <c r="AE1058" s="22">
        <f t="shared" si="369"/>
        <v>5.8601696023425276E-4</v>
      </c>
      <c r="AF1058" s="22">
        <f t="shared" si="369"/>
        <v>5.8696603148616325E-4</v>
      </c>
      <c r="AG1058" s="22">
        <f t="shared" si="369"/>
        <v>5.8782840452912231E-4</v>
      </c>
      <c r="AH1058" s="22">
        <f t="shared" si="369"/>
        <v>5.8861362982731312E-4</v>
      </c>
      <c r="AI1058" s="22">
        <f t="shared" si="369"/>
        <v>5.8933613461895486E-4</v>
      </c>
      <c r="AJ1058" s="22">
        <f t="shared" si="369"/>
        <v>5.706274212799663E-4</v>
      </c>
      <c r="AK1058" s="22">
        <f t="shared" si="369"/>
        <v>5.7134854330306069E-4</v>
      </c>
      <c r="AL1058" s="22">
        <f t="shared" si="369"/>
        <v>5.7200511510337268E-4</v>
      </c>
      <c r="AM1058" s="22">
        <f t="shared" si="369"/>
        <v>5.7260245045310132E-4</v>
      </c>
      <c r="AN1058" s="22">
        <f t="shared" si="369"/>
        <v>5.7314670307798447E-4</v>
      </c>
      <c r="AO1058" s="22">
        <f t="shared" si="369"/>
        <v>5.7362242271311709E-4</v>
      </c>
      <c r="AP1058" s="22">
        <f t="shared" si="369"/>
        <v>5.7401961480709959E-4</v>
      </c>
      <c r="AQ1058" s="22">
        <f t="shared" si="369"/>
        <v>5.743375496953002E-4</v>
      </c>
      <c r="AR1058" s="22">
        <f t="shared" si="369"/>
        <v>5.7456474822570021E-4</v>
      </c>
      <c r="AS1058" s="22">
        <f t="shared" si="369"/>
        <v>5.7468870297434124E-4</v>
      </c>
      <c r="AT1058" s="22">
        <f t="shared" si="369"/>
        <v>5.7470877432626657E-4</v>
      </c>
      <c r="AU1058" s="22">
        <f t="shared" si="369"/>
        <v>5.7462786115959977E-4</v>
      </c>
      <c r="AV1058" s="22">
        <f t="shared" si="369"/>
        <v>5.7444822626571555E-4</v>
      </c>
      <c r="AW1058" s="22">
        <f t="shared" si="369"/>
        <v>5.7415813453708586E-4</v>
      </c>
      <c r="AY1058" s="79"/>
      <c r="AZ1058" s="79"/>
    </row>
    <row r="1059" spans="1:52" x14ac:dyDescent="0.25">
      <c r="A1059" s="95" t="str">
        <f t="shared" si="368"/>
        <v>DS MM Leaching</v>
      </c>
      <c r="B1059" s="95" t="s">
        <v>974</v>
      </c>
      <c r="C1059" s="95" t="s">
        <v>1333</v>
      </c>
      <c r="D1059" t="s">
        <v>369</v>
      </c>
      <c r="E1059" t="s">
        <v>64</v>
      </c>
      <c r="F1059" t="s">
        <v>63</v>
      </c>
      <c r="G1059" t="s">
        <v>1170</v>
      </c>
      <c r="H1059" t="s">
        <v>1315</v>
      </c>
      <c r="I1059" t="s">
        <v>139</v>
      </c>
      <c r="J1059" t="s">
        <v>287</v>
      </c>
      <c r="K1059" s="22">
        <f t="shared" ref="K1059:AW1059" si="370">K1556</f>
        <v>6.6992563985089947E-3</v>
      </c>
      <c r="L1059" s="22">
        <f t="shared" si="370"/>
        <v>6.716671231449923E-3</v>
      </c>
      <c r="M1059" s="22">
        <f t="shared" si="370"/>
        <v>6.7406943780734313E-3</v>
      </c>
      <c r="N1059" s="22">
        <f t="shared" si="370"/>
        <v>6.769960915195136E-3</v>
      </c>
      <c r="O1059" s="22">
        <f t="shared" si="370"/>
        <v>6.8044291009834836E-3</v>
      </c>
      <c r="P1059" s="22">
        <f t="shared" si="370"/>
        <v>6.8438891439814974E-3</v>
      </c>
      <c r="Q1059" s="22">
        <f t="shared" si="370"/>
        <v>6.8863566425632575E-3</v>
      </c>
      <c r="R1059" s="22">
        <f t="shared" si="370"/>
        <v>6.9316634884048298E-3</v>
      </c>
      <c r="S1059" s="22">
        <f t="shared" si="370"/>
        <v>6.914760613489895E-3</v>
      </c>
      <c r="T1059" s="22">
        <f t="shared" si="370"/>
        <v>6.9260768022567764E-3</v>
      </c>
      <c r="U1059" s="22">
        <f t="shared" si="370"/>
        <v>7.0665048132223995E-3</v>
      </c>
      <c r="V1059" s="22">
        <f t="shared" si="370"/>
        <v>7.0728491811622093E-3</v>
      </c>
      <c r="W1059" s="22">
        <f t="shared" si="370"/>
        <v>7.0896459824759074E-3</v>
      </c>
      <c r="X1059" s="22">
        <f t="shared" si="370"/>
        <v>7.1123154385922269E-3</v>
      </c>
      <c r="Y1059" s="22">
        <f t="shared" si="370"/>
        <v>7.1331064920034711E-3</v>
      </c>
      <c r="Z1059" s="22">
        <f t="shared" si="370"/>
        <v>7.1522939641377866E-3</v>
      </c>
      <c r="AA1059" s="22">
        <f t="shared" si="370"/>
        <v>7.1698190017015617E-3</v>
      </c>
      <c r="AB1059" s="22">
        <f t="shared" si="370"/>
        <v>7.1858615657095356E-3</v>
      </c>
      <c r="AC1059" s="22">
        <f t="shared" si="370"/>
        <v>7.2006804914764638E-3</v>
      </c>
      <c r="AD1059" s="22">
        <f t="shared" si="370"/>
        <v>7.2142877185840219E-3</v>
      </c>
      <c r="AE1059" s="22">
        <f t="shared" si="370"/>
        <v>7.226918202069851E-3</v>
      </c>
      <c r="AF1059" s="22">
        <f t="shared" si="370"/>
        <v>7.238622403092889E-3</v>
      </c>
      <c r="AG1059" s="22">
        <f t="shared" si="370"/>
        <v>7.2492574185686288E-3</v>
      </c>
      <c r="AH1059" s="22">
        <f t="shared" si="370"/>
        <v>7.2589410273808247E-3</v>
      </c>
      <c r="AI1059" s="22">
        <f t="shared" si="370"/>
        <v>7.2678511500975998E-3</v>
      </c>
      <c r="AJ1059" s="22">
        <f t="shared" si="370"/>
        <v>7.0371302833964079E-3</v>
      </c>
      <c r="AK1059" s="22">
        <f t="shared" si="370"/>
        <v>7.046023353440887E-3</v>
      </c>
      <c r="AL1059" s="22">
        <f t="shared" si="370"/>
        <v>7.0541203728390007E-3</v>
      </c>
      <c r="AM1059" s="22">
        <f t="shared" si="370"/>
        <v>7.0614868724535639E-3</v>
      </c>
      <c r="AN1059" s="22">
        <f t="shared" si="370"/>
        <v>7.0681987416795341E-3</v>
      </c>
      <c r="AO1059" s="22">
        <f t="shared" si="370"/>
        <v>7.0740654437095336E-3</v>
      </c>
      <c r="AP1059" s="22">
        <f t="shared" si="370"/>
        <v>7.0789637230572406E-3</v>
      </c>
      <c r="AQ1059" s="22">
        <f t="shared" si="370"/>
        <v>7.0828845813028637E-3</v>
      </c>
      <c r="AR1059" s="22">
        <f t="shared" si="370"/>
        <v>7.0856864544673794E-3</v>
      </c>
      <c r="AS1059" s="22">
        <f t="shared" si="370"/>
        <v>7.0872150976466278E-3</v>
      </c>
      <c r="AT1059" s="22">
        <f t="shared" si="370"/>
        <v>7.0874626229375523E-3</v>
      </c>
      <c r="AU1059" s="22">
        <f t="shared" si="370"/>
        <v>7.0864647800820552E-3</v>
      </c>
      <c r="AV1059" s="22">
        <f t="shared" si="370"/>
        <v>7.084249474429774E-3</v>
      </c>
      <c r="AW1059" s="22">
        <f t="shared" si="370"/>
        <v>7.0806719854897525E-3</v>
      </c>
      <c r="AY1059" s="79"/>
      <c r="AZ1059" s="79"/>
    </row>
    <row r="1060" spans="1:52" x14ac:dyDescent="0.25">
      <c r="A1060" s="95" t="str">
        <f t="shared" si="368"/>
        <v>DS MM Leaching</v>
      </c>
      <c r="B1060" s="95" t="s">
        <v>974</v>
      </c>
      <c r="C1060" s="95" t="s">
        <v>1333</v>
      </c>
      <c r="D1060" t="s">
        <v>369</v>
      </c>
      <c r="E1060" t="s">
        <v>64</v>
      </c>
      <c r="F1060" t="s">
        <v>63</v>
      </c>
      <c r="G1060" t="s">
        <v>1172</v>
      </c>
      <c r="H1060" t="s">
        <v>1316</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25">
      <c r="A1061" s="95" t="str">
        <f t="shared" si="368"/>
        <v>DS MM Leaching</v>
      </c>
      <c r="B1061" s="95" t="s">
        <v>974</v>
      </c>
      <c r="C1061" s="95" t="s">
        <v>1333</v>
      </c>
      <c r="D1061" t="s">
        <v>369</v>
      </c>
      <c r="E1061" t="s">
        <v>64</v>
      </c>
      <c r="F1061" t="s">
        <v>63</v>
      </c>
      <c r="G1061" t="s">
        <v>1174</v>
      </c>
      <c r="H1061" t="s">
        <v>1317</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25">
      <c r="A1062" s="95" t="str">
        <f t="shared" si="368"/>
        <v>DS MM Leaching</v>
      </c>
      <c r="B1062" s="95" t="s">
        <v>974</v>
      </c>
      <c r="C1062" s="95" t="s">
        <v>1333</v>
      </c>
      <c r="D1062" t="s">
        <v>369</v>
      </c>
      <c r="E1062" t="s">
        <v>64</v>
      </c>
      <c r="F1062" t="s">
        <v>63</v>
      </c>
      <c r="G1062" t="s">
        <v>1176</v>
      </c>
      <c r="H1062" t="s">
        <v>1318</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2.6875086183165937E-2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2.6729002214214575E-2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2.6740992333189318E-2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2.5544514050244028E-2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2.4781112413324514E-2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2.2296168964910698E-2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2.3092324784413296E-2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7.381503978929195E-2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7.4017385099882177E-2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7.4092117158263957E-2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7.4042607907806673E-2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7.3876326476641427E-2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7.3591745464768973E-2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7.3188455909713582E-2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7.2666495628065958E-2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7.2026534081708352E-2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7.127021840521014E-2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7.0399631702406332E-2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6.9417717575292789E-2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6.8328248088529983E-2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6.7135309145229499E-2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6.58434858478079E-2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-6.1354464297522409E-3</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-6.0690246210378601E-3</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-6.0023674842876688E-3</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-5.9355441730233076E-3</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-5.868631115229209E-3</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-5.801450937318208E-3</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-5.7338989216543417E-3</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-5.665981593784182E-3</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-5.5975864031876984E-3</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-5.528596592882417E-3</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-5.459031743402367E-3</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-5.3889497419228856E-3</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-5.3184001043520557E-3</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-5.2472851582702085E-3</v>
      </c>
      <c r="AY1062" s="79"/>
      <c r="AZ1062" s="79"/>
    </row>
    <row r="1063" spans="1:52" x14ac:dyDescent="0.25">
      <c r="A1063" s="95" t="str">
        <f t="shared" si="368"/>
        <v>DS MM Leaching</v>
      </c>
      <c r="B1063" s="95" t="s">
        <v>974</v>
      </c>
      <c r="C1063" s="95" t="s">
        <v>1333</v>
      </c>
      <c r="D1063" t="s">
        <v>369</v>
      </c>
      <c r="E1063" t="s">
        <v>64</v>
      </c>
      <c r="F1063" t="s">
        <v>63</v>
      </c>
      <c r="G1063" t="s">
        <v>1178</v>
      </c>
      <c r="H1063" t="s">
        <v>1319</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3.9947810410006978E-3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3.9965730233416695E-3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3.8177534504158584E-3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3.7036593154610871E-3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3.3322722769129989E-3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3.4512616857933645E-3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1.1032021290123588E-2</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1.1062262793491467E-2</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1.1073431867727232E-2</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1.106603246637675E-2</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1.1041180887430186E-2</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1.0998648853434082E-2</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1.0938375242931999E-2</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1.0860365707799692E-2</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1.0764720302413055E-2</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1.0651685199146835E-2</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1.0521571728130012E-2</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1.0374819825180263E-2</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1.0211993243941318E-2</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1.0033702642759285E-2</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9.8406332877753449E-3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-9.1697269053370395E-4</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-9.0704562404485191E-4</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-8.970833866218835E-4</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-8.870963135992402E-4</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-8.7709582751565934E-4</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-8.6705541901484369E-4</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-8.5695943753028676E-4</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-8.4680885833706668E-4</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-8.3658686020557013E-4</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-8.2627599322965283E-4</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-8.1587918381657311E-4</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-8.0540508348982262E-4</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-7.9486109264576715E-4</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-7.8423261366017795E-4</v>
      </c>
      <c r="AY1063" s="79"/>
      <c r="AZ1063" s="79"/>
    </row>
    <row r="1064" spans="1:52" x14ac:dyDescent="0.25">
      <c r="A1064" s="95" t="str">
        <f t="shared" si="368"/>
        <v>DS MM Leaching</v>
      </c>
      <c r="B1064" s="95" t="s">
        <v>974</v>
      </c>
      <c r="C1064" s="95" t="s">
        <v>1333</v>
      </c>
      <c r="D1064" t="s">
        <v>369</v>
      </c>
      <c r="E1064" t="s">
        <v>64</v>
      </c>
      <c r="F1064" t="s">
        <v>63</v>
      </c>
      <c r="G1064" t="s">
        <v>1180</v>
      </c>
      <c r="H1064" t="s">
        <v>1320</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1.6726645268412749E-2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1.7066731126843742E-2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1.8197780265539368E-2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1.8677293946611211E-2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1.7940997011567712E-2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1.8599101618187692E-2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4.1335323674744497E-2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4.2244056956773843E-2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4.3115523568410363E-2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4.3942027126697474E-2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4.4713130877516903E-2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4.5425464748643458E-2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4.6075599059895E-2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4.666057526853875E-2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4.7177797153361963E-2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4.762476340679795E-2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4.7999511889239711E-2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4.8300272482139597E-2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4.8525470849872195E-2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4.8674159183630092E-2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4.8745846953258828E-2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6.3546724312553964E-3</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6.4013115626169702E-3</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6.446794570043473E-3</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6.4911899708581184E-3</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6.5345767491159093E-3</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6.5767770115873272E-3</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6.6176736088844742E-3</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6.6572579134014679E-3</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6.6953903792422425E-3</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6.7319156561258262E-3</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6.7668201581545509E-3</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6.8001333252020657E-3</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6.8318771364297487E-3</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6.8619001030845884E-3</v>
      </c>
      <c r="AY1064" s="79"/>
      <c r="AZ1064" s="79"/>
    </row>
    <row r="1065" spans="1:52" x14ac:dyDescent="0.25">
      <c r="A1065" s="95" t="str">
        <f t="shared" si="368"/>
        <v>DS MM Leaching</v>
      </c>
      <c r="B1065" s="95" t="s">
        <v>974</v>
      </c>
      <c r="C1065" s="95" t="s">
        <v>1333</v>
      </c>
      <c r="D1065" t="s">
        <v>369</v>
      </c>
      <c r="E1065" t="s">
        <v>64</v>
      </c>
      <c r="F1065" t="s">
        <v>63</v>
      </c>
      <c r="G1065" t="s">
        <v>1182</v>
      </c>
      <c r="H1065" t="s">
        <v>1321</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7.7585797913229351E-2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7.8607464197542484E-2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8.0719757945382303E-2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7.8944464359385638E-2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7.8604018955287347E-2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6.8551548491341041E-2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7.3739546332348721E-2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0.32063801867343739</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0.3263865261169076</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0.3314934571329114</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0.33598061783359728</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0.33990898947079762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0.3432491056284519</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0.345978344064029</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0.34807446920762175</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0.34951764979405581</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0.35029436297093797</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0.3503920713528586</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0.34980401942204614</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0.34852938630195235</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0.34656807266355577</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0.34392301643743828</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-7.3441689918994316E-2</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-7.3545621673456185E-2</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-7.3639730110431498E-2</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-7.3724815505769356E-2</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-7.3801792793217899E-2</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-7.386851362361406E-2</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-7.3923604247027361E-2</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-7.3967002295391979E-2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-7.3997124044251614E-2</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-7.4012242065131795E-2</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-7.4012306856669818E-2</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-7.3997766932053066E-2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-7.3968978731960316E-2</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-7.3924322860586755E-2</v>
      </c>
      <c r="AY1065" s="79"/>
      <c r="AZ1065" s="79"/>
    </row>
    <row r="1067" spans="1:52" x14ac:dyDescent="0.25">
      <c r="A1067" s="95" t="str">
        <f t="shared" ref="A1067:A1089" si="373">B1067&amp;" "&amp;C1067</f>
        <v>CM Cattle</v>
      </c>
      <c r="B1067" s="95" t="s">
        <v>1322</v>
      </c>
      <c r="C1067" s="95" t="s">
        <v>1108</v>
      </c>
      <c r="D1067" t="s">
        <v>15</v>
      </c>
      <c r="E1067" t="s">
        <v>16</v>
      </c>
      <c r="F1067" t="s">
        <v>6</v>
      </c>
      <c r="G1067" t="s">
        <v>136</v>
      </c>
      <c r="H1067" t="s">
        <v>1020</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73.223011790998029</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73.83596289834658</v>
      </c>
      <c r="P1067" s="93">
        <f>IF('Net zero activities &amp; levers'!$C$14="Off",('Activity data'!AI5*EF!$H4)*kgtoGg,IF('Net zero activities &amp; levers'!$C$14="On",('Net zero Activity data'!AI5*EF!$H4)*kgtoGg,"ERROR"))</f>
        <v>73.954711561483919</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74.518042528471327</v>
      </c>
      <c r="S1067" s="93">
        <f>IF('Net zero activities &amp; levers'!$C$14="Off",('Activity data'!AL5*EF!$H4)*kgtoGg,IF('Net zero activities &amp; levers'!$C$14="On",('Net zero Activity data'!AL5*EF!$H4)*kgtoGg,"ERROR"))</f>
        <v>72.400641735612226</v>
      </c>
      <c r="T1067" s="93">
        <f>IF('Net zero activities &amp; levers'!$C$14="Off",('Activity data'!AM5*EF!$H4)*kgtoGg,IF('Net zero activities &amp; levers'!$C$14="On",('Net zero Activity data'!AM5*EF!$H4)*kgtoGg,"ERROR"))</f>
        <v>73.646397311613569</v>
      </c>
      <c r="U1067" s="93">
        <f>IF('Net zero activities &amp; levers'!$C$14="Off",('Activity data'!AN5*EF!$H4)*kgtoGg,IF('Net zero activities &amp; levers'!$C$14="On",('Net zero Activity data'!AN5*EF!$H4)*kgtoGg,"ERROR"))</f>
        <v>126.71451623908638</v>
      </c>
      <c r="V1067" s="93">
        <f>IF('Net zero activities &amp; levers'!$C$14="Off",('Activity data'!AO5*EF!$H4)*kgtoGg,IF('Net zero activities &amp; levers'!$C$14="On",('Net zero Activity data'!AO5*EF!$H4)*kgtoGg,"ERROR"))</f>
        <v>128.24200058803578</v>
      </c>
      <c r="W1067" s="93">
        <f>IF('Net zero activities &amp; levers'!$C$14="Off",('Activity data'!AP5*EF!$H4)*kgtoGg,IF('Net zero activities &amp; levers'!$C$14="On",('Net zero Activity data'!AP5*EF!$H4)*kgtoGg,"ERROR"))</f>
        <v>129.70248573615504</v>
      </c>
      <c r="X1067" s="93">
        <f>IF('Net zero activities &amp; levers'!$C$14="Off",('Activity data'!AQ5*EF!$H4)*kgtoGg,IF('Net zero activities &amp; levers'!$C$14="On",('Net zero Activity data'!AQ5*EF!$H4)*kgtoGg,"ERROR"))</f>
        <v>131.07112915343163</v>
      </c>
      <c r="Y1067" s="93">
        <f>IF('Net zero activities &amp; levers'!$C$14="Off",('Activity data'!AR5*EF!$H4)*kgtoGg,IF('Net zero activities &amp; levers'!$C$14="On",('Net zero Activity data'!AR5*EF!$H4)*kgtoGg,"ERROR"))</f>
        <v>132.31138089682617</v>
      </c>
      <c r="Z1067" s="93">
        <f>IF('Net zero activities &amp; levers'!$C$14="Off",('Activity data'!AS5*EF!$H4)*kgtoGg,IF('Net zero activities &amp; levers'!$C$14="On",('Net zero Activity data'!AS5*EF!$H4)*kgtoGg,"ERROR"))</f>
        <v>133.41744896278323</v>
      </c>
      <c r="AA1067" s="93">
        <f>IF('Net zero activities &amp; levers'!$C$14="Off",('Activity data'!AT5*EF!$H4)*kgtoGg,IF('Net zero activities &amp; levers'!$C$14="On",('Net zero Activity data'!AT5*EF!$H4)*kgtoGg,"ERROR"))</f>
        <v>134.38288992099422</v>
      </c>
      <c r="AB1067" s="93">
        <f>IF('Net zero activities &amp; levers'!$C$14="Off",('Activity data'!AU5*EF!$H4)*kgtoGg,IF('Net zero activities &amp; levers'!$C$14="On",('Net zero Activity data'!AU5*EF!$H4)*kgtoGg,"ERROR"))</f>
        <v>135.20282704552554</v>
      </c>
      <c r="AC1067" s="93">
        <f>IF('Net zero activities &amp; levers'!$C$14="Off",('Activity data'!AV5*EF!$H4)*kgtoGg,IF('Net zero activities &amp; levers'!$C$14="On",('Net zero Activity data'!AV5*EF!$H4)*kgtoGg,"ERROR"))</f>
        <v>135.87339274665732</v>
      </c>
      <c r="AD1067" s="93">
        <f>IF('Net zero activities &amp; levers'!$C$14="Off",('Activity data'!AW5*EF!$H4)*kgtoGg,IF('Net zero activities &amp; levers'!$C$14="On",('Net zero Activity data'!AW5*EF!$H4)*kgtoGg,"ERROR"))</f>
        <v>136.39052131842715</v>
      </c>
      <c r="AE1067" s="93">
        <f>IF('Net zero activities &amp; levers'!$C$14="Off",('Activity data'!AX5*EF!$H4)*kgtoGg,IF('Net zero activities &amp; levers'!$C$14="On",('Net zero Activity data'!AX5*EF!$H4)*kgtoGg,"ERROR"))</f>
        <v>136.75177878147903</v>
      </c>
      <c r="AF1067" s="93">
        <f>IF('Net zero activities &amp; levers'!$C$14="Off",('Activity data'!AY5*EF!$H4)*kgtoGg,IF('Net zero activities &amp; levers'!$C$14="On",('Net zero Activity data'!AY5*EF!$H4)*kgtoGg,"ERROR"))</f>
        <v>136.95483040988077</v>
      </c>
      <c r="AG1067" s="93">
        <f>IF('Net zero activities &amp; levers'!$C$14="Off",('Activity data'!AZ5*EF!$H4)*kgtoGg,IF('Net zero activities &amp; levers'!$C$14="On",('Net zero Activity data'!AZ5*EF!$H4)*kgtoGg,"ERROR"))</f>
        <v>136.99742056904799</v>
      </c>
      <c r="AH1067" s="93">
        <f>IF('Net zero activities &amp; levers'!$C$14="Off",('Activity data'!BA5*EF!$H4)*kgtoGg,IF('Net zero activities &amp; levers'!$C$14="On",('Net zero Activity data'!BA5*EF!$H4)*kgtoGg,"ERROR"))</f>
        <v>136.87913733677345</v>
      </c>
      <c r="AI1067" s="93">
        <f>IF('Net zero activities &amp; levers'!$C$14="Off",('Activity data'!BB5*EF!$H4)*kgtoGg,IF('Net zero activities &amp; levers'!$C$14="On",('Net zero Activity data'!BB5*EF!$H4)*kgtoGg,"ERROR"))</f>
        <v>136.60065411000454</v>
      </c>
      <c r="AJ1067" s="93">
        <f>IF('Net zero activities &amp; levers'!$C$14="Off",('Activity data'!BC5*EF!$H4)*kgtoGg,IF('Net zero activities &amp; levers'!$C$14="On",('Net zero Activity data'!BC5*EF!$H4)*kgtoGg,"ERROR"))</f>
        <v>43.218084806671186</v>
      </c>
      <c r="AK1067" s="93">
        <f>IF('Net zero activities &amp; levers'!$C$14="Off",('Activity data'!BD5*EF!$H4)*kgtoGg,IF('Net zero activities &amp; levers'!$C$14="On",('Net zero Activity data'!BD5*EF!$H4)*kgtoGg,"ERROR"))</f>
        <v>43.249633283301115</v>
      </c>
      <c r="AL1067" s="93">
        <f>IF('Net zero activities &amp; levers'!$C$14="Off",('Activity data'!BE5*EF!$H4)*kgtoGg,IF('Net zero activities &amp; levers'!$C$14="On",('Net zero Activity data'!BE5*EF!$H4)*kgtoGg,"ERROR"))</f>
        <v>43.278910692305409</v>
      </c>
      <c r="AM1067" s="93">
        <f>IF('Net zero activities &amp; levers'!$C$14="Off",('Activity data'!BF5*EF!$H4)*kgtoGg,IF('Net zero activities &amp; levers'!$C$14="On",('Net zero Activity data'!BF5*EF!$H4)*kgtoGg,"ERROR"))</f>
        <v>43.306115085271941</v>
      </c>
      <c r="AN1067" s="93">
        <f>IF('Net zero activities &amp; levers'!$C$14="Off",('Activity data'!BG5*EF!$H4)*kgtoGg,IF('Net zero activities &amp; levers'!$C$14="On",('Net zero Activity data'!BG5*EF!$H4)*kgtoGg,"ERROR"))</f>
        <v>43.331490420249878</v>
      </c>
      <c r="AO1067" s="93">
        <f>IF('Net zero activities &amp; levers'!$C$14="Off",('Activity data'!BH5*EF!$H4)*kgtoGg,IF('Net zero activities &amp; levers'!$C$14="On",('Net zero Activity data'!BH5*EF!$H4)*kgtoGg,"ERROR"))</f>
        <v>43.354240288744201</v>
      </c>
      <c r="AP1067" s="93">
        <f>IF('Net zero activities &amp; levers'!$C$14="Off",('Activity data'!BI5*EF!$H4)*kgtoGg,IF('Net zero activities &amp; levers'!$C$14="On",('Net zero Activity data'!BI5*EF!$H4)*kgtoGg,"ERROR"))</f>
        <v>43.373829871792871</v>
      </c>
      <c r="AQ1067" s="93">
        <f>IF('Net zero activities &amp; levers'!$C$14="Off",('Activity data'!BJ5*EF!$H4)*kgtoGg,IF('Net zero activities &amp; levers'!$C$14="On",('Net zero Activity data'!BJ5*EF!$H4)*kgtoGg,"ERROR"))</f>
        <v>43.390173404871973</v>
      </c>
      <c r="AR1067" s="93">
        <f>IF('Net zero activities &amp; levers'!$C$14="Off",('Activity data'!BK5*EF!$H4)*kgtoGg,IF('Net zero activities &amp; levers'!$C$14="On",('Net zero Activity data'!BK5*EF!$H4)*kgtoGg,"ERROR"))</f>
        <v>43.402664060341642</v>
      </c>
      <c r="AS1067" s="93">
        <f>IF('Net zero activities &amp; levers'!$C$14="Off",('Activity data'!BL5*EF!$H4)*kgtoGg,IF('Net zero activities &amp; levers'!$C$14="On",('Net zero Activity data'!BL5*EF!$H4)*kgtoGg,"ERROR"))</f>
        <v>43.410643013134724</v>
      </c>
      <c r="AT1067" s="93">
        <f>IF('Net zero activities &amp; levers'!$C$14="Off",('Activity data'!BM5*EF!$H4)*kgtoGg,IF('Net zero activities &amp; levers'!$C$14="On",('Net zero Activity data'!BM5*EF!$H4)*kgtoGg,"ERROR"))</f>
        <v>43.414028889166616</v>
      </c>
      <c r="AU1067" s="93">
        <f>IF('Net zero activities &amp; levers'!$C$14="Off",('Activity data'!BN5*EF!$H4)*kgtoGg,IF('Net zero activities &amp; levers'!$C$14="On",('Net zero Activity data'!BN5*EF!$H4)*kgtoGg,"ERROR"))</f>
        <v>43.412915266479416</v>
      </c>
      <c r="AV1067" s="93">
        <f>IF('Net zero activities &amp; levers'!$C$14="Off",('Activity data'!BO5*EF!$H4)*kgtoGg,IF('Net zero activities &amp; levers'!$C$14="On",('Net zero Activity data'!BO5*EF!$H4)*kgtoGg,"ERROR"))</f>
        <v>43.407367404961896</v>
      </c>
      <c r="AW1067" s="93">
        <f>IF('Net zero activities &amp; levers'!$C$14="Off",('Activity data'!BP5*EF!$H4)*kgtoGg,IF('Net zero activities &amp; levers'!$C$14="On",('Net zero Activity data'!BP5*EF!$H4)*kgtoGg,"ERROR"))</f>
        <v>43.396765644330657</v>
      </c>
      <c r="AY1067" s="79"/>
    </row>
    <row r="1068" spans="1:52" x14ac:dyDescent="0.25">
      <c r="A1068" s="95" t="str">
        <f t="shared" si="373"/>
        <v>CM Cattle</v>
      </c>
      <c r="B1068" s="95" t="s">
        <v>1322</v>
      </c>
      <c r="C1068" s="95" t="s">
        <v>1108</v>
      </c>
      <c r="D1068" t="s">
        <v>15</v>
      </c>
      <c r="E1068" t="s">
        <v>16</v>
      </c>
      <c r="F1068" t="s">
        <v>6</v>
      </c>
      <c r="G1068" t="s">
        <v>137</v>
      </c>
      <c r="H1068" t="s">
        <v>1020</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58.564977012483297</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59.055225455337663</v>
      </c>
      <c r="P1068" s="93">
        <f>IF('Net zero activities &amp; levers'!$C$14="Off",('Activity data'!AI6*EF!$H5)*kgtoGg,IF('Net zero activities &amp; levers'!$C$14="On",('Net zero Activity data'!AI6*EF!$H5)*kgtoGg,"ERROR"))</f>
        <v>59.150202601958618</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59.600764035107616</v>
      </c>
      <c r="S1068" s="93">
        <f>IF('Net zero activities &amp; levers'!$C$14="Off",('Activity data'!AL6*EF!$H5)*kgtoGg,IF('Net zero activities &amp; levers'!$C$14="On",('Net zero Activity data'!AL6*EF!$H5)*kgtoGg,"ERROR"))</f>
        <v>57.907231828129312</v>
      </c>
      <c r="T1068" s="93">
        <f>IF('Net zero activities &amp; levers'!$C$14="Off",('Activity data'!AM6*EF!$H5)*kgtoGg,IF('Net zero activities &amp; levers'!$C$14="On",('Net zero Activity data'!AM6*EF!$H5)*kgtoGg,"ERROR"))</f>
        <v>58.903607760874827</v>
      </c>
      <c r="U1068" s="93">
        <f>IF('Net zero activities &amp; levers'!$C$14="Off",('Activity data'!AN6*EF!$H5)*kgtoGg,IF('Net zero activities &amp; levers'!$C$14="On",('Net zero Activity data'!AN6*EF!$H5)*kgtoGg,"ERROR"))</f>
        <v>101.34836780371782</v>
      </c>
      <c r="V1068" s="93">
        <f>IF('Net zero activities &amp; levers'!$C$14="Off",('Activity data'!AO6*EF!$H5)*kgtoGg,IF('Net zero activities &amp; levers'!$C$14="On",('Net zero Activity data'!AO6*EF!$H5)*kgtoGg,"ERROR"))</f>
        <v>102.57007507299116</v>
      </c>
      <c r="W1068" s="93">
        <f>IF('Net zero activities &amp; levers'!$C$14="Off",('Activity data'!AP6*EF!$H5)*kgtoGg,IF('Net zero activities &amp; levers'!$C$14="On",('Net zero Activity data'!AP6*EF!$H5)*kgtoGg,"ERROR"))</f>
        <v>103.73819527229158</v>
      </c>
      <c r="X1068" s="93">
        <f>IF('Net zero activities &amp; levers'!$C$14="Off",('Activity data'!AQ6*EF!$H5)*kgtoGg,IF('Net zero activities &amp; levers'!$C$14="On",('Net zero Activity data'!AQ6*EF!$H5)*kgtoGg,"ERROR"))</f>
        <v>104.83285893485541</v>
      </c>
      <c r="Y1068" s="93">
        <f>IF('Net zero activities &amp; levers'!$C$14="Off",('Activity data'!AR6*EF!$H5)*kgtoGg,IF('Net zero activities &amp; levers'!$C$14="On",('Net zero Activity data'!AR6*EF!$H5)*kgtoGg,"ERROR"))</f>
        <v>105.82483281116795</v>
      </c>
      <c r="Z1068" s="93">
        <f>IF('Net zero activities &amp; levers'!$C$14="Off",('Activity data'!AS6*EF!$H5)*kgtoGg,IF('Net zero activities &amp; levers'!$C$14="On",('Net zero Activity data'!AS6*EF!$H5)*kgtoGg,"ERROR"))</f>
        <v>106.70948436090084</v>
      </c>
      <c r="AA1068" s="93">
        <f>IF('Net zero activities &amp; levers'!$C$14="Off",('Activity data'!AT6*EF!$H5)*kgtoGg,IF('Net zero activities &amp; levers'!$C$14="On",('Net zero Activity data'!AT6*EF!$H5)*kgtoGg,"ERROR"))</f>
        <v>107.48166002182452</v>
      </c>
      <c r="AB1068" s="93">
        <f>IF('Net zero activities &amp; levers'!$C$14="Off",('Activity data'!AU6*EF!$H5)*kgtoGg,IF('Net zero activities &amp; levers'!$C$14="On",('Net zero Activity data'!AU6*EF!$H5)*kgtoGg,"ERROR"))</f>
        <v>108.13745930780478</v>
      </c>
      <c r="AC1068" s="93">
        <f>IF('Net zero activities &amp; levers'!$C$14="Off",('Activity data'!AV6*EF!$H5)*kgtoGg,IF('Net zero activities &amp; levers'!$C$14="On",('Net zero Activity data'!AV6*EF!$H5)*kgtoGg,"ERROR"))</f>
        <v>108.67378885655694</v>
      </c>
      <c r="AD1068" s="93">
        <f>IF('Net zero activities &amp; levers'!$C$14="Off",('Activity data'!AW6*EF!$H5)*kgtoGg,IF('Net zero activities &amp; levers'!$C$14="On",('Net zero Activity data'!AW6*EF!$H5)*kgtoGg,"ERROR"))</f>
        <v>109.087396849146</v>
      </c>
      <c r="AE1068" s="93">
        <f>IF('Net zero activities &amp; levers'!$C$14="Off",('Activity data'!AX6*EF!$H5)*kgtoGg,IF('Net zero activities &amp; levers'!$C$14="On",('Net zero Activity data'!AX6*EF!$H5)*kgtoGg,"ERROR"))</f>
        <v>109.37633654858924</v>
      </c>
      <c r="AF1068" s="93">
        <f>IF('Net zero activities &amp; levers'!$C$14="Off",('Activity data'!AY6*EF!$H5)*kgtoGg,IF('Net zero activities &amp; levers'!$C$14="On",('Net zero Activity data'!AY6*EF!$H5)*kgtoGg,"ERROR"))</f>
        <v>109.5387406024356</v>
      </c>
      <c r="AG1068" s="93">
        <f>IF('Net zero activities &amp; levers'!$C$14="Off",('Activity data'!AZ6*EF!$H5)*kgtoGg,IF('Net zero activities &amp; levers'!$C$14="On",('Net zero Activity data'!AZ6*EF!$H5)*kgtoGg,"ERROR"))</f>
        <v>109.57280491680314</v>
      </c>
      <c r="AH1068" s="93">
        <f>IF('Net zero activities &amp; levers'!$C$14="Off",('Activity data'!BA6*EF!$H5)*kgtoGg,IF('Net zero activities &amp; levers'!$C$14="On",('Net zero Activity data'!BA6*EF!$H5)*kgtoGg,"ERROR"))</f>
        <v>109.47820002949129</v>
      </c>
      <c r="AI1068" s="93">
        <f>IF('Net zero activities &amp; levers'!$C$14="Off",('Activity data'!BB6*EF!$H5)*kgtoGg,IF('Net zero activities &amp; levers'!$C$14="On",('Net zero Activity data'!BB6*EF!$H5)*kgtoGg,"ERROR"))</f>
        <v>109.25546453452645</v>
      </c>
      <c r="AJ1068" s="93">
        <f>IF('Net zero activities &amp; levers'!$C$14="Off",('Activity data'!BC6*EF!$H5)*kgtoGg,IF('Net zero activities &amp; levers'!$C$14="On",('Net zero Activity data'!BC6*EF!$H5)*kgtoGg,"ERROR"))</f>
        <v>34.566539689062871</v>
      </c>
      <c r="AK1068" s="93">
        <f>IF('Net zero activities &amp; levers'!$C$14="Off",('Activity data'!BD6*EF!$H5)*kgtoGg,IF('Net zero activities &amp; levers'!$C$14="On",('Net zero Activity data'!BD6*EF!$H5)*kgtoGg,"ERROR"))</f>
        <v>34.591772682945773</v>
      </c>
      <c r="AL1068" s="93">
        <f>IF('Net zero activities &amp; levers'!$C$14="Off",('Activity data'!BE6*EF!$H5)*kgtoGg,IF('Net zero activities &amp; levers'!$C$14="On",('Net zero Activity data'!BE6*EF!$H5)*kgtoGg,"ERROR"))</f>
        <v>34.61518923934495</v>
      </c>
      <c r="AM1068" s="93">
        <f>IF('Net zero activities &amp; levers'!$C$14="Off",('Activity data'!BF6*EF!$H5)*kgtoGg,IF('Net zero activities &amp; levers'!$C$14="On",('Net zero Activity data'!BF6*EF!$H5)*kgtoGg,"ERROR"))</f>
        <v>34.636947763199053</v>
      </c>
      <c r="AN1068" s="93">
        <f>IF('Net zero activities &amp; levers'!$C$14="Off",('Activity data'!BG6*EF!$H5)*kgtoGg,IF('Net zero activities &amp; levers'!$C$14="On",('Net zero Activity data'!BG6*EF!$H5)*kgtoGg,"ERROR"))</f>
        <v>34.657243376194444</v>
      </c>
      <c r="AO1068" s="93">
        <f>IF('Net zero activities &amp; levers'!$C$14="Off",('Activity data'!BH6*EF!$H5)*kgtoGg,IF('Net zero activities &amp; levers'!$C$14="On",('Net zero Activity data'!BH6*EF!$H5)*kgtoGg,"ERROR"))</f>
        <v>34.675439097632541</v>
      </c>
      <c r="AP1068" s="93">
        <f>IF('Net zero activities &amp; levers'!$C$14="Off",('Activity data'!BI6*EF!$H5)*kgtoGg,IF('Net zero activities &amp; levers'!$C$14="On",('Net zero Activity data'!BI6*EF!$H5)*kgtoGg,"ERROR"))</f>
        <v>34.691107170453741</v>
      </c>
      <c r="AQ1068" s="93">
        <f>IF('Net zero activities &amp; levers'!$C$14="Off",('Activity data'!BJ6*EF!$H5)*kgtoGg,IF('Net zero activities &amp; levers'!$C$14="On",('Net zero Activity data'!BJ6*EF!$H5)*kgtoGg,"ERROR"))</f>
        <v>34.704178998772043</v>
      </c>
      <c r="AR1068" s="93">
        <f>IF('Net zero activities &amp; levers'!$C$14="Off",('Activity data'!BK6*EF!$H5)*kgtoGg,IF('Net zero activities &amp; levers'!$C$14="On",('Net zero Activity data'!BK6*EF!$H5)*kgtoGg,"ERROR"))</f>
        <v>34.714169231795225</v>
      </c>
      <c r="AS1068" s="93">
        <f>IF('Net zero activities &amp; levers'!$C$14="Off",('Activity data'!BL6*EF!$H5)*kgtoGg,IF('Net zero activities &amp; levers'!$C$14="On",('Net zero Activity data'!BL6*EF!$H5)*kgtoGg,"ERROR"))</f>
        <v>34.720550930327988</v>
      </c>
      <c r="AT1068" s="93">
        <f>IF('Net zero activities &amp; levers'!$C$14="Off",('Activity data'!BM6*EF!$H5)*kgtoGg,IF('Net zero activities &amp; levers'!$C$14="On",('Net zero Activity data'!BM6*EF!$H5)*kgtoGg,"ERROR"))</f>
        <v>34.723259010030318</v>
      </c>
      <c r="AU1068" s="93">
        <f>IF('Net zero activities &amp; levers'!$C$14="Off",('Activity data'!BN6*EF!$H5)*kgtoGg,IF('Net zero activities &amp; levers'!$C$14="On",('Net zero Activity data'!BN6*EF!$H5)*kgtoGg,"ERROR"))</f>
        <v>34.722368316169444</v>
      </c>
      <c r="AV1068" s="93">
        <f>IF('Net zero activities &amp; levers'!$C$14="Off",('Activity data'!BO6*EF!$H5)*kgtoGg,IF('Net zero activities &amp; levers'!$C$14="On",('Net zero Activity data'!BO6*EF!$H5)*kgtoGg,"ERROR"))</f>
        <v>34.717931044684789</v>
      </c>
      <c r="AW1068" s="93">
        <f>IF('Net zero activities &amp; levers'!$C$14="Off",('Activity data'!BP6*EF!$H5)*kgtoGg,IF('Net zero activities &amp; levers'!$C$14="On",('Net zero Activity data'!BP6*EF!$H5)*kgtoGg,"ERROR"))</f>
        <v>34.709451581023373</v>
      </c>
      <c r="AY1068" s="79"/>
    </row>
    <row r="1069" spans="1:52" x14ac:dyDescent="0.25">
      <c r="A1069" s="95" t="str">
        <f t="shared" si="373"/>
        <v>CM Cattle</v>
      </c>
      <c r="B1069" s="95" t="s">
        <v>1322</v>
      </c>
      <c r="C1069" s="95" t="s">
        <v>1108</v>
      </c>
      <c r="D1069" t="s">
        <v>15</v>
      </c>
      <c r="E1069" t="s">
        <v>16</v>
      </c>
      <c r="F1069" t="s">
        <v>67</v>
      </c>
      <c r="G1069" t="s">
        <v>307</v>
      </c>
      <c r="H1069" t="s">
        <v>1020</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26.479482964607669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26.701143177813606</v>
      </c>
      <c r="P1069" s="93">
        <f>IF('Net zero activities &amp; levers'!$C$14="Off",('Activity data'!AI7*EF!$H6)*kgtoGg,IF('Net zero activities &amp; levers'!$C$14="On",('Net zero Activity data'!AI7*EF!$H6)*kgtoGg,"ERROR"))</f>
        <v>26.744086005835896</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26.947802192577253</v>
      </c>
      <c r="S1069" s="93">
        <f>IF('Net zero activities &amp; levers'!$C$14="Off",('Activity data'!AL7*EF!$H6)*kgtoGg,IF('Net zero activities &amp; levers'!$C$14="On",('Net zero Activity data'!AL7*EF!$H6)*kgtoGg,"ERROR"))</f>
        <v>26.182091019923025</v>
      </c>
      <c r="T1069" s="93">
        <f>IF('Net zero activities &amp; levers'!$C$14="Off",('Activity data'!AM7*EF!$H6)*kgtoGg,IF('Net zero activities &amp; levers'!$C$14="On",('Net zero Activity data'!AM7*EF!$H6)*kgtoGg,"ERROR"))</f>
        <v>26.632590975414445</v>
      </c>
      <c r="U1069" s="93">
        <f>IF('Net zero activities &amp; levers'!$C$14="Off",('Activity data'!AN7*EF!$H6)*kgtoGg,IF('Net zero activities &amp; levers'!$C$14="On",('Net zero Activity data'!AN7*EF!$H6)*kgtoGg,"ERROR"))</f>
        <v>45.823502640107073</v>
      </c>
      <c r="V1069" s="93">
        <f>IF('Net zero activities &amp; levers'!$C$14="Off",('Activity data'!AO7*EF!$H6)*kgtoGg,IF('Net zero activities &amp; levers'!$C$14="On",('Net zero Activity data'!AO7*EF!$H6)*kgtoGg,"ERROR"))</f>
        <v>46.375883576200764</v>
      </c>
      <c r="W1069" s="93">
        <f>IF('Net zero activities &amp; levers'!$C$14="Off",('Activity data'!AP7*EF!$H6)*kgtoGg,IF('Net zero activities &amp; levers'!$C$14="On",('Net zero Activity data'!AP7*EF!$H6)*kgtoGg,"ERROR"))</f>
        <v>46.904035732930822</v>
      </c>
      <c r="X1069" s="93">
        <f>IF('Net zero activities &amp; levers'!$C$14="Off",('Activity data'!AQ7*EF!$H6)*kgtoGg,IF('Net zero activities &amp; levers'!$C$14="On",('Net zero Activity data'!AQ7*EF!$H6)*kgtoGg,"ERROR"))</f>
        <v>47.398975358684552</v>
      </c>
      <c r="Y1069" s="93">
        <f>IF('Net zero activities &amp; levers'!$C$14="Off",('Activity data'!AR7*EF!$H6)*kgtoGg,IF('Net zero activities &amp; levers'!$C$14="On",('Net zero Activity data'!AR7*EF!$H6)*kgtoGg,"ERROR"))</f>
        <v>47.847484974825178</v>
      </c>
      <c r="Z1069" s="93">
        <f>IF('Net zero activities &amp; levers'!$C$14="Off",('Activity data'!AS7*EF!$H6)*kgtoGg,IF('Net zero activities &amp; levers'!$C$14="On",('Net zero Activity data'!AS7*EF!$H6)*kgtoGg,"ERROR"))</f>
        <v>48.2474700313509</v>
      </c>
      <c r="AA1069" s="93">
        <f>IF('Net zero activities &amp; levers'!$C$14="Off",('Activity data'!AT7*EF!$H6)*kgtoGg,IF('Net zero activities &amp; levers'!$C$14="On",('Net zero Activity data'!AT7*EF!$H6)*kgtoGg,"ERROR"))</f>
        <v>48.5966004041803</v>
      </c>
      <c r="AB1069" s="93">
        <f>IF('Net zero activities &amp; levers'!$C$14="Off",('Activity data'!AU7*EF!$H6)*kgtoGg,IF('Net zero activities &amp; levers'!$C$14="On",('Net zero Activity data'!AU7*EF!$H6)*kgtoGg,"ERROR"))</f>
        <v>48.893112533223132</v>
      </c>
      <c r="AC1069" s="93">
        <f>IF('Net zero activities &amp; levers'!$C$14="Off",('Activity data'!AV7*EF!$H6)*kgtoGg,IF('Net zero activities &amp; levers'!$C$14="On",('Net zero Activity data'!AV7*EF!$H6)*kgtoGg,"ERROR"))</f>
        <v>49.135607790184835</v>
      </c>
      <c r="AD1069" s="93">
        <f>IF('Net zero activities &amp; levers'!$C$14="Off",('Activity data'!AW7*EF!$H6)*kgtoGg,IF('Net zero activities &amp; levers'!$C$14="On",('Net zero Activity data'!AW7*EF!$H6)*kgtoGg,"ERROR"))</f>
        <v>49.322615902412963</v>
      </c>
      <c r="AE1069" s="93">
        <f>IF('Net zero activities &amp; levers'!$C$14="Off",('Activity data'!AX7*EF!$H6)*kgtoGg,IF('Net zero activities &amp; levers'!$C$14="On",('Net zero Activity data'!AX7*EF!$H6)*kgtoGg,"ERROR"))</f>
        <v>49.453256675098231</v>
      </c>
      <c r="AF1069" s="93">
        <f>IF('Net zero activities &amp; levers'!$C$14="Off",('Activity data'!AY7*EF!$H6)*kgtoGg,IF('Net zero activities &amp; levers'!$C$14="On",('Net zero Activity data'!AY7*EF!$H6)*kgtoGg,"ERROR"))</f>
        <v>49.526685806237325</v>
      </c>
      <c r="AG1069" s="93">
        <f>IF('Net zero activities &amp; levers'!$C$14="Off",('Activity data'!AZ7*EF!$H6)*kgtoGg,IF('Net zero activities &amp; levers'!$C$14="On",('Net zero Activity data'!AZ7*EF!$H6)*kgtoGg,"ERROR"))</f>
        <v>49.542087595463748</v>
      </c>
      <c r="AH1069" s="93">
        <f>IF('Net zero activities &amp; levers'!$C$14="Off",('Activity data'!BA7*EF!$H6)*kgtoGg,IF('Net zero activities &amp; levers'!$C$14="On",('Net zero Activity data'!BA7*EF!$H6)*kgtoGg,"ERROR"))</f>
        <v>49.499313080220467</v>
      </c>
      <c r="AI1069" s="93">
        <f>IF('Net zero activities &amp; levers'!$C$14="Off",('Activity data'!BB7*EF!$H6)*kgtoGg,IF('Net zero activities &amp; levers'!$C$14="On",('Net zero Activity data'!BB7*EF!$H6)*kgtoGg,"ERROR"))</f>
        <v>49.398605779622059</v>
      </c>
      <c r="AJ1069" s="93">
        <f>IF('Net zero activities &amp; levers'!$C$14="Off",('Activity data'!BC7*EF!$H6)*kgtoGg,IF('Net zero activities &amp; levers'!$C$14="On",('Net zero Activity data'!BC7*EF!$H6)*kgtoGg,"ERROR"))</f>
        <v>15.628864648010964</v>
      </c>
      <c r="AK1069" s="93">
        <f>IF('Net zero activities &amp; levers'!$C$14="Off",('Activity data'!BD7*EF!$H6)*kgtoGg,IF('Net zero activities &amp; levers'!$C$14="On",('Net zero Activity data'!BD7*EF!$H6)*kgtoGg,"ERROR"))</f>
        <v>15.640273456922923</v>
      </c>
      <c r="AL1069" s="93">
        <f>IF('Net zero activities &amp; levers'!$C$14="Off",('Activity data'!BE7*EF!$H6)*kgtoGg,IF('Net zero activities &amp; levers'!$C$14="On",('Net zero Activity data'!BE7*EF!$H6)*kgtoGg,"ERROR"))</f>
        <v>15.650860984450333</v>
      </c>
      <c r="AM1069" s="93">
        <f>IF('Net zero activities &amp; levers'!$C$14="Off",('Activity data'!BF7*EF!$H6)*kgtoGg,IF('Net zero activities &amp; levers'!$C$14="On",('Net zero Activity data'!BF7*EF!$H6)*kgtoGg,"ERROR"))</f>
        <v>15.660698851570245</v>
      </c>
      <c r="AN1069" s="93">
        <f>IF('Net zero activities &amp; levers'!$C$14="Off",('Activity data'!BG7*EF!$H6)*kgtoGg,IF('Net zero activities &amp; levers'!$C$14="On",('Net zero Activity data'!BG7*EF!$H6)*kgtoGg,"ERROR"))</f>
        <v>15.669875280316276</v>
      </c>
      <c r="AO1069" s="93">
        <f>IF('Net zero activities &amp; levers'!$C$14="Off",('Activity data'!BH7*EF!$H6)*kgtoGg,IF('Net zero activities &amp; levers'!$C$14="On",('Net zero Activity data'!BH7*EF!$H6)*kgtoGg,"ERROR"))</f>
        <v>15.678102267167921</v>
      </c>
      <c r="AP1069" s="93">
        <f>IF('Net zero activities &amp; levers'!$C$14="Off",('Activity data'!BI7*EF!$H6)*kgtoGg,IF('Net zero activities &amp; levers'!$C$14="On",('Net zero Activity data'!BI7*EF!$H6)*kgtoGg,"ERROR"))</f>
        <v>15.685186406674521</v>
      </c>
      <c r="AQ1069" s="93">
        <f>IF('Net zero activities &amp; levers'!$C$14="Off",('Activity data'!BJ7*EF!$H6)*kgtoGg,IF('Net zero activities &amp; levers'!$C$14="On",('Net zero Activity data'!BJ7*EF!$H6)*kgtoGg,"ERROR"))</f>
        <v>15.691096683992601</v>
      </c>
      <c r="AR1069" s="93">
        <f>IF('Net zero activities &amp; levers'!$C$14="Off",('Activity data'!BK7*EF!$H6)*kgtoGg,IF('Net zero activities &amp; levers'!$C$14="On",('Net zero Activity data'!BK7*EF!$H6)*kgtoGg,"ERROR"))</f>
        <v>15.695613653325545</v>
      </c>
      <c r="AS1069" s="93">
        <f>IF('Net zero activities &amp; levers'!$C$14="Off",('Activity data'!BL7*EF!$H6)*kgtoGg,IF('Net zero activities &amp; levers'!$C$14="On",('Net zero Activity data'!BL7*EF!$H6)*kgtoGg,"ERROR"))</f>
        <v>15.698499065157048</v>
      </c>
      <c r="AT1069" s="93">
        <f>IF('Net zero activities &amp; levers'!$C$14="Off",('Activity data'!BM7*EF!$H6)*kgtoGg,IF('Net zero activities &amp; levers'!$C$14="On",('Net zero Activity data'!BM7*EF!$H6)*kgtoGg,"ERROR"))</f>
        <v>15.699723492348907</v>
      </c>
      <c r="AU1069" s="93">
        <f>IF('Net zero activities &amp; levers'!$C$14="Off",('Activity data'!BN7*EF!$H6)*kgtoGg,IF('Net zero activities &amp; levers'!$C$14="On",('Net zero Activity data'!BN7*EF!$H6)*kgtoGg,"ERROR"))</f>
        <v>15.699320775330669</v>
      </c>
      <c r="AV1069" s="93">
        <f>IF('Net zero activities &amp; levers'!$C$14="Off",('Activity data'!BO7*EF!$H6)*kgtoGg,IF('Net zero activities &amp; levers'!$C$14="On",('Net zero Activity data'!BO7*EF!$H6)*kgtoGg,"ERROR"))</f>
        <v>15.697314513897963</v>
      </c>
      <c r="AW1069" s="93">
        <f>IF('Net zero activities &amp; levers'!$C$14="Off",('Activity data'!BP7*EF!$H6)*kgtoGg,IF('Net zero activities &amp; levers'!$C$14="On",('Net zero Activity data'!BP7*EF!$H6)*kgtoGg,"ERROR"))</f>
        <v>15.693480621612418</v>
      </c>
      <c r="AY1069" s="79"/>
    </row>
    <row r="1070" spans="1:52" x14ac:dyDescent="0.25">
      <c r="A1070" s="95" t="str">
        <f t="shared" si="373"/>
        <v>CM Cattle</v>
      </c>
      <c r="B1070" s="95" t="s">
        <v>1322</v>
      </c>
      <c r="C1070" s="95" t="s">
        <v>1108</v>
      </c>
      <c r="D1070" t="s">
        <v>15</v>
      </c>
      <c r="E1070" t="s">
        <v>16</v>
      </c>
      <c r="F1070" t="s">
        <v>67</v>
      </c>
      <c r="G1070" t="s">
        <v>122</v>
      </c>
      <c r="H1070" t="s">
        <v>1020</v>
      </c>
      <c r="I1070" t="s">
        <v>121</v>
      </c>
      <c r="J1070" t="s">
        <v>286</v>
      </c>
      <c r="K1070" s="93">
        <f>IF('Net zero activities &amp; levers'!$C$14="Off",('Activity data'!AD8*EF!$H7)*kgtoGg,IF('Net zero activities &amp; levers'!$C$14="On",('Net zero Activity data'!AD8*EF!$H7)*kgtoGg,"ERROR"))</f>
        <v>463.23498593143177</v>
      </c>
      <c r="L1070" s="93">
        <f>IF('Net zero activities &amp; levers'!$C$14="Off",('Activity data'!AE8*EF!$H7)*kgtoGg,IF('Net zero activities &amp; levers'!$C$14="On",('Net zero Activity data'!AE8*EF!$H7)*kgtoGg,"ERROR"))</f>
        <v>459.21749683621613</v>
      </c>
      <c r="M1070" s="93">
        <f>IF('Net zero activities &amp; levers'!$C$14="Off",('Activity data'!AF8*EF!$H7)*kgtoGg,IF('Net zero activities &amp; levers'!$C$14="On",('Net zero Activity data'!AF8*EF!$H7)*kgtoGg,"ERROR"))</f>
        <v>457.68816035731243</v>
      </c>
      <c r="N1070" s="93">
        <f>IF('Net zero activities &amp; levers'!$C$14="Off",('Activity data'!AG8*EF!$H7)*kgtoGg,IF('Net zero activities &amp; levers'!$C$14="On",('Net zero Activity data'!AG8*EF!$H7)*kgtoGg,"ERROR"))</f>
        <v>451.57633407663542</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431.25721304480419</v>
      </c>
      <c r="Q1070" s="93">
        <f>IF('Net zero activities &amp; levers'!$C$14="Off",('Activity data'!AJ8*EF!$H7)*kgtoGg,IF('Net zero activities &amp; levers'!$C$14="On",('Net zero Activity data'!AJ8*EF!$H7)*kgtoGg,"ERROR"))</f>
        <v>422.22811200839209</v>
      </c>
      <c r="R1070" s="93">
        <f>IF('Net zero activities &amp; levers'!$C$14="Off",('Activity data'!AK8*EF!$H7)*kgtoGg,IF('Net zero activities &amp; levers'!$C$14="On",('Net zero Activity data'!AK8*EF!$H7)*kgtoGg,"ERROR"))</f>
        <v>413.6855559628558</v>
      </c>
      <c r="S1070" s="93">
        <f>IF('Net zero activities &amp; levers'!$C$14="Off",('Activity data'!AL8*EF!$H7)*kgtoGg,IF('Net zero activities &amp; levers'!$C$14="On",('Net zero Activity data'!AL8*EF!$H7)*kgtoGg,"ERROR"))</f>
        <v>369.96675064639845</v>
      </c>
      <c r="T1070" s="93">
        <f>IF('Net zero activities &amp; levers'!$C$14="Off",('Activity data'!AM8*EF!$H7)*kgtoGg,IF('Net zero activities &amp; levers'!$C$14="On",('Net zero Activity data'!AM8*EF!$H7)*kgtoGg,"ERROR"))</f>
        <v>384.22044526495358</v>
      </c>
      <c r="U1070" s="93">
        <f>IF('Net zero activities &amp; levers'!$C$14="Off",('Activity data'!AN8*EF!$H7)*kgtoGg,IF('Net zero activities &amp; levers'!$C$14="On",('Net zero Activity data'!AN8*EF!$H7)*kgtoGg,"ERROR"))</f>
        <v>1210.9459030996998</v>
      </c>
      <c r="V1070" s="93">
        <f>IF('Net zero activities &amp; levers'!$C$14="Off",('Activity data'!AO8*EF!$H7)*kgtoGg,IF('Net zero activities &amp; levers'!$C$14="On",('Net zero Activity data'!AO8*EF!$H7)*kgtoGg,"ERROR"))</f>
        <v>1216.7867544029255</v>
      </c>
      <c r="W1070" s="93">
        <f>IF('Net zero activities &amp; levers'!$C$14="Off",('Activity data'!AP8*EF!$H7)*kgtoGg,IF('Net zero activities &amp; levers'!$C$14="On",('Net zero Activity data'!AP8*EF!$H7)*kgtoGg,"ERROR"))</f>
        <v>1220.5248847970281</v>
      </c>
      <c r="X1070" s="93">
        <f>IF('Net zero activities &amp; levers'!$C$14="Off",('Activity data'!AQ8*EF!$H7)*kgtoGg,IF('Net zero activities &amp; levers'!$C$14="On",('Net zero Activity data'!AQ8*EF!$H7)*kgtoGg,"ERROR"))</f>
        <v>1222.1595328966084</v>
      </c>
      <c r="Y1070" s="93">
        <f>IF('Net zero activities &amp; levers'!$C$14="Off",('Activity data'!AR8*EF!$H7)*kgtoGg,IF('Net zero activities &amp; levers'!$C$14="On",('Net zero Activity data'!AR8*EF!$H7)*kgtoGg,"ERROR"))</f>
        <v>1221.7253267296187</v>
      </c>
      <c r="Z1070" s="93">
        <f>IF('Net zero activities &amp; levers'!$C$14="Off",('Activity data'!AS8*EF!$H7)*kgtoGg,IF('Net zero activities &amp; levers'!$C$14="On",('Net zero Activity data'!AS8*EF!$H7)*kgtoGg,"ERROR"))</f>
        <v>1219.2014537371233</v>
      </c>
      <c r="AA1070" s="93">
        <f>IF('Net zero activities &amp; levers'!$C$14="Off",('Activity data'!AT8*EF!$H7)*kgtoGg,IF('Net zero activities &amp; levers'!$C$14="On",('Net zero Activity data'!AT8*EF!$H7)*kgtoGg,"ERROR"))</f>
        <v>1214.5817314826613</v>
      </c>
      <c r="AB1070" s="93">
        <f>IF('Net zero activities &amp; levers'!$C$14="Off",('Activity data'!AU8*EF!$H7)*kgtoGg,IF('Net zero activities &amp; levers'!$C$14="On",('Net zero Activity data'!AU8*EF!$H7)*kgtoGg,"ERROR"))</f>
        <v>1207.8699823574666</v>
      </c>
      <c r="AC1070" s="93">
        <f>IF('Net zero activities &amp; levers'!$C$14="Off",('Activity data'!AV8*EF!$H7)*kgtoGg,IF('Net zero activities &amp; levers'!$C$14="On",('Net zero Activity data'!AV8*EF!$H7)*kgtoGg,"ERROR"))</f>
        <v>1199.081298415254</v>
      </c>
      <c r="AD1070" s="93">
        <f>IF('Net zero activities &amp; levers'!$C$14="Off",('Activity data'!AW8*EF!$H7)*kgtoGg,IF('Net zero activities &amp; levers'!$C$14="On",('Net zero Activity data'!AW8*EF!$H7)*kgtoGg,"ERROR"))</f>
        <v>1178.2591392805034</v>
      </c>
      <c r="AE1070" s="93">
        <f>IF('Net zero activities &amp; levers'!$C$14="Off",('Activity data'!AX8*EF!$H7)*kgtoGg,IF('Net zero activities &amp; levers'!$C$14="On",('Net zero Activity data'!AX8*EF!$H7)*kgtoGg,"ERROR"))</f>
        <v>1155.4756644581196</v>
      </c>
      <c r="AF1070" s="93">
        <f>IF('Net zero activities &amp; levers'!$C$14="Off",('Activity data'!AY8*EF!$H7)*kgtoGg,IF('Net zero activities &amp; levers'!$C$14="On",('Net zero Activity data'!AY8*EF!$H7)*kgtoGg,"ERROR"))</f>
        <v>1130.8332446231877</v>
      </c>
      <c r="AG1070" s="93">
        <f>IF('Net zero activities &amp; levers'!$C$14="Off",('Activity data'!AZ8*EF!$H7)*kgtoGg,IF('Net zero activities &amp; levers'!$C$14="On",('Net zero Activity data'!AZ8*EF!$H7)*kgtoGg,"ERROR"))</f>
        <v>1104.4458826711734</v>
      </c>
      <c r="AH1070" s="93">
        <f>IF('Net zero activities &amp; levers'!$C$14="Off",('Activity data'!BA8*EF!$H7)*kgtoGg,IF('Net zero activities &amp; levers'!$C$14="On",('Net zero Activity data'!BA8*EF!$H7)*kgtoGg,"ERROR"))</f>
        <v>1076.4349444121476</v>
      </c>
      <c r="AI1070" s="93">
        <f>IF('Net zero activities &amp; levers'!$C$14="Off",('Activity data'!BB8*EF!$H7)*kgtoGg,IF('Net zero activities &amp; levers'!$C$14="On",('Net zero Activity data'!BB8*EF!$H7)*kgtoGg,"ERROR"))</f>
        <v>1046.9296670550386</v>
      </c>
      <c r="AJ1070" s="93">
        <f>IF('Net zero activities &amp; levers'!$C$14="Off",('Activity data'!BC8*EF!$H7)*kgtoGg,IF('Net zero activities &amp; levers'!$C$14="On",('Net zero Activity data'!BC8*EF!$H7)*kgtoGg,"ERROR"))</f>
        <v>-80.836782317903939</v>
      </c>
      <c r="AK1070" s="93">
        <f>IF('Net zero activities &amp; levers'!$C$14="Off",('Activity data'!BD8*EF!$H7)*kgtoGg,IF('Net zero activities &amp; levers'!$C$14="On",('Net zero Activity data'!BD8*EF!$H7)*kgtoGg,"ERROR"))</f>
        <v>-78.890466200610106</v>
      </c>
      <c r="AL1070" s="93">
        <f>IF('Net zero activities &amp; levers'!$C$14="Off",('Activity data'!BE8*EF!$H7)*kgtoGg,IF('Net zero activities &amp; levers'!$C$14="On",('Net zero Activity data'!BE8*EF!$H7)*kgtoGg,"ERROR"))</f>
        <v>-76.96440050927697</v>
      </c>
      <c r="AM1070" s="93">
        <f>IF('Net zero activities &amp; levers'!$C$14="Off",('Activity data'!BF8*EF!$H7)*kgtoGg,IF('Net zero activities &amp; levers'!$C$14="On",('Net zero Activity data'!BF8*EF!$H7)*kgtoGg,"ERROR"))</f>
        <v>-75.058386316845628</v>
      </c>
      <c r="AN1070" s="93">
        <f>IF('Net zero activities &amp; levers'!$C$14="Off",('Activity data'!BG8*EF!$H7)*kgtoGg,IF('Net zero activities &amp; levers'!$C$14="On",('Net zero Activity data'!BG8*EF!$H7)*kgtoGg,"ERROR"))</f>
        <v>-73.545633197869449</v>
      </c>
      <c r="AO1070" s="93">
        <f>IF('Net zero activities &amp; levers'!$C$14="Off",('Activity data'!BH8*EF!$H7)*kgtoGg,IF('Net zero activities &amp; levers'!$C$14="On",('Net zero Activity data'!BH8*EF!$H7)*kgtoGg,"ERROR"))</f>
        <v>-72.047230196727966</v>
      </c>
      <c r="AP1070" s="93">
        <f>IF('Net zero activities &amp; levers'!$C$14="Off",('Activity data'!BI8*EF!$H7)*kgtoGg,IF('Net zero activities &amp; levers'!$C$14="On",('Net zero Activity data'!BI8*EF!$H7)*kgtoGg,"ERROR"))</f>
        <v>-70.562062843287677</v>
      </c>
      <c r="AQ1070" s="93">
        <f>IF('Net zero activities &amp; levers'!$C$14="Off",('Activity data'!BJ8*EF!$H7)*kgtoGg,IF('Net zero activities &amp; levers'!$C$14="On",('Net zero Activity data'!BJ8*EF!$H7)*kgtoGg,"ERROR"))</f>
        <v>-69.089763252231094</v>
      </c>
      <c r="AR1070" s="93">
        <f>IF('Net zero activities &amp; levers'!$C$14="Off",('Activity data'!BK8*EF!$H7)*kgtoGg,IF('Net zero activities &amp; levers'!$C$14="On",('Net zero Activity data'!BK8*EF!$H7)*kgtoGg,"ERROR"))</f>
        <v>-67.629255024927176</v>
      </c>
      <c r="AS1070" s="93">
        <f>IF('Net zero activities &amp; levers'!$C$14="Off",('Activity data'!BL8*EF!$H7)*kgtoGg,IF('Net zero activities &amp; levers'!$C$14="On",('Net zero Activity data'!BL8*EF!$H7)*kgtoGg,"ERROR"))</f>
        <v>-66.179484044667291</v>
      </c>
      <c r="AT1070" s="93">
        <f>IF('Net zero activities &amp; levers'!$C$14="Off",('Activity data'!BM8*EF!$H7)*kgtoGg,IF('Net zero activities &amp; levers'!$C$14="On",('Net zero Activity data'!BM8*EF!$H7)*kgtoGg,"ERROR"))</f>
        <v>-64.740281014136201</v>
      </c>
      <c r="AU1070" s="93">
        <f>IF('Net zero activities &amp; levers'!$C$14="Off",('Activity data'!BN8*EF!$H7)*kgtoGg,IF('Net zero activities &amp; levers'!$C$14="On",('Net zero Activity data'!BN8*EF!$H7)*kgtoGg,"ERROR"))</f>
        <v>-63.311734849146887</v>
      </c>
      <c r="AV1070" s="93">
        <f>IF('Net zero activities &amp; levers'!$C$14="Off",('Activity data'!BO8*EF!$H7)*kgtoGg,IF('Net zero activities &amp; levers'!$C$14="On",('Net zero Activity data'!BO8*EF!$H7)*kgtoGg,"ERROR"))</f>
        <v>-61.893900094857884</v>
      </c>
      <c r="AW1070" s="93">
        <f>IF('Net zero activities &amp; levers'!$C$14="Off",('Activity data'!BP8*EF!$H7)*kgtoGg,IF('Net zero activities &amp; levers'!$C$14="On",('Net zero Activity data'!BP8*EF!$H7)*kgtoGg,"ERROR"))</f>
        <v>-60.485962401496174</v>
      </c>
      <c r="AY1070" s="79"/>
    </row>
    <row r="1071" spans="1:52" x14ac:dyDescent="0.25">
      <c r="A1071" s="95" t="str">
        <f t="shared" si="373"/>
        <v>CM Cattle</v>
      </c>
      <c r="B1071" s="95" t="s">
        <v>1322</v>
      </c>
      <c r="C1071" s="95" t="s">
        <v>1108</v>
      </c>
      <c r="D1071" t="s">
        <v>15</v>
      </c>
      <c r="E1071" t="s">
        <v>16</v>
      </c>
      <c r="F1071" t="s">
        <v>67</v>
      </c>
      <c r="G1071" t="s">
        <v>123</v>
      </c>
      <c r="H1071" t="s">
        <v>1020</v>
      </c>
      <c r="I1071" t="s">
        <v>121</v>
      </c>
      <c r="J1071" t="s">
        <v>286</v>
      </c>
      <c r="K1071" s="93">
        <f>IF('Net zero activities &amp; levers'!$C$14="Off",('Activity data'!AD9*EF!$H8)*kgtoGg,IF('Net zero activities &amp; levers'!$C$14="On",('Net zero Activity data'!AD9*EF!$H8)*kgtoGg,"ERROR"))</f>
        <v>326.20040935577731</v>
      </c>
      <c r="L1071" s="93">
        <f>IF('Net zero activities &amp; levers'!$C$14="Off",('Activity data'!AE9*EF!$H8)*kgtoGg,IF('Net zero activities &amp; levers'!$C$14="On",('Net zero Activity data'!AE9*EF!$H8)*kgtoGg,"ERROR"))</f>
        <v>323.37137738012325</v>
      </c>
      <c r="M1071" s="93">
        <f>IF('Net zero activities &amp; levers'!$C$14="Off",('Activity data'!AF9*EF!$H8)*kgtoGg,IF('Net zero activities &amp; levers'!$C$14="On",('Net zero Activity data'!AF9*EF!$H8)*kgtoGg,"ERROR"))</f>
        <v>322.29445054900742</v>
      </c>
      <c r="N1071" s="93">
        <f>IF('Net zero activities &amp; levers'!$C$14="Off",('Activity data'!AG9*EF!$H8)*kgtoGg,IF('Net zero activities &amp; levers'!$C$14="On",('Net zero Activity data'!AG9*EF!$H8)*kgtoGg,"ERROR"))</f>
        <v>317.99063003627231</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303.68232906672068</v>
      </c>
      <c r="Q1071" s="93">
        <f>IF('Net zero activities &amp; levers'!$C$14="Off",('Activity data'!AJ9*EF!$H8)*kgtoGg,IF('Net zero activities &amp; levers'!$C$14="On",('Net zero Activity data'!AJ9*EF!$H8)*kgtoGg,"ERROR"))</f>
        <v>297.32422455466593</v>
      </c>
      <c r="R1071" s="93">
        <f>IF('Net zero activities &amp; levers'!$C$14="Off",('Activity data'!AK9*EF!$H8)*kgtoGg,IF('Net zero activities &amp; levers'!$C$14="On",('Net zero Activity data'!AK9*EF!$H8)*kgtoGg,"ERROR"))</f>
        <v>291.30873487096767</v>
      </c>
      <c r="S1071" s="93">
        <f>IF('Net zero activities &amp; levers'!$C$14="Off",('Activity data'!AL9*EF!$H8)*kgtoGg,IF('Net zero activities &amp; levers'!$C$14="On",('Net zero Activity data'!AL9*EF!$H8)*kgtoGg,"ERROR"))</f>
        <v>260.52286458075423</v>
      </c>
      <c r="T1071" s="93">
        <f>IF('Net zero activities &amp; levers'!$C$14="Off",('Activity data'!AM9*EF!$H8)*kgtoGg,IF('Net zero activities &amp; levers'!$C$14="On",('Net zero Activity data'!AM9*EF!$H8)*kgtoGg,"ERROR"))</f>
        <v>270.56001885582697</v>
      </c>
      <c r="U1071" s="93">
        <f>IF('Net zero activities &amp; levers'!$C$14="Off",('Activity data'!AN9*EF!$H8)*kgtoGg,IF('Net zero activities &amp; levers'!$C$14="On",('Net zero Activity data'!AN9*EF!$H8)*kgtoGg,"ERROR"))</f>
        <v>852.72283246173731</v>
      </c>
      <c r="V1071" s="93">
        <f>IF('Net zero activities &amp; levers'!$C$14="Off",('Activity data'!AO9*EF!$H8)*kgtoGg,IF('Net zero activities &amp; levers'!$C$14="On",('Net zero Activity data'!AO9*EF!$H8)*kgtoGg,"ERROR"))</f>
        <v>856.83583805061244</v>
      </c>
      <c r="W1071" s="93">
        <f>IF('Net zero activities &amp; levers'!$C$14="Off",('Activity data'!AP9*EF!$H8)*kgtoGg,IF('Net zero activities &amp; levers'!$C$14="On",('Net zero Activity data'!AP9*EF!$H8)*kgtoGg,"ERROR"))</f>
        <v>859.46815145917253</v>
      </c>
      <c r="X1071" s="93">
        <f>IF('Net zero activities &amp; levers'!$C$14="Off",('Activity data'!AQ9*EF!$H8)*kgtoGg,IF('Net zero activities &amp; levers'!$C$14="On",('Net zero Activity data'!AQ9*EF!$H8)*kgtoGg,"ERROR"))</f>
        <v>860.61923653571034</v>
      </c>
      <c r="Y1071" s="93">
        <f>IF('Net zero activities &amp; levers'!$C$14="Off",('Activity data'!AR9*EF!$H8)*kgtoGg,IF('Net zero activities &amp; levers'!$C$14="On",('Net zero Activity data'!AR9*EF!$H8)*kgtoGg,"ERROR"))</f>
        <v>860.31347761482039</v>
      </c>
      <c r="Z1071" s="93">
        <f>IF('Net zero activities &amp; levers'!$C$14="Off",('Activity data'!AS9*EF!$H8)*kgtoGg,IF('Net zero activities &amp; levers'!$C$14="On",('Net zero Activity data'!AS9*EF!$H8)*kgtoGg,"ERROR"))</f>
        <v>858.53621892685965</v>
      </c>
      <c r="AA1071" s="93">
        <f>IF('Net zero activities &amp; levers'!$C$14="Off",('Activity data'!AT9*EF!$H8)*kgtoGg,IF('Net zero activities &amp; levers'!$C$14="On",('Net zero Activity data'!AT9*EF!$H8)*kgtoGg,"ERROR"))</f>
        <v>855.28310692910031</v>
      </c>
      <c r="AB1071" s="93">
        <f>IF('Net zero activities &amp; levers'!$C$14="Off",('Activity data'!AU9*EF!$H8)*kgtoGg,IF('Net zero activities &amp; levers'!$C$14="On",('Net zero Activity data'!AU9*EF!$H8)*kgtoGg,"ERROR"))</f>
        <v>850.55683326967551</v>
      </c>
      <c r="AC1071" s="93">
        <f>IF('Net zero activities &amp; levers'!$C$14="Off",('Activity data'!AV9*EF!$H8)*kgtoGg,IF('Net zero activities &amp; levers'!$C$14="On",('Net zero Activity data'!AV9*EF!$H8)*kgtoGg,"ERROR"))</f>
        <v>844.36802545783894</v>
      </c>
      <c r="AD1071" s="93">
        <f>IF('Net zero activities &amp; levers'!$C$14="Off",('Activity data'!AW9*EF!$H8)*kgtoGg,IF('Net zero activities &amp; levers'!$C$14="On",('Net zero Activity data'!AW9*EF!$H8)*kgtoGg,"ERROR"))</f>
        <v>829.70549555464197</v>
      </c>
      <c r="AE1071" s="93">
        <f>IF('Net zero activities &amp; levers'!$C$14="Off",('Activity data'!AX9*EF!$H8)*kgtoGg,IF('Net zero activities &amp; levers'!$C$14="On",('Net zero Activity data'!AX9*EF!$H8)*kgtoGg,"ERROR"))</f>
        <v>813.66184807696902</v>
      </c>
      <c r="AF1071" s="93">
        <f>IF('Net zero activities &amp; levers'!$C$14="Off",('Activity data'!AY9*EF!$H8)*kgtoGg,IF('Net zero activities &amp; levers'!$C$14="On",('Net zero Activity data'!AY9*EF!$H8)*kgtoGg,"ERROR"))</f>
        <v>796.30917031773436</v>
      </c>
      <c r="AG1071" s="93">
        <f>IF('Net zero activities &amp; levers'!$C$14="Off",('Activity data'!AZ9*EF!$H8)*kgtoGg,IF('Net zero activities &amp; levers'!$C$14="On",('Net zero Activity data'!AZ9*EF!$H8)*kgtoGg,"ERROR"))</f>
        <v>777.72774073667881</v>
      </c>
      <c r="AH1071" s="93">
        <f>IF('Net zero activities &amp; levers'!$C$14="Off",('Activity data'!BA9*EF!$H8)*kgtoGg,IF('Net zero activities &amp; levers'!$C$14="On",('Net zero Activity data'!BA9*EF!$H8)*kgtoGg,"ERROR"))</f>
        <v>758.0030226043441</v>
      </c>
      <c r="AI1071" s="93">
        <f>IF('Net zero activities &amp; levers'!$C$14="Off",('Activity data'!BB9*EF!$H8)*kgtoGg,IF('Net zero activities &amp; levers'!$C$14="On",('Net zero Activity data'!BB9*EF!$H8)*kgtoGg,"ERROR"))</f>
        <v>737.22602206606996</v>
      </c>
      <c r="AJ1071" s="93">
        <f>IF('Net zero activities &amp; levers'!$C$14="Off",('Activity data'!BC9*EF!$H8)*kgtoGg,IF('Net zero activities &amp; levers'!$C$14="On",('Net zero Activity data'!BC9*EF!$H8)*kgtoGg,"ERROR"))</f>
        <v>-56.923575040610757</v>
      </c>
      <c r="AK1071" s="93">
        <f>IF('Net zero activities &amp; levers'!$C$14="Off",('Activity data'!BD9*EF!$H8)*kgtoGg,IF('Net zero activities &amp; levers'!$C$14="On",('Net zero Activity data'!BD9*EF!$H8)*kgtoGg,"ERROR"))</f>
        <v>-55.553019850526375</v>
      </c>
      <c r="AL1071" s="93">
        <f>IF('Net zero activities &amp; levers'!$C$14="Off",('Activity data'!BE9*EF!$H8)*kgtoGg,IF('Net zero activities &amp; levers'!$C$14="On",('Net zero Activity data'!BE9*EF!$H8)*kgtoGg,"ERROR"))</f>
        <v>-54.19672458777611</v>
      </c>
      <c r="AM1071" s="93">
        <f>IF('Net zero activities &amp; levers'!$C$14="Off",('Activity data'!BF9*EF!$H8)*kgtoGg,IF('Net zero activities &amp; levers'!$C$14="On",('Net zero Activity data'!BF9*EF!$H8)*kgtoGg,"ERROR"))</f>
        <v>-52.854549172076716</v>
      </c>
      <c r="AN1071" s="93">
        <f>IF('Net zero activities &amp; levers'!$C$14="Off",('Activity data'!BG9*EF!$H8)*kgtoGg,IF('Net zero activities &amp; levers'!$C$14="On",('Net zero Activity data'!BG9*EF!$H8)*kgtoGg,"ERROR"))</f>
        <v>-51.78929999692631</v>
      </c>
      <c r="AO1071" s="93">
        <f>IF('Net zero activities &amp; levers'!$C$14="Off",('Activity data'!BH9*EF!$H8)*kgtoGg,IF('Net zero activities &amp; levers'!$C$14="On",('Net zero Activity data'!BH9*EF!$H8)*kgtoGg,"ERROR"))</f>
        <v>-50.734155875267454</v>
      </c>
      <c r="AP1071" s="93">
        <f>IF('Net zero activities &amp; levers'!$C$14="Off",('Activity data'!BI9*EF!$H8)*kgtoGg,IF('Net zero activities &amp; levers'!$C$14="On",('Net zero Activity data'!BI9*EF!$H8)*kgtoGg,"ERROR"))</f>
        <v>-49.688332020491153</v>
      </c>
      <c r="AQ1071" s="93">
        <f>IF('Net zero activities &amp; levers'!$C$14="Off",('Activity data'!BJ9*EF!$H8)*kgtoGg,IF('Net zero activities &amp; levers'!$C$14="On",('Net zero Activity data'!BJ9*EF!$H8)*kgtoGg,"ERROR"))</f>
        <v>-48.651569375434605</v>
      </c>
      <c r="AR1071" s="93">
        <f>IF('Net zero activities &amp; levers'!$C$14="Off",('Activity data'!BK9*EF!$H8)*kgtoGg,IF('Net zero activities &amp; levers'!$C$14="On",('Net zero Activity data'!BK9*EF!$H8)*kgtoGg,"ERROR"))</f>
        <v>-47.623109962646353</v>
      </c>
      <c r="AS1071" s="93">
        <f>IF('Net zero activities &amp; levers'!$C$14="Off",('Activity data'!BL9*EF!$H8)*kgtoGg,IF('Net zero activities &amp; levers'!$C$14="On",('Net zero Activity data'!BL9*EF!$H8)*kgtoGg,"ERROR"))</f>
        <v>-46.60221149513962</v>
      </c>
      <c r="AT1071" s="93">
        <f>IF('Net zero activities &amp; levers'!$C$14="Off",('Activity data'!BM9*EF!$H8)*kgtoGg,IF('Net zero activities &amp; levers'!$C$14="On",('Net zero Activity data'!BM9*EF!$H8)*kgtoGg,"ERROR"))</f>
        <v>-45.588754757278259</v>
      </c>
      <c r="AU1071" s="93">
        <f>IF('Net zero activities &amp; levers'!$C$14="Off",('Activity data'!BN9*EF!$H8)*kgtoGg,IF('Net zero activities &amp; levers'!$C$14="On",('Net zero Activity data'!BN9*EF!$H8)*kgtoGg,"ERROR"))</f>
        <v>-44.582802361722123</v>
      </c>
      <c r="AV1071" s="93">
        <f>IF('Net zero activities &amp; levers'!$C$14="Off",('Activity data'!BO9*EF!$H8)*kgtoGg,IF('Net zero activities &amp; levers'!$C$14="On",('Net zero Activity data'!BO9*EF!$H8)*kgtoGg,"ERROR"))</f>
        <v>-43.584392718033477</v>
      </c>
      <c r="AW1071" s="93">
        <f>IF('Net zero activities &amp; levers'!$C$14="Off",('Activity data'!BP9*EF!$H8)*kgtoGg,IF('Net zero activities &amp; levers'!$C$14="On",('Net zero Activity data'!BP9*EF!$H8)*kgtoGg,"ERROR"))</f>
        <v>-42.59295237809765</v>
      </c>
      <c r="AY1071" s="79"/>
    </row>
    <row r="1072" spans="1:52" x14ac:dyDescent="0.25">
      <c r="A1072" s="95" t="str">
        <f t="shared" si="373"/>
        <v>CM Cattle</v>
      </c>
      <c r="B1072" s="95" t="s">
        <v>1322</v>
      </c>
      <c r="C1072" s="95" t="s">
        <v>1108</v>
      </c>
      <c r="D1072" t="s">
        <v>15</v>
      </c>
      <c r="E1072" t="s">
        <v>16</v>
      </c>
      <c r="F1072" t="s">
        <v>67</v>
      </c>
      <c r="G1072" t="s">
        <v>135</v>
      </c>
      <c r="H1072" t="s">
        <v>1020</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32.967337371253549</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35.195504797614667</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36.435327957872921</v>
      </c>
      <c r="Q1072" s="93">
        <f>IF('Net zero activities &amp; levers'!$C$14="Off",('Activity data'!AJ10*EF!$H9)*kgtoGg,IF('Net zero activities &amp; levers'!$C$14="On",('Net zero Activity data'!AJ10*EF!$H9)*kgtoGg,"ERROR"))</f>
        <v>37.125912791560353</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35.21788884404873</v>
      </c>
      <c r="T1072" s="93">
        <f>IF('Net zero activities &amp; levers'!$C$14="Off",('Activity data'!AM10*EF!$H9)*kgtoGg,IF('Net zero activities &amp; levers'!$C$14="On",('Net zero Activity data'!AM10*EF!$H9)*kgtoGg,"ERROR"))</f>
        <v>37.455910775606171</v>
      </c>
      <c r="U1072" s="93">
        <f>IF('Net zero activities &amp; levers'!$C$14="Off",('Activity data'!AN10*EF!$H9)*kgtoGg,IF('Net zero activities &amp; levers'!$C$14="On",('Net zero Activity data'!AN10*EF!$H9)*kgtoGg,"ERROR"))</f>
        <v>120.85470894098397</v>
      </c>
      <c r="V1072" s="93">
        <f>IF('Net zero activities &amp; levers'!$C$14="Off",('Activity data'!AO10*EF!$H9)*kgtoGg,IF('Net zero activities &amp; levers'!$C$14="On",('Net zero Activity data'!AO10*EF!$H9)*kgtoGg,"ERROR"))</f>
        <v>124.28654564348025</v>
      </c>
      <c r="W1072" s="93">
        <f>IF('Net zero activities &amp; levers'!$C$14="Off",('Activity data'!AP10*EF!$H9)*kgtoGg,IF('Net zero activities &amp; levers'!$C$14="On",('Net zero Activity data'!AP10*EF!$H9)*kgtoGg,"ERROR"))</f>
        <v>127.55864590441264</v>
      </c>
      <c r="X1072" s="93">
        <f>IF('Net zero activities &amp; levers'!$C$14="Off",('Activity data'!AQ10*EF!$H9)*kgtoGg,IF('Net zero activities &amp; levers'!$C$14="On",('Net zero Activity data'!AQ10*EF!$H9)*kgtoGg,"ERROR"))</f>
        <v>130.65843671178916</v>
      </c>
      <c r="Y1072" s="93">
        <f>IF('Net zero activities &amp; levers'!$C$14="Off",('Activity data'!AR10*EF!$H9)*kgtoGg,IF('Net zero activities &amp; levers'!$C$14="On",('Net zero Activity data'!AR10*EF!$H9)*kgtoGg,"ERROR"))</f>
        <v>133.57680599902966</v>
      </c>
      <c r="Z1072" s="93">
        <f>IF('Net zero activities &amp; levers'!$C$14="Off",('Activity data'!AS10*EF!$H9)*kgtoGg,IF('Net zero activities &amp; levers'!$C$14="On",('Net zero Activity data'!AS10*EF!$H9)*kgtoGg,"ERROR"))</f>
        <v>136.29836120715478</v>
      </c>
      <c r="AA1072" s="93">
        <f>IF('Net zero activities &amp; levers'!$C$14="Off",('Activity data'!AT10*EF!$H9)*kgtoGg,IF('Net zero activities &amp; levers'!$C$14="On",('Net zero Activity data'!AT10*EF!$H9)*kgtoGg,"ERROR"))</f>
        <v>138.8087353610496</v>
      </c>
      <c r="AB1072" s="93">
        <f>IF('Net zero activities &amp; levers'!$C$14="Off",('Activity data'!AU10*EF!$H9)*kgtoGg,IF('Net zero activities &amp; levers'!$C$14="On",('Net zero Activity data'!AU10*EF!$H9)*kgtoGg,"ERROR"))</f>
        <v>141.09420138271955</v>
      </c>
      <c r="AC1072" s="93">
        <f>IF('Net zero activities &amp; levers'!$C$14="Off",('Activity data'!AV10*EF!$H9)*kgtoGg,IF('Net zero activities &amp; levers'!$C$14="On",('Net zero Activity data'!AV10*EF!$H9)*kgtoGg,"ERROR"))</f>
        <v>143.14192494700313</v>
      </c>
      <c r="AD1072" s="93">
        <f>IF('Net zero activities &amp; levers'!$C$14="Off",('Activity data'!AW10*EF!$H9)*kgtoGg,IF('Net zero activities &amp; levers'!$C$14="On",('Net zero Activity data'!AW10*EF!$H9)*kgtoGg,"ERROR"))</f>
        <v>145.32079439837173</v>
      </c>
      <c r="AE1072" s="93">
        <f>IF('Net zero activities &amp; levers'!$C$14="Off",('Activity data'!AX10*EF!$H9)*kgtoGg,IF('Net zero activities &amp; levers'!$C$14="On",('Net zero Activity data'!AX10*EF!$H9)*kgtoGg,"ERROR"))</f>
        <v>147.24589460251983</v>
      </c>
      <c r="AF1072" s="93">
        <f>IF('Net zero activities &amp; levers'!$C$14="Off",('Activity data'!AY10*EF!$H9)*kgtoGg,IF('Net zero activities &amp; levers'!$C$14="On",('Net zero Activity data'!AY10*EF!$H9)*kgtoGg,"ERROR"))</f>
        <v>148.90595700146477</v>
      </c>
      <c r="AG1072" s="93">
        <f>IF('Net zero activities &amp; levers'!$C$14="Off",('Activity data'!AZ10*EF!$H9)*kgtoGg,IF('Net zero activities &amp; levers'!$C$14="On",('Net zero Activity data'!AZ10*EF!$H9)*kgtoGg,"ERROR"))</f>
        <v>150.29119988084832</v>
      </c>
      <c r="AH1072" s="93">
        <f>IF('Net zero activities &amp; levers'!$C$14="Off",('Activity data'!BA10*EF!$H9)*kgtoGg,IF('Net zero activities &amp; levers'!$C$14="On",('Net zero Activity data'!BA10*EF!$H9)*kgtoGg,"ERROR"))</f>
        <v>151.39298806651198</v>
      </c>
      <c r="AI1072" s="93">
        <f>IF('Net zero activities &amp; levers'!$C$14="Off",('Activity data'!BB10*EF!$H9)*kgtoGg,IF('Net zero activities &amp; levers'!$C$14="On",('Net zero Activity data'!BB10*EF!$H9)*kgtoGg,"ERROR"))</f>
        <v>152.2040963869018</v>
      </c>
      <c r="AJ1072" s="93">
        <f>IF('Net zero activities &amp; levers'!$C$14="Off",('Activity data'!BC10*EF!$H9)*kgtoGg,IF('Net zero activities &amp; levers'!$C$14="On",('Net zero Activity data'!BC10*EF!$H9)*kgtoGg,"ERROR"))</f>
        <v>-12.150089844770541</v>
      </c>
      <c r="AK1072" s="93">
        <f>IF('Net zero activities &amp; levers'!$C$14="Off",('Activity data'!BD10*EF!$H9)*kgtoGg,IF('Net zero activities &amp; levers'!$C$14="On",('Net zero Activity data'!BD10*EF!$H9)*kgtoGg,"ERROR"))</f>
        <v>-12.261292624366734</v>
      </c>
      <c r="AL1072" s="93">
        <f>IF('Net zero activities &amp; levers'!$C$14="Off",('Activity data'!BE10*EF!$H9)*kgtoGg,IF('Net zero activities &amp; levers'!$C$14="On",('Net zero Activity data'!BE10*EF!$H9)*kgtoGg,"ERROR"))</f>
        <v>-12.371760078813706</v>
      </c>
      <c r="AM1072" s="93">
        <f>IF('Net zero activities &amp; levers'!$C$14="Off",('Activity data'!BF10*EF!$H9)*kgtoGg,IF('Net zero activities &amp; levers'!$C$14="On",('Net zero Activity data'!BF10*EF!$H9)*kgtoGg,"ERROR"))</f>
        <v>-12.481547229069234</v>
      </c>
      <c r="AN1072" s="93">
        <f>IF('Net zero activities &amp; levers'!$C$14="Off",('Activity data'!BG10*EF!$H9)*kgtoGg,IF('Net zero activities &amp; levers'!$C$14="On",('Net zero Activity data'!BG10*EF!$H9)*kgtoGg,"ERROR"))</f>
        <v>-12.575061773814197</v>
      </c>
      <c r="AO1072" s="93">
        <f>IF('Net zero activities &amp; levers'!$C$14="Off",('Activity data'!BH10*EF!$H9)*kgtoGg,IF('Net zero activities &amp; levers'!$C$14="On",('Net zero Activity data'!BH10*EF!$H9)*kgtoGg,"ERROR"))</f>
        <v>-12.667641248223251</v>
      </c>
      <c r="AP1072" s="93">
        <f>IF('Net zero activities &amp; levers'!$C$14="Off",('Activity data'!BI10*EF!$H9)*kgtoGg,IF('Net zero activities &amp; levers'!$C$14="On",('Net zero Activity data'!BI10*EF!$H9)*kgtoGg,"ERROR"))</f>
        <v>-12.759143955764493</v>
      </c>
      <c r="AQ1072" s="93">
        <f>IF('Net zero activities &amp; levers'!$C$14="Off",('Activity data'!BJ10*EF!$H9)*kgtoGg,IF('Net zero activities &amp; levers'!$C$14="On",('Net zero Activity data'!BJ10*EF!$H9)*kgtoGg,"ERROR"))</f>
        <v>-12.849544731083009</v>
      </c>
      <c r="AR1072" s="93">
        <f>IF('Net zero activities &amp; levers'!$C$14="Off",('Activity data'!BK10*EF!$H9)*kgtoGg,IF('Net zero activities &amp; levers'!$C$14="On",('Net zero Activity data'!BK10*EF!$H9)*kgtoGg,"ERROR"))</f>
        <v>-12.938674897522816</v>
      </c>
      <c r="AS1072" s="93">
        <f>IF('Net zero activities &amp; levers'!$C$14="Off",('Activity data'!BL10*EF!$H9)*kgtoGg,IF('Net zero activities &amp; levers'!$C$14="On",('Net zero Activity data'!BL10*EF!$H9)*kgtoGg,"ERROR"))</f>
        <v>-13.02634616662869</v>
      </c>
      <c r="AT1072" s="93">
        <f>IF('Net zero activities &amp; levers'!$C$14="Off",('Activity data'!BM10*EF!$H9)*kgtoGg,IF('Net zero activities &amp; levers'!$C$14="On",('Net zero Activity data'!BM10*EF!$H9)*kgtoGg,"ERROR"))</f>
        <v>-13.112524146200343</v>
      </c>
      <c r="AU1072" s="93">
        <f>IF('Net zero activities &amp; levers'!$C$14="Off",('Activity data'!BN10*EF!$H9)*kgtoGg,IF('Net zero activities &amp; levers'!$C$14="On",('Net zero Activity data'!BN10*EF!$H9)*kgtoGg,"ERROR"))</f>
        <v>-13.197221864241371</v>
      </c>
      <c r="AV1072" s="93">
        <f>IF('Net zero activities &amp; levers'!$C$14="Off",('Activity data'!BO10*EF!$H9)*kgtoGg,IF('Net zero activities &amp; levers'!$C$14="On",('Net zero Activity data'!BO10*EF!$H9)*kgtoGg,"ERROR"))</f>
        <v>-13.28044453197926</v>
      </c>
      <c r="AW1072" s="93">
        <f>IF('Net zero activities &amp; levers'!$C$14="Off",('Activity data'!BP10*EF!$H9)*kgtoGg,IF('Net zero activities &amp; levers'!$C$14="On",('Net zero Activity data'!BP10*EF!$H9)*kgtoGg,"ERROR"))</f>
        <v>-13.362004258887673</v>
      </c>
      <c r="AY1072" s="79"/>
    </row>
    <row r="1073" spans="1:51" x14ac:dyDescent="0.25">
      <c r="A1073" s="95" t="str">
        <f t="shared" si="373"/>
        <v>CM Sheep</v>
      </c>
      <c r="B1073" s="95" t="s">
        <v>1322</v>
      </c>
      <c r="C1073" s="95" t="s">
        <v>152</v>
      </c>
      <c r="D1073" t="s">
        <v>15</v>
      </c>
      <c r="E1073" t="s">
        <v>16</v>
      </c>
      <c r="F1073" t="s">
        <v>18</v>
      </c>
      <c r="G1073" t="s">
        <v>122</v>
      </c>
      <c r="H1073" t="s">
        <v>1020</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134.51556530099631</v>
      </c>
      <c r="T1073" s="93">
        <f>IF('Net zero activities &amp; levers'!$C$14="Off",('Activity data'!AM11*EF!$H10)*kgtoGg,IF('Net zero activities &amp; levers'!$C$14="On",('Net zero Activity data'!AM11*EF!$H10)*kgtoGg,"ERROR"))</f>
        <v>134.60509112337468</v>
      </c>
      <c r="U1073" s="93">
        <f>IF('Net zero activities &amp; levers'!$C$14="Off",('Activity data'!AN11*EF!$H10)*kgtoGg,IF('Net zero activities &amp; levers'!$C$14="On",('Net zero Activity data'!AN11*EF!$H10)*kgtoGg,"ERROR"))</f>
        <v>136.35833424652054</v>
      </c>
      <c r="V1073" s="93">
        <f>IF('Net zero activities &amp; levers'!$C$14="Off",('Activity data'!AO11*EF!$H10)*kgtoGg,IF('Net zero activities &amp; levers'!$C$14="On",('Net zero Activity data'!AO11*EF!$H10)*kgtoGg,"ERROR"))</f>
        <v>136.40110324414033</v>
      </c>
      <c r="W1073" s="93">
        <f>IF('Net zero activities &amp; levers'!$C$14="Off",('Activity data'!AP11*EF!$H10)*kgtoGg,IF('Net zero activities &amp; levers'!$C$14="On",('Net zero Activity data'!AP11*EF!$H10)*kgtoGg,"ERROR"))</f>
        <v>136.58404654274005</v>
      </c>
      <c r="X1073" s="93">
        <f>IF('Net zero activities &amp; levers'!$C$14="Off",('Activity data'!AQ11*EF!$H10)*kgtoGg,IF('Net zero activities &amp; levers'!$C$14="On",('Net zero Activity data'!AQ11*EF!$H10)*kgtoGg,"ERROR"))</f>
        <v>136.84849552124783</v>
      </c>
      <c r="Y1073" s="93">
        <f>IF('Net zero activities &amp; levers'!$C$14="Off",('Activity data'!AR11*EF!$H10)*kgtoGg,IF('Net zero activities &amp; levers'!$C$14="On",('Net zero Activity data'!AR11*EF!$H10)*kgtoGg,"ERROR"))</f>
        <v>137.09415955987274</v>
      </c>
      <c r="Z1073" s="93">
        <f>IF('Net zero activities &amp; levers'!$C$14="Off",('Activity data'!AS11*EF!$H10)*kgtoGg,IF('Net zero activities &amp; levers'!$C$14="On",('Net zero Activity data'!AS11*EF!$H10)*kgtoGg,"ERROR"))</f>
        <v>137.32408030952666</v>
      </c>
      <c r="AA1073" s="93">
        <f>IF('Net zero activities &amp; levers'!$C$14="Off",('Activity data'!AT11*EF!$H10)*kgtoGg,IF('Net zero activities &amp; levers'!$C$14="On",('Net zero Activity data'!AT11*EF!$H10)*kgtoGg,"ERROR"))</f>
        <v>137.53703172758449</v>
      </c>
      <c r="AB1073" s="93">
        <f>IF('Net zero activities &amp; levers'!$C$14="Off",('Activity data'!AU11*EF!$H10)*kgtoGg,IF('Net zero activities &amp; levers'!$C$14="On",('Net zero Activity data'!AU11*EF!$H10)*kgtoGg,"ERROR"))</f>
        <v>137.73493252382224</v>
      </c>
      <c r="AC1073" s="93">
        <f>IF('Net zero activities &amp; levers'!$C$14="Off",('Activity data'!AV11*EF!$H10)*kgtoGg,IF('Net zero activities &amp; levers'!$C$14="On",('Net zero Activity data'!AV11*EF!$H10)*kgtoGg,"ERROR"))</f>
        <v>137.92078465176073</v>
      </c>
      <c r="AD1073" s="93">
        <f>IF('Net zero activities &amp; levers'!$C$14="Off",('Activity data'!AW11*EF!$H10)*kgtoGg,IF('Net zero activities &amp; levers'!$C$14="On",('Net zero Activity data'!AW11*EF!$H10)*kgtoGg,"ERROR"))</f>
        <v>138.09441299579947</v>
      </c>
      <c r="AE1073" s="93">
        <f>IF('Net zero activities &amp; levers'!$C$14="Off",('Activity data'!AX11*EF!$H10)*kgtoGg,IF('Net zero activities &amp; levers'!$C$14="On",('Net zero Activity data'!AX11*EF!$H10)*kgtoGg,"ERROR"))</f>
        <v>138.25859465521103</v>
      </c>
      <c r="AF1073" s="93">
        <f>IF('Net zero activities &amp; levers'!$C$14="Off",('Activity data'!AY11*EF!$H10)*kgtoGg,IF('Net zero activities &amp; levers'!$C$14="On",('Net zero Activity data'!AY11*EF!$H10)*kgtoGg,"ERROR"))</f>
        <v>138.41372705764812</v>
      </c>
      <c r="AG1073" s="93">
        <f>IF('Net zero activities &amp; levers'!$C$14="Off",('Activity data'!AZ11*EF!$H10)*kgtoGg,IF('Net zero activities &amp; levers'!$C$14="On",('Net zero Activity data'!AZ11*EF!$H10)*kgtoGg,"ERROR"))</f>
        <v>138.55768393469623</v>
      </c>
      <c r="AH1073" s="93">
        <f>IF('Net zero activities &amp; levers'!$C$14="Off",('Activity data'!BA11*EF!$H10)*kgtoGg,IF('Net zero activities &amp; levers'!$C$14="On",('Net zero Activity data'!BA11*EF!$H10)*kgtoGg,"ERROR"))</f>
        <v>138.69178217062699</v>
      </c>
      <c r="AI1073" s="93">
        <f>IF('Net zero activities &amp; levers'!$C$14="Off",('Activity data'!BB11*EF!$H10)*kgtoGg,IF('Net zero activities &amp; levers'!$C$14="On",('Net zero Activity data'!BB11*EF!$H10)*kgtoGg,"ERROR"))</f>
        <v>138.81816108295814</v>
      </c>
      <c r="AJ1073" s="93">
        <f>IF('Net zero activities &amp; levers'!$C$14="Off",('Activity data'!BC11*EF!$H10)*kgtoGg,IF('Net zero activities &amp; levers'!$C$14="On",('Net zero Activity data'!BC11*EF!$H10)*kgtoGg,"ERROR"))</f>
        <v>135.77163521502163</v>
      </c>
      <c r="AK1073" s="93">
        <f>IF('Net zero activities &amp; levers'!$C$14="Off",('Activity data'!BD11*EF!$H10)*kgtoGg,IF('Net zero activities &amp; levers'!$C$14="On",('Net zero Activity data'!BD11*EF!$H10)*kgtoGg,"ERROR"))</f>
        <v>135.89648953385836</v>
      </c>
      <c r="AL1073" s="93">
        <f>IF('Net zero activities &amp; levers'!$C$14="Off",('Activity data'!BE11*EF!$H10)*kgtoGg,IF('Net zero activities &amp; levers'!$C$14="On",('Net zero Activity data'!BE11*EF!$H10)*kgtoGg,"ERROR"))</f>
        <v>136.01294647652736</v>
      </c>
      <c r="AM1073" s="93">
        <f>IF('Net zero activities &amp; levers'!$C$14="Off",('Activity data'!BF11*EF!$H10)*kgtoGg,IF('Net zero activities &amp; levers'!$C$14="On",('Net zero Activity data'!BF11*EF!$H10)*kgtoGg,"ERROR"))</f>
        <v>136.12171776801748</v>
      </c>
      <c r="AN1073" s="93">
        <f>IF('Net zero activities &amp; levers'!$C$14="Off",('Activity data'!BG11*EF!$H10)*kgtoGg,IF('Net zero activities &amp; levers'!$C$14="On",('Net zero Activity data'!BG11*EF!$H10)*kgtoGg,"ERROR"))</f>
        <v>136.22366859450332</v>
      </c>
      <c r="AO1073" s="93">
        <f>IF('Net zero activities &amp; levers'!$C$14="Off",('Activity data'!BH11*EF!$H10)*kgtoGg,IF('Net zero activities &amp; levers'!$C$14="On",('Net zero Activity data'!BH11*EF!$H10)*kgtoGg,"ERROR"))</f>
        <v>136.31611723482146</v>
      </c>
      <c r="AP1073" s="93">
        <f>IF('Net zero activities &amp; levers'!$C$14="Off",('Activity data'!BI11*EF!$H10)*kgtoGg,IF('Net zero activities &amp; levers'!$C$14="On",('Net zero Activity data'!BI11*EF!$H10)*kgtoGg,"ERROR"))</f>
        <v>136.39727280638544</v>
      </c>
      <c r="AQ1073" s="93">
        <f>IF('Net zero activities &amp; levers'!$C$14="Off",('Activity data'!BJ11*EF!$H10)*kgtoGg,IF('Net zero activities &amp; levers'!$C$14="On",('Net zero Activity data'!BJ11*EF!$H10)*kgtoGg,"ERROR"))</f>
        <v>136.46687299989276</v>
      </c>
      <c r="AR1073" s="93">
        <f>IF('Net zero activities &amp; levers'!$C$14="Off",('Activity data'!BK11*EF!$H10)*kgtoGg,IF('Net zero activities &amp; levers'!$C$14="On",('Net zero Activity data'!BK11*EF!$H10)*kgtoGg,"ERROR"))</f>
        <v>136.52287982045266</v>
      </c>
      <c r="AS1073" s="93">
        <f>IF('Net zero activities &amp; levers'!$C$14="Off",('Activity data'!BL11*EF!$H10)*kgtoGg,IF('Net zero activities &amp; levers'!$C$14="On",('Net zero Activity data'!BL11*EF!$H10)*kgtoGg,"ERROR"))</f>
        <v>136.56307802336653</v>
      </c>
      <c r="AT1073" s="93">
        <f>IF('Net zero activities &amp; levers'!$C$14="Off",('Activity data'!BM11*EF!$H10)*kgtoGg,IF('Net zero activities &amp; levers'!$C$14="On",('Net zero Activity data'!BM11*EF!$H10)*kgtoGg,"ERROR"))</f>
        <v>136.58721779491506</v>
      </c>
      <c r="AU1073" s="93">
        <f>IF('Net zero activities &amp; levers'!$C$14="Off",('Activity data'!BN11*EF!$H10)*kgtoGg,IF('Net zero activities &amp; levers'!$C$14="On",('Net zero Activity data'!BN11*EF!$H10)*kgtoGg,"ERROR"))</f>
        <v>136.59564346547165</v>
      </c>
      <c r="AV1073" s="93">
        <f>IF('Net zero activities &amp; levers'!$C$14="Off",('Activity data'!BO11*EF!$H10)*kgtoGg,IF('Net zero activities &amp; levers'!$C$14="On",('Net zero Activity data'!BO11*EF!$H10)*kgtoGg,"ERROR"))</f>
        <v>136.58860148831764</v>
      </c>
      <c r="AW1073" s="93">
        <f>IF('Net zero activities &amp; levers'!$C$14="Off",('Activity data'!BP11*EF!$H10)*kgtoGg,IF('Net zero activities &amp; levers'!$C$14="On",('Net zero Activity data'!BP11*EF!$H10)*kgtoGg,"ERROR"))</f>
        <v>136.56400681676968</v>
      </c>
      <c r="AY1073" s="79"/>
    </row>
    <row r="1074" spans="1:51" x14ac:dyDescent="0.25">
      <c r="A1074" s="95" t="str">
        <f t="shared" si="373"/>
        <v>CM Sheep</v>
      </c>
      <c r="B1074" s="95" t="s">
        <v>1322</v>
      </c>
      <c r="C1074" s="95" t="s">
        <v>152</v>
      </c>
      <c r="D1074" t="s">
        <v>15</v>
      </c>
      <c r="E1074" t="s">
        <v>16</v>
      </c>
      <c r="F1074" t="s">
        <v>18</v>
      </c>
      <c r="G1074" t="s">
        <v>123</v>
      </c>
      <c r="H1074" t="s">
        <v>1020</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14.577965145623706</v>
      </c>
      <c r="T1074" s="93">
        <f>IF('Net zero activities &amp; levers'!$C$14="Off",('Activity data'!AM12*EF!$H11)*kgtoGg,IF('Net zero activities &amp; levers'!$C$14="On",('Net zero Activity data'!AM12*EF!$H11)*kgtoGg,"ERROR"))</f>
        <v>14.587667400640397</v>
      </c>
      <c r="U1074" s="93">
        <f>IF('Net zero activities &amp; levers'!$C$14="Off",('Activity data'!AN12*EF!$H11)*kgtoGg,IF('Net zero activities &amp; levers'!$C$14="On",('Net zero Activity data'!AN12*EF!$H11)*kgtoGg,"ERROR"))</f>
        <v>14.777673048565481</v>
      </c>
      <c r="V1074" s="93">
        <f>IF('Net zero activities &amp; levers'!$C$14="Off",('Activity data'!AO12*EF!$H11)*kgtoGg,IF('Net zero activities &amp; levers'!$C$14="On",('Net zero Activity data'!AO12*EF!$H11)*kgtoGg,"ERROR"))</f>
        <v>14.782308088051206</v>
      </c>
      <c r="W1074" s="93">
        <f>IF('Net zero activities &amp; levers'!$C$14="Off",('Activity data'!AP12*EF!$H11)*kgtoGg,IF('Net zero activities &amp; levers'!$C$14="On",('Net zero Activity data'!AP12*EF!$H11)*kgtoGg,"ERROR"))</f>
        <v>14.802134351462762</v>
      </c>
      <c r="X1074" s="93">
        <f>IF('Net zero activities &amp; levers'!$C$14="Off",('Activity data'!AQ12*EF!$H11)*kgtoGg,IF('Net zero activities &amp; levers'!$C$14="On",('Net zero Activity data'!AQ12*EF!$H11)*kgtoGg,"ERROR"))</f>
        <v>14.830793696445298</v>
      </c>
      <c r="Y1074" s="93">
        <f>IF('Net zero activities &amp; levers'!$C$14="Off",('Activity data'!AR12*EF!$H11)*kgtoGg,IF('Net zero activities &amp; levers'!$C$14="On",('Net zero Activity data'!AR12*EF!$H11)*kgtoGg,"ERROR"))</f>
        <v>14.857417245806248</v>
      </c>
      <c r="Z1074" s="93">
        <f>IF('Net zero activities &amp; levers'!$C$14="Off",('Activity data'!AS12*EF!$H11)*kgtoGg,IF('Net zero activities &amp; levers'!$C$14="On",('Net zero Activity data'!AS12*EF!$H11)*kgtoGg,"ERROR"))</f>
        <v>14.882334634862383</v>
      </c>
      <c r="AA1074" s="93">
        <f>IF('Net zero activities &amp; levers'!$C$14="Off",('Activity data'!AT12*EF!$H11)*kgtoGg,IF('Net zero activities &amp; levers'!$C$14="On",('Net zero Activity data'!AT12*EF!$H11)*kgtoGg,"ERROR"))</f>
        <v>14.905412992695631</v>
      </c>
      <c r="AB1074" s="93">
        <f>IF('Net zero activities &amp; levers'!$C$14="Off",('Activity data'!AU12*EF!$H11)*kgtoGg,IF('Net zero activities &amp; levers'!$C$14="On",('Net zero Activity data'!AU12*EF!$H11)*kgtoGg,"ERROR"))</f>
        <v>14.926860257206538</v>
      </c>
      <c r="AC1074" s="93">
        <f>IF('Net zero activities &amp; levers'!$C$14="Off",('Activity data'!AV12*EF!$H11)*kgtoGg,IF('Net zero activities &amp; levers'!$C$14="On",('Net zero Activity data'!AV12*EF!$H11)*kgtoGg,"ERROR"))</f>
        <v>14.947001761554121</v>
      </c>
      <c r="AD1074" s="93">
        <f>IF('Net zero activities &amp; levers'!$C$14="Off",('Activity data'!AW12*EF!$H11)*kgtoGg,IF('Net zero activities &amp; levers'!$C$14="On",('Net zero Activity data'!AW12*EF!$H11)*kgtoGg,"ERROR"))</f>
        <v>14.965818527792479</v>
      </c>
      <c r="AE1074" s="93">
        <f>IF('Net zero activities &amp; levers'!$C$14="Off",('Activity data'!AX12*EF!$H11)*kgtoGg,IF('Net zero activities &amp; levers'!$C$14="On",('Net zero Activity data'!AX12*EF!$H11)*kgtoGg,"ERROR"))</f>
        <v>14.983611520767653</v>
      </c>
      <c r="AF1074" s="93">
        <f>IF('Net zero activities &amp; levers'!$C$14="Off",('Activity data'!AY12*EF!$H11)*kgtoGg,IF('Net zero activities &amp; levers'!$C$14="On",('Net zero Activity data'!AY12*EF!$H11)*kgtoGg,"ERROR"))</f>
        <v>15.000423811231022</v>
      </c>
      <c r="AG1074" s="93">
        <f>IF('Net zero activities &amp; levers'!$C$14="Off",('Activity data'!AZ12*EF!$H11)*kgtoGg,IF('Net zero activities &amp; levers'!$C$14="On",('Net zero Activity data'!AZ12*EF!$H11)*kgtoGg,"ERROR"))</f>
        <v>15.016024967360309</v>
      </c>
      <c r="AH1074" s="93">
        <f>IF('Net zero activities &amp; levers'!$C$14="Off",('Activity data'!BA12*EF!$H11)*kgtoGg,IF('Net zero activities &amp; levers'!$C$14="On",('Net zero Activity data'!BA12*EF!$H11)*kgtoGg,"ERROR"))</f>
        <v>15.030557704929484</v>
      </c>
      <c r="AI1074" s="93">
        <f>IF('Net zero activities &amp; levers'!$C$14="Off",('Activity data'!BB12*EF!$H11)*kgtoGg,IF('Net zero activities &amp; levers'!$C$14="On",('Net zero Activity data'!BB12*EF!$H11)*kgtoGg,"ERROR"))</f>
        <v>15.044253869941933</v>
      </c>
      <c r="AJ1074" s="93">
        <f>IF('Net zero activities &amp; levers'!$C$14="Off",('Activity data'!BC12*EF!$H11)*kgtoGg,IF('Net zero activities &amp; levers'!$C$14="On",('Net zero Activity data'!BC12*EF!$H11)*kgtoGg,"ERROR"))</f>
        <v>14.714090235580054</v>
      </c>
      <c r="AK1074" s="93">
        <f>IF('Net zero activities &amp; levers'!$C$14="Off",('Activity data'!BD12*EF!$H11)*kgtoGg,IF('Net zero activities &amp; levers'!$C$14="On",('Net zero Activity data'!BD12*EF!$H11)*kgtoGg,"ERROR"))</f>
        <v>14.727621174577411</v>
      </c>
      <c r="AL1074" s="93">
        <f>IF('Net zero activities &amp; levers'!$C$14="Off",('Activity data'!BE12*EF!$H11)*kgtoGg,IF('Net zero activities &amp; levers'!$C$14="On",('Net zero Activity data'!BE12*EF!$H11)*kgtoGg,"ERROR"))</f>
        <v>14.740242057873667</v>
      </c>
      <c r="AM1074" s="93">
        <f>IF('Net zero activities &amp; levers'!$C$14="Off",('Activity data'!BF12*EF!$H11)*kgtoGg,IF('Net zero activities &amp; levers'!$C$14="On",('Net zero Activity data'!BF12*EF!$H11)*kgtoGg,"ERROR"))</f>
        <v>14.752030017821943</v>
      </c>
      <c r="AN1074" s="93">
        <f>IF('Net zero activities &amp; levers'!$C$14="Off",('Activity data'!BG12*EF!$H11)*kgtoGg,IF('Net zero activities &amp; levers'!$C$14="On",('Net zero Activity data'!BG12*EF!$H11)*kgtoGg,"ERROR"))</f>
        <v>14.763078817949665</v>
      </c>
      <c r="AO1074" s="93">
        <f>IF('Net zero activities &amp; levers'!$C$14="Off",('Activity data'!BH12*EF!$H11)*kgtoGg,IF('Net zero activities &amp; levers'!$C$14="On",('Net zero Activity data'!BH12*EF!$H11)*kgtoGg,"ERROR"))</f>
        <v>14.773097829900454</v>
      </c>
      <c r="AP1074" s="93">
        <f>IF('Net zero activities &amp; levers'!$C$14="Off",('Activity data'!BI12*EF!$H11)*kgtoGg,IF('Net zero activities &amp; levers'!$C$14="On",('Net zero Activity data'!BI12*EF!$H11)*kgtoGg,"ERROR"))</f>
        <v>14.781892968894116</v>
      </c>
      <c r="AQ1074" s="93">
        <f>IF('Net zero activities &amp; levers'!$C$14="Off",('Activity data'!BJ12*EF!$H11)*kgtoGg,IF('Net zero activities &amp; levers'!$C$14="On",('Net zero Activity data'!BJ12*EF!$H11)*kgtoGg,"ERROR"))</f>
        <v>14.789435807470511</v>
      </c>
      <c r="AR1074" s="93">
        <f>IF('Net zero activities &amp; levers'!$C$14="Off",('Activity data'!BK12*EF!$H11)*kgtoGg,IF('Net zero activities &amp; levers'!$C$14="On",('Net zero Activity data'!BK12*EF!$H11)*kgtoGg,"ERROR"))</f>
        <v>14.795505480346009</v>
      </c>
      <c r="AS1074" s="93">
        <f>IF('Net zero activities &amp; levers'!$C$14="Off",('Activity data'!BL12*EF!$H11)*kgtoGg,IF('Net zero activities &amp; levers'!$C$14="On",('Net zero Activity data'!BL12*EF!$H11)*kgtoGg,"ERROR"))</f>
        <v>14.799861912998866</v>
      </c>
      <c r="AT1074" s="93">
        <f>IF('Net zero activities &amp; levers'!$C$14="Off",('Activity data'!BM12*EF!$H11)*kgtoGg,IF('Net zero activities &amp; levers'!$C$14="On",('Net zero Activity data'!BM12*EF!$H11)*kgtoGg,"ERROR"))</f>
        <v>14.802478032162998</v>
      </c>
      <c r="AU1074" s="93">
        <f>IF('Net zero activities &amp; levers'!$C$14="Off",('Activity data'!BN12*EF!$H11)*kgtoGg,IF('Net zero activities &amp; levers'!$C$14="On",('Net zero Activity data'!BN12*EF!$H11)*kgtoGg,"ERROR"))</f>
        <v>14.803391154234989</v>
      </c>
      <c r="AV1074" s="93">
        <f>IF('Net zero activities &amp; levers'!$C$14="Off",('Activity data'!BO12*EF!$H11)*kgtoGg,IF('Net zero activities &amp; levers'!$C$14="On",('Net zero Activity data'!BO12*EF!$H11)*kgtoGg,"ERROR"))</f>
        <v>14.802627988297443</v>
      </c>
      <c r="AW1074" s="93">
        <f>IF('Net zero activities &amp; levers'!$C$14="Off",('Activity data'!BP12*EF!$H11)*kgtoGg,IF('Net zero activities &amp; levers'!$C$14="On",('Net zero Activity data'!BP12*EF!$H11)*kgtoGg,"ERROR"))</f>
        <v>14.799962569884396</v>
      </c>
      <c r="AY1074" s="79"/>
    </row>
    <row r="1075" spans="1:51" x14ac:dyDescent="0.25">
      <c r="A1075" s="95" t="str">
        <f t="shared" si="373"/>
        <v>CM Goats</v>
      </c>
      <c r="B1075" s="95" t="s">
        <v>1322</v>
      </c>
      <c r="C1075" s="95" t="s">
        <v>153</v>
      </c>
      <c r="D1075" t="s">
        <v>15</v>
      </c>
      <c r="E1075" t="s">
        <v>16</v>
      </c>
      <c r="F1075" t="s">
        <v>19</v>
      </c>
      <c r="G1075" t="s">
        <v>122</v>
      </c>
      <c r="H1075" t="s">
        <v>1020</v>
      </c>
      <c r="I1075" t="s">
        <v>121</v>
      </c>
      <c r="J1075" t="s">
        <v>286</v>
      </c>
      <c r="K1075" s="93">
        <f>IF('Net zero activities &amp; levers'!$C$14="Off",('Activity data'!AD13*EF!$H12)*kgtoGg,IF('Net zero activities &amp; levers'!$C$14="On",('Net zero Activity data'!AD13*EF!$H12)*kgtoGg,"ERROR"))</f>
        <v>15.123414197798359</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15.545788610572222</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15.609909908763072</v>
      </c>
      <c r="T1075" s="93">
        <f>IF('Net zero activities &amp; levers'!$C$14="Off",('Activity data'!AM13*EF!$H12)*kgtoGg,IF('Net zero activities &amp; levers'!$C$14="On",('Net zero Activity data'!AM13*EF!$H12)*kgtoGg,"ERROR"))</f>
        <v>15.635455939498677</v>
      </c>
      <c r="U1075" s="93">
        <f>IF('Net zero activities &amp; levers'!$C$14="Off",('Activity data'!AN13*EF!$H12)*kgtoGg,IF('Net zero activities &amp; levers'!$C$14="On",('Net zero Activity data'!AN13*EF!$H12)*kgtoGg,"ERROR"))</f>
        <v>15.95246888070791</v>
      </c>
      <c r="V1075" s="93">
        <f>IF('Net zero activities &amp; levers'!$C$14="Off",('Activity data'!AO13*EF!$H12)*kgtoGg,IF('Net zero activities &amp; levers'!$C$14="On",('Net zero Activity data'!AO13*EF!$H12)*kgtoGg,"ERROR"))</f>
        <v>15.966791142533616</v>
      </c>
      <c r="W1075" s="93">
        <f>IF('Net zero activities &amp; levers'!$C$14="Off",('Activity data'!AP13*EF!$H12)*kgtoGg,IF('Net zero activities &amp; levers'!$C$14="On",('Net zero Activity data'!AP13*EF!$H12)*kgtoGg,"ERROR"))</f>
        <v>16.004709527553434</v>
      </c>
      <c r="X1075" s="93">
        <f>IF('Net zero activities &amp; levers'!$C$14="Off",('Activity data'!AQ13*EF!$H12)*kgtoGg,IF('Net zero activities &amp; levers'!$C$14="On",('Net zero Activity data'!AQ13*EF!$H12)*kgtoGg,"ERROR"))</f>
        <v>16.055885293055152</v>
      </c>
      <c r="Y1075" s="93">
        <f>IF('Net zero activities &amp; levers'!$C$14="Off",('Activity data'!AR13*EF!$H12)*kgtoGg,IF('Net zero activities &amp; levers'!$C$14="On",('Net zero Activity data'!AR13*EF!$H12)*kgtoGg,"ERROR"))</f>
        <v>16.102820608505493</v>
      </c>
      <c r="Z1075" s="93">
        <f>IF('Net zero activities &amp; levers'!$C$14="Off",('Activity data'!AS13*EF!$H12)*kgtoGg,IF('Net zero activities &amp; levers'!$C$14="On",('Net zero Activity data'!AS13*EF!$H12)*kgtoGg,"ERROR"))</f>
        <v>16.146135876832972</v>
      </c>
      <c r="AA1075" s="93">
        <f>IF('Net zero activities &amp; levers'!$C$14="Off",('Activity data'!AT13*EF!$H12)*kgtoGg,IF('Net zero activities &amp; levers'!$C$14="On",('Net zero Activity data'!AT13*EF!$H12)*kgtoGg,"ERROR"))</f>
        <v>16.185698238107559</v>
      </c>
      <c r="AB1075" s="93">
        <f>IF('Net zero activities &amp; levers'!$C$14="Off",('Activity data'!AU13*EF!$H12)*kgtoGg,IF('Net zero activities &amp; levers'!$C$14="On",('Net zero Activity data'!AU13*EF!$H12)*kgtoGg,"ERROR"))</f>
        <v>16.22191395009931</v>
      </c>
      <c r="AC1075" s="93">
        <f>IF('Net zero activities &amp; levers'!$C$14="Off",('Activity data'!AV13*EF!$H12)*kgtoGg,IF('Net zero activities &amp; levers'!$C$14="On",('Net zero Activity data'!AV13*EF!$H12)*kgtoGg,"ERROR"))</f>
        <v>16.25536732746065</v>
      </c>
      <c r="AD1075" s="93">
        <f>IF('Net zero activities &amp; levers'!$C$14="Off",('Activity data'!AW13*EF!$H12)*kgtoGg,IF('Net zero activities &amp; levers'!$C$14="On",('Net zero Activity data'!AW13*EF!$H12)*kgtoGg,"ERROR"))</f>
        <v>16.286085323517181</v>
      </c>
      <c r="AE1075" s="93">
        <f>IF('Net zero activities &amp; levers'!$C$14="Off",('Activity data'!AX13*EF!$H12)*kgtoGg,IF('Net zero activities &amp; levers'!$C$14="On",('Net zero Activity data'!AX13*EF!$H12)*kgtoGg,"ERROR"))</f>
        <v>16.31459834375584</v>
      </c>
      <c r="AF1075" s="93">
        <f>IF('Net zero activities &amp; levers'!$C$14="Off",('Activity data'!AY13*EF!$H12)*kgtoGg,IF('Net zero activities &amp; levers'!$C$14="On",('Net zero Activity data'!AY13*EF!$H12)*kgtoGg,"ERROR"))</f>
        <v>16.341020303059434</v>
      </c>
      <c r="AG1075" s="93">
        <f>IF('Net zero activities &amp; levers'!$C$14="Off",('Activity data'!AZ13*EF!$H12)*kgtoGg,IF('Net zero activities &amp; levers'!$C$14="On",('Net zero Activity data'!AZ13*EF!$H12)*kgtoGg,"ERROR"))</f>
        <v>16.365028601066268</v>
      </c>
      <c r="AH1075" s="93">
        <f>IF('Net zero activities &amp; levers'!$C$14="Off",('Activity data'!BA13*EF!$H12)*kgtoGg,IF('Net zero activities &amp; levers'!$C$14="On",('Net zero Activity data'!BA13*EF!$H12)*kgtoGg,"ERROR"))</f>
        <v>16.386889120844085</v>
      </c>
      <c r="AI1075" s="93">
        <f>IF('Net zero activities &amp; levers'!$C$14="Off",('Activity data'!BB13*EF!$H12)*kgtoGg,IF('Net zero activities &amp; levers'!$C$14="On",('Net zero Activity data'!BB13*EF!$H12)*kgtoGg,"ERROR"))</f>
        <v>16.407003513902541</v>
      </c>
      <c r="AJ1075" s="93">
        <f>IF('Net zero activities &amp; levers'!$C$14="Off",('Activity data'!BC13*EF!$H12)*kgtoGg,IF('Net zero activities &amp; levers'!$C$14="On",('Net zero Activity data'!BC13*EF!$H12)*kgtoGg,"ERROR"))</f>
        <v>15.886156568564889</v>
      </c>
      <c r="AK1075" s="93">
        <f>IF('Net zero activities &amp; levers'!$C$14="Off",('Activity data'!BD13*EF!$H12)*kgtoGg,IF('Net zero activities &amp; levers'!$C$14="On",('Net zero Activity data'!BD13*EF!$H12)*kgtoGg,"ERROR"))</f>
        <v>15.906232465615583</v>
      </c>
      <c r="AL1075" s="93">
        <f>IF('Net zero activities &amp; levers'!$C$14="Off",('Activity data'!BE13*EF!$H12)*kgtoGg,IF('Net zero activities &amp; levers'!$C$14="On",('Net zero Activity data'!BE13*EF!$H12)*kgtoGg,"ERROR"))</f>
        <v>15.924511297002383</v>
      </c>
      <c r="AM1075" s="93">
        <f>IF('Net zero activities &amp; levers'!$C$14="Off",('Activity data'!BF13*EF!$H12)*kgtoGg,IF('Net zero activities &amp; levers'!$C$14="On",('Net zero Activity data'!BF13*EF!$H12)*kgtoGg,"ERROR"))</f>
        <v>15.941140997111155</v>
      </c>
      <c r="AN1075" s="93">
        <f>IF('Net zero activities &amp; levers'!$C$14="Off",('Activity data'!BG13*EF!$H12)*kgtoGg,IF('Net zero activities &amp; levers'!$C$14="On",('Net zero Activity data'!BG13*EF!$H12)*kgtoGg,"ERROR"))</f>
        <v>15.956292884471127</v>
      </c>
      <c r="AO1075" s="93">
        <f>IF('Net zero activities &amp; levers'!$C$14="Off",('Activity data'!BH13*EF!$H12)*kgtoGg,IF('Net zero activities &amp; levers'!$C$14="On",('Net zero Activity data'!BH13*EF!$H12)*kgtoGg,"ERROR"))</f>
        <v>15.969536826708435</v>
      </c>
      <c r="AP1075" s="93">
        <f>IF('Net zero activities &amp; levers'!$C$14="Off",('Activity data'!BI13*EF!$H12)*kgtoGg,IF('Net zero activities &amp; levers'!$C$14="On",('Net zero Activity data'!BI13*EF!$H12)*kgtoGg,"ERROR"))</f>
        <v>15.980594577453482</v>
      </c>
      <c r="AQ1075" s="93">
        <f>IF('Net zero activities &amp; levers'!$C$14="Off",('Activity data'!BJ13*EF!$H12)*kgtoGg,IF('Net zero activities &amp; levers'!$C$14="On",('Net zero Activity data'!BJ13*EF!$H12)*kgtoGg,"ERROR"))</f>
        <v>15.989445822984647</v>
      </c>
      <c r="AR1075" s="93">
        <f>IF('Net zero activities &amp; levers'!$C$14="Off",('Activity data'!BK13*EF!$H12)*kgtoGg,IF('Net zero activities &amp; levers'!$C$14="On",('Net zero Activity data'!BK13*EF!$H12)*kgtoGg,"ERROR"))</f>
        <v>15.995770985939464</v>
      </c>
      <c r="AS1075" s="93">
        <f>IF('Net zero activities &amp; levers'!$C$14="Off",('Activity data'!BL13*EF!$H12)*kgtoGg,IF('Net zero activities &amp; levers'!$C$14="On",('Net zero Activity data'!BL13*EF!$H12)*kgtoGg,"ERROR"))</f>
        <v>15.999221862064399</v>
      </c>
      <c r="AT1075" s="93">
        <f>IF('Net zero activities &amp; levers'!$C$14="Off",('Activity data'!BM13*EF!$H12)*kgtoGg,IF('Net zero activities &amp; levers'!$C$14="On",('Net zero Activity data'!BM13*EF!$H12)*kgtoGg,"ERROR"))</f>
        <v>15.999780644603296</v>
      </c>
      <c r="AU1075" s="93">
        <f>IF('Net zero activities &amp; levers'!$C$14="Off",('Activity data'!BN13*EF!$H12)*kgtoGg,IF('Net zero activities &amp; levers'!$C$14="On",('Net zero Activity data'!BN13*EF!$H12)*kgtoGg,"ERROR"))</f>
        <v>15.99752803776004</v>
      </c>
      <c r="AV1075" s="93">
        <f>IF('Net zero activities &amp; levers'!$C$14="Off",('Activity data'!BO13*EF!$H12)*kgtoGg,IF('Net zero activities &amp; levers'!$C$14="On",('Net zero Activity data'!BO13*EF!$H12)*kgtoGg,"ERROR"))</f>
        <v>15.992527037206958</v>
      </c>
      <c r="AW1075" s="93">
        <f>IF('Net zero activities &amp; levers'!$C$14="Off",('Activity data'!BP13*EF!$H12)*kgtoGg,IF('Net zero activities &amp; levers'!$C$14="On",('Net zero Activity data'!BP13*EF!$H12)*kgtoGg,"ERROR"))</f>
        <v>15.984450939829935</v>
      </c>
      <c r="AY1075" s="79"/>
    </row>
    <row r="1076" spans="1:51" x14ac:dyDescent="0.25">
      <c r="A1076" s="95" t="str">
        <f t="shared" si="373"/>
        <v>CM Goats</v>
      </c>
      <c r="B1076" s="95" t="s">
        <v>1322</v>
      </c>
      <c r="C1076" s="95" t="s">
        <v>153</v>
      </c>
      <c r="D1076" t="s">
        <v>15</v>
      </c>
      <c r="E1076" t="s">
        <v>16</v>
      </c>
      <c r="F1076" t="s">
        <v>19</v>
      </c>
      <c r="G1076" t="s">
        <v>123</v>
      </c>
      <c r="H1076" t="s">
        <v>1020</v>
      </c>
      <c r="I1076" t="s">
        <v>121</v>
      </c>
      <c r="J1076" t="s">
        <v>286</v>
      </c>
      <c r="K1076" s="93">
        <f>IF('Net zero activities &amp; levers'!$C$14="Off",('Activity data'!AD14*EF!$H13)*kgtoGg,IF('Net zero activities &amp; levers'!$C$14="On",('Net zero Activity data'!AD14*EF!$H13)*kgtoGg,"ERROR"))</f>
        <v>22.381101687842744</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23.101065436464115</v>
      </c>
      <c r="T1076" s="93">
        <f>IF('Net zero activities &amp; levers'!$C$14="Off",('Activity data'!AM14*EF!$H13)*kgtoGg,IF('Net zero activities &amp; levers'!$C$14="On",('Net zero Activity data'!AM14*EF!$H13)*kgtoGg,"ERROR"))</f>
        <v>23.138870941499981</v>
      </c>
      <c r="U1076" s="93">
        <f>IF('Net zero activities &amp; levers'!$C$14="Off",('Activity data'!AN14*EF!$H13)*kgtoGg,IF('Net zero activities &amp; levers'!$C$14="On",('Net zero Activity data'!AN14*EF!$H13)*kgtoGg,"ERROR"))</f>
        <v>23.608017576034321</v>
      </c>
      <c r="V1076" s="93">
        <f>IF('Net zero activities &amp; levers'!$C$14="Off",('Activity data'!AO14*EF!$H13)*kgtoGg,IF('Net zero activities &amp; levers'!$C$14="On",('Net zero Activity data'!AO14*EF!$H13)*kgtoGg,"ERROR"))</f>
        <v>23.62921305439183</v>
      </c>
      <c r="W1076" s="93">
        <f>IF('Net zero activities &amp; levers'!$C$14="Off",('Activity data'!AP14*EF!$H13)*kgtoGg,IF('Net zero activities &amp; levers'!$C$14="On",('Net zero Activity data'!AP14*EF!$H13)*kgtoGg,"ERROR"))</f>
        <v>23.685328374640804</v>
      </c>
      <c r="X1076" s="93">
        <f>IF('Net zero activities &amp; levers'!$C$14="Off",('Activity data'!AQ14*EF!$H13)*kgtoGg,IF('Net zero activities &amp; levers'!$C$14="On",('Net zero Activity data'!AQ14*EF!$H13)*kgtoGg,"ERROR"))</f>
        <v>23.761063258091507</v>
      </c>
      <c r="Y1076" s="93">
        <f>IF('Net zero activities &amp; levers'!$C$14="Off",('Activity data'!AR14*EF!$H13)*kgtoGg,IF('Net zero activities &amp; levers'!$C$14="On",('Net zero Activity data'!AR14*EF!$H13)*kgtoGg,"ERROR"))</f>
        <v>23.830522710441766</v>
      </c>
      <c r="Z1076" s="93">
        <f>IF('Net zero activities &amp; levers'!$C$14="Off",('Activity data'!AS14*EF!$H13)*kgtoGg,IF('Net zero activities &amp; levers'!$C$14="On",('Net zero Activity data'!AS14*EF!$H13)*kgtoGg,"ERROR"))</f>
        <v>23.894624864386248</v>
      </c>
      <c r="AA1076" s="93">
        <f>IF('Net zero activities &amp; levers'!$C$14="Off",('Activity data'!AT14*EF!$H13)*kgtoGg,IF('Net zero activities &amp; levers'!$C$14="On",('Net zero Activity data'!AT14*EF!$H13)*kgtoGg,"ERROR"))</f>
        <v>23.953173100856997</v>
      </c>
      <c r="AB1076" s="93">
        <f>IF('Net zero activities &amp; levers'!$C$14="Off",('Activity data'!AU14*EF!$H13)*kgtoGg,IF('Net zero activities &amp; levers'!$C$14="On",('Net zero Activity data'!AU14*EF!$H13)*kgtoGg,"ERROR"))</f>
        <v>24.006768639680701</v>
      </c>
      <c r="AC1076" s="93">
        <f>IF('Net zero activities &amp; levers'!$C$14="Off",('Activity data'!AV14*EF!$H13)*kgtoGg,IF('Net zero activities &amp; levers'!$C$14="On",('Net zero Activity data'!AV14*EF!$H13)*kgtoGg,"ERROR"))</f>
        <v>24.0562762066053</v>
      </c>
      <c r="AD1076" s="93">
        <f>IF('Net zero activities &amp; levers'!$C$14="Off",('Activity data'!AW14*EF!$H13)*kgtoGg,IF('Net zero activities &amp; levers'!$C$14="On",('Net zero Activity data'!AW14*EF!$H13)*kgtoGg,"ERROR"))</f>
        <v>24.101735689787876</v>
      </c>
      <c r="AE1076" s="93">
        <f>IF('Net zero activities &amp; levers'!$C$14="Off",('Activity data'!AX14*EF!$H13)*kgtoGg,IF('Net zero activities &amp; levers'!$C$14="On",('Net zero Activity data'!AX14*EF!$H13)*kgtoGg,"ERROR"))</f>
        <v>24.143932034941329</v>
      </c>
      <c r="AF1076" s="93">
        <f>IF('Net zero activities &amp; levers'!$C$14="Off",('Activity data'!AY14*EF!$H13)*kgtoGg,IF('Net zero activities &amp; levers'!$C$14="On",('Net zero Activity data'!AY14*EF!$H13)*kgtoGg,"ERROR"))</f>
        <v>24.183033824407083</v>
      </c>
      <c r="AG1076" s="93">
        <f>IF('Net zero activities &amp; levers'!$C$14="Off",('Activity data'!AZ14*EF!$H13)*kgtoGg,IF('Net zero activities &amp; levers'!$C$14="On",('Net zero Activity data'!AZ14*EF!$H13)*kgtoGg,"ERROR"))</f>
        <v>24.218563642741437</v>
      </c>
      <c r="AH1076" s="93">
        <f>IF('Net zero activities &amp; levers'!$C$14="Off",('Activity data'!BA14*EF!$H13)*kgtoGg,IF('Net zero activities &amp; levers'!$C$14="On",('Net zero Activity data'!BA14*EF!$H13)*kgtoGg,"ERROR"))</f>
        <v>24.250914969610982</v>
      </c>
      <c r="AI1076" s="93">
        <f>IF('Net zero activities &amp; levers'!$C$14="Off",('Activity data'!BB14*EF!$H13)*kgtoGg,IF('Net zero activities &amp; levers'!$C$14="On",('Net zero Activity data'!BB14*EF!$H13)*kgtoGg,"ERROR"))</f>
        <v>24.280682208049512</v>
      </c>
      <c r="AJ1076" s="93">
        <f>IF('Net zero activities &amp; levers'!$C$14="Off",('Activity data'!BC14*EF!$H13)*kgtoGg,IF('Net zero activities &amp; levers'!$C$14="On",('Net zero Activity data'!BC14*EF!$H13)*kgtoGg,"ERROR"))</f>
        <v>23.509882156226475</v>
      </c>
      <c r="AK1076" s="93">
        <f>IF('Net zero activities &amp; levers'!$C$14="Off",('Activity data'!BD14*EF!$H13)*kgtoGg,IF('Net zero activities &amp; levers'!$C$14="On",('Net zero Activity data'!BD14*EF!$H13)*kgtoGg,"ERROR"))</f>
        <v>23.53959242452235</v>
      </c>
      <c r="AL1076" s="93">
        <f>IF('Net zero activities &amp; levers'!$C$14="Off",('Activity data'!BE14*EF!$H13)*kgtoGg,IF('Net zero activities &amp; levers'!$C$14="On",('Net zero Activity data'!BE14*EF!$H13)*kgtoGg,"ERROR"))</f>
        <v>23.566643219974505</v>
      </c>
      <c r="AM1076" s="93">
        <f>IF('Net zero activities &amp; levers'!$C$14="Off",('Activity data'!BF14*EF!$H13)*kgtoGg,IF('Net zero activities &amp; levers'!$C$14="On",('Net zero Activity data'!BF14*EF!$H13)*kgtoGg,"ERROR"))</f>
        <v>23.591253470299264</v>
      </c>
      <c r="AN1076" s="93">
        <f>IF('Net zero activities &amp; levers'!$C$14="Off",('Activity data'!BG14*EF!$H13)*kgtoGg,IF('Net zero activities &amp; levers'!$C$14="On",('Net zero Activity data'!BG14*EF!$H13)*kgtoGg,"ERROR"))</f>
        <v>23.613676709346407</v>
      </c>
      <c r="AO1076" s="93">
        <f>IF('Net zero activities &amp; levers'!$C$14="Off",('Activity data'!BH14*EF!$H13)*kgtoGg,IF('Net zero activities &amp; levers'!$C$14="On",('Net zero Activity data'!BH14*EF!$H13)*kgtoGg,"ERROR"))</f>
        <v>23.633276385324617</v>
      </c>
      <c r="AP1076" s="93">
        <f>IF('Net zero activities &amp; levers'!$C$14="Off",('Activity data'!BI14*EF!$H13)*kgtoGg,IF('Net zero activities &amp; levers'!$C$14="On",('Net zero Activity data'!BI14*EF!$H13)*kgtoGg,"ERROR"))</f>
        <v>23.649640722148757</v>
      </c>
      <c r="AQ1076" s="93">
        <f>IF('Net zero activities &amp; levers'!$C$14="Off",('Activity data'!BJ14*EF!$H13)*kgtoGg,IF('Net zero activities &amp; levers'!$C$14="On",('Net zero Activity data'!BJ14*EF!$H13)*kgtoGg,"ERROR"))</f>
        <v>23.662739657594557</v>
      </c>
      <c r="AR1076" s="93">
        <f>IF('Net zero activities &amp; levers'!$C$14="Off",('Activity data'!BK14*EF!$H13)*kgtoGg,IF('Net zero activities &amp; levers'!$C$14="On",('Net zero Activity data'!BK14*EF!$H13)*kgtoGg,"ERROR"))</f>
        <v>23.672100249947082</v>
      </c>
      <c r="AS1076" s="93">
        <f>IF('Net zero activities &amp; levers'!$C$14="Off",('Activity data'!BL14*EF!$H13)*kgtoGg,IF('Net zero activities &amp; levers'!$C$14="On",('Net zero Activity data'!BL14*EF!$H13)*kgtoGg,"ERROR"))</f>
        <v>23.67720719262908</v>
      </c>
      <c r="AT1076" s="93">
        <f>IF('Net zero activities &amp; levers'!$C$14="Off",('Activity data'!BM14*EF!$H13)*kgtoGg,IF('Net zero activities &amp; levers'!$C$14="On",('Net zero Activity data'!BM14*EF!$H13)*kgtoGg,"ERROR"))</f>
        <v>23.678034133468028</v>
      </c>
      <c r="AU1076" s="93">
        <f>IF('Net zero activities &amp; levers'!$C$14="Off",('Activity data'!BN14*EF!$H13)*kgtoGg,IF('Net zero activities &amp; levers'!$C$14="On",('Net zero Activity data'!BN14*EF!$H13)*kgtoGg,"ERROR"))</f>
        <v>23.674700506407216</v>
      </c>
      <c r="AV1076" s="93">
        <f>IF('Net zero activities &amp; levers'!$C$14="Off",('Activity data'!BO14*EF!$H13)*kgtoGg,IF('Net zero activities &amp; levers'!$C$14="On",('Net zero Activity data'!BO14*EF!$H13)*kgtoGg,"ERROR"))</f>
        <v>23.667299538579741</v>
      </c>
      <c r="AW1076" s="93">
        <f>IF('Net zero activities &amp; levers'!$C$14="Off",('Activity data'!BP14*EF!$H13)*kgtoGg,IF('Net zero activities &amp; levers'!$C$14="On",('Net zero Activity data'!BP14*EF!$H13)*kgtoGg,"ERROR"))</f>
        <v>23.655347742889163</v>
      </c>
      <c r="AY1076" s="79"/>
    </row>
    <row r="1077" spans="1:51" x14ac:dyDescent="0.25">
      <c r="A1077" s="95" t="str">
        <f t="shared" si="373"/>
        <v>CM Horses</v>
      </c>
      <c r="B1077" s="95" t="s">
        <v>1322</v>
      </c>
      <c r="C1077" s="95" t="s">
        <v>3</v>
      </c>
      <c r="D1077" t="s">
        <v>15</v>
      </c>
      <c r="E1077" t="s">
        <v>16</v>
      </c>
      <c r="F1077" t="s">
        <v>20</v>
      </c>
      <c r="G1077" t="s">
        <v>3</v>
      </c>
      <c r="H1077" t="s">
        <v>1020</v>
      </c>
      <c r="I1077" t="s">
        <v>121</v>
      </c>
      <c r="J1077" t="s">
        <v>286</v>
      </c>
      <c r="K1077" s="93">
        <f>IF('Net zero activities &amp; levers'!$C$14="Off",('Activity data'!AD15*EF!$H14)*kgtoGg,IF('Net zero activities &amp; levers'!$C$14="On",('Net zero Activity data'!AD15*EF!$H14)*kgtoGg,"ERROR"))</f>
        <v>5.5526214800767901</v>
      </c>
      <c r="L1077" s="93">
        <f>IF('Net zero activities &amp; levers'!$C$14="Off",('Activity data'!AE15*EF!$H14)*kgtoGg,IF('Net zero activities &amp; levers'!$C$14="On",('Net zero Activity data'!AE15*EF!$H14)*kgtoGg,"ERROR"))</f>
        <v>5.5795235710196529</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5.6290756550083767</v>
      </c>
      <c r="O1077" s="93">
        <f>IF('Net zero activities &amp; levers'!$C$14="Off",('Activity data'!AH15*EF!$H14)*kgtoGg,IF('Net zero activities &amp; levers'!$C$14="On",('Net zero Activity data'!AH15*EF!$H14)*kgtoGg,"ERROR"))</f>
        <v>5.6165815405282284</v>
      </c>
      <c r="P1077" s="93">
        <f>IF('Net zero activities &amp; levers'!$C$14="Off",('Activity data'!AI15*EF!$H14)*kgtoGg,IF('Net zero activities &amp; levers'!$C$14="On",('Net zero Activity data'!AI15*EF!$H14)*kgtoGg,"ERROR"))</f>
        <v>5.5833231296706112</v>
      </c>
      <c r="Q1077" s="93">
        <f>IF('Net zero activities &amp; levers'!$C$14="Off",('Activity data'!AJ15*EF!$H14)*kgtoGg,IF('Net zero activities &amp; levers'!$C$14="On",('Net zero Activity data'!AJ15*EF!$H14)*kgtoGg,"ERROR"))</f>
        <v>5.5648827699457364</v>
      </c>
      <c r="R1077" s="93">
        <f>IF('Net zero activities &amp; levers'!$C$14="Off",('Activity data'!AK15*EF!$H14)*kgtoGg,IF('Net zero activities &amp; levers'!$C$14="On",('Net zero Activity data'!AK15*EF!$H14)*kgtoGg,"ERROR"))</f>
        <v>5.5483103177944031</v>
      </c>
      <c r="S1077" s="93">
        <f>IF('Net zero activities &amp; levers'!$C$14="Off",('Activity data'!AL15*EF!$H14)*kgtoGg,IF('Net zero activities &amp; levers'!$C$14="On",('Net zero Activity data'!AL15*EF!$H14)*kgtoGg,"ERROR"))</f>
        <v>5.301317756839599</v>
      </c>
      <c r="T1077" s="93">
        <f>IF('Net zero activities &amp; levers'!$C$14="Off",('Activity data'!AM15*EF!$H14)*kgtoGg,IF('Net zero activities &amp; levers'!$C$14="On",('Net zero Activity data'!AM15*EF!$H14)*kgtoGg,"ERROR"))</f>
        <v>5.4334519326298842</v>
      </c>
      <c r="U1077" s="93">
        <f>IF('Net zero activities &amp; levers'!$C$14="Off",('Activity data'!AN15*EF!$H14)*kgtoGg,IF('Net zero activities &amp; levers'!$C$14="On",('Net zero Activity data'!AN15*EF!$H14)*kgtoGg,"ERROR"))</f>
        <v>11.663279711908721</v>
      </c>
      <c r="V1077" s="93">
        <f>IF('Net zero activities &amp; levers'!$C$14="Off",('Activity data'!AO15*EF!$H14)*kgtoGg,IF('Net zero activities &amp; levers'!$C$14="On",('Net zero Activity data'!AO15*EF!$H14)*kgtoGg,"ERROR"))</f>
        <v>11.812653235838557</v>
      </c>
      <c r="W1077" s="93">
        <f>IF('Net zero activities &amp; levers'!$C$14="Off",('Activity data'!AP15*EF!$H14)*kgtoGg,IF('Net zero activities &amp; levers'!$C$14="On",('Net zero Activity data'!AP15*EF!$H14)*kgtoGg,"ERROR"))</f>
        <v>11.932954790442608</v>
      </c>
      <c r="X1077" s="93">
        <f>IF('Net zero activities &amp; levers'!$C$14="Off",('Activity data'!AQ15*EF!$H14)*kgtoGg,IF('Net zero activities &amp; levers'!$C$14="On",('Net zero Activity data'!AQ15*EF!$H14)*kgtoGg,"ERROR"))</f>
        <v>12.029772886609605</v>
      </c>
      <c r="Y1077" s="93">
        <f>IF('Net zero activities &amp; levers'!$C$14="Off",('Activity data'!AR15*EF!$H14)*kgtoGg,IF('Net zero activities &amp; levers'!$C$14="On",('Net zero Activity data'!AR15*EF!$H14)*kgtoGg,"ERROR"))</f>
        <v>12.113873667726716</v>
      </c>
      <c r="Z1077" s="93">
        <f>IF('Net zero activities &amp; levers'!$C$14="Off",('Activity data'!AS15*EF!$H14)*kgtoGg,IF('Net zero activities &amp; levers'!$C$14="On",('Net zero Activity data'!AS15*EF!$H14)*kgtoGg,"ERROR"))</f>
        <v>12.184301808011908</v>
      </c>
      <c r="AA1077" s="93">
        <f>IF('Net zero activities &amp; levers'!$C$14="Off",('Activity data'!AT15*EF!$H14)*kgtoGg,IF('Net zero activities &amp; levers'!$C$14="On",('Net zero Activity data'!AT15*EF!$H14)*kgtoGg,"ERROR"))</f>
        <v>12.240662308750712</v>
      </c>
      <c r="AB1077" s="93">
        <f>IF('Net zero activities &amp; levers'!$C$14="Off",('Activity data'!AU15*EF!$H14)*kgtoGg,IF('Net zero activities &amp; levers'!$C$14="On",('Net zero Activity data'!AU15*EF!$H14)*kgtoGg,"ERROR"))</f>
        <v>12.282268429354316</v>
      </c>
      <c r="AC1077" s="93">
        <f>IF('Net zero activities &amp; levers'!$C$14="Off",('Activity data'!AV15*EF!$H14)*kgtoGg,IF('Net zero activities &amp; levers'!$C$14="On",('Net zero Activity data'!AV15*EF!$H14)*kgtoGg,"ERROR"))</f>
        <v>12.308384588149881</v>
      </c>
      <c r="AD1077" s="93">
        <f>IF('Net zero activities &amp; levers'!$C$14="Off",('Activity data'!AW15*EF!$H14)*kgtoGg,IF('Net zero activities &amp; levers'!$C$14="On",('Net zero Activity data'!AW15*EF!$H14)*kgtoGg,"ERROR"))</f>
        <v>12.31872545788376</v>
      </c>
      <c r="AE1077" s="93">
        <f>IF('Net zero activities &amp; levers'!$C$14="Off",('Activity data'!AX15*EF!$H14)*kgtoGg,IF('Net zero activities &amp; levers'!$C$14="On",('Net zero Activity data'!AX15*EF!$H14)*kgtoGg,"ERROR"))</f>
        <v>12.312750989800492</v>
      </c>
      <c r="AF1077" s="93">
        <f>IF('Net zero activities &amp; levers'!$C$14="Off",('Activity data'!AY15*EF!$H14)*kgtoGg,IF('Net zero activities &amp; levers'!$C$14="On",('Net zero Activity data'!AY15*EF!$H14)*kgtoGg,"ERROR"))</f>
        <v>12.290286651516004</v>
      </c>
      <c r="AG1077" s="93">
        <f>IF('Net zero activities &amp; levers'!$C$14="Off",('Activity data'!AZ15*EF!$H14)*kgtoGg,IF('Net zero activities &amp; levers'!$C$14="On",('Net zero Activity data'!AZ15*EF!$H14)*kgtoGg,"ERROR"))</f>
        <v>12.251535501678408</v>
      </c>
      <c r="AH1077" s="93">
        <f>IF('Net zero activities &amp; levers'!$C$14="Off",('Activity data'!BA15*EF!$H14)*kgtoGg,IF('Net zero activities &amp; levers'!$C$14="On",('Net zero Activity data'!BA15*EF!$H14)*kgtoGg,"ERROR"))</f>
        <v>12.196396092630039</v>
      </c>
      <c r="AI1077" s="93">
        <f>IF('Net zero activities &amp; levers'!$C$14="Off",('Activity data'!BB15*EF!$H14)*kgtoGg,IF('Net zero activities &amp; levers'!$C$14="On",('Net zero Activity data'!BB15*EF!$H14)*kgtoGg,"ERROR"))</f>
        <v>12.124769930026071</v>
      </c>
      <c r="AJ1077" s="93">
        <f>IF('Net zero activities &amp; levers'!$C$14="Off",('Activity data'!BC15*EF!$H14)*kgtoGg,IF('Net zero activities &amp; levers'!$C$14="On",('Net zero Activity data'!BC15*EF!$H14)*kgtoGg,"ERROR"))</f>
        <v>1.7851056965565462</v>
      </c>
      <c r="AK1077" s="93">
        <f>IF('Net zero activities &amp; levers'!$C$14="Off",('Activity data'!BD15*EF!$H14)*kgtoGg,IF('Net zero activities &amp; levers'!$C$14="On",('Net zero Activity data'!BD15*EF!$H14)*kgtoGg,"ERROR"))</f>
        <v>1.7851056965565462</v>
      </c>
      <c r="AL1077" s="93">
        <f>IF('Net zero activities &amp; levers'!$C$14="Off",('Activity data'!BE15*EF!$H14)*kgtoGg,IF('Net zero activities &amp; levers'!$C$14="On",('Net zero Activity data'!BE15*EF!$H14)*kgtoGg,"ERROR"))</f>
        <v>1.7851056965565462</v>
      </c>
      <c r="AM1077" s="93">
        <f>IF('Net zero activities &amp; levers'!$C$14="Off",('Activity data'!BF15*EF!$H14)*kgtoGg,IF('Net zero activities &amp; levers'!$C$14="On",('Net zero Activity data'!BF15*EF!$H14)*kgtoGg,"ERROR"))</f>
        <v>1.7851056965565462</v>
      </c>
      <c r="AN1077" s="93">
        <f>IF('Net zero activities &amp; levers'!$C$14="Off",('Activity data'!BG15*EF!$H14)*kgtoGg,IF('Net zero activities &amp; levers'!$C$14="On",('Net zero Activity data'!BG15*EF!$H14)*kgtoGg,"ERROR"))</f>
        <v>1.7851056965565462</v>
      </c>
      <c r="AO1077" s="93">
        <f>IF('Net zero activities &amp; levers'!$C$14="Off",('Activity data'!BH15*EF!$H14)*kgtoGg,IF('Net zero activities &amp; levers'!$C$14="On",('Net zero Activity data'!BH15*EF!$H14)*kgtoGg,"ERROR"))</f>
        <v>1.7851056965565462</v>
      </c>
      <c r="AP1077" s="93">
        <f>IF('Net zero activities &amp; levers'!$C$14="Off",('Activity data'!BI15*EF!$H14)*kgtoGg,IF('Net zero activities &amp; levers'!$C$14="On",('Net zero Activity data'!BI15*EF!$H14)*kgtoGg,"ERROR"))</f>
        <v>1.7851056965565462</v>
      </c>
      <c r="AQ1077" s="93">
        <f>IF('Net zero activities &amp; levers'!$C$14="Off",('Activity data'!BJ15*EF!$H14)*kgtoGg,IF('Net zero activities &amp; levers'!$C$14="On",('Net zero Activity data'!BJ15*EF!$H14)*kgtoGg,"ERROR"))</f>
        <v>1.7851056965565462</v>
      </c>
      <c r="AR1077" s="93">
        <f>IF('Net zero activities &amp; levers'!$C$14="Off",('Activity data'!BK15*EF!$H14)*kgtoGg,IF('Net zero activities &amp; levers'!$C$14="On",('Net zero Activity data'!BK15*EF!$H14)*kgtoGg,"ERROR"))</f>
        <v>1.7851056965565462</v>
      </c>
      <c r="AS1077" s="93">
        <f>IF('Net zero activities &amp; levers'!$C$14="Off",('Activity data'!BL15*EF!$H14)*kgtoGg,IF('Net zero activities &amp; levers'!$C$14="On",('Net zero Activity data'!BL15*EF!$H14)*kgtoGg,"ERROR"))</f>
        <v>1.7851056965565462</v>
      </c>
      <c r="AT1077" s="93">
        <f>IF('Net zero activities &amp; levers'!$C$14="Off",('Activity data'!BM15*EF!$H14)*kgtoGg,IF('Net zero activities &amp; levers'!$C$14="On",('Net zero Activity data'!BM15*EF!$H14)*kgtoGg,"ERROR"))</f>
        <v>1.7851056965565462</v>
      </c>
      <c r="AU1077" s="93">
        <f>IF('Net zero activities &amp; levers'!$C$14="Off",('Activity data'!BN15*EF!$H14)*kgtoGg,IF('Net zero activities &amp; levers'!$C$14="On",('Net zero Activity data'!BN15*EF!$H14)*kgtoGg,"ERROR"))</f>
        <v>1.7851056965565462</v>
      </c>
      <c r="AV1077" s="93">
        <f>IF('Net zero activities &amp; levers'!$C$14="Off",('Activity data'!BO15*EF!$H14)*kgtoGg,IF('Net zero activities &amp; levers'!$C$14="On",('Net zero Activity data'!BO15*EF!$H14)*kgtoGg,"ERROR"))</f>
        <v>1.7851056965565462</v>
      </c>
      <c r="AW1077" s="93">
        <f>IF('Net zero activities &amp; levers'!$C$14="Off",('Activity data'!BP15*EF!$H14)*kgtoGg,IF('Net zero activities &amp; levers'!$C$14="On",('Net zero Activity data'!BP15*EF!$H14)*kgtoGg,"ERROR"))</f>
        <v>1.7851056965565462</v>
      </c>
      <c r="AY1077" s="79"/>
    </row>
    <row r="1078" spans="1:51" x14ac:dyDescent="0.25">
      <c r="A1078" s="95" t="str">
        <f t="shared" si="373"/>
        <v>CM Mules&amp;Asses</v>
      </c>
      <c r="B1078" s="95" t="s">
        <v>1322</v>
      </c>
      <c r="C1078" s="95" t="s">
        <v>1323</v>
      </c>
      <c r="D1078" t="s">
        <v>15</v>
      </c>
      <c r="E1078" t="s">
        <v>16</v>
      </c>
      <c r="F1078" t="s">
        <v>140</v>
      </c>
      <c r="G1078" t="s">
        <v>124</v>
      </c>
      <c r="H1078" t="s">
        <v>1020</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25">
      <c r="A1079" s="95" t="str">
        <f t="shared" si="373"/>
        <v>CM Swine</v>
      </c>
      <c r="B1079" s="95" t="s">
        <v>1322</v>
      </c>
      <c r="C1079" s="95" t="s">
        <v>155</v>
      </c>
      <c r="D1079" t="s">
        <v>15</v>
      </c>
      <c r="E1079" t="s">
        <v>16</v>
      </c>
      <c r="F1079" t="s">
        <v>21</v>
      </c>
      <c r="G1079" t="s">
        <v>122</v>
      </c>
      <c r="H1079" t="s">
        <v>1020</v>
      </c>
      <c r="I1079" t="s">
        <v>121</v>
      </c>
      <c r="J1079" t="s">
        <v>286</v>
      </c>
      <c r="K1079" s="93">
        <f>IF('Net zero activities &amp; levers'!$C$14="Off",('Activity data'!AD17*EF!$H16)*kgtoGg,IF('Net zero activities &amp; levers'!$C$14="On",('Net zero Activity data'!AD17*EF!$H16)*kgtoGg,"ERROR"))</f>
        <v>1.8400999552016302</v>
      </c>
      <c r="L1079" s="93">
        <f>IF('Net zero activities &amp; levers'!$C$14="Off",('Activity data'!AE17*EF!$H16)*kgtoGg,IF('Net zero activities &amp; levers'!$C$14="On",('Net zero Activity data'!AE17*EF!$H16)*kgtoGg,"ERROR"))</f>
        <v>1.8300977880312248</v>
      </c>
      <c r="M1079" s="93">
        <f>IF('Net zero activities &amp; levers'!$C$14="Off",('Activity data'!AF17*EF!$H16)*kgtoGg,IF('Net zero activities &amp; levers'!$C$14="On",('Net zero Activity data'!AF17*EF!$H16)*kgtoGg,"ERROR"))</f>
        <v>1.8309187348828151</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1.7489975228040082</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1.6967284692901872</v>
      </c>
      <c r="S1079" s="93">
        <f>IF('Net zero activities &amp; levers'!$C$14="Off",('Activity data'!AL17*EF!$H16)*kgtoGg,IF('Net zero activities &amp; levers'!$C$14="On",('Net zero Activity data'!AL17*EF!$H16)*kgtoGg,"ERROR"))</f>
        <v>1.5265878305982445</v>
      </c>
      <c r="T1079" s="93">
        <f>IF('Net zero activities &amp; levers'!$C$14="Off",('Activity data'!AM17*EF!$H16)*kgtoGg,IF('Net zero activities &amp; levers'!$C$14="On",('Net zero Activity data'!AM17*EF!$H16)*kgtoGg,"ERROR"))</f>
        <v>1.5810995176609606</v>
      </c>
      <c r="U1079" s="93">
        <f>IF('Net zero activities &amp; levers'!$C$14="Off",('Activity data'!AN17*EF!$H16)*kgtoGg,IF('Net zero activities &amp; levers'!$C$14="On",('Net zero Activity data'!AN17*EF!$H16)*kgtoGg,"ERROR"))</f>
        <v>5.0540136125986557</v>
      </c>
      <c r="V1079" s="93">
        <f>IF('Net zero activities &amp; levers'!$C$14="Off",('Activity data'!AO17*EF!$H16)*kgtoGg,IF('Net zero activities &amp; levers'!$C$14="On",('Net zero Activity data'!AO17*EF!$H16)*kgtoGg,"ERROR"))</f>
        <v>5.0678679159640359</v>
      </c>
      <c r="W1079" s="93">
        <f>IF('Net zero activities &amp; levers'!$C$14="Off",('Activity data'!AP17*EF!$H16)*kgtoGg,IF('Net zero activities &amp; levers'!$C$14="On",('Net zero Activity data'!AP17*EF!$H16)*kgtoGg,"ERROR"))</f>
        <v>5.0729847165704873</v>
      </c>
      <c r="X1079" s="93">
        <f>IF('Net zero activities &amp; levers'!$C$14="Off",('Activity data'!AQ17*EF!$H16)*kgtoGg,IF('Net zero activities &amp; levers'!$C$14="On",('Net zero Activity data'!AQ17*EF!$H16)*kgtoGg,"ERROR"))</f>
        <v>5.0695948867136602</v>
      </c>
      <c r="Y1079" s="93">
        <f>IF('Net zero activities &amp; levers'!$C$14="Off",('Activity data'!AR17*EF!$H16)*kgtoGg,IF('Net zero activities &amp; levers'!$C$14="On",('Net zero Activity data'!AR17*EF!$H16)*kgtoGg,"ERROR"))</f>
        <v>5.0582098272592386</v>
      </c>
      <c r="Z1079" s="93">
        <f>IF('Net zero activities &amp; levers'!$C$14="Off",('Activity data'!AS17*EF!$H16)*kgtoGg,IF('Net zero activities &amp; levers'!$C$14="On",('Net zero Activity data'!AS17*EF!$H16)*kgtoGg,"ERROR"))</f>
        <v>5.0387249592432335</v>
      </c>
      <c r="AA1079" s="93">
        <f>IF('Net zero activities &amp; levers'!$C$14="Off",('Activity data'!AT17*EF!$H16)*kgtoGg,IF('Net zero activities &amp; levers'!$C$14="On",('Net zero Activity data'!AT17*EF!$H16)*kgtoGg,"ERROR"))</f>
        <v>5.0111122815709459</v>
      </c>
      <c r="AB1079" s="93">
        <f>IF('Net zero activities &amp; levers'!$C$14="Off",('Activity data'!AU17*EF!$H16)*kgtoGg,IF('Net zero activities &amp; levers'!$C$14="On",('Net zero Activity data'!AU17*EF!$H16)*kgtoGg,"ERROR"))</f>
        <v>4.9753743834920021</v>
      </c>
      <c r="AC1079" s="93">
        <f>IF('Net zero activities &amp; levers'!$C$14="Off",('Activity data'!AV17*EF!$H16)*kgtoGg,IF('Net zero activities &amp; levers'!$C$14="On",('Net zero Activity data'!AV17*EF!$H16)*kgtoGg,"ERROR"))</f>
        <v>4.9315571021349269</v>
      </c>
      <c r="AD1079" s="93">
        <f>IF('Net zero activities &amp; levers'!$C$14="Off",('Activity data'!AW17*EF!$H16)*kgtoGg,IF('Net zero activities &amp; levers'!$C$14="On",('Net zero Activity data'!AW17*EF!$H16)*kgtoGg,"ERROR"))</f>
        <v>4.8797732145240138</v>
      </c>
      <c r="AE1079" s="93">
        <f>IF('Net zero activities &amp; levers'!$C$14="Off",('Activity data'!AX17*EF!$H16)*kgtoGg,IF('Net zero activities &amp; levers'!$C$14="On",('Net zero Activity data'!AX17*EF!$H16)*kgtoGg,"ERROR"))</f>
        <v>4.8201653478957827</v>
      </c>
      <c r="AF1079" s="93">
        <f>IF('Net zero activities &amp; levers'!$C$14="Off",('Activity data'!AY17*EF!$H16)*kgtoGg,IF('Net zero activities &amp; levers'!$C$14="On",('Net zero Activity data'!AY17*EF!$H16)*kgtoGg,"ERROR"))</f>
        <v>4.7529350466048701</v>
      </c>
      <c r="AG1079" s="93">
        <f>IF('Net zero activities &amp; levers'!$C$14="Off",('Activity data'!AZ17*EF!$H16)*kgtoGg,IF('Net zero activities &amp; levers'!$C$14="On",('Net zero Activity data'!AZ17*EF!$H16)*kgtoGg,"ERROR"))</f>
        <v>4.6783405786979539</v>
      </c>
      <c r="AH1079" s="93">
        <f>IF('Net zero activities &amp; levers'!$C$14="Off",('Activity data'!BA17*EF!$H16)*kgtoGg,IF('Net zero activities &amp; levers'!$C$14="On",('Net zero Activity data'!BA17*EF!$H16)*kgtoGg,"ERROR"))</f>
        <v>4.5966617003060959</v>
      </c>
      <c r="AI1079" s="93">
        <f>IF('Net zero activities &amp; levers'!$C$14="Off",('Activity data'!BB17*EF!$H16)*kgtoGg,IF('Net zero activities &amp; levers'!$C$14="On",('Net zero Activity data'!BB17*EF!$H16)*kgtoGg,"ERROR"))</f>
        <v>4.5082123470458679</v>
      </c>
      <c r="AJ1079" s="93">
        <f>IF('Net zero activities &amp; levers'!$C$14="Off",('Activity data'!BC17*EF!$H16)*kgtoGg,IF('Net zero activities &amp; levers'!$C$14="On",('Net zero Activity data'!BC17*EF!$H16)*kgtoGg,"ERROR"))</f>
        <v>-0.42008552544106242</v>
      </c>
      <c r="AK1079" s="93">
        <f>IF('Net zero activities &amp; levers'!$C$14="Off",('Activity data'!BD17*EF!$H16)*kgtoGg,IF('Net zero activities &amp; levers'!$C$14="On",('Net zero Activity data'!BD17*EF!$H16)*kgtoGg,"ERROR"))</f>
        <v>-0.41553771612775497</v>
      </c>
      <c r="AL1079" s="93">
        <f>IF('Net zero activities &amp; levers'!$C$14="Off",('Activity data'!BE17*EF!$H16)*kgtoGg,IF('Net zero activities &amp; levers'!$C$14="On",('Net zero Activity data'!BE17*EF!$H16)*kgtoGg,"ERROR"))</f>
        <v>-0.41097379422953517</v>
      </c>
      <c r="AM1079" s="93">
        <f>IF('Net zero activities &amp; levers'!$C$14="Off",('Activity data'!BF17*EF!$H16)*kgtoGg,IF('Net zero activities &amp; levers'!$C$14="On",('Net zero Activity data'!BF17*EF!$H16)*kgtoGg,"ERROR"))</f>
        <v>-0.40639849459231969</v>
      </c>
      <c r="AN1079" s="93">
        <f>IF('Net zero activities &amp; levers'!$C$14="Off",('Activity data'!BG17*EF!$H16)*kgtoGg,IF('Net zero activities &amp; levers'!$C$14="On",('Net zero Activity data'!BG17*EF!$H16)*kgtoGg,"ERROR"))</f>
        <v>-0.40181705013442426</v>
      </c>
      <c r="AO1079" s="93">
        <f>IF('Net zero activities &amp; levers'!$C$14="Off",('Activity data'!BH17*EF!$H16)*kgtoGg,IF('Net zero activities &amp; levers'!$C$14="On",('Net zero Activity data'!BH17*EF!$H16)*kgtoGg,"ERROR"))</f>
        <v>-0.39721731633182522</v>
      </c>
      <c r="AP1079" s="93">
        <f>IF('Net zero activities &amp; levers'!$C$14="Off",('Activity data'!BI17*EF!$H16)*kgtoGg,IF('Net zero activities &amp; levers'!$C$14="On",('Net zero Activity data'!BI17*EF!$H16)*kgtoGg,"ERROR"))</f>
        <v>-0.39259212331291987</v>
      </c>
      <c r="AQ1079" s="93">
        <f>IF('Net zero activities &amp; levers'!$C$14="Off",('Activity data'!BJ17*EF!$H16)*kgtoGg,IF('Net zero activities &amp; levers'!$C$14="On",('Net zero Activity data'!BJ17*EF!$H16)*kgtoGg,"ERROR"))</f>
        <v>-0.38794191787285037</v>
      </c>
      <c r="AR1079" s="93">
        <f>IF('Net zero activities &amp; levers'!$C$14="Off",('Activity data'!BK17*EF!$H16)*kgtoGg,IF('Net zero activities &amp; levers'!$C$14="On",('Net zero Activity data'!BK17*EF!$H16)*kgtoGg,"ERROR"))</f>
        <v>-0.38325899383328277</v>
      </c>
      <c r="AS1079" s="93">
        <f>IF('Net zero activities &amp; levers'!$C$14="Off",('Activity data'!BL17*EF!$H16)*kgtoGg,IF('Net zero activities &amp; levers'!$C$14="On",('Net zero Activity data'!BL17*EF!$H16)*kgtoGg,"ERROR"))</f>
        <v>-0.37853535700522173</v>
      </c>
      <c r="AT1079" s="93">
        <f>IF('Net zero activities &amp; levers'!$C$14="Off",('Activity data'!BM17*EF!$H16)*kgtoGg,IF('Net zero activities &amp; levers'!$C$14="On",('Net zero Activity data'!BM17*EF!$H16)*kgtoGg,"ERROR"))</f>
        <v>-0.37377234804073223</v>
      </c>
      <c r="AU1079" s="93">
        <f>IF('Net zero activities &amp; levers'!$C$14="Off",('Activity data'!BN17*EF!$H16)*kgtoGg,IF('Net zero activities &amp; levers'!$C$14="On",('Net zero Activity data'!BN17*EF!$H16)*kgtoGg,"ERROR"))</f>
        <v>-0.36897393039459231</v>
      </c>
      <c r="AV1079" s="93">
        <f>IF('Net zero activities &amp; levers'!$C$14="Off",('Activity data'!BO17*EF!$H16)*kgtoGg,IF('Net zero activities &amp; levers'!$C$14="On",('Net zero Activity data'!BO17*EF!$H16)*kgtoGg,"ERROR"))</f>
        <v>-0.36414349435249727</v>
      </c>
      <c r="AW1079" s="93">
        <f>IF('Net zero activities &amp; levers'!$C$14="Off",('Activity data'!BP17*EF!$H16)*kgtoGg,IF('Net zero activities &amp; levers'!$C$14="On",('Net zero Activity data'!BP17*EF!$H16)*kgtoGg,"ERROR"))</f>
        <v>-0.35927435241905337</v>
      </c>
      <c r="AY1079" s="79"/>
    </row>
    <row r="1080" spans="1:51" x14ac:dyDescent="0.25">
      <c r="A1080" s="95" t="str">
        <f t="shared" si="373"/>
        <v>CM Swine</v>
      </c>
      <c r="B1080" s="95" t="s">
        <v>1322</v>
      </c>
      <c r="C1080" s="95" t="s">
        <v>155</v>
      </c>
      <c r="D1080" t="s">
        <v>15</v>
      </c>
      <c r="E1080" t="s">
        <v>16</v>
      </c>
      <c r="F1080" t="s">
        <v>21</v>
      </c>
      <c r="G1080" t="s">
        <v>123</v>
      </c>
      <c r="H1080" t="s">
        <v>1020</v>
      </c>
      <c r="I1080" t="s">
        <v>121</v>
      </c>
      <c r="J1080" t="s">
        <v>286</v>
      </c>
      <c r="K1080" s="93">
        <f>IF('Net zero activities &amp; levers'!$C$14="Off",('Activity data'!AD18*EF!$H17)*kgtoGg,IF('Net zero activities &amp; levers'!$C$14="On",('Net zero Activity data'!AD18*EF!$H17)*kgtoGg,"ERROR"))</f>
        <v>0.25496723934882604</v>
      </c>
      <c r="L1080" s="93">
        <f>IF('Net zero activities &amp; levers'!$C$14="Off",('Activity data'!AE18*EF!$H17)*kgtoGg,IF('Net zero activities &amp; levers'!$C$14="On",('Net zero Activity data'!AE18*EF!$H17)*kgtoGg,"ERROR"))</f>
        <v>0.25358132281546891</v>
      </c>
      <c r="M1080" s="93">
        <f>IF('Net zero activities &amp; levers'!$C$14="Off",('Activity data'!AF18*EF!$H17)*kgtoGg,IF('Net zero activities &amp; levers'!$C$14="On",('Net zero Activity data'!AF18*EF!$H17)*kgtoGg,"ERROR"))</f>
        <v>0.25369507454499335</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0.24234393830437845</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0.23510145332951485</v>
      </c>
      <c r="S1080" s="93">
        <f>IF('Net zero activities &amp; levers'!$C$14="Off",('Activity data'!AL18*EF!$H17)*kgtoGg,IF('Net zero activities &amp; levers'!$C$14="On",('Net zero Activity data'!AL18*EF!$H17)*kgtoGg,"ERROR"))</f>
        <v>0.21152649000988519</v>
      </c>
      <c r="T1080" s="93">
        <f>IF('Net zero activities &amp; levers'!$C$14="Off",('Activity data'!AM18*EF!$H17)*kgtoGg,IF('Net zero activities &amp; levers'!$C$14="On",('Net zero Activity data'!AM18*EF!$H17)*kgtoGg,"ERROR"))</f>
        <v>0.21907971793282416</v>
      </c>
      <c r="U1080" s="93">
        <f>IF('Net zero activities &amp; levers'!$C$14="Off",('Activity data'!AN18*EF!$H17)*kgtoGg,IF('Net zero activities &amp; levers'!$C$14="On",('Net zero Activity data'!AN18*EF!$H17)*kgtoGg,"ERROR"))</f>
        <v>0.70029233726842122</v>
      </c>
      <c r="V1080" s="93">
        <f>IF('Net zero activities &amp; levers'!$C$14="Off",('Activity data'!AO18*EF!$H17)*kgtoGg,IF('Net zero activities &amp; levers'!$C$14="On",('Net zero Activity data'!AO18*EF!$H17)*kgtoGg,"ERROR"))</f>
        <v>0.70221201205140604</v>
      </c>
      <c r="W1080" s="93">
        <f>IF('Net zero activities &amp; levers'!$C$14="Off",('Activity data'!AP18*EF!$H17)*kgtoGg,IF('Net zero activities &amp; levers'!$C$14="On",('Net zero Activity data'!AP18*EF!$H17)*kgtoGg,"ERROR"))</f>
        <v>0.7029210042565508</v>
      </c>
      <c r="X1080" s="93">
        <f>IF('Net zero activities &amp; levers'!$C$14="Off",('Activity data'!AQ18*EF!$H17)*kgtoGg,IF('Net zero activities &amp; levers'!$C$14="On",('Net zero Activity data'!AQ18*EF!$H17)*kgtoGg,"ERROR"))</f>
        <v>0.70245130392423227</v>
      </c>
      <c r="Y1080" s="93">
        <f>IF('Net zero activities &amp; levers'!$C$14="Off",('Activity data'!AR18*EF!$H17)*kgtoGg,IF('Net zero activities &amp; levers'!$C$14="On",('Net zero Activity data'!AR18*EF!$H17)*kgtoGg,"ERROR"))</f>
        <v>0.70087377158925745</v>
      </c>
      <c r="Z1080" s="93">
        <f>IF('Net zero activities &amp; levers'!$C$14="Off",('Activity data'!AS18*EF!$H17)*kgtoGg,IF('Net zero activities &amp; levers'!$C$14="On",('Net zero Activity data'!AS18*EF!$H17)*kgtoGg,"ERROR"))</f>
        <v>0.6981739166204699</v>
      </c>
      <c r="AA1080" s="93">
        <f>IF('Net zero activities &amp; levers'!$C$14="Off",('Activity data'!AT18*EF!$H17)*kgtoGg,IF('Net zero activities &amp; levers'!$C$14="On",('Net zero Activity data'!AT18*EF!$H17)*kgtoGg,"ERROR"))</f>
        <v>0.69434785914069519</v>
      </c>
      <c r="AB1080" s="93">
        <f>IF('Net zero activities &amp; levers'!$C$14="Off",('Activity data'!AU18*EF!$H17)*kgtoGg,IF('Net zero activities &amp; levers'!$C$14="On",('Net zero Activity data'!AU18*EF!$H17)*kgtoGg,"ERROR"))</f>
        <v>0.68939595792056851</v>
      </c>
      <c r="AC1080" s="93">
        <f>IF('Net zero activities &amp; levers'!$C$14="Off",('Activity data'!AV18*EF!$H17)*kgtoGg,IF('Net zero activities &amp; levers'!$C$14="On",('Net zero Activity data'!AV18*EF!$H17)*kgtoGg,"ERROR"))</f>
        <v>0.68332456422708854</v>
      </c>
      <c r="AD1080" s="93">
        <f>IF('Net zero activities &amp; levers'!$C$14="Off",('Activity data'!AW18*EF!$H17)*kgtoGg,IF('Net zero activities &amp; levers'!$C$14="On",('Net zero Activity data'!AW18*EF!$H17)*kgtoGg,"ERROR"))</f>
        <v>0.67614930462796652</v>
      </c>
      <c r="AE1080" s="93">
        <f>IF('Net zero activities &amp; levers'!$C$14="Off",('Activity data'!AX18*EF!$H17)*kgtoGg,IF('Net zero activities &amp; levers'!$C$14="On",('Net zero Activity data'!AX18*EF!$H17)*kgtoGg,"ERROR"))</f>
        <v>0.66788994178481698</v>
      </c>
      <c r="AF1080" s="93">
        <f>IF('Net zero activities &amp; levers'!$C$14="Off",('Activity data'!AY18*EF!$H17)*kgtoGg,IF('Net zero activities &amp; levers'!$C$14="On",('Net zero Activity data'!AY18*EF!$H17)*kgtoGg,"ERROR"))</f>
        <v>0.65857440201086193</v>
      </c>
      <c r="AG1080" s="93">
        <f>IF('Net zero activities &amp; levers'!$C$14="Off",('Activity data'!AZ18*EF!$H17)*kgtoGg,IF('Net zero activities &amp; levers'!$C$14="On",('Net zero Activity data'!AZ18*EF!$H17)*kgtoGg,"ERROR"))</f>
        <v>0.64823847134624946</v>
      </c>
      <c r="AH1080" s="93">
        <f>IF('Net zero activities &amp; levers'!$C$14="Off",('Activity data'!BA18*EF!$H17)*kgtoGg,IF('Net zero activities &amp; levers'!$C$14="On",('Net zero Activity data'!BA18*EF!$H17)*kgtoGg,"ERROR"))</f>
        <v>0.63692091325501032</v>
      </c>
      <c r="AI1080" s="93">
        <f>IF('Net zero activities &amp; levers'!$C$14="Off",('Activity data'!BB18*EF!$H17)*kgtoGg,IF('Net zero activities &amp; levers'!$C$14="On",('Net zero Activity data'!BB18*EF!$H17)*kgtoGg,"ERROR"))</f>
        <v>0.62466522716621964</v>
      </c>
      <c r="AJ1080" s="93">
        <f>IF('Net zero activities &amp; levers'!$C$14="Off",('Activity data'!BC18*EF!$H17)*kgtoGg,IF('Net zero activities &amp; levers'!$C$14="On",('Net zero Activity data'!BC18*EF!$H17)*kgtoGg,"ERROR"))</f>
        <v>-5.8207732905668316E-2</v>
      </c>
      <c r="AK1080" s="93">
        <f>IF('Net zero activities &amp; levers'!$C$14="Off",('Activity data'!BD18*EF!$H17)*kgtoGg,IF('Net zero activities &amp; levers'!$C$14="On",('Net zero Activity data'!BD18*EF!$H17)*kgtoGg,"ERROR"))</f>
        <v>-5.7577581058524868E-2</v>
      </c>
      <c r="AL1080" s="93">
        <f>IF('Net zero activities &amp; levers'!$C$14="Off",('Activity data'!BE18*EF!$H17)*kgtoGg,IF('Net zero activities &amp; levers'!$C$14="On",('Net zero Activity data'!BE18*EF!$H17)*kgtoGg,"ERROR"))</f>
        <v>-5.6945196625438323E-2</v>
      </c>
      <c r="AM1080" s="93">
        <f>IF('Net zero activities &amp; levers'!$C$14="Off",('Activity data'!BF18*EF!$H17)*kgtoGg,IF('Net zero activities &amp; levers'!$C$14="On",('Net zero Activity data'!BF18*EF!$H17)*kgtoGg,"ERROR"))</f>
        <v>-5.6311235674351458E-2</v>
      </c>
      <c r="AN1080" s="93">
        <f>IF('Net zero activities &amp; levers'!$C$14="Off",('Activity data'!BG18*EF!$H17)*kgtoGg,IF('Net zero activities &amp; levers'!$C$14="On",('Net zero Activity data'!BG18*EF!$H17)*kgtoGg,"ERROR"))</f>
        <v>-5.5676423286927873E-2</v>
      </c>
      <c r="AO1080" s="93">
        <f>IF('Net zero activities &amp; levers'!$C$14="Off",('Activity data'!BH18*EF!$H17)*kgtoGg,IF('Net zero activities &amp; levers'!$C$14="On",('Net zero Activity data'!BH18*EF!$H17)*kgtoGg,"ERROR"))</f>
        <v>-5.5039076698188007E-2</v>
      </c>
      <c r="AP1080" s="93">
        <f>IF('Net zero activities &amp; levers'!$C$14="Off",('Activity data'!BI18*EF!$H17)*kgtoGg,IF('Net zero activities &amp; levers'!$C$14="On",('Net zero Activity data'!BI18*EF!$H17)*kgtoGg,"ERROR"))</f>
        <v>-5.4398202439073888E-2</v>
      </c>
      <c r="AQ1080" s="93">
        <f>IF('Net zero activities &amp; levers'!$C$14="Off",('Activity data'!BJ18*EF!$H17)*kgtoGg,IF('Net zero activities &amp; levers'!$C$14="On",('Net zero Activity data'!BJ18*EF!$H17)*kgtoGg,"ERROR"))</f>
        <v>-5.3753862418246326E-2</v>
      </c>
      <c r="AR1080" s="93">
        <f>IF('Net zero activities &amp; levers'!$C$14="Off",('Activity data'!BK18*EF!$H17)*kgtoGg,IF('Net zero activities &amp; levers'!$C$14="On",('Net zero Activity data'!BK18*EF!$H17)*kgtoGg,"ERROR"))</f>
        <v>-5.3104988855115366E-2</v>
      </c>
      <c r="AS1080" s="93">
        <f>IF('Net zero activities &amp; levers'!$C$14="Off",('Activity data'!BL18*EF!$H17)*kgtoGg,IF('Net zero activities &amp; levers'!$C$14="On",('Net zero Activity data'!BL18*EF!$H17)*kgtoGg,"ERROR"))</f>
        <v>-5.2450474061865898E-2</v>
      </c>
      <c r="AT1080" s="93">
        <f>IF('Net zero activities &amp; levers'!$C$14="Off",('Activity data'!BM18*EF!$H17)*kgtoGg,IF('Net zero activities &amp; levers'!$C$14="On",('Net zero Activity data'!BM18*EF!$H17)*kgtoGg,"ERROR"))</f>
        <v>-5.1790503801426135E-2</v>
      </c>
      <c r="AU1080" s="93">
        <f>IF('Net zero activities &amp; levers'!$C$14="Off",('Activity data'!BN18*EF!$H17)*kgtoGg,IF('Net zero activities &amp; levers'!$C$14="On",('Net zero Activity data'!BN18*EF!$H17)*kgtoGg,"ERROR"))</f>
        <v>-5.1125627256529457E-2</v>
      </c>
      <c r="AV1080" s="93">
        <f>IF('Net zero activities &amp; levers'!$C$14="Off",('Activity data'!BO18*EF!$H17)*kgtoGg,IF('Net zero activities &amp; levers'!$C$14="On",('Net zero Activity data'!BO18*EF!$H17)*kgtoGg,"ERROR"))</f>
        <v>-5.0456314190669899E-2</v>
      </c>
      <c r="AW1080" s="93">
        <f>IF('Net zero activities &amp; levers'!$C$14="Off",('Activity data'!BP18*EF!$H17)*kgtoGg,IF('Net zero activities &amp; levers'!$C$14="On",('Net zero Activity data'!BP18*EF!$H17)*kgtoGg,"ERROR"))</f>
        <v>-4.9781637973620729E-2</v>
      </c>
      <c r="AY1080" s="79"/>
    </row>
    <row r="1081" spans="1:51" x14ac:dyDescent="0.25">
      <c r="A1081" s="95" t="str">
        <f t="shared" si="373"/>
        <v>CM Cattle MMCH4</v>
      </c>
      <c r="B1081" s="95" t="s">
        <v>1322</v>
      </c>
      <c r="C1081" s="95" t="s">
        <v>1229</v>
      </c>
      <c r="D1081" t="s">
        <v>15</v>
      </c>
      <c r="E1081" t="s">
        <v>22</v>
      </c>
      <c r="F1081" t="s">
        <v>6</v>
      </c>
      <c r="G1081" t="s">
        <v>136</v>
      </c>
      <c r="H1081" t="s">
        <v>1227</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7.4507389435191715</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7.5131092090175455</v>
      </c>
      <c r="P1081" s="93">
        <f>IF('Net zero activities &amp; levers'!$C$14="Off",('Activity data'!AI5*EF!$H18)*kgtoGg,IF('Net zero activities &amp; levers'!$C$14="On",('Net zero Activity data'!AI5*EF!$H18)*kgtoGg,"ERROR"))</f>
        <v>7.5251923679492423</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7.5825135825669054</v>
      </c>
      <c r="S1081" s="93">
        <f>IF('Net zero activities &amp; levers'!$C$14="Off",('Activity data'!AL5*EF!$H18)*kgtoGg,IF('Net zero activities &amp; levers'!$C$14="On",('Net zero Activity data'!AL5*EF!$H18)*kgtoGg,"ERROR"))</f>
        <v>7.3670594492211752</v>
      </c>
      <c r="T1081" s="93">
        <f>IF('Net zero activities &amp; levers'!$C$14="Off",('Activity data'!AM5*EF!$H18)*kgtoGg,IF('Net zero activities &amp; levers'!$C$14="On",('Net zero Activity data'!AM5*EF!$H18)*kgtoGg,"ERROR"))</f>
        <v>7.4938201403917679</v>
      </c>
      <c r="U1081" s="93">
        <f>IF('Net zero activities &amp; levers'!$C$14="Off",('Activity data'!AN5*EF!$H18)*kgtoGg,IF('Net zero activities &amp; levers'!$C$14="On",('Net zero Activity data'!AN5*EF!$H18)*kgtoGg,"ERROR"))</f>
        <v>12.893716848831154</v>
      </c>
      <c r="V1081" s="93">
        <f>IF('Net zero activities &amp; levers'!$C$14="Off",('Activity data'!AO5*EF!$H18)*kgtoGg,IF('Net zero activities &amp; levers'!$C$14="On",('Net zero Activity data'!AO5*EF!$H18)*kgtoGg,"ERROR"))</f>
        <v>13.049144587269693</v>
      </c>
      <c r="W1081" s="93">
        <f>IF('Net zero activities &amp; levers'!$C$14="Off",('Activity data'!AP5*EF!$H18)*kgtoGg,IF('Net zero activities &amp; levers'!$C$14="On",('Net zero Activity data'!AP5*EF!$H18)*kgtoGg,"ERROR"))</f>
        <v>13.19775488481636</v>
      </c>
      <c r="X1081" s="93">
        <f>IF('Net zero activities &amp; levers'!$C$14="Off",('Activity data'!AQ5*EF!$H18)*kgtoGg,IF('Net zero activities &amp; levers'!$C$14="On",('Net zero Activity data'!AQ5*EF!$H18)*kgtoGg,"ERROR"))</f>
        <v>13.337019913111025</v>
      </c>
      <c r="Y1081" s="93">
        <f>IF('Net zero activities &amp; levers'!$C$14="Off",('Activity data'!AR5*EF!$H18)*kgtoGg,IF('Net zero activities &amp; levers'!$C$14="On",('Net zero Activity data'!AR5*EF!$H18)*kgtoGg,"ERROR"))</f>
        <v>13.463220566952655</v>
      </c>
      <c r="Z1081" s="93">
        <f>IF('Net zero activities &amp; levers'!$C$14="Off",('Activity data'!AS5*EF!$H18)*kgtoGg,IF('Net zero activities &amp; levers'!$C$14="On",('Net zero Activity data'!AS5*EF!$H18)*kgtoGg,"ERROR"))</f>
        <v>13.575767486447466</v>
      </c>
      <c r="AA1081" s="93">
        <f>IF('Net zero activities &amp; levers'!$C$14="Off",('Activity data'!AT5*EF!$H18)*kgtoGg,IF('Net zero activities &amp; levers'!$C$14="On",('Net zero Activity data'!AT5*EF!$H18)*kgtoGg,"ERROR"))</f>
        <v>13.674005026382902</v>
      </c>
      <c r="AB1081" s="93">
        <f>IF('Net zero activities &amp; levers'!$C$14="Off",('Activity data'!AU5*EF!$H18)*kgtoGg,IF('Net zero activities &amp; levers'!$C$14="On",('Net zero Activity data'!AU5*EF!$H18)*kgtoGg,"ERROR"))</f>
        <v>13.757436960081838</v>
      </c>
      <c r="AC1081" s="93">
        <f>IF('Net zero activities &amp; levers'!$C$14="Off",('Activity data'!AV5*EF!$H18)*kgtoGg,IF('Net zero activities &amp; levers'!$C$14="On",('Net zero Activity data'!AV5*EF!$H18)*kgtoGg,"ERROR"))</f>
        <v>13.825669744576842</v>
      </c>
      <c r="AD1081" s="93">
        <f>IF('Net zero activities &amp; levers'!$C$14="Off",('Activity data'!AW5*EF!$H18)*kgtoGg,IF('Net zero activities &amp; levers'!$C$14="On",('Net zero Activity data'!AW5*EF!$H18)*kgtoGg,"ERROR"))</f>
        <v>13.878289677767924</v>
      </c>
      <c r="AE1081" s="93">
        <f>IF('Net zero activities &amp; levers'!$C$14="Off",('Activity data'!AX5*EF!$H18)*kgtoGg,IF('Net zero activities &amp; levers'!$C$14="On",('Net zero Activity data'!AX5*EF!$H18)*kgtoGg,"ERROR"))</f>
        <v>13.915049092366717</v>
      </c>
      <c r="AF1081" s="93">
        <f>IF('Net zero activities &amp; levers'!$C$14="Off",('Activity data'!AY5*EF!$H18)*kgtoGg,IF('Net zero activities &amp; levers'!$C$14="On",('Net zero Activity data'!AY5*EF!$H18)*kgtoGg,"ERROR"))</f>
        <v>13.935710420523995</v>
      </c>
      <c r="AG1081" s="93">
        <f>IF('Net zero activities &amp; levers'!$C$14="Off",('Activity data'!AZ5*EF!$H18)*kgtoGg,IF('Net zero activities &amp; levers'!$C$14="On",('Net zero Activity data'!AZ5*EF!$H18)*kgtoGg,"ERROR"))</f>
        <v>13.940044142256493</v>
      </c>
      <c r="AH1081" s="93">
        <f>IF('Net zero activities &amp; levers'!$C$14="Off",('Activity data'!BA5*EF!$H18)*kgtoGg,IF('Net zero activities &amp; levers'!$C$14="On",('Net zero Activity data'!BA5*EF!$H18)*kgtoGg,"ERROR"))</f>
        <v>13.928008342806061</v>
      </c>
      <c r="AI1081" s="93">
        <f>IF('Net zero activities &amp; levers'!$C$14="Off",('Activity data'!BB5*EF!$H18)*kgtoGg,IF('Net zero activities &amp; levers'!$C$14="On",('Net zero Activity data'!BB5*EF!$H18)*kgtoGg,"ERROR"))</f>
        <v>13.899671543047996</v>
      </c>
      <c r="AJ1081" s="93">
        <f>IF('Net zero activities &amp; levers'!$C$14="Off",('Activity data'!BC5*EF!$H18)*kgtoGg,IF('Net zero activities &amp; levers'!$C$14="On",('Net zero Activity data'!BC5*EF!$H18)*kgtoGg,"ERROR"))</f>
        <v>4.3976157174808597</v>
      </c>
      <c r="AK1081" s="93">
        <f>IF('Net zero activities &amp; levers'!$C$14="Off",('Activity data'!BD5*EF!$H18)*kgtoGg,IF('Net zero activities &amp; levers'!$C$14="On",('Net zero Activity data'!BD5*EF!$H18)*kgtoGg,"ERROR"))</f>
        <v>4.4008259031545416</v>
      </c>
      <c r="AL1081" s="93">
        <f>IF('Net zero activities &amp; levers'!$C$14="Off",('Activity data'!BE5*EF!$H18)*kgtoGg,IF('Net zero activities &amp; levers'!$C$14="On",('Net zero Activity data'!BE5*EF!$H18)*kgtoGg,"ERROR"))</f>
        <v>4.403804998470318</v>
      </c>
      <c r="AM1081" s="93">
        <f>IF('Net zero activities &amp; levers'!$C$14="Off",('Activity data'!BF5*EF!$H18)*kgtoGg,IF('Net zero activities &amp; levers'!$C$14="On",('Net zero Activity data'!BF5*EF!$H18)*kgtoGg,"ERROR"))</f>
        <v>4.4065731559819081</v>
      </c>
      <c r="AN1081" s="93">
        <f>IF('Net zero activities &amp; levers'!$C$14="Off",('Activity data'!BG5*EF!$H18)*kgtoGg,IF('Net zero activities &amp; levers'!$C$14="On",('Net zero Activity data'!BG5*EF!$H18)*kgtoGg,"ERROR"))</f>
        <v>4.4091551994119804</v>
      </c>
      <c r="AO1081" s="93">
        <f>IF('Net zero activities &amp; levers'!$C$14="Off",('Activity data'!BH5*EF!$H18)*kgtoGg,IF('Net zero activities &amp; levers'!$C$14="On",('Net zero Activity data'!BH5*EF!$H18)*kgtoGg,"ERROR"))</f>
        <v>4.4114700909604787</v>
      </c>
      <c r="AP1081" s="93">
        <f>IF('Net zero activities &amp; levers'!$C$14="Off",('Activity data'!BI5*EF!$H18)*kgtoGg,IF('Net zero activities &amp; levers'!$C$14="On",('Net zero Activity data'!BI5*EF!$H18)*kgtoGg,"ERROR"))</f>
        <v>4.4134634106251305</v>
      </c>
      <c r="AQ1081" s="93">
        <f>IF('Net zero activities &amp; levers'!$C$14="Off",('Activity data'!BJ5*EF!$H18)*kgtoGg,IF('Net zero activities &amp; levers'!$C$14="On",('Net zero Activity data'!BJ5*EF!$H18)*kgtoGg,"ERROR"))</f>
        <v>4.4151264315171801</v>
      </c>
      <c r="AR1081" s="93">
        <f>IF('Net zero activities &amp; levers'!$C$14="Off",('Activity data'!BK5*EF!$H18)*kgtoGg,IF('Net zero activities &amp; levers'!$C$14="On",('Net zero Activity data'!BK5*EF!$H18)*kgtoGg,"ERROR"))</f>
        <v>4.4163974064588221</v>
      </c>
      <c r="AS1081" s="93">
        <f>IF('Net zero activities &amp; levers'!$C$14="Off",('Activity data'!BL5*EF!$H18)*kgtoGg,IF('Net zero activities &amp; levers'!$C$14="On",('Net zero Activity data'!BL5*EF!$H18)*kgtoGg,"ERROR"))</f>
        <v>4.4172092973227706</v>
      </c>
      <c r="AT1081" s="93">
        <f>IF('Net zero activities &amp; levers'!$C$14="Off",('Activity data'!BM5*EF!$H18)*kgtoGg,IF('Net zero activities &amp; levers'!$C$14="On",('Net zero Activity data'!BM5*EF!$H18)*kgtoGg,"ERROR"))</f>
        <v>4.4175538239653074</v>
      </c>
      <c r="AU1081" s="93">
        <f>IF('Net zero activities &amp; levers'!$C$14="Off",('Activity data'!BN5*EF!$H18)*kgtoGg,IF('Net zero activities &amp; levers'!$C$14="On",('Net zero Activity data'!BN5*EF!$H18)*kgtoGg,"ERROR"))</f>
        <v>4.4174405083324073</v>
      </c>
      <c r="AV1081" s="93">
        <f>IF('Net zero activities &amp; levers'!$C$14="Off",('Activity data'!BO5*EF!$H18)*kgtoGg,IF('Net zero activities &amp; levers'!$C$14="On",('Net zero Activity data'!BO5*EF!$H18)*kgtoGg,"ERROR"))</f>
        <v>4.4168759908828958</v>
      </c>
      <c r="AW1081" s="93">
        <f>IF('Net zero activities &amp; levers'!$C$14="Off",('Activity data'!BP5*EF!$H18)*kgtoGg,IF('Net zero activities &amp; levers'!$C$14="On",('Net zero Activity data'!BP5*EF!$H18)*kgtoGg,"ERROR"))</f>
        <v>4.4157972186653511</v>
      </c>
      <c r="AY1081" s="79"/>
    </row>
    <row r="1082" spans="1:51" x14ac:dyDescent="0.25">
      <c r="A1082" s="95" t="str">
        <f t="shared" si="373"/>
        <v>CM Cattle MMCH4</v>
      </c>
      <c r="B1082" s="95" t="s">
        <v>1322</v>
      </c>
      <c r="C1082" s="95" t="s">
        <v>1229</v>
      </c>
      <c r="D1082" t="s">
        <v>15</v>
      </c>
      <c r="E1082" t="s">
        <v>22</v>
      </c>
      <c r="F1082" t="s">
        <v>6</v>
      </c>
      <c r="G1082" t="s">
        <v>137</v>
      </c>
      <c r="H1082" t="s">
        <v>1227</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2.1227712545548472</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2.1405410097083362</v>
      </c>
      <c r="P1082" s="93">
        <f>IF('Net zero activities &amp; levers'!$C$14="Off",('Activity data'!AI6*EF!$H19)*kgtoGg,IF('Net zero activities &amp; levers'!$C$14="On",('Net zero Activity data'!AI6*EF!$H19)*kgtoGg,"ERROR"))</f>
        <v>2.1439835920667925</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2.1603148348588097</v>
      </c>
      <c r="S1082" s="93">
        <f>IF('Net zero activities &amp; levers'!$C$14="Off",('Activity data'!AL6*EF!$H19)*kgtoGg,IF('Net zero activities &amp; levers'!$C$14="On",('Net zero Activity data'!AL6*EF!$H19)*kgtoGg,"ERROR"))</f>
        <v>2.0989303407289799</v>
      </c>
      <c r="T1082" s="93">
        <f>IF('Net zero activities &amp; levers'!$C$14="Off",('Activity data'!AM6*EF!$H19)*kgtoGg,IF('Net zero activities &amp; levers'!$C$14="On",('Net zero Activity data'!AM6*EF!$H19)*kgtoGg,"ERROR"))</f>
        <v>2.1350454097797478</v>
      </c>
      <c r="U1082" s="93">
        <f>IF('Net zero activities &amp; levers'!$C$14="Off",('Activity data'!AN6*EF!$H19)*kgtoGg,IF('Net zero activities &amp; levers'!$C$14="On",('Net zero Activity data'!AN6*EF!$H19)*kgtoGg,"ERROR"))</f>
        <v>3.6735163718057389</v>
      </c>
      <c r="V1082" s="93">
        <f>IF('Net zero activities &amp; levers'!$C$14="Off",('Activity data'!AO6*EF!$H19)*kgtoGg,IF('Net zero activities &amp; levers'!$C$14="On",('Net zero Activity data'!AO6*EF!$H19)*kgtoGg,"ERROR"))</f>
        <v>3.7177988970450366</v>
      </c>
      <c r="W1082" s="93">
        <f>IF('Net zero activities &amp; levers'!$C$14="Off",('Activity data'!AP6*EF!$H19)*kgtoGg,IF('Net zero activities &amp; levers'!$C$14="On",('Net zero Activity data'!AP6*EF!$H19)*kgtoGg,"ERROR"))</f>
        <v>3.7601390823815941</v>
      </c>
      <c r="X1082" s="93">
        <f>IF('Net zero activities &amp; levers'!$C$14="Off",('Activity data'!AQ6*EF!$H19)*kgtoGg,IF('Net zero activities &amp; levers'!$C$14="On",('Net zero Activity data'!AQ6*EF!$H19)*kgtoGg,"ERROR"))</f>
        <v>3.7998167306081263</v>
      </c>
      <c r="Y1082" s="93">
        <f>IF('Net zero activities &amp; levers'!$C$14="Off",('Activity data'!AR6*EF!$H19)*kgtoGg,IF('Net zero activities &amp; levers'!$C$14="On",('Net zero Activity data'!AR6*EF!$H19)*kgtoGg,"ERROR"))</f>
        <v>3.8357722408349422</v>
      </c>
      <c r="Z1082" s="93">
        <f>IF('Net zero activities &amp; levers'!$C$14="Off",('Activity data'!AS6*EF!$H19)*kgtoGg,IF('Net zero activities &amp; levers'!$C$14="On",('Net zero Activity data'!AS6*EF!$H19)*kgtoGg,"ERROR"))</f>
        <v>3.8678377000200475</v>
      </c>
      <c r="AA1082" s="93">
        <f>IF('Net zero activities &amp; levers'!$C$14="Off",('Activity data'!AT6*EF!$H19)*kgtoGg,IF('Net zero activities &amp; levers'!$C$14="On",('Net zero Activity data'!AT6*EF!$H19)*kgtoGg,"ERROR"))</f>
        <v>3.8958263099383315</v>
      </c>
      <c r="AB1082" s="93">
        <f>IF('Net zero activities &amp; levers'!$C$14="Off",('Activity data'!AU6*EF!$H19)*kgtoGg,IF('Net zero activities &amp; levers'!$C$14="On",('Net zero Activity data'!AU6*EF!$H19)*kgtoGg,"ERROR"))</f>
        <v>3.919596691897838</v>
      </c>
      <c r="AC1082" s="93">
        <f>IF('Net zero activities &amp; levers'!$C$14="Off",('Activity data'!AV6*EF!$H19)*kgtoGg,IF('Net zero activities &amp; levers'!$C$14="On",('Net zero Activity data'!AV6*EF!$H19)*kgtoGg,"ERROR"))</f>
        <v>3.9390367225635514</v>
      </c>
      <c r="AD1082" s="93">
        <f>IF('Net zero activities &amp; levers'!$C$14="Off",('Activity data'!AW6*EF!$H19)*kgtoGg,IF('Net zero activities &amp; levers'!$C$14="On",('Net zero Activity data'!AW6*EF!$H19)*kgtoGg,"ERROR"))</f>
        <v>3.9540285351128004</v>
      </c>
      <c r="AE1082" s="93">
        <f>IF('Net zero activities &amp; levers'!$C$14="Off",('Activity data'!AX6*EF!$H19)*kgtoGg,IF('Net zero activities &amp; levers'!$C$14="On",('Net zero Activity data'!AX6*EF!$H19)*kgtoGg,"ERROR"))</f>
        <v>3.9645015672826429</v>
      </c>
      <c r="AF1082" s="93">
        <f>IF('Net zero activities &amp; levers'!$C$14="Off",('Activity data'!AY6*EF!$H19)*kgtoGg,IF('Net zero activities &amp; levers'!$C$14="On",('Net zero Activity data'!AY6*EF!$H19)*kgtoGg,"ERROR"))</f>
        <v>3.9703881342158924</v>
      </c>
      <c r="AG1082" s="93">
        <f>IF('Net zero activities &amp; levers'!$C$14="Off",('Activity data'!AZ6*EF!$H19)*kgtoGg,IF('Net zero activities &amp; levers'!$C$14="On",('Net zero Activity data'!AZ6*EF!$H19)*kgtoGg,"ERROR"))</f>
        <v>3.9716228439525687</v>
      </c>
      <c r="AH1082" s="93">
        <f>IF('Net zero activities &amp; levers'!$C$14="Off",('Activity data'!BA6*EF!$H19)*kgtoGg,IF('Net zero activities &amp; levers'!$C$14="On",('Net zero Activity data'!BA6*EF!$H19)*kgtoGg,"ERROR"))</f>
        <v>3.9681937546645596</v>
      </c>
      <c r="AI1082" s="93">
        <f>IF('Net zero activities &amp; levers'!$C$14="Off",('Activity data'!BB6*EF!$H19)*kgtoGg,IF('Net zero activities &amp; levers'!$C$14="On",('Net zero Activity data'!BB6*EF!$H19)*kgtoGg,"ERROR"))</f>
        <v>3.9601203884617591</v>
      </c>
      <c r="AJ1082" s="93">
        <f>IF('Net zero activities &amp; levers'!$C$14="Off",('Activity data'!BC6*EF!$H19)*kgtoGg,IF('Net zero activities &amp; levers'!$C$14="On",('Net zero Activity data'!BC6*EF!$H19)*kgtoGg,"ERROR"))</f>
        <v>1.2529136109065901</v>
      </c>
      <c r="AK1082" s="93">
        <f>IF('Net zero activities &amp; levers'!$C$14="Off",('Activity data'!BD6*EF!$H19)*kgtoGg,IF('Net zero activities &amp; levers'!$C$14="On",('Net zero Activity data'!BD6*EF!$H19)*kgtoGg,"ERROR"))</f>
        <v>1.2538282168163573</v>
      </c>
      <c r="AL1082" s="93">
        <f>IF('Net zero activities &amp; levers'!$C$14="Off",('Activity data'!BE6*EF!$H19)*kgtoGg,IF('Net zero activities &amp; levers'!$C$14="On",('Net zero Activity data'!BE6*EF!$H19)*kgtoGg,"ERROR"))</f>
        <v>1.2546769833546632</v>
      </c>
      <c r="AM1082" s="93">
        <f>IF('Net zero activities &amp; levers'!$C$14="Off",('Activity data'!BF6*EF!$H19)*kgtoGg,IF('Net zero activities &amp; levers'!$C$14="On",('Net zero Activity data'!BF6*EF!$H19)*kgtoGg,"ERROR"))</f>
        <v>1.2554656521347973</v>
      </c>
      <c r="AN1082" s="93">
        <f>IF('Net zero activities &amp; levers'!$C$14="Off",('Activity data'!BG6*EF!$H19)*kgtoGg,IF('Net zero activities &amp; levers'!$C$14="On",('Net zero Activity data'!BG6*EF!$H19)*kgtoGg,"ERROR"))</f>
        <v>1.2562012956210231</v>
      </c>
      <c r="AO1082" s="93">
        <f>IF('Net zero activities &amp; levers'!$C$14="Off",('Activity data'!BH6*EF!$H19)*kgtoGg,IF('Net zero activities &amp; levers'!$C$14="On",('Net zero Activity data'!BH6*EF!$H19)*kgtoGg,"ERROR"))</f>
        <v>1.2568608255379636</v>
      </c>
      <c r="AP1082" s="93">
        <f>IF('Net zero activities &amp; levers'!$C$14="Off",('Activity data'!BI6*EF!$H19)*kgtoGg,IF('Net zero activities &amp; levers'!$C$14="On",('Net zero Activity data'!BI6*EF!$H19)*kgtoGg,"ERROR"))</f>
        <v>1.2574287372199238</v>
      </c>
      <c r="AQ1082" s="93">
        <f>IF('Net zero activities &amp; levers'!$C$14="Off",('Activity data'!BJ6*EF!$H19)*kgtoGg,IF('Net zero activities &amp; levers'!$C$14="On",('Net zero Activity data'!BJ6*EF!$H19)*kgtoGg,"ERROR"))</f>
        <v>1.257902544311023</v>
      </c>
      <c r="AR1082" s="93">
        <f>IF('Net zero activities &amp; levers'!$C$14="Off",('Activity data'!BK6*EF!$H19)*kgtoGg,IF('Net zero activities &amp; levers'!$C$14="On",('Net zero Activity data'!BK6*EF!$H19)*kgtoGg,"ERROR"))</f>
        <v>1.2582646545784513</v>
      </c>
      <c r="AS1082" s="93">
        <f>IF('Net zero activities &amp; levers'!$C$14="Off",('Activity data'!BL6*EF!$H19)*kgtoGg,IF('Net zero activities &amp; levers'!$C$14="On",('Net zero Activity data'!BL6*EF!$H19)*kgtoGg,"ERROR"))</f>
        <v>1.2584959683583183</v>
      </c>
      <c r="AT1082" s="93">
        <f>IF('Net zero activities &amp; levers'!$C$14="Off",('Activity data'!BM6*EF!$H19)*kgtoGg,IF('Net zero activities &amp; levers'!$C$14="On",('Net zero Activity data'!BM6*EF!$H19)*kgtoGg,"ERROR"))</f>
        <v>1.2585941265757443</v>
      </c>
      <c r="AU1082" s="93">
        <f>IF('Net zero activities &amp; levers'!$C$14="Off",('Activity data'!BN6*EF!$H19)*kgtoGg,IF('Net zero activities &amp; levers'!$C$14="On",('Net zero Activity data'!BN6*EF!$H19)*kgtoGg,"ERROR"))</f>
        <v>1.2585618421043605</v>
      </c>
      <c r="AV1082" s="93">
        <f>IF('Net zero activities &amp; levers'!$C$14="Off",('Activity data'!BO6*EF!$H19)*kgtoGg,IF('Net zero activities &amp; levers'!$C$14="On",('Net zero Activity data'!BO6*EF!$H19)*kgtoGg,"ERROR"))</f>
        <v>1.2584010068605544</v>
      </c>
      <c r="AW1082" s="93">
        <f>IF('Net zero activities &amp; levers'!$C$14="Off",('Activity data'!BP6*EF!$H19)*kgtoGg,IF('Net zero activities &amp; levers'!$C$14="On",('Net zero Activity data'!BP6*EF!$H19)*kgtoGg,"ERROR"))</f>
        <v>1.2580936565868464</v>
      </c>
      <c r="AY1082" s="79"/>
    </row>
    <row r="1083" spans="1:51" x14ac:dyDescent="0.25">
      <c r="A1083" s="95" t="str">
        <f t="shared" si="373"/>
        <v>CM Cattle MMCH4</v>
      </c>
      <c r="B1083" s="95" t="s">
        <v>1322</v>
      </c>
      <c r="C1083" s="95" t="s">
        <v>1229</v>
      </c>
      <c r="D1083" t="s">
        <v>15</v>
      </c>
      <c r="E1083" t="s">
        <v>22</v>
      </c>
      <c r="F1083" t="s">
        <v>67</v>
      </c>
      <c r="G1083" t="s">
        <v>307</v>
      </c>
      <c r="H1083" t="s">
        <v>1227</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0.43843338143569016</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0.44210351490980404</v>
      </c>
      <c r="P1083" s="93">
        <f>IF('Net zero activities &amp; levers'!$C$14="Off",('Activity data'!AI7*EF!$H20)*kgtoGg,IF('Net zero activities &amp; levers'!$C$14="On",('Net zero Activity data'!AI7*EF!$H20)*kgtoGg,"ERROR"))</f>
        <v>0.44281453971808249</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0.44618756541973903</v>
      </c>
      <c r="S1083" s="93">
        <f>IF('Net zero activities &amp; levers'!$C$14="Off",('Activity data'!AL7*EF!$H20)*kgtoGg,IF('Net zero activities &amp; levers'!$C$14="On",('Net zero Activity data'!AL7*EF!$H20)*kgtoGg,"ERROR"))</f>
        <v>0.43350932169879508</v>
      </c>
      <c r="T1083" s="93">
        <f>IF('Net zero activities &amp; levers'!$C$14="Off",('Activity data'!AM7*EF!$H20)*kgtoGg,IF('Net zero activities &amp; levers'!$C$14="On",('Net zero Activity data'!AM7*EF!$H20)*kgtoGg,"ERROR"))</f>
        <v>0.44096846352141772</v>
      </c>
      <c r="U1083" s="93">
        <f>IF('Net zero activities &amp; levers'!$C$14="Off",('Activity data'!AN7*EF!$H20)*kgtoGg,IF('Net zero activities &amp; levers'!$C$14="On",('Net zero Activity data'!AN7*EF!$H20)*kgtoGg,"ERROR"))</f>
        <v>0.75872150670699801</v>
      </c>
      <c r="V1083" s="93">
        <f>IF('Net zero activities &amp; levers'!$C$14="Off",('Activity data'!AO7*EF!$H20)*kgtoGg,IF('Net zero activities &amp; levers'!$C$14="On",('Net zero Activity data'!AO7*EF!$H20)*kgtoGg,"ERROR"))</f>
        <v>0.76786754033521754</v>
      </c>
      <c r="W1083" s="93">
        <f>IF('Net zero activities &amp; levers'!$C$14="Off",('Activity data'!AP7*EF!$H20)*kgtoGg,IF('Net zero activities &amp; levers'!$C$14="On",('Net zero Activity data'!AP7*EF!$H20)*kgtoGg,"ERROR"))</f>
        <v>0.77661240655096708</v>
      </c>
      <c r="X1083" s="93">
        <f>IF('Net zero activities &amp; levers'!$C$14="Off",('Activity data'!AQ7*EF!$H20)*kgtoGg,IF('Net zero activities &amp; levers'!$C$14="On",('Net zero Activity data'!AQ7*EF!$H20)*kgtoGg,"ERROR"))</f>
        <v>0.78480735711007588</v>
      </c>
      <c r="Y1083" s="93">
        <f>IF('Net zero activities &amp; levers'!$C$14="Off",('Activity data'!AR7*EF!$H20)*kgtoGg,IF('Net zero activities &amp; levers'!$C$14="On",('Net zero Activity data'!AR7*EF!$H20)*kgtoGg,"ERROR"))</f>
        <v>0.79223354393833789</v>
      </c>
      <c r="Z1083" s="93">
        <f>IF('Net zero activities &amp; levers'!$C$14="Off",('Activity data'!AS7*EF!$H20)*kgtoGg,IF('Net zero activities &amp; levers'!$C$14="On",('Net zero Activity data'!AS7*EF!$H20)*kgtoGg,"ERROR"))</f>
        <v>0.79885628657612706</v>
      </c>
      <c r="AA1083" s="93">
        <f>IF('Net zero activities &amp; levers'!$C$14="Off",('Activity data'!AT7*EF!$H20)*kgtoGg,IF('Net zero activities &amp; levers'!$C$14="On",('Net zero Activity data'!AT7*EF!$H20)*kgtoGg,"ERROR"))</f>
        <v>0.80463700405184546</v>
      </c>
      <c r="AB1083" s="93">
        <f>IF('Net zero activities &amp; levers'!$C$14="Off",('Activity data'!AU7*EF!$H20)*kgtoGg,IF('Net zero activities &amp; levers'!$C$14="On",('Net zero Activity data'!AU7*EF!$H20)*kgtoGg,"ERROR"))</f>
        <v>0.80954649626310582</v>
      </c>
      <c r="AC1083" s="93">
        <f>IF('Net zero activities &amp; levers'!$C$14="Off",('Activity data'!AV7*EF!$H20)*kgtoGg,IF('Net zero activities &amp; levers'!$C$14="On",('Net zero Activity data'!AV7*EF!$H20)*kgtoGg,"ERROR"))</f>
        <v>0.81356160545666301</v>
      </c>
      <c r="AD1083" s="93">
        <f>IF('Net zero activities &amp; levers'!$C$14="Off",('Activity data'!AW7*EF!$H20)*kgtoGg,IF('Net zero activities &amp; levers'!$C$14="On",('Net zero Activity data'!AW7*EF!$H20)*kgtoGg,"ERROR"))</f>
        <v>0.81665798762959563</v>
      </c>
      <c r="AE1083" s="93">
        <f>IF('Net zero activities &amp; levers'!$C$14="Off",('Activity data'!AX7*EF!$H20)*kgtoGg,IF('Net zero activities &amp; levers'!$C$14="On",('Net zero Activity data'!AX7*EF!$H20)*kgtoGg,"ERROR"))</f>
        <v>0.81882106897821283</v>
      </c>
      <c r="AF1083" s="93">
        <f>IF('Net zero activities &amp; levers'!$C$14="Off",('Activity data'!AY7*EF!$H20)*kgtoGg,IF('Net zero activities &amp; levers'!$C$14="On",('Net zero Activity data'!AY7*EF!$H20)*kgtoGg,"ERROR"))</f>
        <v>0.82003686999306757</v>
      </c>
      <c r="AG1083" s="93">
        <f>IF('Net zero activities &amp; levers'!$C$14="Off",('Activity data'!AZ7*EF!$H20)*kgtoGg,IF('Net zero activities &amp; levers'!$C$14="On",('Net zero Activity data'!AZ7*EF!$H20)*kgtoGg,"ERROR"))</f>
        <v>0.82029188473560344</v>
      </c>
      <c r="AH1083" s="93">
        <f>IF('Net zero activities &amp; levers'!$C$14="Off",('Activity data'!BA7*EF!$H20)*kgtoGg,IF('Net zero activities &amp; levers'!$C$14="On",('Net zero Activity data'!BA7*EF!$H20)*kgtoGg,"ERROR"))</f>
        <v>0.81958364676198259</v>
      </c>
      <c r="AI1083" s="93">
        <f>IF('Net zero activities &amp; levers'!$C$14="Off",('Activity data'!BB7*EF!$H20)*kgtoGg,IF('Net zero activities &amp; levers'!$C$14="On",('Net zero Activity data'!BB7*EF!$H20)*kgtoGg,"ERROR"))</f>
        <v>0.81791618813389544</v>
      </c>
      <c r="AJ1083" s="93">
        <f>IF('Net zero activities &amp; levers'!$C$14="Off",('Activity data'!BC7*EF!$H20)*kgtoGg,IF('Net zero activities &amp; levers'!$C$14="On",('Net zero Activity data'!BC7*EF!$H20)*kgtoGg,"ERROR"))</f>
        <v>0.2587745381881813</v>
      </c>
      <c r="AK1083" s="93">
        <f>IF('Net zero activities &amp; levers'!$C$14="Off",('Activity data'!BD7*EF!$H20)*kgtoGg,IF('Net zero activities &amp; levers'!$C$14="On",('Net zero Activity data'!BD7*EF!$H20)*kgtoGg,"ERROR"))</f>
        <v>0.25896343925834608</v>
      </c>
      <c r="AL1083" s="93">
        <f>IF('Net zero activities &amp; levers'!$C$14="Off",('Activity data'!BE7*EF!$H20)*kgtoGg,IF('Net zero activities &amp; levers'!$C$14="On",('Net zero Activity data'!BE7*EF!$H20)*kgtoGg,"ERROR"))</f>
        <v>0.25913874198238679</v>
      </c>
      <c r="AM1083" s="93">
        <f>IF('Net zero activities &amp; levers'!$C$14="Off",('Activity data'!BF7*EF!$H20)*kgtoGg,IF('Net zero activities &amp; levers'!$C$14="On",('Net zero Activity data'!BF7*EF!$H20)*kgtoGg,"ERROR"))</f>
        <v>0.25930163222285196</v>
      </c>
      <c r="AN1083" s="93">
        <f>IF('Net zero activities &amp; levers'!$C$14="Off",('Activity data'!BG7*EF!$H20)*kgtoGg,IF('Net zero activities &amp; levers'!$C$14="On",('Net zero Activity data'!BG7*EF!$H20)*kgtoGg,"ERROR"))</f>
        <v>0.25945357071387171</v>
      </c>
      <c r="AO1083" s="93">
        <f>IF('Net zero activities &amp; levers'!$C$14="Off",('Activity data'!BH7*EF!$H20)*kgtoGg,IF('Net zero activities &amp; levers'!$C$14="On",('Net zero Activity data'!BH7*EF!$H20)*kgtoGg,"ERROR"))</f>
        <v>0.25958978884430933</v>
      </c>
      <c r="AP1083" s="93">
        <f>IF('Net zero activities &amp; levers'!$C$14="Off",('Activity data'!BI7*EF!$H20)*kgtoGg,IF('Net zero activities &amp; levers'!$C$14="On",('Net zero Activity data'!BI7*EF!$H20)*kgtoGg,"ERROR"))</f>
        <v>0.25970708430821976</v>
      </c>
      <c r="AQ1083" s="93">
        <f>IF('Net zero activities &amp; levers'!$C$14="Off",('Activity data'!BJ7*EF!$H20)*kgtoGg,IF('Net zero activities &amp; levers'!$C$14="On",('Net zero Activity data'!BJ7*EF!$H20)*kgtoGg,"ERROR"))</f>
        <v>0.25980494357810247</v>
      </c>
      <c r="AR1083" s="93">
        <f>IF('Net zero activities &amp; levers'!$C$14="Off",('Activity data'!BK7*EF!$H20)*kgtoGg,IF('Net zero activities &amp; levers'!$C$14="On",('Net zero Activity data'!BK7*EF!$H20)*kgtoGg,"ERROR"))</f>
        <v>0.25987973318563101</v>
      </c>
      <c r="AS1083" s="93">
        <f>IF('Net zero activities &amp; levers'!$C$14="Off",('Activity data'!BL7*EF!$H20)*kgtoGg,IF('Net zero activities &amp; levers'!$C$14="On",('Net zero Activity data'!BL7*EF!$H20)*kgtoGg,"ERROR"))</f>
        <v>0.25992750832035744</v>
      </c>
      <c r="AT1083" s="93">
        <f>IF('Net zero activities &amp; levers'!$C$14="Off",('Activity data'!BM7*EF!$H20)*kgtoGg,IF('Net zero activities &amp; levers'!$C$14="On",('Net zero Activity data'!BM7*EF!$H20)*kgtoGg,"ERROR"))</f>
        <v>0.2599477817431719</v>
      </c>
      <c r="AU1083" s="93">
        <f>IF('Net zero activities &amp; levers'!$C$14="Off",('Activity data'!BN7*EF!$H20)*kgtoGg,IF('Net zero activities &amp; levers'!$C$14="On",('Net zero Activity data'!BN7*EF!$H20)*kgtoGg,"ERROR"))</f>
        <v>0.25994111376614593</v>
      </c>
      <c r="AV1083" s="93">
        <f>IF('Net zero activities &amp; levers'!$C$14="Off",('Activity data'!BO7*EF!$H20)*kgtoGg,IF('Net zero activities &amp; levers'!$C$14="On",('Net zero Activity data'!BO7*EF!$H20)*kgtoGg,"ERROR"))</f>
        <v>0.25990789514230944</v>
      </c>
      <c r="AW1083" s="93">
        <f>IF('Net zero activities &amp; levers'!$C$14="Off",('Activity data'!BP7*EF!$H20)*kgtoGg,IF('Net zero activities &amp; levers'!$C$14="On",('Net zero Activity data'!BP7*EF!$H20)*kgtoGg,"ERROR"))</f>
        <v>0.2598444155660255</v>
      </c>
      <c r="AY1083" s="79"/>
    </row>
    <row r="1084" spans="1:51" x14ac:dyDescent="0.25">
      <c r="A1084" s="95" t="str">
        <f t="shared" si="373"/>
        <v>CM Cattle MMCH4</v>
      </c>
      <c r="B1084" s="95" t="s">
        <v>1322</v>
      </c>
      <c r="C1084" s="95" t="s">
        <v>1229</v>
      </c>
      <c r="D1084" t="s">
        <v>15</v>
      </c>
      <c r="E1084" t="s">
        <v>22</v>
      </c>
      <c r="F1084" t="s">
        <v>67</v>
      </c>
      <c r="G1084" t="s">
        <v>122</v>
      </c>
      <c r="H1084" t="s">
        <v>1227</v>
      </c>
      <c r="I1084" t="s">
        <v>121</v>
      </c>
      <c r="J1084" t="s">
        <v>286</v>
      </c>
      <c r="K1084" s="93">
        <f>IF('Net zero activities &amp; levers'!$C$14="Off",('Activity data'!AD8*EF!$H21)*kgtoGg,IF('Net zero activities &amp; levers'!$C$14="On",('Net zero Activity data'!AD8*EF!$H21)*kgtoGg,"ERROR"))</f>
        <v>9.4871637196006525E-2</v>
      </c>
      <c r="L1084" s="93">
        <f>IF('Net zero activities &amp; levers'!$C$14="Off",('Activity data'!AE8*EF!$H21)*kgtoGg,IF('Net zero activities &amp; levers'!$C$14="On",('Net zero Activity data'!AE8*EF!$H21)*kgtoGg,"ERROR"))</f>
        <v>9.4048845784615531E-2</v>
      </c>
      <c r="M1084" s="93">
        <f>IF('Net zero activities &amp; levers'!$C$14="Off",('Activity data'!AF8*EF!$H21)*kgtoGg,IF('Net zero activities &amp; levers'!$C$14="On",('Net zero Activity data'!AF8*EF!$H21)*kgtoGg,"ERROR"))</f>
        <v>9.3735634002294232E-2</v>
      </c>
      <c r="N1084" s="93">
        <f>IF('Net zero activities &amp; levers'!$C$14="Off",('Activity data'!AG8*EF!$H21)*kgtoGg,IF('Net zero activities &amp; levers'!$C$14="On",('Net zero Activity data'!AG8*EF!$H21)*kgtoGg,"ERROR"))</f>
        <v>9.2483917307495112E-2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8.8322512540543879E-2</v>
      </c>
      <c r="Q1084" s="93">
        <f>IF('Net zero activities &amp; levers'!$C$14="Off",('Activity data'!AJ8*EF!$H21)*kgtoGg,IF('Net zero activities &amp; levers'!$C$14="On",('Net zero Activity data'!AJ8*EF!$H21)*kgtoGg,"ERROR"))</f>
        <v>8.6473330972337878E-2</v>
      </c>
      <c r="R1084" s="93">
        <f>IF('Net zero activities &amp; levers'!$C$14="Off",('Activity data'!AK8*EF!$H21)*kgtoGg,IF('Net zero activities &amp; levers'!$C$14="On",('Net zero Activity data'!AK8*EF!$H21)*kgtoGg,"ERROR"))</f>
        <v>8.4723794986300269E-2</v>
      </c>
      <c r="S1084" s="93">
        <f>IF('Net zero activities &amp; levers'!$C$14="Off",('Activity data'!AL8*EF!$H21)*kgtoGg,IF('Net zero activities &amp; levers'!$C$14="On",('Net zero Activity data'!AL8*EF!$H21)*kgtoGg,"ERROR"))</f>
        <v>7.5770078702790261E-2</v>
      </c>
      <c r="T1084" s="93">
        <f>IF('Net zero activities &amp; levers'!$C$14="Off",('Activity data'!AM8*EF!$H21)*kgtoGg,IF('Net zero activities &amp; levers'!$C$14="On",('Net zero Activity data'!AM8*EF!$H21)*kgtoGg,"ERROR"))</f>
        <v>7.8689269579177143E-2</v>
      </c>
      <c r="U1084" s="93">
        <f>IF('Net zero activities &amp; levers'!$C$14="Off",('Activity data'!AN8*EF!$H21)*kgtoGg,IF('Net zero activities &amp; levers'!$C$14="On",('Net zero Activity data'!AN8*EF!$H21)*kgtoGg,"ERROR"))</f>
        <v>0.24800462804394147</v>
      </c>
      <c r="V1084" s="93">
        <f>IF('Net zero activities &amp; levers'!$C$14="Off",('Activity data'!AO8*EF!$H21)*kgtoGg,IF('Net zero activities &amp; levers'!$C$14="On",('Net zero Activity data'!AO8*EF!$H21)*kgtoGg,"ERROR"))</f>
        <v>0.24920084841283532</v>
      </c>
      <c r="W1084" s="93">
        <f>IF('Net zero activities &amp; levers'!$C$14="Off",('Activity data'!AP8*EF!$H21)*kgtoGg,IF('Net zero activities &amp; levers'!$C$14="On",('Net zero Activity data'!AP8*EF!$H21)*kgtoGg,"ERROR"))</f>
        <v>0.24996642649158854</v>
      </c>
      <c r="X1084" s="93">
        <f>IF('Net zero activities &amp; levers'!$C$14="Off",('Activity data'!AQ8*EF!$H21)*kgtoGg,IF('Net zero activities &amp; levers'!$C$14="On",('Net zero Activity data'!AQ8*EF!$H21)*kgtoGg,"ERROR"))</f>
        <v>0.2503012063466436</v>
      </c>
      <c r="Y1084" s="93">
        <f>IF('Net zero activities &amp; levers'!$C$14="Off",('Activity data'!AR8*EF!$H21)*kgtoGg,IF('Net zero activities &amp; levers'!$C$14="On",('Net zero Activity data'!AR8*EF!$H21)*kgtoGg,"ERROR"))</f>
        <v>0.25021227988125561</v>
      </c>
      <c r="Z1084" s="93">
        <f>IF('Net zero activities &amp; levers'!$C$14="Off",('Activity data'!AS8*EF!$H21)*kgtoGg,IF('Net zero activities &amp; levers'!$C$14="On",('Net zero Activity data'!AS8*EF!$H21)*kgtoGg,"ERROR"))</f>
        <v>0.2496953846333905</v>
      </c>
      <c r="AA1084" s="93">
        <f>IF('Net zero activities &amp; levers'!$C$14="Off",('Activity data'!AT8*EF!$H21)*kgtoGg,IF('Net zero activities &amp; levers'!$C$14="On",('Net zero Activity data'!AT8*EF!$H21)*kgtoGg,"ERROR"))</f>
        <v>0.24874925442521903</v>
      </c>
      <c r="AB1084" s="93">
        <f>IF('Net zero activities &amp; levers'!$C$14="Off",('Activity data'!AU8*EF!$H21)*kgtoGg,IF('Net zero activities &amp; levers'!$C$14="On",('Net zero Activity data'!AU8*EF!$H21)*kgtoGg,"ERROR"))</f>
        <v>0.24737467209164213</v>
      </c>
      <c r="AC1084" s="93">
        <f>IF('Net zero activities &amp; levers'!$C$14="Off",('Activity data'!AV8*EF!$H21)*kgtoGg,IF('Net zero activities &amp; levers'!$C$14="On",('Net zero Activity data'!AV8*EF!$H21)*kgtoGg,"ERROR"))</f>
        <v>0.24557472852149176</v>
      </c>
      <c r="AD1084" s="93">
        <f>IF('Net zero activities &amp; levers'!$C$14="Off",('Activity data'!AW8*EF!$H21)*kgtoGg,IF('Net zero activities &amp; levers'!$C$14="On",('Net zero Activity data'!AW8*EF!$H21)*kgtoGg,"ERROR"))</f>
        <v>0.24131030034343104</v>
      </c>
      <c r="AE1084" s="93">
        <f>IF('Net zero activities &amp; levers'!$C$14="Off",('Activity data'!AX8*EF!$H21)*kgtoGg,IF('Net zero activities &amp; levers'!$C$14="On",('Net zero Activity data'!AX8*EF!$H21)*kgtoGg,"ERROR"))</f>
        <v>0.23664419000405892</v>
      </c>
      <c r="AF1084" s="93">
        <f>IF('Net zero activities &amp; levers'!$C$14="Off",('Activity data'!AY8*EF!$H21)*kgtoGg,IF('Net zero activities &amp; levers'!$C$14="On",('Net zero Activity data'!AY8*EF!$H21)*kgtoGg,"ERROR"))</f>
        <v>0.23159736326339173</v>
      </c>
      <c r="AG1084" s="93">
        <f>IF('Net zero activities &amp; levers'!$C$14="Off",('Activity data'!AZ8*EF!$H21)*kgtoGg,IF('Net zero activities &amp; levers'!$C$14="On",('Net zero Activity data'!AZ8*EF!$H21)*kgtoGg,"ERROR"))</f>
        <v>0.22619316818810492</v>
      </c>
      <c r="AH1084" s="93">
        <f>IF('Net zero activities &amp; levers'!$C$14="Off",('Activity data'!BA8*EF!$H21)*kgtoGg,IF('Net zero activities &amp; levers'!$C$14="On",('Net zero Activity data'!BA8*EF!$H21)*kgtoGg,"ERROR"))</f>
        <v>0.22045646078746098</v>
      </c>
      <c r="AI1084" s="93">
        <f>IF('Net zero activities &amp; levers'!$C$14="Off",('Activity data'!BB8*EF!$H21)*kgtoGg,IF('Net zero activities &amp; levers'!$C$14="On",('Net zero Activity data'!BB8*EF!$H21)*kgtoGg,"ERROR"))</f>
        <v>0.21441370915210514</v>
      </c>
      <c r="AJ1084" s="93">
        <f>IF('Net zero activities &amp; levers'!$C$14="Off",('Activity data'!BC8*EF!$H21)*kgtoGg,IF('Net zero activities &amp; levers'!$C$14="On",('Net zero Activity data'!BC8*EF!$H21)*kgtoGg,"ERROR"))</f>
        <v>-1.6555567081653722E-2</v>
      </c>
      <c r="AK1084" s="93">
        <f>IF('Net zero activities &amp; levers'!$C$14="Off",('Activity data'!BD8*EF!$H21)*kgtoGg,IF('Net zero activities &amp; levers'!$C$14="On",('Net zero Activity data'!BD8*EF!$H21)*kgtoGg,"ERROR"))</f>
        <v>-1.6156956868356984E-2</v>
      </c>
      <c r="AL1084" s="93">
        <f>IF('Net zero activities &amp; levers'!$C$14="Off",('Activity data'!BE8*EF!$H21)*kgtoGg,IF('Net zero activities &amp; levers'!$C$14="On",('Net zero Activity data'!BE8*EF!$H21)*kgtoGg,"ERROR"))</f>
        <v>-1.5762493990911713E-2</v>
      </c>
      <c r="AM1084" s="93">
        <f>IF('Net zero activities &amp; levers'!$C$14="Off",('Activity data'!BF8*EF!$H21)*kgtoGg,IF('Net zero activities &amp; levers'!$C$14="On",('Net zero Activity data'!BF8*EF!$H21)*kgtoGg,"ERROR"))</f>
        <v>-1.5372137708578686E-2</v>
      </c>
      <c r="AN1084" s="93">
        <f>IF('Net zero activities &amp; levers'!$C$14="Off",('Activity data'!BG8*EF!$H21)*kgtoGg,IF('Net zero activities &amp; levers'!$C$14="On",('Net zero Activity data'!BG8*EF!$H21)*kgtoGg,"ERROR"))</f>
        <v>-1.5062322238181812E-2</v>
      </c>
      <c r="AO1084" s="93">
        <f>IF('Net zero activities &amp; levers'!$C$14="Off",('Activity data'!BH8*EF!$H21)*kgtoGg,IF('Net zero activities &amp; levers'!$C$14="On",('Net zero Activity data'!BH8*EF!$H21)*kgtoGg,"ERROR"))</f>
        <v>-1.4755445706367474E-2</v>
      </c>
      <c r="AP1084" s="93">
        <f>IF('Net zero activities &amp; levers'!$C$14="Off",('Activity data'!BI8*EF!$H21)*kgtoGg,IF('Net zero activities &amp; levers'!$C$14="On",('Net zero Activity data'!BI8*EF!$H21)*kgtoGg,"ERROR"))</f>
        <v>-1.4451279866976845E-2</v>
      </c>
      <c r="AQ1084" s="93">
        <f>IF('Net zero activities &amp; levers'!$C$14="Off",('Activity data'!BJ8*EF!$H21)*kgtoGg,IF('Net zero activities &amp; levers'!$C$14="On",('Net zero Activity data'!BJ8*EF!$H21)*kgtoGg,"ERROR"))</f>
        <v>-1.4149749376213728E-2</v>
      </c>
      <c r="AR1084" s="93">
        <f>IF('Net zero activities &amp; levers'!$C$14="Off",('Activity data'!BK8*EF!$H21)*kgtoGg,IF('Net zero activities &amp; levers'!$C$14="On",('Net zero Activity data'!BK8*EF!$H21)*kgtoGg,"ERROR"))</f>
        <v>-1.3850633785054411E-2</v>
      </c>
      <c r="AS1084" s="93">
        <f>IF('Net zero activities &amp; levers'!$C$14="Off",('Activity data'!BL8*EF!$H21)*kgtoGg,IF('Net zero activities &amp; levers'!$C$14="On",('Net zero Activity data'!BL8*EF!$H21)*kgtoGg,"ERROR"))</f>
        <v>-1.3553717207866358E-2</v>
      </c>
      <c r="AT1084" s="93">
        <f>IF('Net zero activities &amp; levers'!$C$14="Off",('Activity data'!BM8*EF!$H21)*kgtoGg,IF('Net zero activities &amp; levers'!$C$14="On",('Net zero Activity data'!BM8*EF!$H21)*kgtoGg,"ERROR"))</f>
        <v>-1.3258964972152997E-2</v>
      </c>
      <c r="AU1084" s="93">
        <f>IF('Net zero activities &amp; levers'!$C$14="Off",('Activity data'!BN8*EF!$H21)*kgtoGg,IF('Net zero activities &amp; levers'!$C$14="On",('Net zero Activity data'!BN8*EF!$H21)*kgtoGg,"ERROR"))</f>
        <v>-1.296639528808627E-2</v>
      </c>
      <c r="AV1084" s="93">
        <f>IF('Net zero activities &amp; levers'!$C$14="Off",('Activity data'!BO8*EF!$H21)*kgtoGg,IF('Net zero activities &amp; levers'!$C$14="On",('Net zero Activity data'!BO8*EF!$H21)*kgtoGg,"ERROR"))</f>
        <v>-1.26760193266456E-2</v>
      </c>
      <c r="AW1084" s="93">
        <f>IF('Net zero activities &amp; levers'!$C$14="Off",('Activity data'!BP8*EF!$H21)*kgtoGg,IF('Net zero activities &amp; levers'!$C$14="On",('Net zero Activity data'!BP8*EF!$H21)*kgtoGg,"ERROR"))</f>
        <v>-1.2387670307042478E-2</v>
      </c>
      <c r="AY1084" s="79"/>
    </row>
    <row r="1085" spans="1:51" x14ac:dyDescent="0.25">
      <c r="A1085" s="95" t="str">
        <f t="shared" si="373"/>
        <v>CM Cattle MMCH4</v>
      </c>
      <c r="B1085" s="95" t="s">
        <v>1322</v>
      </c>
      <c r="C1085" s="95" t="s">
        <v>1229</v>
      </c>
      <c r="D1085" t="s">
        <v>15</v>
      </c>
      <c r="E1085" t="s">
        <v>22</v>
      </c>
      <c r="F1085" t="s">
        <v>67</v>
      </c>
      <c r="G1085" t="s">
        <v>123</v>
      </c>
      <c r="H1085" t="s">
        <v>1227</v>
      </c>
      <c r="I1085" t="s">
        <v>121</v>
      </c>
      <c r="J1085" t="s">
        <v>286</v>
      </c>
      <c r="K1085" s="93">
        <f>IF('Net zero activities &amp; levers'!$C$14="Off",('Activity data'!AD9*EF!$H22)*kgtoGg,IF('Net zero activities &amp; levers'!$C$14="On",('Net zero Activity data'!AD9*EF!$H22)*kgtoGg,"ERROR"))</f>
        <v>6.968944973410629E-2</v>
      </c>
      <c r="L1085" s="93">
        <f>IF('Net zero activities &amp; levers'!$C$14="Off",('Activity data'!AE9*EF!$H22)*kgtoGg,IF('Net zero activities &amp; levers'!$C$14="On",('Net zero Activity data'!AE9*EF!$H22)*kgtoGg,"ERROR"))</f>
        <v>6.908505539244103E-2</v>
      </c>
      <c r="M1085" s="93">
        <f>IF('Net zero activities &amp; levers'!$C$14="Off",('Activity data'!AF9*EF!$H22)*kgtoGg,IF('Net zero activities &amp; levers'!$C$14="On",('Net zero Activity data'!AF9*EF!$H22)*kgtoGg,"ERROR"))</f>
        <v>6.8854980763127779E-2</v>
      </c>
      <c r="N1085" s="93">
        <f>IF('Net zero activities &amp; levers'!$C$14="Off",('Activity data'!AG9*EF!$H22)*kgtoGg,IF('Net zero activities &amp; levers'!$C$14="On",('Net zero Activity data'!AG9*EF!$H22)*kgtoGg,"ERROR"))</f>
        <v>6.7935512624264296E-2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6.487868745605771E-2</v>
      </c>
      <c r="Q1085" s="93">
        <f>IF('Net zero activities &amp; levers'!$C$14="Off",('Activity data'!AJ9*EF!$H22)*kgtoGg,IF('Net zero activities &amp; levers'!$C$14="On",('Net zero Activity data'!AJ9*EF!$H22)*kgtoGg,"ERROR"))</f>
        <v>6.3520342119606055E-2</v>
      </c>
      <c r="R1085" s="93">
        <f>IF('Net zero activities &amp; levers'!$C$14="Off",('Activity data'!AK9*EF!$H22)*kgtoGg,IF('Net zero activities &amp; levers'!$C$14="On",('Net zero Activity data'!AK9*EF!$H22)*kgtoGg,"ERROR"))</f>
        <v>6.2235193009075984E-2</v>
      </c>
      <c r="S1085" s="93">
        <f>IF('Net zero activities &amp; levers'!$C$14="Off",('Activity data'!AL9*EF!$H22)*kgtoGg,IF('Net zero activities &amp; levers'!$C$14="On",('Net zero Activity data'!AL9*EF!$H22)*kgtoGg,"ERROR"))</f>
        <v>5.5658100220174651E-2</v>
      </c>
      <c r="T1085" s="93">
        <f>IF('Net zero activities &amp; levers'!$C$14="Off",('Activity data'!AM9*EF!$H22)*kgtoGg,IF('Net zero activities &amp; levers'!$C$14="On",('Net zero Activity data'!AM9*EF!$H22)*kgtoGg,"ERROR"))</f>
        <v>5.7802437683476982E-2</v>
      </c>
      <c r="U1085" s="93">
        <f>IF('Net zero activities &amp; levers'!$C$14="Off",('Activity data'!AN9*EF!$H22)*kgtoGg,IF('Net zero activities &amp; levers'!$C$14="On",('Net zero Activity data'!AN9*EF!$H22)*kgtoGg,"ERROR"))</f>
        <v>0.182175690972702</v>
      </c>
      <c r="V1085" s="93">
        <f>IF('Net zero activities &amp; levers'!$C$14="Off",('Activity data'!AO9*EF!$H22)*kgtoGg,IF('Net zero activities &amp; levers'!$C$14="On",('Net zero Activity data'!AO9*EF!$H22)*kgtoGg,"ERROR"))</f>
        <v>0.18305439341457844</v>
      </c>
      <c r="W1085" s="93">
        <f>IF('Net zero activities &amp; levers'!$C$14="Off",('Activity data'!AP9*EF!$H22)*kgtoGg,IF('Net zero activities &amp; levers'!$C$14="On",('Net zero Activity data'!AP9*EF!$H22)*kgtoGg,"ERROR"))</f>
        <v>0.18361676080501965</v>
      </c>
      <c r="X1085" s="93">
        <f>IF('Net zero activities &amp; levers'!$C$14="Off",('Activity data'!AQ9*EF!$H22)*kgtoGg,IF('Net zero activities &amp; levers'!$C$14="On",('Net zero Activity data'!AQ9*EF!$H22)*kgtoGg,"ERROR"))</f>
        <v>0.18386267860058431</v>
      </c>
      <c r="Y1085" s="93">
        <f>IF('Net zero activities &amp; levers'!$C$14="Off",('Activity data'!AR9*EF!$H22)*kgtoGg,IF('Net zero activities &amp; levers'!$C$14="On",('Net zero Activity data'!AR9*EF!$H22)*kgtoGg,"ERROR"))</f>
        <v>0.18379735627008756</v>
      </c>
      <c r="Z1085" s="93">
        <f>IF('Net zero activities &amp; levers'!$C$14="Off",('Activity data'!AS9*EF!$H22)*kgtoGg,IF('Net zero activities &amp; levers'!$C$14="On",('Net zero Activity data'!AS9*EF!$H22)*kgtoGg,"ERROR"))</f>
        <v>0.18341766275515989</v>
      </c>
      <c r="AA1085" s="93">
        <f>IF('Net zero activities &amp; levers'!$C$14="Off",('Activity data'!AT9*EF!$H22)*kgtoGg,IF('Net zero activities &amp; levers'!$C$14="On",('Net zero Activity data'!AT9*EF!$H22)*kgtoGg,"ERROR"))</f>
        <v>0.18272266796500922</v>
      </c>
      <c r="AB1085" s="93">
        <f>IF('Net zero activities &amp; levers'!$C$14="Off",('Activity data'!AU9*EF!$H22)*kgtoGg,IF('Net zero activities &amp; levers'!$C$14="On",('Net zero Activity data'!AU9*EF!$H22)*kgtoGg,"ERROR"))</f>
        <v>0.18171294694329559</v>
      </c>
      <c r="AC1085" s="93">
        <f>IF('Net zero activities &amp; levers'!$C$14="Off",('Activity data'!AV9*EF!$H22)*kgtoGg,IF('Net zero activities &amp; levers'!$C$14="On",('Net zero Activity data'!AV9*EF!$H22)*kgtoGg,"ERROR"))</f>
        <v>0.1803907701509096</v>
      </c>
      <c r="AD1085" s="93">
        <f>IF('Net zero activities &amp; levers'!$C$14="Off",('Activity data'!AW9*EF!$H22)*kgtoGg,IF('Net zero activities &amp; levers'!$C$14="On",('Net zero Activity data'!AW9*EF!$H22)*kgtoGg,"ERROR"))</f>
        <v>0.17725826751953122</v>
      </c>
      <c r="AE1085" s="93">
        <f>IF('Net zero activities &amp; levers'!$C$14="Off",('Activity data'!AX9*EF!$H22)*kgtoGg,IF('Net zero activities &amp; levers'!$C$14="On",('Net zero Activity data'!AX9*EF!$H22)*kgtoGg,"ERROR"))</f>
        <v>0.17383070295376282</v>
      </c>
      <c r="AF1085" s="93">
        <f>IF('Net zero activities &amp; levers'!$C$14="Off",('Activity data'!AY9*EF!$H22)*kgtoGg,IF('Net zero activities &amp; levers'!$C$14="On",('Net zero Activity data'!AY9*EF!$H22)*kgtoGg,"ERROR"))</f>
        <v>0.17012347718159837</v>
      </c>
      <c r="AG1085" s="93">
        <f>IF('Net zero activities &amp; levers'!$C$14="Off",('Activity data'!AZ9*EF!$H22)*kgtoGg,IF('Net zero activities &amp; levers'!$C$14="On",('Net zero Activity data'!AZ9*EF!$H22)*kgtoGg,"ERROR"))</f>
        <v>0.16615374089176904</v>
      </c>
      <c r="AH1085" s="93">
        <f>IF('Net zero activities &amp; levers'!$C$14="Off",('Activity data'!BA9*EF!$H22)*kgtoGg,IF('Net zero activities &amp; levers'!$C$14="On",('Net zero Activity data'!BA9*EF!$H22)*kgtoGg,"ERROR"))</f>
        <v>0.16193975245589462</v>
      </c>
      <c r="AI1085" s="93">
        <f>IF('Net zero activities &amp; levers'!$C$14="Off",('Activity data'!BB9*EF!$H22)*kgtoGg,IF('Net zero activities &amp; levers'!$C$14="On",('Net zero Activity data'!BB9*EF!$H22)*kgtoGg,"ERROR"))</f>
        <v>0.1575009544252694</v>
      </c>
      <c r="AJ1085" s="93">
        <f>IF('Net zero activities &amp; levers'!$C$14="Off",('Activity data'!BC9*EF!$H22)*kgtoGg,IF('Net zero activities &amp; levers'!$C$14="On",('Net zero Activity data'!BC9*EF!$H22)*kgtoGg,"ERROR"))</f>
        <v>-1.2161151573392443E-2</v>
      </c>
      <c r="AK1085" s="93">
        <f>IF('Net zero activities &amp; levers'!$C$14="Off",('Activity data'!BD9*EF!$H22)*kgtoGg,IF('Net zero activities &amp; levers'!$C$14="On",('Net zero Activity data'!BD9*EF!$H22)*kgtoGg,"ERROR"))</f>
        <v>-1.1868346186618603E-2</v>
      </c>
      <c r="AL1085" s="93">
        <f>IF('Net zero activities &amp; levers'!$C$14="Off",('Activity data'!BE9*EF!$H22)*kgtoGg,IF('Net zero activities &amp; levers'!$C$14="On",('Net zero Activity data'!BE9*EF!$H22)*kgtoGg,"ERROR"))</f>
        <v>-1.1578587290470338E-2</v>
      </c>
      <c r="AM1085" s="93">
        <f>IF('Net zero activities &amp; levers'!$C$14="Off",('Activity data'!BF9*EF!$H22)*kgtoGg,IF('Net zero activities &amp; levers'!$C$14="On",('Net zero Activity data'!BF9*EF!$H22)*kgtoGg,"ERROR"))</f>
        <v>-1.1291844958198401E-2</v>
      </c>
      <c r="AN1085" s="93">
        <f>IF('Net zero activities &amp; levers'!$C$14="Off",('Activity data'!BG9*EF!$H22)*kgtoGg,IF('Net zero activities &amp; levers'!$C$14="On",('Net zero Activity data'!BG9*EF!$H22)*kgtoGg,"ERROR"))</f>
        <v>-1.1064265143100825E-2</v>
      </c>
      <c r="AO1085" s="93">
        <f>IF('Net zero activities &amp; levers'!$C$14="Off",('Activity data'!BH9*EF!$H22)*kgtoGg,IF('Net zero activities &amp; levers'!$C$14="On",('Net zero Activity data'!BH9*EF!$H22)*kgtoGg,"ERROR"))</f>
        <v>-1.0838844171453966E-2</v>
      </c>
      <c r="AP1085" s="93">
        <f>IF('Net zero activities &amp; levers'!$C$14="Off",('Activity data'!BI9*EF!$H22)*kgtoGg,IF('Net zero activities &amp; levers'!$C$14="On",('Net zero Activity data'!BI9*EF!$H22)*kgtoGg,"ERROR"))</f>
        <v>-1.0615414381460443E-2</v>
      </c>
      <c r="AQ1085" s="93">
        <f>IF('Net zero activities &amp; levers'!$C$14="Off",('Activity data'!BJ9*EF!$H22)*kgtoGg,IF('Net zero activities &amp; levers'!$C$14="On",('Net zero Activity data'!BJ9*EF!$H22)*kgtoGg,"ERROR"))</f>
        <v>-1.039392042815254E-2</v>
      </c>
      <c r="AR1085" s="93">
        <f>IF('Net zero activities &amp; levers'!$C$14="Off",('Activity data'!BK9*EF!$H22)*kgtoGg,IF('Net zero activities &amp; levers'!$C$14="On",('Net zero Activity data'!BK9*EF!$H22)*kgtoGg,"ERROR"))</f>
        <v>-1.017420037724082E-2</v>
      </c>
      <c r="AS1085" s="93">
        <f>IF('Net zero activities &amp; levers'!$C$14="Off",('Activity data'!BL9*EF!$H22)*kgtoGg,IF('Net zero activities &amp; levers'!$C$14="On",('Net zero Activity data'!BL9*EF!$H22)*kgtoGg,"ERROR"))</f>
        <v>-9.956095646546443E-3</v>
      </c>
      <c r="AT1085" s="93">
        <f>IF('Net zero activities &amp; levers'!$C$14="Off",('Activity data'!BM9*EF!$H22)*kgtoGg,IF('Net zero activities &amp; levers'!$C$14="On",('Net zero Activity data'!BM9*EF!$H22)*kgtoGg,"ERROR"))</f>
        <v>-9.739580766843E-3</v>
      </c>
      <c r="AU1085" s="93">
        <f>IF('Net zero activities &amp; levers'!$C$14="Off",('Activity data'!BN9*EF!$H22)*kgtoGg,IF('Net zero activities &amp; levers'!$C$14="On",('Net zero Activity data'!BN9*EF!$H22)*kgtoGg,"ERROR"))</f>
        <v>-9.5246691146980388E-3</v>
      </c>
      <c r="AV1085" s="93">
        <f>IF('Net zero activities &amp; levers'!$C$14="Off",('Activity data'!BO9*EF!$H22)*kgtoGg,IF('Net zero activities &amp; levers'!$C$14="On",('Net zero Activity data'!BO9*EF!$H22)*kgtoGg,"ERROR"))</f>
        <v>-9.3113688959297666E-3</v>
      </c>
      <c r="AW1085" s="93">
        <f>IF('Net zero activities &amp; levers'!$C$14="Off",('Activity data'!BP9*EF!$H22)*kgtoGg,IF('Net zero activities &amp; levers'!$C$14="On",('Net zero Activity data'!BP9*EF!$H22)*kgtoGg,"ERROR"))</f>
        <v>-9.0995575990930264E-3</v>
      </c>
      <c r="AY1085" s="79"/>
    </row>
    <row r="1086" spans="1:51" x14ac:dyDescent="0.25">
      <c r="A1086" s="95" t="str">
        <f t="shared" si="373"/>
        <v>CM Cattle MMCH4</v>
      </c>
      <c r="B1086" s="95" t="s">
        <v>1322</v>
      </c>
      <c r="C1086" s="95" t="s">
        <v>1229</v>
      </c>
      <c r="D1086" t="s">
        <v>15</v>
      </c>
      <c r="E1086" t="s">
        <v>22</v>
      </c>
      <c r="F1086" t="s">
        <v>67</v>
      </c>
      <c r="G1086" t="s">
        <v>135</v>
      </c>
      <c r="H1086" t="s">
        <v>1227</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0.48695387967725956</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0.51986569055899423</v>
      </c>
      <c r="O1086" s="93">
        <f>IF('Net zero activities &amp; levers'!$C$14="Off",('Activity data'!AH10*EF!$H23)*kgtoGg,IF('Net zero activities &amp; levers'!$C$14="On",('Net zero Activity data'!AH10*EF!$H23)*kgtoGg,"ERROR"))</f>
        <v>0.5307082628613855</v>
      </c>
      <c r="P1086" s="93">
        <f>IF('Net zero activities &amp; levers'!$C$14="Off",('Activity data'!AI10*EF!$H23)*kgtoGg,IF('Net zero activities &amp; levers'!$C$14="On",('Net zero Activity data'!AI10*EF!$H23)*kgtoGg,"ERROR"))</f>
        <v>0.53817886796858139</v>
      </c>
      <c r="Q1086" s="93">
        <f>IF('Net zero activities &amp; levers'!$C$14="Off",('Activity data'!AJ10*EF!$H23)*kgtoGg,IF('Net zero activities &amp; levers'!$C$14="On",('Net zero Activity data'!AJ10*EF!$H23)*kgtoGg,"ERROR"))</f>
        <v>0.54837935702304763</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0.52019632078645839</v>
      </c>
      <c r="T1086" s="93">
        <f>IF('Net zero activities &amp; levers'!$C$14="Off",('Activity data'!AM10*EF!$H23)*kgtoGg,IF('Net zero activities &amp; levers'!$C$14="On",('Net zero Activity data'!AM10*EF!$H23)*kgtoGg,"ERROR"))</f>
        <v>0.55325369057346974</v>
      </c>
      <c r="U1086" s="93">
        <f>IF('Net zero activities &amp; levers'!$C$14="Off",('Activity data'!AN10*EF!$H23)*kgtoGg,IF('Net zero activities &amp; levers'!$C$14="On",('Net zero Activity data'!AN10*EF!$H23)*kgtoGg,"ERROR"))</f>
        <v>1.7851204886019707</v>
      </c>
      <c r="V1086" s="93">
        <f>IF('Net zero activities &amp; levers'!$C$14="Off",('Activity data'!AO10*EF!$H23)*kgtoGg,IF('Net zero activities &amp; levers'!$C$14="On",('Net zero Activity data'!AO10*EF!$H23)*kgtoGg,"ERROR"))</f>
        <v>1.8358114551753451</v>
      </c>
      <c r="W1086" s="93">
        <f>IF('Net zero activities &amp; levers'!$C$14="Off",('Activity data'!AP10*EF!$H23)*kgtoGg,IF('Net zero activities &amp; levers'!$C$14="On",('Net zero Activity data'!AP10*EF!$H23)*kgtoGg,"ERROR"))</f>
        <v>1.8841429870431068</v>
      </c>
      <c r="X1086" s="93">
        <f>IF('Net zero activities &amp; levers'!$C$14="Off",('Activity data'!AQ10*EF!$H23)*kgtoGg,IF('Net zero activities &amp; levers'!$C$14="On",('Net zero Activity data'!AQ10*EF!$H23)*kgtoGg,"ERROR"))</f>
        <v>1.9299293707853407</v>
      </c>
      <c r="Y1086" s="93">
        <f>IF('Net zero activities &amp; levers'!$C$14="Off",('Activity data'!AR10*EF!$H23)*kgtoGg,IF('Net zero activities &amp; levers'!$C$14="On",('Net zero Activity data'!AR10*EF!$H23)*kgtoGg,"ERROR"))</f>
        <v>1.9730360139075687</v>
      </c>
      <c r="Z1086" s="93">
        <f>IF('Net zero activities &amp; levers'!$C$14="Off",('Activity data'!AS10*EF!$H23)*kgtoGg,IF('Net zero activities &amp; levers'!$C$14="On",('Net zero Activity data'!AS10*EF!$H23)*kgtoGg,"ERROR"))</f>
        <v>2.0132355560309785</v>
      </c>
      <c r="AA1086" s="93">
        <f>IF('Net zero activities &amp; levers'!$C$14="Off",('Activity data'!AT10*EF!$H23)*kgtoGg,IF('Net zero activities &amp; levers'!$C$14="On",('Net zero Activity data'!AT10*EF!$H23)*kgtoGg,"ERROR"))</f>
        <v>2.0503157854688139</v>
      </c>
      <c r="AB1086" s="93">
        <f>IF('Net zero activities &amp; levers'!$C$14="Off",('Activity data'!AU10*EF!$H23)*kgtoGg,IF('Net zero activities &amp; levers'!$C$14="On",('Net zero Activity data'!AU10*EF!$H23)*kgtoGg,"ERROR"))</f>
        <v>2.0840739423253991</v>
      </c>
      <c r="AC1086" s="93">
        <f>IF('Net zero activities &amp; levers'!$C$14="Off",('Activity data'!AV10*EF!$H23)*kgtoGg,IF('Net zero activities &amp; levers'!$C$14="On",('Net zero Activity data'!AV10*EF!$H23)*kgtoGg,"ERROR"))</f>
        <v>2.1143204533767861</v>
      </c>
      <c r="AD1086" s="93">
        <f>IF('Net zero activities &amp; levers'!$C$14="Off",('Activity data'!AW10*EF!$H23)*kgtoGg,IF('Net zero activities &amp; levers'!$C$14="On",('Net zero Activity data'!AW10*EF!$H23)*kgtoGg,"ERROR"))</f>
        <v>2.1465040938299391</v>
      </c>
      <c r="AE1086" s="93">
        <f>IF('Net zero activities &amp; levers'!$C$14="Off",('Activity data'!AX10*EF!$H23)*kgtoGg,IF('Net zero activities &amp; levers'!$C$14="On",('Net zero Activity data'!AX10*EF!$H23)*kgtoGg,"ERROR"))</f>
        <v>2.1749393600032643</v>
      </c>
      <c r="AF1086" s="93">
        <f>IF('Net zero activities &amp; levers'!$C$14="Off",('Activity data'!AY10*EF!$H23)*kgtoGg,IF('Net zero activities &amp; levers'!$C$14="On",('Net zero Activity data'!AY10*EF!$H23)*kgtoGg,"ERROR"))</f>
        <v>2.1994598063034698</v>
      </c>
      <c r="AG1086" s="93">
        <f>IF('Net zero activities &amp; levers'!$C$14="Off",('Activity data'!AZ10*EF!$H23)*kgtoGg,IF('Net zero activities &amp; levers'!$C$14="On",('Net zero Activity data'!AZ10*EF!$H23)*kgtoGg,"ERROR"))</f>
        <v>2.2199209490040412</v>
      </c>
      <c r="AH1086" s="93">
        <f>IF('Net zero activities &amp; levers'!$C$14="Off",('Activity data'!BA10*EF!$H23)*kgtoGg,IF('Net zero activities &amp; levers'!$C$14="On",('Net zero Activity data'!BA10*EF!$H23)*kgtoGg,"ERROR"))</f>
        <v>2.2361952396921123</v>
      </c>
      <c r="AI1086" s="93">
        <f>IF('Net zero activities &amp; levers'!$C$14="Off",('Activity data'!BB10*EF!$H23)*kgtoGg,IF('Net zero activities &amp; levers'!$C$14="On",('Net zero Activity data'!BB10*EF!$H23)*kgtoGg,"ERROR"))</f>
        <v>2.2481759568184136</v>
      </c>
      <c r="AJ1086" s="93">
        <f>IF('Net zero activities &amp; levers'!$C$14="Off",('Activity data'!BC10*EF!$H23)*kgtoGg,IF('Net zero activities &amp; levers'!$C$14="On",('Net zero Activity data'!BC10*EF!$H23)*kgtoGg,"ERROR"))</f>
        <v>-0.17946652232513363</v>
      </c>
      <c r="AK1086" s="93">
        <f>IF('Net zero activities &amp; levers'!$C$14="Off",('Activity data'!BD10*EF!$H23)*kgtoGg,IF('Net zero activities &amp; levers'!$C$14="On",('Net zero Activity data'!BD10*EF!$H23)*kgtoGg,"ERROR"))</f>
        <v>-0.18110907611543389</v>
      </c>
      <c r="AL1086" s="93">
        <f>IF('Net zero activities &amp; levers'!$C$14="Off",('Activity data'!BE10*EF!$H23)*kgtoGg,IF('Net zero activities &amp; levers'!$C$14="On",('Net zero Activity data'!BE10*EF!$H23)*kgtoGg,"ERROR"))</f>
        <v>-0.18274076856651822</v>
      </c>
      <c r="AM1086" s="93">
        <f>IF('Net zero activities &amp; levers'!$C$14="Off",('Activity data'!BF10*EF!$H23)*kgtoGg,IF('Net zero activities &amp; levers'!$C$14="On",('Net zero Activity data'!BF10*EF!$H23)*kgtoGg,"ERROR"))</f>
        <v>-0.18436241238183759</v>
      </c>
      <c r="AN1086" s="93">
        <f>IF('Net zero activities &amp; levers'!$C$14="Off",('Activity data'!BG10*EF!$H23)*kgtoGg,IF('Net zero activities &amp; levers'!$C$14="On",('Net zero Activity data'!BG10*EF!$H23)*kgtoGg,"ERROR"))</f>
        <v>-0.18574369682883446</v>
      </c>
      <c r="AO1086" s="93">
        <f>IF('Net zero activities &amp; levers'!$C$14="Off",('Activity data'!BH10*EF!$H23)*kgtoGg,IF('Net zero activities &amp; levers'!$C$14="On",('Net zero Activity data'!BH10*EF!$H23)*kgtoGg,"ERROR"))</f>
        <v>-0.18711116954081883</v>
      </c>
      <c r="AP1086" s="93">
        <f>IF('Net zero activities &amp; levers'!$C$14="Off",('Activity data'!BI10*EF!$H23)*kgtoGg,IF('Net zero activities &amp; levers'!$C$14="On",('Net zero Activity data'!BI10*EF!$H23)*kgtoGg,"ERROR"))</f>
        <v>-0.18846273754694579</v>
      </c>
      <c r="AQ1086" s="93">
        <f>IF('Net zero activities &amp; levers'!$C$14="Off",('Activity data'!BJ10*EF!$H23)*kgtoGg,IF('Net zero activities &amp; levers'!$C$14="On",('Net zero Activity data'!BJ10*EF!$H23)*kgtoGg,"ERROR"))</f>
        <v>-0.18979802913484242</v>
      </c>
      <c r="AR1086" s="93">
        <f>IF('Net zero activities &amp; levers'!$C$14="Off",('Activity data'!BK10*EF!$H23)*kgtoGg,IF('Net zero activities &amp; levers'!$C$14="On",('Net zero Activity data'!BK10*EF!$H23)*kgtoGg,"ERROR"))</f>
        <v>-0.19111455281570203</v>
      </c>
      <c r="AS1086" s="93">
        <f>IF('Net zero activities &amp; levers'!$C$14="Off",('Activity data'!BL10*EF!$H23)*kgtoGg,IF('Net zero activities &amp; levers'!$C$14="On",('Net zero Activity data'!BL10*EF!$H23)*kgtoGg,"ERROR"))</f>
        <v>-0.19240952741879389</v>
      </c>
      <c r="AT1086" s="93">
        <f>IF('Net zero activities &amp; levers'!$C$14="Off",('Activity data'!BM10*EF!$H23)*kgtoGg,IF('Net zero activities &amp; levers'!$C$14="On",('Net zero Activity data'!BM10*EF!$H23)*kgtoGg,"ERROR"))</f>
        <v>-0.19368244494387601</v>
      </c>
      <c r="AU1086" s="93">
        <f>IF('Net zero activities &amp; levers'!$C$14="Off",('Activity data'!BN10*EF!$H23)*kgtoGg,IF('Net zero activities &amp; levers'!$C$14="On",('Net zero Activity data'!BN10*EF!$H23)*kgtoGg,"ERROR"))</f>
        <v>-0.19493349782495742</v>
      </c>
      <c r="AV1086" s="93">
        <f>IF('Net zero activities &amp; levers'!$C$14="Off",('Activity data'!BO10*EF!$H23)*kgtoGg,IF('Net zero activities &amp; levers'!$C$14="On",('Net zero Activity data'!BO10*EF!$H23)*kgtoGg,"ERROR"))</f>
        <v>-0.19616276303602645</v>
      </c>
      <c r="AW1086" s="93">
        <f>IF('Net zero activities &amp; levers'!$C$14="Off",('Activity data'!BP10*EF!$H23)*kgtoGg,IF('Net zero activities &amp; levers'!$C$14="On",('Net zero Activity data'!BP10*EF!$H23)*kgtoGg,"ERROR"))</f>
        <v>-0.19736746528407936</v>
      </c>
      <c r="AY1086" s="79"/>
    </row>
    <row r="1087" spans="1:51" x14ac:dyDescent="0.25">
      <c r="A1087" s="95" t="str">
        <f t="shared" si="373"/>
        <v>CM Sheep MMCH4</v>
      </c>
      <c r="B1087" s="95" t="s">
        <v>1322</v>
      </c>
      <c r="C1087" s="95" t="s">
        <v>1324</v>
      </c>
      <c r="D1087" t="s">
        <v>15</v>
      </c>
      <c r="E1087" t="s">
        <v>22</v>
      </c>
      <c r="F1087" t="s">
        <v>18</v>
      </c>
      <c r="G1087" t="s">
        <v>122</v>
      </c>
      <c r="H1087" t="s">
        <v>1227</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3.6578192116978575E-2</v>
      </c>
      <c r="T1087" s="93">
        <f>IF('Net zero activities &amp; levers'!$C$14="Off",('Activity data'!AM11*EF!$H24)*kgtoGg,IF('Net zero activities &amp; levers'!$C$14="On",('Net zero Activity data'!AM11*EF!$H24)*kgtoGg,"ERROR"))</f>
        <v>3.6602536457524273E-2</v>
      </c>
      <c r="U1087" s="93">
        <f>IF('Net zero activities &amp; levers'!$C$14="Off",('Activity data'!AN11*EF!$H24)*kgtoGg,IF('Net zero activities &amp; levers'!$C$14="On",('Net zero Activity data'!AN11*EF!$H24)*kgtoGg,"ERROR"))</f>
        <v>3.7079287706665597E-2</v>
      </c>
      <c r="V1087" s="93">
        <f>IF('Net zero activities &amp; levers'!$C$14="Off",('Activity data'!AO11*EF!$H24)*kgtoGg,IF('Net zero activities &amp; levers'!$C$14="On",('Net zero Activity data'!AO11*EF!$H24)*kgtoGg,"ERROR"))</f>
        <v>3.7090917681294085E-2</v>
      </c>
      <c r="W1087" s="93">
        <f>IF('Net zero activities &amp; levers'!$C$14="Off",('Activity data'!AP11*EF!$H24)*kgtoGg,IF('Net zero activities &amp; levers'!$C$14="On",('Net zero Activity data'!AP11*EF!$H24)*kgtoGg,"ERROR"))</f>
        <v>3.7140664601717173E-2</v>
      </c>
      <c r="X1087" s="93">
        <f>IF('Net zero activities &amp; levers'!$C$14="Off",('Activity data'!AQ11*EF!$H24)*kgtoGg,IF('Net zero activities &amp; levers'!$C$14="On",('Net zero Activity data'!AQ11*EF!$H24)*kgtoGg,"ERROR"))</f>
        <v>3.7212574982641126E-2</v>
      </c>
      <c r="Y1087" s="93">
        <f>IF('Net zero activities &amp; levers'!$C$14="Off",('Activity data'!AR11*EF!$H24)*kgtoGg,IF('Net zero activities &amp; levers'!$C$14="On",('Net zero Activity data'!AR11*EF!$H24)*kgtoGg,"ERROR"))</f>
        <v>3.7279377262220796E-2</v>
      </c>
      <c r="Z1087" s="93">
        <f>IF('Net zero activities &amp; levers'!$C$14="Off",('Activity data'!AS11*EF!$H24)*kgtoGg,IF('Net zero activities &amp; levers'!$C$14="On",('Net zero Activity data'!AS11*EF!$H24)*kgtoGg,"ERROR"))</f>
        <v>3.7341898542443672E-2</v>
      </c>
      <c r="AA1087" s="93">
        <f>IF('Net zero activities &amp; levers'!$C$14="Off",('Activity data'!AT11*EF!$H24)*kgtoGg,IF('Net zero activities &amp; levers'!$C$14="On",('Net zero Activity data'!AT11*EF!$H24)*kgtoGg,"ERROR"))</f>
        <v>3.7399805431240309E-2</v>
      </c>
      <c r="AB1087" s="93">
        <f>IF('Net zero activities &amp; levers'!$C$14="Off",('Activity data'!AU11*EF!$H24)*kgtoGg,IF('Net zero activities &amp; levers'!$C$14="On",('Net zero Activity data'!AU11*EF!$H24)*kgtoGg,"ERROR"))</f>
        <v>3.7453619674437284E-2</v>
      </c>
      <c r="AC1087" s="93">
        <f>IF('Net zero activities &amp; levers'!$C$14="Off",('Activity data'!AV11*EF!$H24)*kgtoGg,IF('Net zero activities &amp; levers'!$C$14="On",('Net zero Activity data'!AV11*EF!$H24)*kgtoGg,"ERROR"))</f>
        <v>3.7504157579295157E-2</v>
      </c>
      <c r="AD1087" s="93">
        <f>IF('Net zero activities &amp; levers'!$C$14="Off",('Activity data'!AW11*EF!$H24)*kgtoGg,IF('Net zero activities &amp; levers'!$C$14="On",('Net zero Activity data'!AW11*EF!$H24)*kgtoGg,"ERROR"))</f>
        <v>3.755137152744302E-2</v>
      </c>
      <c r="AE1087" s="93">
        <f>IF('Net zero activities &amp; levers'!$C$14="Off",('Activity data'!AX11*EF!$H24)*kgtoGg,IF('Net zero activities &amp; levers'!$C$14="On",('Net zero Activity data'!AX11*EF!$H24)*kgtoGg,"ERROR"))</f>
        <v>3.7596016682571363E-2</v>
      </c>
      <c r="AF1087" s="93">
        <f>IF('Net zero activities &amp; levers'!$C$14="Off",('Activity data'!AY11*EF!$H24)*kgtoGg,IF('Net zero activities &amp; levers'!$C$14="On",('Net zero Activity data'!AY11*EF!$H24)*kgtoGg,"ERROR"))</f>
        <v>3.7638201115333593E-2</v>
      </c>
      <c r="AG1087" s="93">
        <f>IF('Net zero activities &amp; levers'!$C$14="Off",('Activity data'!AZ11*EF!$H24)*kgtoGg,IF('Net zero activities &amp; levers'!$C$14="On",('Net zero Activity data'!AZ11*EF!$H24)*kgtoGg,"ERROR"))</f>
        <v>3.7677346639447794E-2</v>
      </c>
      <c r="AH1087" s="93">
        <f>IF('Net zero activities &amp; levers'!$C$14="Off",('Activity data'!BA11*EF!$H24)*kgtoGg,IF('Net zero activities &amp; levers'!$C$14="On",('Net zero Activity data'!BA11*EF!$H24)*kgtoGg,"ERROR"))</f>
        <v>3.7713811349129885E-2</v>
      </c>
      <c r="AI1087" s="93">
        <f>IF('Net zero activities &amp; levers'!$C$14="Off",('Activity data'!BB11*EF!$H24)*kgtoGg,IF('Net zero activities &amp; levers'!$C$14="On",('Net zero Activity data'!BB11*EF!$H24)*kgtoGg,"ERROR"))</f>
        <v>3.7748176979043722E-2</v>
      </c>
      <c r="AJ1087" s="93">
        <f>IF('Net zero activities &amp; levers'!$C$14="Off",('Activity data'!BC11*EF!$H24)*kgtoGg,IF('Net zero activities &amp; levers'!$C$14="On",('Net zero Activity data'!BC11*EF!$H24)*kgtoGg,"ERROR"))</f>
        <v>3.6919749367433322E-2</v>
      </c>
      <c r="AK1087" s="93">
        <f>IF('Net zero activities &amp; levers'!$C$14="Off",('Activity data'!BD11*EF!$H24)*kgtoGg,IF('Net zero activities &amp; levers'!$C$14="On",('Net zero Activity data'!BD11*EF!$H24)*kgtoGg,"ERROR"))</f>
        <v>3.6953700421728228E-2</v>
      </c>
      <c r="AL1087" s="93">
        <f>IF('Net zero activities &amp; levers'!$C$14="Off",('Activity data'!BE11*EF!$H24)*kgtoGg,IF('Net zero activities &amp; levers'!$C$14="On",('Net zero Activity data'!BE11*EF!$H24)*kgtoGg,"ERROR"))</f>
        <v>3.6985368016573254E-2</v>
      </c>
      <c r="AM1087" s="93">
        <f>IF('Net zero activities &amp; levers'!$C$14="Off",('Activity data'!BF11*EF!$H24)*kgtoGg,IF('Net zero activities &amp; levers'!$C$14="On",('Net zero Activity data'!BF11*EF!$H24)*kgtoGg,"ERROR"))</f>
        <v>3.7014945688034803E-2</v>
      </c>
      <c r="AN1087" s="93">
        <f>IF('Net zero activities &amp; levers'!$C$14="Off",('Activity data'!BG11*EF!$H24)*kgtoGg,IF('Net zero activities &amp; levers'!$C$14="On",('Net zero Activity data'!BG11*EF!$H24)*kgtoGg,"ERROR"))</f>
        <v>3.7042668702165847E-2</v>
      </c>
      <c r="AO1087" s="93">
        <f>IF('Net zero activities &amp; levers'!$C$14="Off",('Activity data'!BH11*EF!$H24)*kgtoGg,IF('Net zero activities &amp; levers'!$C$14="On",('Net zero Activity data'!BH11*EF!$H24)*kgtoGg,"ERROR"))</f>
        <v>3.7067807831001554E-2</v>
      </c>
      <c r="AP1087" s="93">
        <f>IF('Net zero activities &amp; levers'!$C$14="Off",('Activity data'!BI11*EF!$H24)*kgtoGg,IF('Net zero activities &amp; levers'!$C$14="On",('Net zero Activity data'!BI11*EF!$H24)*kgtoGg,"ERROR"))</f>
        <v>3.7089876088168584E-2</v>
      </c>
      <c r="AQ1087" s="93">
        <f>IF('Net zero activities &amp; levers'!$C$14="Off",('Activity data'!BJ11*EF!$H24)*kgtoGg,IF('Net zero activities &amp; levers'!$C$14="On",('Net zero Activity data'!BJ11*EF!$H24)*kgtoGg,"ERROR"))</f>
        <v>3.710880214511815E-2</v>
      </c>
      <c r="AR1087" s="93">
        <f>IF('Net zero activities &amp; levers'!$C$14="Off",('Activity data'!BK11*EF!$H24)*kgtoGg,IF('Net zero activities &amp; levers'!$C$14="On",('Net zero Activity data'!BK11*EF!$H24)*kgtoGg,"ERROR"))</f>
        <v>3.7124031819377158E-2</v>
      </c>
      <c r="AS1087" s="93">
        <f>IF('Net zero activities &amp; levers'!$C$14="Off",('Activity data'!BL11*EF!$H24)*kgtoGg,IF('Net zero activities &amp; levers'!$C$14="On",('Net zero Activity data'!BL11*EF!$H24)*kgtoGg,"ERROR"))</f>
        <v>3.7134962729756575E-2</v>
      </c>
      <c r="AT1087" s="93">
        <f>IF('Net zero activities &amp; levers'!$C$14="Off",('Activity data'!BM11*EF!$H24)*kgtoGg,IF('Net zero activities &amp; levers'!$C$14="On",('Net zero Activity data'!BM11*EF!$H24)*kgtoGg,"ERROR"))</f>
        <v>3.7141526945573433E-2</v>
      </c>
      <c r="AU1087" s="93">
        <f>IF('Net zero activities &amp; levers'!$C$14="Off",('Activity data'!BN11*EF!$H24)*kgtoGg,IF('Net zero activities &amp; levers'!$C$14="On",('Net zero Activity data'!BN11*EF!$H24)*kgtoGg,"ERROR"))</f>
        <v>3.7143818098984892E-2</v>
      </c>
      <c r="AV1087" s="93">
        <f>IF('Net zero activities &amp; levers'!$C$14="Off",('Activity data'!BO11*EF!$H24)*kgtoGg,IF('Net zero activities &amp; levers'!$C$14="On",('Net zero Activity data'!BO11*EF!$H24)*kgtoGg,"ERROR"))</f>
        <v>3.7141903206885624E-2</v>
      </c>
      <c r="AW1087" s="93">
        <f>IF('Net zero activities &amp; levers'!$C$14="Off",('Activity data'!BP11*EF!$H24)*kgtoGg,IF('Net zero activities &amp; levers'!$C$14="On",('Net zero Activity data'!BP11*EF!$H24)*kgtoGg,"ERROR"))</f>
        <v>3.7135215292227401E-2</v>
      </c>
      <c r="AY1087" s="79"/>
    </row>
    <row r="1088" spans="1:51" x14ac:dyDescent="0.25">
      <c r="A1088" s="95" t="str">
        <f t="shared" si="373"/>
        <v>CM Sheep MMCH4</v>
      </c>
      <c r="B1088" s="95" t="s">
        <v>1322</v>
      </c>
      <c r="C1088" s="95" t="s">
        <v>1324</v>
      </c>
      <c r="D1088" t="s">
        <v>15</v>
      </c>
      <c r="E1088" t="s">
        <v>22</v>
      </c>
      <c r="F1088" t="s">
        <v>18</v>
      </c>
      <c r="G1088" t="s">
        <v>123</v>
      </c>
      <c r="H1088" t="s">
        <v>1227</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4.1774038907199012E-3</v>
      </c>
      <c r="T1088" s="93">
        <f>IF('Net zero activities &amp; levers'!$C$14="Off",('Activity data'!AM12*EF!$H25)*kgtoGg,IF('Net zero activities &amp; levers'!$C$14="On",('Net zero Activity data'!AM12*EF!$H25)*kgtoGg,"ERROR"))</f>
        <v>4.1801841304481904E-3</v>
      </c>
      <c r="U1088" s="93">
        <f>IF('Net zero activities &amp; levers'!$C$14="Off",('Activity data'!AN12*EF!$H25)*kgtoGg,IF('Net zero activities &amp; levers'!$C$14="On",('Net zero Activity data'!AN12*EF!$H25)*kgtoGg,"ERROR"))</f>
        <v>4.2346313955480986E-3</v>
      </c>
      <c r="V1088" s="93">
        <f>IF('Net zero activities &amp; levers'!$C$14="Off",('Activity data'!AO12*EF!$H25)*kgtoGg,IF('Net zero activities &amp; levers'!$C$14="On",('Net zero Activity data'!AO12*EF!$H25)*kgtoGg,"ERROR"))</f>
        <v>4.2359595940852672E-3</v>
      </c>
      <c r="W1088" s="93">
        <f>IF('Net zero activities &amp; levers'!$C$14="Off",('Activity data'!AP12*EF!$H25)*kgtoGg,IF('Net zero activities &amp; levers'!$C$14="On",('Net zero Activity data'!AP12*EF!$H25)*kgtoGg,"ERROR"))</f>
        <v>4.24164092951765E-3</v>
      </c>
      <c r="X1088" s="93">
        <f>IF('Net zero activities &amp; levers'!$C$14="Off",('Activity data'!AQ12*EF!$H25)*kgtoGg,IF('Net zero activities &amp; levers'!$C$14="On",('Net zero Activity data'!AQ12*EF!$H25)*kgtoGg,"ERROR"))</f>
        <v>4.2498534377819787E-3</v>
      </c>
      <c r="Y1088" s="93">
        <f>IF('Net zero activities &amp; levers'!$C$14="Off",('Activity data'!AR12*EF!$H25)*kgtoGg,IF('Net zero activities &amp; levers'!$C$14="On",('Net zero Activity data'!AR12*EF!$H25)*kgtoGg,"ERROR"))</f>
        <v>4.2574825765248842E-3</v>
      </c>
      <c r="Z1088" s="93">
        <f>IF('Net zero activities &amp; levers'!$C$14="Off",('Activity data'!AS12*EF!$H25)*kgtoGg,IF('Net zero activities &amp; levers'!$C$14="On",('Net zero Activity data'!AS12*EF!$H25)*kgtoGg,"ERROR"))</f>
        <v>4.2646228047357425E-3</v>
      </c>
      <c r="AA1088" s="93">
        <f>IF('Net zero activities &amp; levers'!$C$14="Off",('Activity data'!AT12*EF!$H25)*kgtoGg,IF('Net zero activities &amp; levers'!$C$14="On",('Net zero Activity data'!AT12*EF!$H25)*kgtoGg,"ERROR"))</f>
        <v>4.2712360474510998E-3</v>
      </c>
      <c r="AB1088" s="93">
        <f>IF('Net zero activities &amp; levers'!$C$14="Off",('Activity data'!AU12*EF!$H25)*kgtoGg,IF('Net zero activities &amp; levers'!$C$14="On",('Net zero Activity data'!AU12*EF!$H25)*kgtoGg,"ERROR"))</f>
        <v>4.2773818905312679E-3</v>
      </c>
      <c r="AC1088" s="93">
        <f>IF('Net zero activities &amp; levers'!$C$14="Off",('Activity data'!AV12*EF!$H25)*kgtoGg,IF('Net zero activities &amp; levers'!$C$14="On",('Net zero Activity data'!AV12*EF!$H25)*kgtoGg,"ERROR"))</f>
        <v>4.2831535601563532E-3</v>
      </c>
      <c r="AD1088" s="93">
        <f>IF('Net zero activities &amp; levers'!$C$14="Off",('Activity data'!AW12*EF!$H25)*kgtoGg,IF('Net zero activities &amp; levers'!$C$14="On",('Net zero Activity data'!AW12*EF!$H25)*kgtoGg,"ERROR"))</f>
        <v>4.2885456180814241E-3</v>
      </c>
      <c r="AE1088" s="93">
        <f>IF('Net zero activities &amp; levers'!$C$14="Off",('Activity data'!AX12*EF!$H25)*kgtoGg,IF('Net zero activities &amp; levers'!$C$14="On",('Net zero Activity data'!AX12*EF!$H25)*kgtoGg,"ERROR"))</f>
        <v>4.2936443075994434E-3</v>
      </c>
      <c r="AF1088" s="93">
        <f>IF('Net zero activities &amp; levers'!$C$14="Off",('Activity data'!AY12*EF!$H25)*kgtoGg,IF('Net zero activities &amp; levers'!$C$14="On",('Net zero Activity data'!AY12*EF!$H25)*kgtoGg,"ERROR"))</f>
        <v>4.2984619708941515E-3</v>
      </c>
      <c r="AG1088" s="93">
        <f>IF('Net zero activities &amp; levers'!$C$14="Off",('Activity data'!AZ12*EF!$H25)*kgtoGg,IF('Net zero activities &amp; levers'!$C$14="On",('Net zero Activity data'!AZ12*EF!$H25)*kgtoGg,"ERROR"))</f>
        <v>4.3029325763362138E-3</v>
      </c>
      <c r="AH1088" s="93">
        <f>IF('Net zero activities &amp; levers'!$C$14="Off",('Activity data'!BA12*EF!$H25)*kgtoGg,IF('Net zero activities &amp; levers'!$C$14="On",('Net zero Activity data'!BA12*EF!$H25)*kgtoGg,"ERROR"))</f>
        <v>4.3070970199919519E-3</v>
      </c>
      <c r="AI1088" s="93">
        <f>IF('Net zero activities &amp; levers'!$C$14="Off",('Activity data'!BB12*EF!$H25)*kgtoGg,IF('Net zero activities &amp; levers'!$C$14="On",('Net zero Activity data'!BB12*EF!$H25)*kgtoGg,"ERROR"))</f>
        <v>4.3110217387328335E-3</v>
      </c>
      <c r="AJ1088" s="93">
        <f>IF('Net zero activities &amp; levers'!$C$14="Off",('Activity data'!BC12*EF!$H25)*kgtoGg,IF('Net zero activities &amp; levers'!$C$14="On",('Net zero Activity data'!BC12*EF!$H25)*kgtoGg,"ERROR"))</f>
        <v>4.2164113567638812E-3</v>
      </c>
      <c r="AK1088" s="93">
        <f>IF('Net zero activities &amp; levers'!$C$14="Off",('Activity data'!BD12*EF!$H25)*kgtoGg,IF('Net zero activities &amp; levers'!$C$14="On",('Net zero Activity data'!BD12*EF!$H25)*kgtoGg,"ERROR"))</f>
        <v>4.2202887289929962E-3</v>
      </c>
      <c r="AL1088" s="93">
        <f>IF('Net zero activities &amp; levers'!$C$14="Off",('Activity data'!BE12*EF!$H25)*kgtoGg,IF('Net zero activities &amp; levers'!$C$14="On",('Net zero Activity data'!BE12*EF!$H25)*kgtoGg,"ERROR"))</f>
        <v>4.2239053192687616E-3</v>
      </c>
      <c r="AM1088" s="93">
        <f>IF('Net zero activities &amp; levers'!$C$14="Off",('Activity data'!BF12*EF!$H25)*kgtoGg,IF('Net zero activities &amp; levers'!$C$14="On",('Net zero Activity data'!BF12*EF!$H25)*kgtoGg,"ERROR"))</f>
        <v>4.2272832303324572E-3</v>
      </c>
      <c r="AN1088" s="93">
        <f>IF('Net zero activities &amp; levers'!$C$14="Off",('Activity data'!BG12*EF!$H25)*kgtoGg,IF('Net zero activities &amp; levers'!$C$14="On",('Net zero Activity data'!BG12*EF!$H25)*kgtoGg,"ERROR"))</f>
        <v>4.2304493306887332E-3</v>
      </c>
      <c r="AO1088" s="93">
        <f>IF('Net zero activities &amp; levers'!$C$14="Off",('Activity data'!BH12*EF!$H25)*kgtoGg,IF('Net zero activities &amp; levers'!$C$14="On",('Net zero Activity data'!BH12*EF!$H25)*kgtoGg,"ERROR"))</f>
        <v>4.2333203390281212E-3</v>
      </c>
      <c r="AP1088" s="93">
        <f>IF('Net zero activities &amp; levers'!$C$14="Off",('Activity data'!BI12*EF!$H25)*kgtoGg,IF('Net zero activities &amp; levers'!$C$14="On",('Net zero Activity data'!BI12*EF!$H25)*kgtoGg,"ERROR"))</f>
        <v>4.235840639185552E-3</v>
      </c>
      <c r="AQ1088" s="93">
        <f>IF('Net zero activities &amp; levers'!$C$14="Off",('Activity data'!BJ12*EF!$H25)*kgtoGg,IF('Net zero activities &amp; levers'!$C$14="On",('Net zero Activity data'!BJ12*EF!$H25)*kgtoGg,"ERROR"))</f>
        <v>4.2380020851007644E-3</v>
      </c>
      <c r="AR1088" s="93">
        <f>IF('Net zero activities &amp; levers'!$C$14="Off",('Activity data'!BK12*EF!$H25)*kgtoGg,IF('Net zero activities &amp; levers'!$C$14="On",('Net zero Activity data'!BK12*EF!$H25)*kgtoGg,"ERROR"))</f>
        <v>4.2397413864938057E-3</v>
      </c>
      <c r="AS1088" s="93">
        <f>IF('Net zero activities &amp; levers'!$C$14="Off",('Activity data'!BL12*EF!$H25)*kgtoGg,IF('Net zero activities &amp; levers'!$C$14="On",('Net zero Activity data'!BL12*EF!$H25)*kgtoGg,"ERROR"))</f>
        <v>4.2409897485616204E-3</v>
      </c>
      <c r="AT1088" s="93">
        <f>IF('Net zero activities &amp; levers'!$C$14="Off",('Activity data'!BM12*EF!$H25)*kgtoGg,IF('Net zero activities &amp; levers'!$C$14="On",('Net zero Activity data'!BM12*EF!$H25)*kgtoGg,"ERROR"))</f>
        <v>4.241739413296421E-3</v>
      </c>
      <c r="AU1088" s="93">
        <f>IF('Net zero activities &amp; levers'!$C$14="Off",('Activity data'!BN12*EF!$H25)*kgtoGg,IF('Net zero activities &amp; levers'!$C$14="On",('Net zero Activity data'!BN12*EF!$H25)*kgtoGg,"ERROR"))</f>
        <v>4.2420010739368554E-3</v>
      </c>
      <c r="AV1088" s="93">
        <f>IF('Net zero activities &amp; levers'!$C$14="Off",('Activity data'!BO12*EF!$H25)*kgtoGg,IF('Net zero activities &amp; levers'!$C$14="On",('Net zero Activity data'!BO12*EF!$H25)*kgtoGg,"ERROR"))</f>
        <v>4.2417823841317337E-3</v>
      </c>
      <c r="AW1088" s="93">
        <f>IF('Net zero activities &amp; levers'!$C$14="Off",('Activity data'!BP12*EF!$H25)*kgtoGg,IF('Net zero activities &amp; levers'!$C$14="On",('Net zero Activity data'!BP12*EF!$H25)*kgtoGg,"ERROR"))</f>
        <v>4.2410185923996346E-3</v>
      </c>
      <c r="AY1088" s="79"/>
    </row>
    <row r="1089" spans="1:51" x14ac:dyDescent="0.25">
      <c r="A1089" s="95" t="str">
        <f t="shared" si="373"/>
        <v>CM Goats MMCH4</v>
      </c>
      <c r="B1089" s="95" t="s">
        <v>1322</v>
      </c>
      <c r="C1089" s="95" t="s">
        <v>1325</v>
      </c>
      <c r="D1089" t="s">
        <v>15</v>
      </c>
      <c r="E1089" t="s">
        <v>22</v>
      </c>
      <c r="F1089" t="s">
        <v>19</v>
      </c>
      <c r="G1089" t="s">
        <v>122</v>
      </c>
      <c r="H1089" t="s">
        <v>1227</v>
      </c>
      <c r="I1089" t="s">
        <v>121</v>
      </c>
      <c r="J1089" t="s">
        <v>286</v>
      </c>
      <c r="K1089" s="93">
        <f>IF('Net zero activities &amp; levers'!$C$14="Off",('Activity data'!AD13*EF!$H26)*kgtoGg,IF('Net zero activities &amp; levers'!$C$14="On",('Net zero Activity data'!AD13*EF!$H26)*kgtoGg,"ERROR"))</f>
        <v>1.5789672763163301E-2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1.6230654784419023E-2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1.6297600931786334E-2</v>
      </c>
      <c r="T1089" s="93">
        <f>IF('Net zero activities &amp; levers'!$C$14="Off",('Activity data'!AM13*EF!$H26)*kgtoGg,IF('Net zero activities &amp; levers'!$C$14="On",('Net zero Activity data'!AM13*EF!$H26)*kgtoGg,"ERROR"))</f>
        <v>1.6324272387083224E-2</v>
      </c>
      <c r="U1089" s="93">
        <f>IF('Net zero activities &amp; levers'!$C$14="Off",('Activity data'!AN13*EF!$H26)*kgtoGg,IF('Net zero activities &amp; levers'!$C$14="On",('Net zero Activity data'!AN13*EF!$H26)*kgtoGg,"ERROR"))</f>
        <v>1.6655251261159847E-2</v>
      </c>
      <c r="V1089" s="93">
        <f>IF('Net zero activities &amp; levers'!$C$14="Off",('Activity data'!AO13*EF!$H26)*kgtoGg,IF('Net zero activities &amp; levers'!$C$14="On",('Net zero Activity data'!AO13*EF!$H26)*kgtoGg,"ERROR"))</f>
        <v>1.6670204486965774E-2</v>
      </c>
      <c r="W1089" s="93">
        <f>IF('Net zero activities &amp; levers'!$C$14="Off",('Activity data'!AP13*EF!$H26)*kgtoGg,IF('Net zero activities &amp; levers'!$C$14="On",('Net zero Activity data'!AP13*EF!$H26)*kgtoGg,"ERROR"))</f>
        <v>1.6709793357794805E-2</v>
      </c>
      <c r="X1089" s="93">
        <f>IF('Net zero activities &amp; levers'!$C$14="Off",('Activity data'!AQ13*EF!$H26)*kgtoGg,IF('Net zero activities &amp; levers'!$C$14="On",('Net zero Activity data'!AQ13*EF!$H26)*kgtoGg,"ERROR"))</f>
        <v>1.6763223659981074E-2</v>
      </c>
      <c r="Y1089" s="93">
        <f>IF('Net zero activities &amp; levers'!$C$14="Off",('Activity data'!AR13*EF!$H26)*kgtoGg,IF('Net zero activities &amp; levers'!$C$14="On",('Net zero Activity data'!AR13*EF!$H26)*kgtoGg,"ERROR"))</f>
        <v>1.6812226700055496E-2</v>
      </c>
      <c r="Z1089" s="93">
        <f>IF('Net zero activities &amp; levers'!$C$14="Off",('Activity data'!AS13*EF!$H26)*kgtoGg,IF('Net zero activities &amp; levers'!$C$14="On",('Net zero Activity data'!AS13*EF!$H26)*kgtoGg,"ERROR"))</f>
        <v>1.6857450212656173E-2</v>
      </c>
      <c r="AA1089" s="93">
        <f>IF('Net zero activities &amp; levers'!$C$14="Off",('Activity data'!AT13*EF!$H26)*kgtoGg,IF('Net zero activities &amp; levers'!$C$14="On",('Net zero Activity data'!AT13*EF!$H26)*kgtoGg,"ERROR"))</f>
        <v>1.6898755484739163E-2</v>
      </c>
      <c r="AB1089" s="93">
        <f>IF('Net zero activities &amp; levers'!$C$14="Off",('Activity data'!AU13*EF!$H26)*kgtoGg,IF('Net zero activities &amp; levers'!$C$14="On",('Net zero Activity data'!AU13*EF!$H26)*kgtoGg,"ERROR"))</f>
        <v>1.6936566671667971E-2</v>
      </c>
      <c r="AC1089" s="93">
        <f>IF('Net zero activities &amp; levers'!$C$14="Off",('Activity data'!AV13*EF!$H26)*kgtoGg,IF('Net zero activities &amp; levers'!$C$14="On",('Net zero Activity data'!AV13*EF!$H26)*kgtoGg,"ERROR"))</f>
        <v>1.697149382994385E-2</v>
      </c>
      <c r="AD1089" s="93">
        <f>IF('Net zero activities &amp; levers'!$C$14="Off",('Activity data'!AW13*EF!$H26)*kgtoGg,IF('Net zero activities &amp; levers'!$C$14="On",('Net zero Activity data'!AW13*EF!$H26)*kgtoGg,"ERROR"))</f>
        <v>1.7003565100315018E-2</v>
      </c>
      <c r="AE1089" s="93">
        <f>IF('Net zero activities &amp; levers'!$C$14="Off",('Activity data'!AX13*EF!$H26)*kgtoGg,IF('Net zero activities &amp; levers'!$C$14="On",('Net zero Activity data'!AX13*EF!$H26)*kgtoGg,"ERROR"))</f>
        <v>1.7033334255161247E-2</v>
      </c>
      <c r="AF1089" s="93">
        <f>IF('Net zero activities &amp; levers'!$C$14="Off",('Activity data'!AY13*EF!$H26)*kgtoGg,IF('Net zero activities &amp; levers'!$C$14="On",('Net zero Activity data'!AY13*EF!$H26)*kgtoGg,"ERROR"))</f>
        <v>1.7060920227859537E-2</v>
      </c>
      <c r="AG1089" s="93">
        <f>IF('Net zero activities &amp; levers'!$C$14="Off",('Activity data'!AZ13*EF!$H26)*kgtoGg,IF('Net zero activities &amp; levers'!$C$14="On",('Net zero Activity data'!AZ13*EF!$H26)*kgtoGg,"ERROR"))</f>
        <v>1.7085986205962782E-2</v>
      </c>
      <c r="AH1089" s="93">
        <f>IF('Net zero activities &amp; levers'!$C$14="Off",('Activity data'!BA13*EF!$H26)*kgtoGg,IF('Net zero activities &amp; levers'!$C$14="On",('Net zero Activity data'!BA13*EF!$H26)*kgtoGg,"ERROR"))</f>
        <v>1.7108809785956688E-2</v>
      </c>
      <c r="AI1089" s="93">
        <f>IF('Net zero activities &amp; levers'!$C$14="Off",('Activity data'!BB13*EF!$H26)*kgtoGg,IF('Net zero activities &amp; levers'!$C$14="On",('Net zero Activity data'!BB13*EF!$H26)*kgtoGg,"ERROR"))</f>
        <v>1.712981031401661E-2</v>
      </c>
      <c r="AJ1089" s="93">
        <f>IF('Net zero activities &amp; levers'!$C$14="Off",('Activity data'!BC13*EF!$H26)*kgtoGg,IF('Net zero activities &amp; levers'!$C$14="On",('Net zero Activity data'!BC13*EF!$H26)*kgtoGg,"ERROR"))</f>
        <v>1.6586017575220102E-2</v>
      </c>
      <c r="AK1089" s="93">
        <f>IF('Net zero activities &amp; levers'!$C$14="Off",('Activity data'!BD13*EF!$H26)*kgtoGg,IF('Net zero activities &amp; levers'!$C$14="On",('Net zero Activity data'!BD13*EF!$H26)*kgtoGg,"ERROR"))</f>
        <v>1.6606977911339412E-2</v>
      </c>
      <c r="AL1089" s="93">
        <f>IF('Net zero activities &amp; levers'!$C$14="Off",('Activity data'!BE13*EF!$H26)*kgtoGg,IF('Net zero activities &amp; levers'!$C$14="On",('Net zero Activity data'!BE13*EF!$H26)*kgtoGg,"ERROR"))</f>
        <v>1.6626062012476617E-2</v>
      </c>
      <c r="AM1089" s="93">
        <f>IF('Net zero activities &amp; levers'!$C$14="Off",('Activity data'!BF13*EF!$H26)*kgtoGg,IF('Net zero activities &amp; levers'!$C$14="On",('Net zero Activity data'!BF13*EF!$H26)*kgtoGg,"ERROR"))</f>
        <v>1.664342433023323E-2</v>
      </c>
      <c r="AN1089" s="93">
        <f>IF('Net zero activities &amp; levers'!$C$14="Off",('Activity data'!BG13*EF!$H26)*kgtoGg,IF('Net zero activities &amp; levers'!$C$14="On",('Net zero Activity data'!BG13*EF!$H26)*kgtoGg,"ERROR"))</f>
        <v>1.6659243730537236E-2</v>
      </c>
      <c r="AO1089" s="93">
        <f>IF('Net zero activities &amp; levers'!$C$14="Off",('Activity data'!BH13*EF!$H26)*kgtoGg,IF('Net zero activities &amp; levers'!$C$14="On",('Net zero Activity data'!BH13*EF!$H26)*kgtoGg,"ERROR"))</f>
        <v>1.6673071131631082E-2</v>
      </c>
      <c r="AP1089" s="93">
        <f>IF('Net zero activities &amp; levers'!$C$14="Off",('Activity data'!BI13*EF!$H26)*kgtoGg,IF('Net zero activities &amp; levers'!$C$14="On",('Net zero Activity data'!BI13*EF!$H26)*kgtoGg,"ERROR"))</f>
        <v>1.6684616029064781E-2</v>
      </c>
      <c r="AQ1089" s="93">
        <f>IF('Net zero activities &amp; levers'!$C$14="Off",('Activity data'!BJ13*EF!$H26)*kgtoGg,IF('Net zero activities &amp; levers'!$C$14="On",('Net zero Activity data'!BJ13*EF!$H26)*kgtoGg,"ERROR"))</f>
        <v>1.6693857214200334E-2</v>
      </c>
      <c r="AR1089" s="93">
        <f>IF('Net zero activities &amp; levers'!$C$14="Off",('Activity data'!BK13*EF!$H26)*kgtoGg,IF('Net zero activities &amp; levers'!$C$14="On",('Net zero Activity data'!BK13*EF!$H26)*kgtoGg,"ERROR"))</f>
        <v>1.6700461030767416E-2</v>
      </c>
      <c r="AS1089" s="93">
        <f>IF('Net zero activities &amp; levers'!$C$14="Off",('Activity data'!BL13*EF!$H26)*kgtoGg,IF('Net zero activities &amp; levers'!$C$14="On",('Net zero Activity data'!BL13*EF!$H26)*kgtoGg,"ERROR"))</f>
        <v>1.6704063934453468E-2</v>
      </c>
      <c r="AT1089" s="93">
        <f>IF('Net zero activities &amp; levers'!$C$14="Off",('Activity data'!BM13*EF!$H26)*kgtoGg,IF('Net zero activities &amp; levers'!$C$14="On",('Net zero Activity data'!BM13*EF!$H26)*kgtoGg,"ERROR"))</f>
        <v>1.6704647334029751E-2</v>
      </c>
      <c r="AU1089" s="93">
        <f>IF('Net zero activities &amp; levers'!$C$14="Off",('Activity data'!BN13*EF!$H26)*kgtoGg,IF('Net zero activities &amp; levers'!$C$14="On",('Net zero Activity data'!BN13*EF!$H26)*kgtoGg,"ERROR"))</f>
        <v>1.6702295489105456E-2</v>
      </c>
      <c r="AV1089" s="93">
        <f>IF('Net zero activities &amp; levers'!$C$14="Off",('Activity data'!BO13*EF!$H26)*kgtoGg,IF('Net zero activities &amp; levers'!$C$14="On",('Net zero Activity data'!BO13*EF!$H26)*kgtoGg,"ERROR"))</f>
        <v>1.6697074170612902E-2</v>
      </c>
      <c r="AW1089" s="93">
        <f>IF('Net zero activities &amp; levers'!$C$14="Off",('Activity data'!BP13*EF!$H26)*kgtoGg,IF('Net zero activities &amp; levers'!$C$14="On",('Net zero Activity data'!BP13*EF!$H26)*kgtoGg,"ERROR"))</f>
        <v>1.668864228260674E-2</v>
      </c>
      <c r="AY1089" s="79"/>
    </row>
    <row r="1090" spans="1:51" x14ac:dyDescent="0.25">
      <c r="A1090" s="95" t="str">
        <f t="shared" ref="A1090:A1167" si="374">B1090&amp;" "&amp;C1090</f>
        <v>CM Goats MMCH4</v>
      </c>
      <c r="B1090" s="95" t="s">
        <v>1322</v>
      </c>
      <c r="C1090" s="95" t="s">
        <v>1325</v>
      </c>
      <c r="D1090" t="s">
        <v>15</v>
      </c>
      <c r="E1090" t="s">
        <v>22</v>
      </c>
      <c r="F1090" t="s">
        <v>19</v>
      </c>
      <c r="G1090" t="s">
        <v>123</v>
      </c>
      <c r="H1090" t="s">
        <v>1227</v>
      </c>
      <c r="I1090" t="s">
        <v>121</v>
      </c>
      <c r="J1090" t="s">
        <v>286</v>
      </c>
      <c r="K1090" s="93">
        <f>IF('Net zero activities &amp; levers'!$C$14="Off",('Activity data'!AD14*EF!$H27)*kgtoGg,IF('Net zero activities &amp; levers'!$C$14="On",('Net zero Activity data'!AD14*EF!$H27)*kgtoGg,"ERROR"))</f>
        <v>2.6592218800664803E-2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2.7009694315810229E-2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2.7334899828466052E-2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2.7447647358155608E-2</v>
      </c>
      <c r="T1090" s="93">
        <f>IF('Net zero activities &amp; levers'!$C$14="Off",('Activity data'!AM14*EF!$H27)*kgtoGg,IF('Net zero activities &amp; levers'!$C$14="On",('Net zero Activity data'!AM14*EF!$H27)*kgtoGg,"ERROR"))</f>
        <v>2.7492566159553547E-2</v>
      </c>
      <c r="U1090" s="93">
        <f>IF('Net zero activities &amp; levers'!$C$14="Off",('Activity data'!AN14*EF!$H27)*kgtoGg,IF('Net zero activities &amp; levers'!$C$14="On",('Net zero Activity data'!AN14*EF!$H27)*kgtoGg,"ERROR"))</f>
        <v>2.8049985098492974E-2</v>
      </c>
      <c r="V1090" s="93">
        <f>IF('Net zero activities &amp; levers'!$C$14="Off",('Activity data'!AO14*EF!$H27)*kgtoGg,IF('Net zero activities &amp; levers'!$C$14="On",('Net zero Activity data'!AO14*EF!$H27)*kgtoGg,"ERROR"))</f>
        <v>2.80751686129566E-2</v>
      </c>
      <c r="W1090" s="93">
        <f>IF('Net zero activities &amp; levers'!$C$14="Off",('Activity data'!AP14*EF!$H27)*kgtoGg,IF('Net zero activities &amp; levers'!$C$14="On",('Net zero Activity data'!AP14*EF!$H27)*kgtoGg,"ERROR"))</f>
        <v>2.81418423136056E-2</v>
      </c>
      <c r="X1090" s="93">
        <f>IF('Net zero activities &amp; levers'!$C$14="Off",('Activity data'!AQ14*EF!$H27)*kgtoGg,IF('Net zero activities &amp; levers'!$C$14="On",('Net zero Activity data'!AQ14*EF!$H27)*kgtoGg,"ERROR"))</f>
        <v>2.8231827097181202E-2</v>
      </c>
      <c r="Y1090" s="93">
        <f>IF('Net zero activities &amp; levers'!$C$14="Off",('Activity data'!AR14*EF!$H27)*kgtoGg,IF('Net zero activities &amp; levers'!$C$14="On",('Net zero Activity data'!AR14*EF!$H27)*kgtoGg,"ERROR"))</f>
        <v>2.8314355695658353E-2</v>
      </c>
      <c r="Z1090" s="93">
        <f>IF('Net zero activities &amp; levers'!$C$14="Off",('Activity data'!AS14*EF!$H27)*kgtoGg,IF('Net zero activities &amp; levers'!$C$14="On",('Net zero Activity data'!AS14*EF!$H27)*kgtoGg,"ERROR"))</f>
        <v>2.8390518993026845E-2</v>
      </c>
      <c r="AA1090" s="93">
        <f>IF('Net zero activities &amp; levers'!$C$14="Off",('Activity data'!AT14*EF!$H27)*kgtoGg,IF('Net zero activities &amp; levers'!$C$14="On",('Net zero Activity data'!AT14*EF!$H27)*kgtoGg,"ERROR"))</f>
        <v>2.8460083375349849E-2</v>
      </c>
      <c r="AB1090" s="93">
        <f>IF('Net zero activities &amp; levers'!$C$14="Off",('Activity data'!AU14*EF!$H27)*kgtoGg,IF('Net zero activities &amp; levers'!$C$14="On",('Net zero Activity data'!AU14*EF!$H27)*kgtoGg,"ERROR"))</f>
        <v>2.8523763184995402E-2</v>
      </c>
      <c r="AC1090" s="93">
        <f>IF('Net zero activities &amp; levers'!$C$14="Off",('Activity data'!AV14*EF!$H27)*kgtoGg,IF('Net zero activities &amp; levers'!$C$14="On",('Net zero Activity data'!AV14*EF!$H27)*kgtoGg,"ERROR"))</f>
        <v>2.8582585850220259E-2</v>
      </c>
      <c r="AD1090" s="93">
        <f>IF('Net zero activities &amp; levers'!$C$14="Off",('Activity data'!AW14*EF!$H27)*kgtoGg,IF('Net zero activities &amp; levers'!$C$14="On",('Net zero Activity data'!AW14*EF!$H27)*kgtoGg,"ERROR"))</f>
        <v>2.8636598764339351E-2</v>
      </c>
      <c r="AE1090" s="93">
        <f>IF('Net zero activities &amp; levers'!$C$14="Off",('Activity data'!AX14*EF!$H27)*kgtoGg,IF('Net zero activities &amp; levers'!$C$14="On",('Net zero Activity data'!AX14*EF!$H27)*kgtoGg,"ERROR"))</f>
        <v>2.8686734564558631E-2</v>
      </c>
      <c r="AF1090" s="93">
        <f>IF('Net zero activities &amp; levers'!$C$14="Off",('Activity data'!AY14*EF!$H27)*kgtoGg,IF('Net zero activities &amp; levers'!$C$14="On",('Net zero Activity data'!AY14*EF!$H27)*kgtoGg,"ERROR"))</f>
        <v>2.873319355283693E-2</v>
      </c>
      <c r="AG1090" s="93">
        <f>IF('Net zero activities &amp; levers'!$C$14="Off",('Activity data'!AZ14*EF!$H27)*kgtoGg,IF('Net zero activities &amp; levers'!$C$14="On",('Net zero Activity data'!AZ14*EF!$H27)*kgtoGg,"ERROR"))</f>
        <v>2.8775408485608011E-2</v>
      </c>
      <c r="AH1090" s="93">
        <f>IF('Net zero activities &amp; levers'!$C$14="Off",('Activity data'!BA14*EF!$H27)*kgtoGg,IF('Net zero activities &amp; levers'!$C$14="On",('Net zero Activity data'!BA14*EF!$H27)*kgtoGg,"ERROR"))</f>
        <v>2.8813846877721389E-2</v>
      </c>
      <c r="AI1090" s="93">
        <f>IF('Net zero activities &amp; levers'!$C$14="Off",('Activity data'!BB14*EF!$H27)*kgtoGg,IF('Net zero activities &amp; levers'!$C$14="On",('Net zero Activity data'!BB14*EF!$H27)*kgtoGg,"ERROR"))</f>
        <v>2.884921497213825E-2</v>
      </c>
      <c r="AJ1090" s="93">
        <f>IF('Net zero activities &amp; levers'!$C$14="Off",('Activity data'!BC14*EF!$H27)*kgtoGg,IF('Net zero activities &amp; levers'!$C$14="On",('Net zero Activity data'!BC14*EF!$H27)*kgtoGg,"ERROR"))</f>
        <v>2.7933385004716402E-2</v>
      </c>
      <c r="AK1090" s="93">
        <f>IF('Net zero activities &amp; levers'!$C$14="Off",('Activity data'!BD14*EF!$H27)*kgtoGg,IF('Net zero activities &amp; levers'!$C$14="On",('Net zero Activity data'!BD14*EF!$H27)*kgtoGg,"ERROR"))</f>
        <v>2.7968685409771071E-2</v>
      </c>
      <c r="AL1090" s="93">
        <f>IF('Net zero activities &amp; levers'!$C$14="Off",('Activity data'!BE14*EF!$H27)*kgtoGg,IF('Net zero activities &amp; levers'!$C$14="On",('Net zero Activity data'!BE14*EF!$H27)*kgtoGg,"ERROR"))</f>
        <v>2.8000825948759214E-2</v>
      </c>
      <c r="AM1090" s="93">
        <f>IF('Net zero activities &amp; levers'!$C$14="Off",('Activity data'!BF14*EF!$H27)*kgtoGg,IF('Net zero activities &amp; levers'!$C$14="On",('Net zero Activity data'!BF14*EF!$H27)*kgtoGg,"ERROR"))</f>
        <v>2.8030066741750678E-2</v>
      </c>
      <c r="AN1090" s="93">
        <f>IF('Net zero activities &amp; levers'!$C$14="Off",('Activity data'!BG14*EF!$H27)*kgtoGg,IF('Net zero activities &amp; levers'!$C$14="On",('Net zero Activity data'!BG14*EF!$H27)*kgtoGg,"ERROR"))</f>
        <v>2.8056709026267227E-2</v>
      </c>
      <c r="AO1090" s="93">
        <f>IF('Net zero activities &amp; levers'!$C$14="Off",('Activity data'!BH14*EF!$H27)*kgtoGg,IF('Net zero activities &amp; levers'!$C$14="On",('Net zero Activity data'!BH14*EF!$H27)*kgtoGg,"ERROR"))</f>
        <v>2.8079996480088933E-2</v>
      </c>
      <c r="AP1090" s="93">
        <f>IF('Net zero activities &amp; levers'!$C$14="Off",('Activity data'!BI14*EF!$H27)*kgtoGg,IF('Net zero activities &amp; levers'!$C$14="On",('Net zero Activity data'!BI14*EF!$H27)*kgtoGg,"ERROR"))</f>
        <v>2.8099439849384365E-2</v>
      </c>
      <c r="AQ1090" s="93">
        <f>IF('Net zero activities &amp; levers'!$C$14="Off",('Activity data'!BJ14*EF!$H27)*kgtoGg,IF('Net zero activities &amp; levers'!$C$14="On",('Net zero Activity data'!BJ14*EF!$H27)*kgtoGg,"ERROR"))</f>
        <v>2.8115003415570192E-2</v>
      </c>
      <c r="AR1090" s="93">
        <f>IF('Net zero activities &amp; levers'!$C$14="Off",('Activity data'!BK14*EF!$H27)*kgtoGg,IF('Net zero activities &amp; levers'!$C$14="On",('Net zero Activity data'!BK14*EF!$H27)*kgtoGg,"ERROR"))</f>
        <v>2.8126125250563565E-2</v>
      </c>
      <c r="AS1090" s="93">
        <f>IF('Net zero activities &amp; levers'!$C$14="Off",('Activity data'!BL14*EF!$H27)*kgtoGg,IF('Net zero activities &amp; levers'!$C$14="On",('Net zero Activity data'!BL14*EF!$H27)*kgtoGg,"ERROR"))</f>
        <v>2.8132193090256906E-2</v>
      </c>
      <c r="AT1090" s="93">
        <f>IF('Net zero activities &amp; levers'!$C$14="Off",('Activity data'!BM14*EF!$H27)*kgtoGg,IF('Net zero activities &amp; levers'!$C$14="On",('Net zero Activity data'!BM14*EF!$H27)*kgtoGg,"ERROR"))</f>
        <v>2.8133175624183573E-2</v>
      </c>
      <c r="AU1090" s="93">
        <f>IF('Net zero activities &amp; levers'!$C$14="Off",('Activity data'!BN14*EF!$H27)*kgtoGg,IF('Net zero activities &amp; levers'!$C$14="On",('Net zero Activity data'!BN14*EF!$H27)*kgtoGg,"ERROR"))</f>
        <v>2.8129214758385396E-2</v>
      </c>
      <c r="AV1090" s="93">
        <f>IF('Net zero activities &amp; levers'!$C$14="Off",('Activity data'!BO14*EF!$H27)*kgtoGg,IF('Net zero activities &amp; levers'!$C$14="On",('Net zero Activity data'!BO14*EF!$H27)*kgtoGg,"ERROR"))</f>
        <v>2.8120421261150549E-2</v>
      </c>
      <c r="AW1090" s="93">
        <f>IF('Net zero activities &amp; levers'!$C$14="Off",('Activity data'!BP14*EF!$H27)*kgtoGg,IF('Net zero activities &amp; levers'!$C$14="On",('Net zero Activity data'!BP14*EF!$H27)*kgtoGg,"ERROR"))</f>
        <v>2.8106220674847984E-2</v>
      </c>
      <c r="AY1090" s="79"/>
    </row>
    <row r="1091" spans="1:51" x14ac:dyDescent="0.25">
      <c r="A1091" s="95" t="str">
        <f t="shared" si="374"/>
        <v>CM Horses MMCH4</v>
      </c>
      <c r="B1091" s="95" t="s">
        <v>1322</v>
      </c>
      <c r="C1091" s="95" t="s">
        <v>1326</v>
      </c>
      <c r="D1091" t="s">
        <v>15</v>
      </c>
      <c r="E1091" t="s">
        <v>22</v>
      </c>
      <c r="F1091" t="s">
        <v>20</v>
      </c>
      <c r="G1091" t="s">
        <v>3</v>
      </c>
      <c r="H1091" t="s">
        <v>1227</v>
      </c>
      <c r="I1091" t="s">
        <v>121</v>
      </c>
      <c r="J1091" t="s">
        <v>286</v>
      </c>
      <c r="K1091" s="93">
        <f>IF('Net zero activities &amp; levers'!$C$14="Off",('Activity data'!AD15*EF!$H28)*kgtoGg,IF('Net zero activities &amp; levers'!$C$14="On",('Net zero Activity data'!AD15*EF!$H28)*kgtoGg,"ERROR"))</f>
        <v>4.1336182129460552E-3</v>
      </c>
      <c r="L1091" s="93">
        <f>IF('Net zero activities &amp; levers'!$C$14="Off",('Activity data'!AE15*EF!$H28)*kgtoGg,IF('Net zero activities &amp; levers'!$C$14="On",('Net zero Activity data'!AE15*EF!$H28)*kgtoGg,"ERROR"))</f>
        <v>4.1536453250924088E-3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4.1905340987284578E-3</v>
      </c>
      <c r="O1091" s="93">
        <f>IF('Net zero activities &amp; levers'!$C$14="Off",('Activity data'!AH15*EF!$H28)*kgtoGg,IF('Net zero activities &amp; levers'!$C$14="On",('Net zero Activity data'!AH15*EF!$H28)*kgtoGg,"ERROR"))</f>
        <v>4.1812329246154597E-3</v>
      </c>
      <c r="P1091" s="93">
        <f>IF('Net zero activities &amp; levers'!$C$14="Off",('Activity data'!AI15*EF!$H28)*kgtoGg,IF('Net zero activities &amp; levers'!$C$14="On",('Net zero Activity data'!AI15*EF!$H28)*kgtoGg,"ERROR"))</f>
        <v>4.1564738854214557E-3</v>
      </c>
      <c r="Q1091" s="93">
        <f>IF('Net zero activities &amp; levers'!$C$14="Off",('Activity data'!AJ15*EF!$H28)*kgtoGg,IF('Net zero activities &amp; levers'!$C$14="On",('Net zero Activity data'!AJ15*EF!$H28)*kgtoGg,"ERROR"))</f>
        <v>4.142746062070715E-3</v>
      </c>
      <c r="R1091" s="93">
        <f>IF('Net zero activities &amp; levers'!$C$14="Off",('Activity data'!AK15*EF!$H28)*kgtoGg,IF('Net zero activities &amp; levers'!$C$14="On",('Net zero Activity data'!AK15*EF!$H28)*kgtoGg,"ERROR"))</f>
        <v>4.130408792135833E-3</v>
      </c>
      <c r="S1091" s="93">
        <f>IF('Net zero activities &amp; levers'!$C$14="Off",('Activity data'!AL15*EF!$H28)*kgtoGg,IF('Net zero activities &amp; levers'!$C$14="On",('Net zero Activity data'!AL15*EF!$H28)*kgtoGg,"ERROR"))</f>
        <v>3.9465365523139234E-3</v>
      </c>
      <c r="T1091" s="93">
        <f>IF('Net zero activities &amp; levers'!$C$14="Off",('Activity data'!AM15*EF!$H28)*kgtoGg,IF('Net zero activities &amp; levers'!$C$14="On",('Net zero Activity data'!AM15*EF!$H28)*kgtoGg,"ERROR"))</f>
        <v>4.0449031054022467E-3</v>
      </c>
      <c r="U1091" s="93">
        <f>IF('Net zero activities &amp; levers'!$C$14="Off",('Activity data'!AN15*EF!$H28)*kgtoGg,IF('Net zero activities &amp; levers'!$C$14="On",('Net zero Activity data'!AN15*EF!$H28)*kgtoGg,"ERROR"))</f>
        <v>8.6826637855320493E-3</v>
      </c>
      <c r="V1091" s="93">
        <f>IF('Net zero activities &amp; levers'!$C$14="Off",('Activity data'!AO15*EF!$H28)*kgtoGg,IF('Net zero activities &amp; levers'!$C$14="On",('Net zero Activity data'!AO15*EF!$H28)*kgtoGg,"ERROR"))</f>
        <v>8.7938640755687025E-3</v>
      </c>
      <c r="W1091" s="93">
        <f>IF('Net zero activities &amp; levers'!$C$14="Off",('Activity data'!AP15*EF!$H28)*kgtoGg,IF('Net zero activities &amp; levers'!$C$14="On",('Net zero Activity data'!AP15*EF!$H28)*kgtoGg,"ERROR"))</f>
        <v>8.8834218995517203E-3</v>
      </c>
      <c r="X1091" s="93">
        <f>IF('Net zero activities &amp; levers'!$C$14="Off",('Activity data'!AQ15*EF!$H28)*kgtoGg,IF('Net zero activities &amp; levers'!$C$14="On",('Net zero Activity data'!AQ15*EF!$H28)*kgtoGg,"ERROR"))</f>
        <v>8.9554975933649264E-3</v>
      </c>
      <c r="Y1091" s="93">
        <f>IF('Net zero activities &amp; levers'!$C$14="Off",('Activity data'!AR15*EF!$H28)*kgtoGg,IF('Net zero activities &amp; levers'!$C$14="On",('Net zero Activity data'!AR15*EF!$H28)*kgtoGg,"ERROR"))</f>
        <v>9.018105952641001E-3</v>
      </c>
      <c r="Z1091" s="93">
        <f>IF('Net zero activities &amp; levers'!$C$14="Off",('Activity data'!AS15*EF!$H28)*kgtoGg,IF('Net zero activities &amp; levers'!$C$14="On",('Net zero Activity data'!AS15*EF!$H28)*kgtoGg,"ERROR"))</f>
        <v>9.0705357904088645E-3</v>
      </c>
      <c r="AA1091" s="93">
        <f>IF('Net zero activities &amp; levers'!$C$14="Off",('Activity data'!AT15*EF!$H28)*kgtoGg,IF('Net zero activities &amp; levers'!$C$14="On",('Net zero Activity data'!AT15*EF!$H28)*kgtoGg,"ERROR"))</f>
        <v>9.1124930520699761E-3</v>
      </c>
      <c r="AB1091" s="93">
        <f>IF('Net zero activities &amp; levers'!$C$14="Off",('Activity data'!AU15*EF!$H28)*kgtoGg,IF('Net zero activities &amp; levers'!$C$14="On",('Net zero Activity data'!AU15*EF!$H28)*kgtoGg,"ERROR"))</f>
        <v>9.143466497408213E-3</v>
      </c>
      <c r="AC1091" s="93">
        <f>IF('Net zero activities &amp; levers'!$C$14="Off",('Activity data'!AV15*EF!$H28)*kgtoGg,IF('Net zero activities &amp; levers'!$C$14="On",('Net zero Activity data'!AV15*EF!$H28)*kgtoGg,"ERROR"))</f>
        <v>9.1629085267338015E-3</v>
      </c>
      <c r="AD1091" s="93">
        <f>IF('Net zero activities &amp; levers'!$C$14="Off",('Activity data'!AW15*EF!$H28)*kgtoGg,IF('Net zero activities &amp; levers'!$C$14="On",('Net zero Activity data'!AW15*EF!$H28)*kgtoGg,"ERROR"))</f>
        <v>9.1706067297579116E-3</v>
      </c>
      <c r="AE1091" s="93">
        <f>IF('Net zero activities &amp; levers'!$C$14="Off",('Activity data'!AX15*EF!$H28)*kgtoGg,IF('Net zero activities &amp; levers'!$C$14="On",('Net zero Activity data'!AX15*EF!$H28)*kgtoGg,"ERROR"))</f>
        <v>9.1661590701848112E-3</v>
      </c>
      <c r="AF1091" s="93">
        <f>IF('Net zero activities &amp; levers'!$C$14="Off",('Activity data'!AY15*EF!$H28)*kgtoGg,IF('Net zero activities &amp; levers'!$C$14="On",('Net zero Activity data'!AY15*EF!$H28)*kgtoGg,"ERROR"))</f>
        <v>9.149435618350802E-3</v>
      </c>
      <c r="AG1091" s="93">
        <f>IF('Net zero activities &amp; levers'!$C$14="Off",('Activity data'!AZ15*EF!$H28)*kgtoGg,IF('Net zero activities &amp; levers'!$C$14="On",('Net zero Activity data'!AZ15*EF!$H28)*kgtoGg,"ERROR"))</f>
        <v>9.120587540138371E-3</v>
      </c>
      <c r="AH1091" s="93">
        <f>IF('Net zero activities &amp; levers'!$C$14="Off",('Activity data'!BA15*EF!$H28)*kgtoGg,IF('Net zero activities &amp; levers'!$C$14="On",('Net zero Activity data'!BA15*EF!$H28)*kgtoGg,"ERROR"))</f>
        <v>9.0795393134023624E-3</v>
      </c>
      <c r="AI1091" s="93">
        <f>IF('Net zero activities &amp; levers'!$C$14="Off",('Activity data'!BB15*EF!$H28)*kgtoGg,IF('Net zero activities &amp; levers'!$C$14="On",('Net zero Activity data'!BB15*EF!$H28)*kgtoGg,"ERROR"))</f>
        <v>9.0262176145749634E-3</v>
      </c>
      <c r="AJ1091" s="93">
        <f>IF('Net zero activities &amp; levers'!$C$14="Off",('Activity data'!BC15*EF!$H28)*kgtoGg,IF('Net zero activities &amp; levers'!$C$14="On",('Net zero Activity data'!BC15*EF!$H28)*kgtoGg,"ERROR"))</f>
        <v>1.3289120185476511E-3</v>
      </c>
      <c r="AK1091" s="93">
        <f>IF('Net zero activities &amp; levers'!$C$14="Off",('Activity data'!BD15*EF!$H28)*kgtoGg,IF('Net zero activities &amp; levers'!$C$14="On",('Net zero Activity data'!BD15*EF!$H28)*kgtoGg,"ERROR"))</f>
        <v>1.3289120185476511E-3</v>
      </c>
      <c r="AL1091" s="93">
        <f>IF('Net zero activities &amp; levers'!$C$14="Off",('Activity data'!BE15*EF!$H28)*kgtoGg,IF('Net zero activities &amp; levers'!$C$14="On",('Net zero Activity data'!BE15*EF!$H28)*kgtoGg,"ERROR"))</f>
        <v>1.3289120185476511E-3</v>
      </c>
      <c r="AM1091" s="93">
        <f>IF('Net zero activities &amp; levers'!$C$14="Off",('Activity data'!BF15*EF!$H28)*kgtoGg,IF('Net zero activities &amp; levers'!$C$14="On",('Net zero Activity data'!BF15*EF!$H28)*kgtoGg,"ERROR"))</f>
        <v>1.3289120185476511E-3</v>
      </c>
      <c r="AN1091" s="93">
        <f>IF('Net zero activities &amp; levers'!$C$14="Off",('Activity data'!BG15*EF!$H28)*kgtoGg,IF('Net zero activities &amp; levers'!$C$14="On",('Net zero Activity data'!BG15*EF!$H28)*kgtoGg,"ERROR"))</f>
        <v>1.3289120185476511E-3</v>
      </c>
      <c r="AO1091" s="93">
        <f>IF('Net zero activities &amp; levers'!$C$14="Off",('Activity data'!BH15*EF!$H28)*kgtoGg,IF('Net zero activities &amp; levers'!$C$14="On",('Net zero Activity data'!BH15*EF!$H28)*kgtoGg,"ERROR"))</f>
        <v>1.3289120185476511E-3</v>
      </c>
      <c r="AP1091" s="93">
        <f>IF('Net zero activities &amp; levers'!$C$14="Off",('Activity data'!BI15*EF!$H28)*kgtoGg,IF('Net zero activities &amp; levers'!$C$14="On",('Net zero Activity data'!BI15*EF!$H28)*kgtoGg,"ERROR"))</f>
        <v>1.3289120185476511E-3</v>
      </c>
      <c r="AQ1091" s="93">
        <f>IF('Net zero activities &amp; levers'!$C$14="Off",('Activity data'!BJ15*EF!$H28)*kgtoGg,IF('Net zero activities &amp; levers'!$C$14="On",('Net zero Activity data'!BJ15*EF!$H28)*kgtoGg,"ERROR"))</f>
        <v>1.3289120185476511E-3</v>
      </c>
      <c r="AR1091" s="93">
        <f>IF('Net zero activities &amp; levers'!$C$14="Off",('Activity data'!BK15*EF!$H28)*kgtoGg,IF('Net zero activities &amp; levers'!$C$14="On",('Net zero Activity data'!BK15*EF!$H28)*kgtoGg,"ERROR"))</f>
        <v>1.3289120185476511E-3</v>
      </c>
      <c r="AS1091" s="93">
        <f>IF('Net zero activities &amp; levers'!$C$14="Off",('Activity data'!BL15*EF!$H28)*kgtoGg,IF('Net zero activities &amp; levers'!$C$14="On",('Net zero Activity data'!BL15*EF!$H28)*kgtoGg,"ERROR"))</f>
        <v>1.3289120185476511E-3</v>
      </c>
      <c r="AT1091" s="93">
        <f>IF('Net zero activities &amp; levers'!$C$14="Off",('Activity data'!BM15*EF!$H28)*kgtoGg,IF('Net zero activities &amp; levers'!$C$14="On",('Net zero Activity data'!BM15*EF!$H28)*kgtoGg,"ERROR"))</f>
        <v>1.3289120185476511E-3</v>
      </c>
      <c r="AU1091" s="93">
        <f>IF('Net zero activities &amp; levers'!$C$14="Off",('Activity data'!BN15*EF!$H28)*kgtoGg,IF('Net zero activities &amp; levers'!$C$14="On",('Net zero Activity data'!BN15*EF!$H28)*kgtoGg,"ERROR"))</f>
        <v>1.3289120185476511E-3</v>
      </c>
      <c r="AV1091" s="93">
        <f>IF('Net zero activities &amp; levers'!$C$14="Off",('Activity data'!BO15*EF!$H28)*kgtoGg,IF('Net zero activities &amp; levers'!$C$14="On",('Net zero Activity data'!BO15*EF!$H28)*kgtoGg,"ERROR"))</f>
        <v>1.3289120185476511E-3</v>
      </c>
      <c r="AW1091" s="93">
        <f>IF('Net zero activities &amp; levers'!$C$14="Off",('Activity data'!BP15*EF!$H28)*kgtoGg,IF('Net zero activities &amp; levers'!$C$14="On",('Net zero Activity data'!BP15*EF!$H28)*kgtoGg,"ERROR"))</f>
        <v>1.3289120185476511E-3</v>
      </c>
      <c r="AY1091" s="79"/>
    </row>
    <row r="1092" spans="1:51" x14ac:dyDescent="0.25">
      <c r="A1092" s="95" t="str">
        <f t="shared" si="374"/>
        <v>CM Mules MMCH4</v>
      </c>
      <c r="B1092" s="95" t="s">
        <v>1322</v>
      </c>
      <c r="C1092" s="95" t="s">
        <v>1327</v>
      </c>
      <c r="D1092" t="s">
        <v>15</v>
      </c>
      <c r="E1092" t="s">
        <v>22</v>
      </c>
      <c r="F1092" t="s">
        <v>140</v>
      </c>
      <c r="G1092" t="s">
        <v>124</v>
      </c>
      <c r="H1092" t="s">
        <v>1227</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25">
      <c r="A1093" s="95" t="str">
        <f t="shared" si="374"/>
        <v>CM Swine MMCH4</v>
      </c>
      <c r="B1093" s="95" t="s">
        <v>1322</v>
      </c>
      <c r="C1093" s="95" t="s">
        <v>1230</v>
      </c>
      <c r="D1093" t="s">
        <v>15</v>
      </c>
      <c r="E1093" t="s">
        <v>22</v>
      </c>
      <c r="F1093" t="s">
        <v>21</v>
      </c>
      <c r="G1093" t="s">
        <v>122</v>
      </c>
      <c r="H1093" t="s">
        <v>1227</v>
      </c>
      <c r="I1093" t="s">
        <v>121</v>
      </c>
      <c r="J1093" t="s">
        <v>286</v>
      </c>
      <c r="K1093" s="93">
        <f>IF('Net zero activities &amp; levers'!$C$14="Off",('Activity data'!AD17*EF!$H30)*kgtoGg,IF('Net zero activities &amp; levers'!$C$14="On",('Net zero Activity data'!AD17*EF!$H30)*kgtoGg,"ERROR"))</f>
        <v>23.279067868377393</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23.162916433064304</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22.12653281137495</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21.465278056857681</v>
      </c>
      <c r="S1093" s="93">
        <f>IF('Net zero activities &amp; levers'!$C$14="Off",('Activity data'!AL17*EF!$H30)*kgtoGg,IF('Net zero activities &amp; levers'!$C$14="On",('Net zero Activity data'!AL17*EF!$H30)*kgtoGg,"ERROR"))</f>
        <v>19.312832226900145</v>
      </c>
      <c r="T1093" s="93">
        <f>IF('Net zero activities &amp; levers'!$C$14="Off",('Activity data'!AM17*EF!$H30)*kgtoGg,IF('Net zero activities &amp; levers'!$C$14="On",('Net zero Activity data'!AM17*EF!$H30)*kgtoGg,"ERROR"))</f>
        <v>20.002458493758922</v>
      </c>
      <c r="U1093" s="93">
        <f>IF('Net zero activities &amp; levers'!$C$14="Off",('Activity data'!AN17*EF!$H30)*kgtoGg,IF('Net zero activities &amp; levers'!$C$14="On",('Net zero Activity data'!AN17*EF!$H30)*kgtoGg,"ERROR"))</f>
        <v>63.938225509328625</v>
      </c>
      <c r="V1093" s="93">
        <f>IF('Net zero activities &amp; levers'!$C$14="Off",('Activity data'!AO17*EF!$H30)*kgtoGg,IF('Net zero activities &amp; levers'!$C$14="On",('Net zero Activity data'!AO17*EF!$H30)*kgtoGg,"ERROR"))</f>
        <v>64.113496025150383</v>
      </c>
      <c r="W1093" s="93">
        <f>IF('Net zero activities &amp; levers'!$C$14="Off",('Activity data'!AP17*EF!$H30)*kgtoGg,IF('Net zero activities &amp; levers'!$C$14="On",('Net zero Activity data'!AP17*EF!$H30)*kgtoGg,"ERROR"))</f>
        <v>64.178228567667873</v>
      </c>
      <c r="X1093" s="93">
        <f>IF('Net zero activities &amp; levers'!$C$14="Off",('Activity data'!AQ17*EF!$H30)*kgtoGg,IF('Net zero activities &amp; levers'!$C$14="On",('Net zero Activity data'!AQ17*EF!$H30)*kgtoGg,"ERROR"))</f>
        <v>64.135343897693133</v>
      </c>
      <c r="Y1093" s="93">
        <f>IF('Net zero activities &amp; levers'!$C$14="Off",('Activity data'!AR17*EF!$H30)*kgtoGg,IF('Net zero activities &amp; levers'!$C$14="On",('Net zero Activity data'!AR17*EF!$H30)*kgtoGg,"ERROR"))</f>
        <v>63.991311737388052</v>
      </c>
      <c r="Z1093" s="93">
        <f>IF('Net zero activities &amp; levers'!$C$14="Off",('Activity data'!AS17*EF!$H30)*kgtoGg,IF('Net zero activities &amp; levers'!$C$14="On",('Net zero Activity data'!AS17*EF!$H30)*kgtoGg,"ERROR"))</f>
        <v>63.744809060362954</v>
      </c>
      <c r="AA1093" s="93">
        <f>IF('Net zero activities &amp; levers'!$C$14="Off",('Activity data'!AT17*EF!$H30)*kgtoGg,IF('Net zero activities &amp; levers'!$C$14="On",('Net zero Activity data'!AT17*EF!$H30)*kgtoGg,"ERROR"))</f>
        <v>63.395481625326759</v>
      </c>
      <c r="AB1093" s="93">
        <f>IF('Net zero activities &amp; levers'!$C$14="Off",('Activity data'!AU17*EF!$H30)*kgtoGg,IF('Net zero activities &amp; levers'!$C$14="On",('Net zero Activity data'!AU17*EF!$H30)*kgtoGg,"ERROR"))</f>
        <v>62.943362188824892</v>
      </c>
      <c r="AC1093" s="93">
        <f>IF('Net zero activities &amp; levers'!$C$14="Off",('Activity data'!AV17*EF!$H30)*kgtoGg,IF('Net zero activities &amp; levers'!$C$14="On",('Net zero Activity data'!AV17*EF!$H30)*kgtoGg,"ERROR"))</f>
        <v>62.389030635456976</v>
      </c>
      <c r="AD1093" s="93">
        <f>IF('Net zero activities &amp; levers'!$C$14="Off",('Activity data'!AW17*EF!$H30)*kgtoGg,IF('Net zero activities &amp; levers'!$C$14="On",('Net zero Activity data'!AW17*EF!$H30)*kgtoGg,"ERROR"))</f>
        <v>61.733913705110233</v>
      </c>
      <c r="AE1093" s="93">
        <f>IF('Net zero activities &amp; levers'!$C$14="Off",('Activity data'!AX17*EF!$H30)*kgtoGg,IF('Net zero activities &amp; levers'!$C$14="On",('Net zero Activity data'!AX17*EF!$H30)*kgtoGg,"ERROR"))</f>
        <v>60.979815772111941</v>
      </c>
      <c r="AF1093" s="93">
        <f>IF('Net zero activities &amp; levers'!$C$14="Off",('Activity data'!AY17*EF!$H30)*kgtoGg,IF('Net zero activities &amp; levers'!$C$14="On",('Net zero Activity data'!AY17*EF!$H30)*kgtoGg,"ERROR"))</f>
        <v>60.129286570076758</v>
      </c>
      <c r="AG1093" s="93">
        <f>IF('Net zero activities &amp; levers'!$C$14="Off",('Activity data'!AZ17*EF!$H30)*kgtoGg,IF('Net zero activities &amp; levers'!$C$14="On",('Net zero Activity data'!AZ17*EF!$H30)*kgtoGg,"ERROR"))</f>
        <v>59.185593442917096</v>
      </c>
      <c r="AH1093" s="93">
        <f>IF('Net zero activities &amp; levers'!$C$14="Off",('Activity data'!BA17*EF!$H30)*kgtoGg,IF('Net zero activities &amp; levers'!$C$14="On",('Net zero Activity data'!BA17*EF!$H30)*kgtoGg,"ERROR"))</f>
        <v>58.152275579872715</v>
      </c>
      <c r="AI1093" s="93">
        <f>IF('Net zero activities &amp; levers'!$C$14="Off",('Activity data'!BB17*EF!$H30)*kgtoGg,IF('Net zero activities &amp; levers'!$C$14="On",('Net zero Activity data'!BB17*EF!$H30)*kgtoGg,"ERROR"))</f>
        <v>57.033304574173563</v>
      </c>
      <c r="AJ1093" s="93">
        <f>IF('Net zero activities &amp; levers'!$C$14="Off",('Activity data'!BC17*EF!$H30)*kgtoGg,IF('Net zero activities &amp; levers'!$C$14="On",('Net zero Activity data'!BC17*EF!$H30)*kgtoGg,"ERROR"))</f>
        <v>-5.3144936119483299</v>
      </c>
      <c r="AK1093" s="93">
        <f>IF('Net zero activities &amp; levers'!$C$14="Off",('Activity data'!BD17*EF!$H30)*kgtoGg,IF('Net zero activities &amp; levers'!$C$14="On",('Net zero Activity data'!BD17*EF!$H30)*kgtoGg,"ERROR"))</f>
        <v>-5.2569593669429695</v>
      </c>
      <c r="AL1093" s="93">
        <f>IF('Net zero activities &amp; levers'!$C$14="Off",('Activity data'!BE17*EF!$H30)*kgtoGg,IF('Net zero activities &amp; levers'!$C$14="On",('Net zero Activity data'!BE17*EF!$H30)*kgtoGg,"ERROR"))</f>
        <v>-5.1992212819469339</v>
      </c>
      <c r="AM1093" s="93">
        <f>IF('Net zero activities &amp; levers'!$C$14="Off",('Activity data'!BF17*EF!$H30)*kgtoGg,IF('Net zero activities &amp; levers'!$C$14="On",('Net zero Activity data'!BF17*EF!$H30)*kgtoGg,"ERROR"))</f>
        <v>-5.1413392574015706</v>
      </c>
      <c r="AN1093" s="93">
        <f>IF('Net zero activities &amp; levers'!$C$14="Off",('Activity data'!BG17*EF!$H30)*kgtoGg,IF('Net zero activities &amp; levers'!$C$14="On",('Net zero Activity data'!BG17*EF!$H30)*kgtoGg,"ERROR"))</f>
        <v>-5.0833794948522248</v>
      </c>
      <c r="AO1093" s="93">
        <f>IF('Net zero activities &amp; levers'!$C$14="Off",('Activity data'!BH17*EF!$H30)*kgtoGg,IF('Net zero activities &amp; levers'!$C$14="On",('Net zero Activity data'!BH17*EF!$H30)*kgtoGg,"ERROR"))</f>
        <v>-5.0251883541674571</v>
      </c>
      <c r="AP1093" s="93">
        <f>IF('Net zero activities &amp; levers'!$C$14="Off",('Activity data'!BI17*EF!$H30)*kgtoGg,IF('Net zero activities &amp; levers'!$C$14="On",('Net zero Activity data'!BI17*EF!$H30)*kgtoGg,"ERROR"))</f>
        <v>-4.9666751294444857</v>
      </c>
      <c r="AQ1093" s="93">
        <f>IF('Net zero activities &amp; levers'!$C$14="Off",('Activity data'!BJ17*EF!$H30)*kgtoGg,IF('Net zero activities &amp; levers'!$C$14="On",('Net zero Activity data'!BJ17*EF!$H30)*kgtoGg,"ERROR"))</f>
        <v>-4.9078454730797514</v>
      </c>
      <c r="AR1093" s="93">
        <f>IF('Net zero activities &amp; levers'!$C$14="Off",('Activity data'!BK17*EF!$H30)*kgtoGg,IF('Net zero activities &amp; levers'!$C$14="On",('Net zero Activity data'!BK17*EF!$H30)*kgtoGg,"ERROR"))</f>
        <v>-4.8486018943647</v>
      </c>
      <c r="AS1093" s="93">
        <f>IF('Net zero activities &amp; levers'!$C$14="Off",('Activity data'!BL17*EF!$H30)*kgtoGg,IF('Net zero activities &amp; levers'!$C$14="On",('Net zero Activity data'!BL17*EF!$H30)*kgtoGg,"ERROR"))</f>
        <v>-4.7888432589736398</v>
      </c>
      <c r="AT1093" s="93">
        <f>IF('Net zero activities &amp; levers'!$C$14="Off",('Activity data'!BM17*EF!$H30)*kgtoGg,IF('Net zero activities &amp; levers'!$C$14="On",('Net zero Activity data'!BM17*EF!$H30)*kgtoGg,"ERROR"))</f>
        <v>-4.7285865274691332</v>
      </c>
      <c r="AU1093" s="93">
        <f>IF('Net zero activities &amp; levers'!$C$14="Off",('Activity data'!BN17*EF!$H30)*kgtoGg,IF('Net zero activities &amp; levers'!$C$14="On",('Net zero Activity data'!BN17*EF!$H30)*kgtoGg,"ERROR"))</f>
        <v>-4.667881841438601</v>
      </c>
      <c r="AV1093" s="93">
        <f>IF('Net zero activities &amp; levers'!$C$14="Off",('Activity data'!BO17*EF!$H30)*kgtoGg,IF('Net zero activities &amp; levers'!$C$14="On",('Net zero Activity data'!BO17*EF!$H30)*kgtoGg,"ERROR"))</f>
        <v>-4.6067720913188221</v>
      </c>
      <c r="AW1093" s="93">
        <f>IF('Net zero activities &amp; levers'!$C$14="Off",('Activity data'!BP17*EF!$H30)*kgtoGg,IF('Net zero activities &amp; levers'!$C$14="On",('Net zero Activity data'!BP17*EF!$H30)*kgtoGg,"ERROR"))</f>
        <v>-4.5451726737388229</v>
      </c>
      <c r="AY1093" s="79"/>
    </row>
    <row r="1094" spans="1:51" x14ac:dyDescent="0.25">
      <c r="A1094" s="95" t="str">
        <f t="shared" si="374"/>
        <v>CM Swine MMCH4</v>
      </c>
      <c r="B1094" s="95" t="s">
        <v>1322</v>
      </c>
      <c r="C1094" s="95" t="s">
        <v>1230</v>
      </c>
      <c r="D1094" t="s">
        <v>15</v>
      </c>
      <c r="E1094" t="s">
        <v>22</v>
      </c>
      <c r="F1094" t="s">
        <v>21</v>
      </c>
      <c r="G1094" t="s">
        <v>123</v>
      </c>
      <c r="H1094" t="s">
        <v>1227</v>
      </c>
      <c r="I1094" t="s">
        <v>121</v>
      </c>
      <c r="J1094" t="s">
        <v>286</v>
      </c>
      <c r="K1094" s="93">
        <f>IF('Net zero activities &amp; levers'!$C$14="Off",('Activity data'!AD18*EF!$H31)*kgtoGg,IF('Net zero activities &amp; levers'!$C$14="On",('Net zero Activity data'!AD18*EF!$H31)*kgtoGg,"ERROR"))</f>
        <v>7.7932061732677776E-2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7.7543217949140597E-2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7.4073684167079393E-2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7.1859980996426681E-2</v>
      </c>
      <c r="S1094" s="93">
        <f>IF('Net zero activities &amp; levers'!$C$14="Off",('Activity data'!AL18*EF!$H31)*kgtoGg,IF('Net zero activities &amp; levers'!$C$14="On",('Net zero Activity data'!AL18*EF!$H31)*kgtoGg,"ERROR"))</f>
        <v>6.4654170942306688E-2</v>
      </c>
      <c r="T1094" s="93">
        <f>IF('Net zero activities &amp; levers'!$C$14="Off",('Activity data'!AM18*EF!$H31)*kgtoGg,IF('Net zero activities &amp; levers'!$C$14="On",('Net zero Activity data'!AM18*EF!$H31)*kgtoGg,"ERROR"))</f>
        <v>6.6962854309922146E-2</v>
      </c>
      <c r="U1094" s="93">
        <f>IF('Net zero activities &amp; levers'!$C$14="Off",('Activity data'!AN18*EF!$H31)*kgtoGg,IF('Net zero activities &amp; levers'!$C$14="On",('Net zero Activity data'!AN18*EF!$H31)*kgtoGg,"ERROR"))</f>
        <v>0.21404799219815959</v>
      </c>
      <c r="V1094" s="93">
        <f>IF('Net zero activities &amp; levers'!$C$14="Off",('Activity data'!AO18*EF!$H31)*kgtoGg,IF('Net zero activities &amp; levers'!$C$14="On",('Net zero Activity data'!AO18*EF!$H31)*kgtoGg,"ERROR"))</f>
        <v>0.21463475077183489</v>
      </c>
      <c r="W1094" s="93">
        <f>IF('Net zero activities &amp; levers'!$C$14="Off",('Activity data'!AP18*EF!$H31)*kgtoGg,IF('Net zero activities &amp; levers'!$C$14="On",('Net zero Activity data'!AP18*EF!$H31)*kgtoGg,"ERROR"))</f>
        <v>0.21485145792386132</v>
      </c>
      <c r="X1094" s="93">
        <f>IF('Net zero activities &amp; levers'!$C$14="Off",('Activity data'!AQ18*EF!$H31)*kgtoGg,IF('Net zero activities &amp; levers'!$C$14="On",('Net zero Activity data'!AQ18*EF!$H31)*kgtoGg,"ERROR"))</f>
        <v>0.21470789157632744</v>
      </c>
      <c r="Y1094" s="93">
        <f>IF('Net zero activities &amp; levers'!$C$14="Off",('Activity data'!AR18*EF!$H31)*kgtoGg,IF('Net zero activities &amp; levers'!$C$14="On",('Net zero Activity data'!AR18*EF!$H31)*kgtoGg,"ERROR"))</f>
        <v>0.21422571061994838</v>
      </c>
      <c r="Z1094" s="93">
        <f>IF('Net zero activities &amp; levers'!$C$14="Off",('Activity data'!AS18*EF!$H31)*kgtoGg,IF('Net zero activities &amp; levers'!$C$14="On",('Net zero Activity data'!AS18*EF!$H31)*kgtoGg,"ERROR"))</f>
        <v>0.21340048591800548</v>
      </c>
      <c r="AA1094" s="93">
        <f>IF('Net zero activities &amp; levers'!$C$14="Off",('Activity data'!AT18*EF!$H31)*kgtoGg,IF('Net zero activities &amp; levers'!$C$14="On",('Net zero Activity data'!AT18*EF!$H31)*kgtoGg,"ERROR"))</f>
        <v>0.21223103156587736</v>
      </c>
      <c r="AB1094" s="93">
        <f>IF('Net zero activities &amp; levers'!$C$14="Off",('Activity data'!AU18*EF!$H31)*kgtoGg,IF('Net zero activities &amp; levers'!$C$14="On",('Net zero Activity data'!AU18*EF!$H31)*kgtoGg,"ERROR"))</f>
        <v>0.21071745722367313</v>
      </c>
      <c r="AC1094" s="93">
        <f>IF('Net zero activities &amp; levers'!$C$14="Off",('Activity data'!AV18*EF!$H31)*kgtoGg,IF('Net zero activities &amp; levers'!$C$14="On",('Net zero Activity data'!AV18*EF!$H31)*kgtoGg,"ERROR"))</f>
        <v>0.20886170418915742</v>
      </c>
      <c r="AD1094" s="93">
        <f>IF('Net zero activities &amp; levers'!$C$14="Off",('Activity data'!AW18*EF!$H31)*kgtoGg,IF('Net zero activities &amp; levers'!$C$14="On",('Net zero Activity data'!AW18*EF!$H31)*kgtoGg,"ERROR"))</f>
        <v>0.20666854880396013</v>
      </c>
      <c r="AE1094" s="93">
        <f>IF('Net zero activities &amp; levers'!$C$14="Off",('Activity data'!AX18*EF!$H31)*kgtoGg,IF('Net zero activities &amp; levers'!$C$14="On",('Net zero Activity data'!AX18*EF!$H31)*kgtoGg,"ERROR"))</f>
        <v>0.20414403162830727</v>
      </c>
      <c r="AF1094" s="93">
        <f>IF('Net zero activities &amp; levers'!$C$14="Off",('Activity data'!AY18*EF!$H31)*kgtoGg,IF('Net zero activities &amp; levers'!$C$14="On",('Net zero Activity data'!AY18*EF!$H31)*kgtoGg,"ERROR"))</f>
        <v>0.20129668848496379</v>
      </c>
      <c r="AG1094" s="93">
        <f>IF('Net zero activities &amp; levers'!$C$14="Off",('Activity data'!AZ18*EF!$H31)*kgtoGg,IF('Net zero activities &amp; levers'!$C$14="On",('Net zero Activity data'!AZ18*EF!$H31)*kgtoGg,"ERROR"))</f>
        <v>0.19813745756307569</v>
      </c>
      <c r="AH1094" s="93">
        <f>IF('Net zero activities &amp; levers'!$C$14="Off",('Activity data'!BA18*EF!$H31)*kgtoGg,IF('Net zero activities &amp; levers'!$C$14="On",('Net zero Activity data'!BA18*EF!$H31)*kgtoGg,"ERROR"))</f>
        <v>0.19467818711687174</v>
      </c>
      <c r="AI1094" s="93">
        <f>IF('Net zero activities &amp; levers'!$C$14="Off",('Activity data'!BB18*EF!$H31)*kgtoGg,IF('Net zero activities &amp; levers'!$C$14="On",('Net zero Activity data'!BB18*EF!$H31)*kgtoGg,"ERROR"))</f>
        <v>0.19093217297290849</v>
      </c>
      <c r="AJ1094" s="93">
        <f>IF('Net zero activities &amp; levers'!$C$14="Off",('Activity data'!BC18*EF!$H31)*kgtoGg,IF('Net zero activities &amp; levers'!$C$14="On",('Net zero Activity data'!BC18*EF!$H31)*kgtoGg,"ERROR"))</f>
        <v>-1.7791496059294212E-2</v>
      </c>
      <c r="AK1094" s="93">
        <f>IF('Net zero activities &amp; levers'!$C$14="Off",('Activity data'!BD18*EF!$H31)*kgtoGg,IF('Net zero activities &amp; levers'!$C$14="On",('Net zero Activity data'!BD18*EF!$H31)*kgtoGg,"ERROR"))</f>
        <v>-1.759888687241214E-2</v>
      </c>
      <c r="AL1094" s="93">
        <f>IF('Net zero activities &amp; levers'!$C$14="Off",('Activity data'!BE18*EF!$H31)*kgtoGg,IF('Net zero activities &amp; levers'!$C$14="On",('Net zero Activity data'!BE18*EF!$H31)*kgtoGg,"ERROR"))</f>
        <v>-1.7405595284034153E-2</v>
      </c>
      <c r="AM1094" s="93">
        <f>IF('Net zero activities &amp; levers'!$C$14="Off",('Activity data'!BF18*EF!$H31)*kgtoGg,IF('Net zero activities &amp; levers'!$C$14="On",('Net zero Activity data'!BF18*EF!$H31)*kgtoGg,"ERROR"))</f>
        <v>-1.7211821824736444E-2</v>
      </c>
      <c r="AN1094" s="93">
        <f>IF('Net zero activities &amp; levers'!$C$14="Off",('Activity data'!BG18*EF!$H31)*kgtoGg,IF('Net zero activities &amp; levers'!$C$14="On",('Net zero Activity data'!BG18*EF!$H31)*kgtoGg,"ERROR"))</f>
        <v>-1.7017788119497636E-2</v>
      </c>
      <c r="AO1094" s="93">
        <f>IF('Net zero activities &amp; levers'!$C$14="Off",('Activity data'!BH18*EF!$H31)*kgtoGg,IF('Net zero activities &amp; levers'!$C$14="On",('Net zero Activity data'!BH18*EF!$H31)*kgtoGg,"ERROR"))</f>
        <v>-1.6822979822456646E-2</v>
      </c>
      <c r="AP1094" s="93">
        <f>IF('Net zero activities &amp; levers'!$C$14="Off",('Activity data'!BI18*EF!$H31)*kgtoGg,IF('Net zero activities &amp; levers'!$C$14="On",('Net zero Activity data'!BI18*EF!$H31)*kgtoGg,"ERROR"))</f>
        <v>-1.6627093274633003E-2</v>
      </c>
      <c r="AQ1094" s="93">
        <f>IF('Net zero activities &amp; levers'!$C$14="Off",('Activity data'!BJ18*EF!$H31)*kgtoGg,IF('Net zero activities &amp; levers'!$C$14="On",('Net zero Activity data'!BJ18*EF!$H31)*kgtoGg,"ERROR"))</f>
        <v>-1.6430147398730621E-2</v>
      </c>
      <c r="AR1094" s="93">
        <f>IF('Net zero activities &amp; levers'!$C$14="Off",('Activity data'!BK18*EF!$H31)*kgtoGg,IF('Net zero activities &amp; levers'!$C$14="On",('Net zero Activity data'!BK18*EF!$H31)*kgtoGg,"ERROR"))</f>
        <v>-1.6231815822063071E-2</v>
      </c>
      <c r="AS1094" s="93">
        <f>IF('Net zero activities &amp; levers'!$C$14="Off",('Activity data'!BL18*EF!$H31)*kgtoGg,IF('Net zero activities &amp; levers'!$C$14="On",('Net zero Activity data'!BL18*EF!$H31)*kgtoGg,"ERROR"))</f>
        <v>-1.6031759974093191E-2</v>
      </c>
      <c r="AT1094" s="93">
        <f>IF('Net zero activities &amp; levers'!$C$14="Off",('Activity data'!BM18*EF!$H31)*kgtoGg,IF('Net zero activities &amp; levers'!$C$14="On",('Net zero Activity data'!BM18*EF!$H31)*kgtoGg,"ERROR"))</f>
        <v>-1.5830036634225372E-2</v>
      </c>
      <c r="AU1094" s="93">
        <f>IF('Net zero activities &amp; levers'!$C$14="Off",('Activity data'!BN18*EF!$H31)*kgtoGg,IF('Net zero activities &amp; levers'!$C$14="On",('Net zero Activity data'!BN18*EF!$H31)*kgtoGg,"ERROR"))</f>
        <v>-1.5626813663016086E-2</v>
      </c>
      <c r="AV1094" s="93">
        <f>IF('Net zero activities &amp; levers'!$C$14="Off",('Activity data'!BO18*EF!$H31)*kgtoGg,IF('Net zero activities &amp; levers'!$C$14="On",('Net zero Activity data'!BO18*EF!$H31)*kgtoGg,"ERROR"))</f>
        <v>-1.5422234646118577E-2</v>
      </c>
      <c r="AW1094" s="93">
        <f>IF('Net zero activities &amp; levers'!$C$14="Off",('Activity data'!BP18*EF!$H31)*kgtoGg,IF('Net zero activities &amp; levers'!$C$14="On",('Net zero Activity data'!BP18*EF!$H31)*kgtoGg,"ERROR"))</f>
        <v>-1.5216016354188486E-2</v>
      </c>
      <c r="AY1094" s="79"/>
    </row>
    <row r="1095" spans="1:51" x14ac:dyDescent="0.25">
      <c r="A1095" s="95" t="str">
        <f t="shared" si="374"/>
        <v>CM Poultry MMCH4</v>
      </c>
      <c r="B1095" s="95" t="s">
        <v>1322</v>
      </c>
      <c r="C1095" s="95" t="s">
        <v>1231</v>
      </c>
      <c r="D1095" t="s">
        <v>15</v>
      </c>
      <c r="E1095" t="s">
        <v>22</v>
      </c>
      <c r="F1095" t="s">
        <v>28</v>
      </c>
      <c r="G1095" t="s">
        <v>131</v>
      </c>
      <c r="H1095" t="s">
        <v>1227</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0.59052015237226141</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0.60475451589519713</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0.62068986953889782</v>
      </c>
      <c r="S1095" s="93">
        <f>IF('Net zero activities &amp; levers'!$C$14="Off",('Activity data'!AL19*EF!$H32)*kgtoGg,IF('Net zero activities &amp; levers'!$C$14="On",('Net zero Activity data'!AL19*EF!$H32)*kgtoGg,"ERROR"))</f>
        <v>0.59622101179856346</v>
      </c>
      <c r="T1095" s="93">
        <f>IF('Net zero activities &amp; levers'!$C$14="Off",('Activity data'!AM19*EF!$H32)*kgtoGg,IF('Net zero activities &amp; levers'!$C$14="On",('Net zero Activity data'!AM19*EF!$H32)*kgtoGg,"ERROR"))</f>
        <v>0.61809135680643945</v>
      </c>
      <c r="U1095" s="93">
        <f>IF('Net zero activities &amp; levers'!$C$14="Off",('Activity data'!AN19*EF!$H32)*kgtoGg,IF('Net zero activities &amp; levers'!$C$14="On",('Net zero Activity data'!AN19*EF!$H32)*kgtoGg,"ERROR"))</f>
        <v>1.373668837271812</v>
      </c>
      <c r="V1095" s="93">
        <f>IF('Net zero activities &amp; levers'!$C$14="Off",('Activity data'!AO19*EF!$H32)*kgtoGg,IF('Net zero activities &amp; levers'!$C$14="On",('Net zero Activity data'!AO19*EF!$H32)*kgtoGg,"ERROR"))</f>
        <v>1.4038681554321815</v>
      </c>
      <c r="W1095" s="93">
        <f>IF('Net zero activities &amp; levers'!$C$14="Off",('Activity data'!AP19*EF!$H32)*kgtoGg,IF('Net zero activities &amp; levers'!$C$14="On",('Net zero Activity data'!AP19*EF!$H32)*kgtoGg,"ERROR"))</f>
        <v>1.4328290155562637</v>
      </c>
      <c r="X1095" s="93">
        <f>IF('Net zero activities &amp; levers'!$C$14="Off",('Activity data'!AQ19*EF!$H32)*kgtoGg,IF('Net zero activities &amp; levers'!$C$14="On",('Net zero Activity data'!AQ19*EF!$H32)*kgtoGg,"ERROR"))</f>
        <v>1.460295648957926</v>
      </c>
      <c r="Y1095" s="93">
        <f>IF('Net zero activities &amp; levers'!$C$14="Off",('Activity data'!AR19*EF!$H32)*kgtoGg,IF('Net zero activities &amp; levers'!$C$14="On",('Net zero Activity data'!AR19*EF!$H32)*kgtoGg,"ERROR"))</f>
        <v>1.4859212180508141</v>
      </c>
      <c r="Z1095" s="93">
        <f>IF('Net zero activities &amp; levers'!$C$14="Off",('Activity data'!AS19*EF!$H32)*kgtoGg,IF('Net zero activities &amp; levers'!$C$14="On",('Net zero Activity data'!AS19*EF!$H32)*kgtoGg,"ERROR"))</f>
        <v>1.5095937275054243</v>
      </c>
      <c r="AA1095" s="93">
        <f>IF('Net zero activities &amp; levers'!$C$14="Off",('Activity data'!AT19*EF!$H32)*kgtoGg,IF('Net zero activities &amp; levers'!$C$14="On",('Net zero Activity data'!AT19*EF!$H32)*kgtoGg,"ERROR"))</f>
        <v>1.5311992010813591</v>
      </c>
      <c r="AB1095" s="93">
        <f>IF('Net zero activities &amp; levers'!$C$14="Off",('Activity data'!AU19*EF!$H32)*kgtoGg,IF('Net zero activities &amp; levers'!$C$14="On",('Net zero Activity data'!AU19*EF!$H32)*kgtoGg,"ERROR"))</f>
        <v>1.5506393195302268</v>
      </c>
      <c r="AC1095" s="93">
        <f>IF('Net zero activities &amp; levers'!$C$14="Off",('Activity data'!AV19*EF!$H32)*kgtoGg,IF('Net zero activities &amp; levers'!$C$14="On",('Net zero Activity data'!AV19*EF!$H32)*kgtoGg,"ERROR"))</f>
        <v>1.5678278043895033</v>
      </c>
      <c r="AD1095" s="93">
        <f>IF('Net zero activities &amp; levers'!$C$14="Off",('Activity data'!AW19*EF!$H32)*kgtoGg,IF('Net zero activities &amp; levers'!$C$14="On",('Net zero Activity data'!AW19*EF!$H32)*kgtoGg,"ERROR"))</f>
        <v>1.5826815313976288</v>
      </c>
      <c r="AE1095" s="93">
        <f>IF('Net zero activities &amp; levers'!$C$14="Off",('Activity data'!AX19*EF!$H32)*kgtoGg,IF('Net zero activities &amp; levers'!$C$14="On",('Net zero Activity data'!AX19*EF!$H32)*kgtoGg,"ERROR"))</f>
        <v>1.5951352940969563</v>
      </c>
      <c r="AF1095" s="93">
        <f>IF('Net zero activities &amp; levers'!$C$14="Off",('Activity data'!AY19*EF!$H32)*kgtoGg,IF('Net zero activities &amp; levers'!$C$14="On",('Net zero Activity data'!AY19*EF!$H32)*kgtoGg,"ERROR"))</f>
        <v>1.6051302673357504</v>
      </c>
      <c r="AG1095" s="93">
        <f>IF('Net zero activities &amp; levers'!$C$14="Off",('Activity data'!AZ19*EF!$H32)*kgtoGg,IF('Net zero activities &amp; levers'!$C$14="On",('Net zero Activity data'!AZ19*EF!$H32)*kgtoGg,"ERROR"))</f>
        <v>1.6126141322836316</v>
      </c>
      <c r="AH1095" s="93">
        <f>IF('Net zero activities &amp; levers'!$C$14="Off",('Activity data'!BA19*EF!$H32)*kgtoGg,IF('Net zero activities &amp; levers'!$C$14="On",('Net zero Activity data'!BA19*EF!$H32)*kgtoGg,"ERROR"))</f>
        <v>1.6175553910519496</v>
      </c>
      <c r="AI1095" s="93">
        <f>IF('Net zero activities &amp; levers'!$C$14="Off",('Activity data'!BB19*EF!$H32)*kgtoGg,IF('Net zero activities &amp; levers'!$C$14="On",('Net zero Activity data'!BB19*EF!$H32)*kgtoGg,"ERROR"))</f>
        <v>1.6199377421840562</v>
      </c>
      <c r="AJ1095" s="93">
        <f>IF('Net zero activities &amp; levers'!$C$14="Off",('Activity data'!BC19*EF!$H32)*kgtoGg,IF('Net zero activities &amp; levers'!$C$14="On",('Net zero Activity data'!BC19*EF!$H32)*kgtoGg,"ERROR"))</f>
        <v>0.21118052827101272</v>
      </c>
      <c r="AK1095" s="93">
        <f>IF('Net zero activities &amp; levers'!$C$14="Off",('Activity data'!BD19*EF!$H32)*kgtoGg,IF('Net zero activities &amp; levers'!$C$14="On",('Net zero Activity data'!BD19*EF!$H32)*kgtoGg,"ERROR"))</f>
        <v>0.21273045495969528</v>
      </c>
      <c r="AL1095" s="93">
        <f>IF('Net zero activities &amp; levers'!$C$14="Off",('Activity data'!BE19*EF!$H32)*kgtoGg,IF('Net zero activities &amp; levers'!$C$14="On",('Net zero Activity data'!BE19*EF!$H32)*kgtoGg,"ERROR"))</f>
        <v>0.21424196096407097</v>
      </c>
      <c r="AM1095" s="93">
        <f>IF('Net zero activities &amp; levers'!$C$14="Off",('Activity data'!BF19*EF!$H32)*kgtoGg,IF('Net zero activities &amp; levers'!$C$14="On",('Net zero Activity data'!BF19*EF!$H32)*kgtoGg,"ERROR"))</f>
        <v>0.21571732327397183</v>
      </c>
      <c r="AN1095" s="93">
        <f>IF('Net zero activities &amp; levers'!$C$14="Off",('Activity data'!BG19*EF!$H32)*kgtoGg,IF('Net zero activities &amp; levers'!$C$14="On",('Net zero Activity data'!BG19*EF!$H32)*kgtoGg,"ERROR"))</f>
        <v>0.21715916671304386</v>
      </c>
      <c r="AO1095" s="93">
        <f>IF('Net zero activities &amp; levers'!$C$14="Off",('Activity data'!BH19*EF!$H32)*kgtoGg,IF('Net zero activities &amp; levers'!$C$14="On",('Net zero Activity data'!BH19*EF!$H32)*kgtoGg,"ERROR"))</f>
        <v>0.2185615794759829</v>
      </c>
      <c r="AP1095" s="93">
        <f>IF('Net zero activities &amp; levers'!$C$14="Off",('Activity data'!BI19*EF!$H32)*kgtoGg,IF('Net zero activities &amp; levers'!$C$14="On",('Net zero Activity data'!BI19*EF!$H32)*kgtoGg,"ERROR"))</f>
        <v>0.21992066841646388</v>
      </c>
      <c r="AQ1095" s="93">
        <f>IF('Net zero activities &amp; levers'!$C$14="Off",('Activity data'!BJ19*EF!$H32)*kgtoGg,IF('Net zero activities &amp; levers'!$C$14="On",('Net zero Activity data'!BJ19*EF!$H32)*kgtoGg,"ERROR"))</f>
        <v>0.22123614681909931</v>
      </c>
      <c r="AR1095" s="93">
        <f>IF('Net zero activities &amp; levers'!$C$14="Off",('Activity data'!BK19*EF!$H32)*kgtoGg,IF('Net zero activities &amp; levers'!$C$14="On",('Net zero Activity data'!BK19*EF!$H32)*kgtoGg,"ERROR"))</f>
        <v>0.22250337724956543</v>
      </c>
      <c r="AS1095" s="93">
        <f>IF('Net zero activities &amp; levers'!$C$14="Off",('Activity data'!BL19*EF!$H32)*kgtoGg,IF('Net zero activities &amp; levers'!$C$14="On",('Net zero Activity data'!BL19*EF!$H32)*kgtoGg,"ERROR"))</f>
        <v>0.22371719705711082</v>
      </c>
      <c r="AT1095" s="93">
        <f>IF('Net zero activities &amp; levers'!$C$14="Off",('Activity data'!BM19*EF!$H32)*kgtoGg,IF('Net zero activities &amp; levers'!$C$14="On",('Net zero Activity data'!BM19*EF!$H32)*kgtoGg,"ERROR"))</f>
        <v>0.22487715475079265</v>
      </c>
      <c r="AU1095" s="93">
        <f>IF('Net zero activities &amp; levers'!$C$14="Off",('Activity data'!BN19*EF!$H32)*kgtoGg,IF('Net zero activities &amp; levers'!$C$14="On",('Net zero Activity data'!BN19*EF!$H32)*kgtoGg,"ERROR"))</f>
        <v>0.22598422868600801</v>
      </c>
      <c r="AV1095" s="93">
        <f>IF('Net zero activities &amp; levers'!$C$14="Off",('Activity data'!BO19*EF!$H32)*kgtoGg,IF('Net zero activities &amp; levers'!$C$14="On",('Net zero Activity data'!BO19*EF!$H32)*kgtoGg,"ERROR"))</f>
        <v>0.22703914928135227</v>
      </c>
      <c r="AW1095" s="93">
        <f>IF('Net zero activities &amp; levers'!$C$14="Off",('Activity data'!BP19*EF!$H32)*kgtoGg,IF('Net zero activities &amp; levers'!$C$14="On",('Net zero Activity data'!BP19*EF!$H32)*kgtoGg,"ERROR"))</f>
        <v>0.22803688221361912</v>
      </c>
      <c r="AY1095" s="79"/>
    </row>
    <row r="1096" spans="1:51" x14ac:dyDescent="0.25">
      <c r="A1096" s="95" t="str">
        <f t="shared" si="374"/>
        <v>CM Poultry MMCH4</v>
      </c>
      <c r="B1096" s="95" t="s">
        <v>1322</v>
      </c>
      <c r="C1096" s="95" t="s">
        <v>1231</v>
      </c>
      <c r="D1096" t="s">
        <v>15</v>
      </c>
      <c r="E1096" t="s">
        <v>22</v>
      </c>
      <c r="F1096" t="s">
        <v>28</v>
      </c>
      <c r="G1096" t="s">
        <v>132</v>
      </c>
      <c r="H1096" t="s">
        <v>1227</v>
      </c>
      <c r="I1096" t="s">
        <v>121</v>
      </c>
      <c r="J1096" t="s">
        <v>286</v>
      </c>
      <c r="K1096" s="93">
        <f>IF('Net zero activities &amp; levers'!$C$14="Off",('Activity data'!AD20*EF!$H33)*kgtoGg,IF('Net zero activities &amp; levers'!$C$14="On",('Net zero Activity data'!AD20*EF!$H33)*kgtoGg,"ERROR"))</f>
        <v>2.2100196981344116</v>
      </c>
      <c r="L1096" s="93">
        <f>IF('Net zero activities &amp; levers'!$C$14="Off",('Activity data'!AE20*EF!$H33)*kgtoGg,IF('Net zero activities &amp; levers'!$C$14="On",('Net zero Activity data'!AE20*EF!$H33)*kgtoGg,"ERROR"))</f>
        <v>2.2391217074451495</v>
      </c>
      <c r="M1096" s="93">
        <f>IF('Net zero activities &amp; levers'!$C$14="Off",('Activity data'!AF20*EF!$H33)*kgtoGg,IF('Net zero activities &amp; levers'!$C$14="On",('Net zero Activity data'!AF20*EF!$H33)*kgtoGg,"ERROR"))</f>
        <v>2.2858678822724832</v>
      </c>
      <c r="N1096" s="93">
        <f>IF('Net zero activities &amp; levers'!$C$14="Off",('Activity data'!AG20*EF!$H33)*kgtoGg,IF('Net zero activities &amp; levers'!$C$14="On",('Net zero Activity data'!AG20*EF!$H33)*kgtoGg,"ERROR"))</f>
        <v>2.29929007480786</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2.2612642885898926</v>
      </c>
      <c r="Q1096" s="93">
        <f>IF('Net zero activities &amp; levers'!$C$14="Off",('Activity data'!AJ20*EF!$H33)*kgtoGg,IF('Net zero activities &amp; levers'!$C$14="On",('Net zero Activity data'!AJ20*EF!$H33)*kgtoGg,"ERROR"))</f>
        <v>2.2487211059946213</v>
      </c>
      <c r="R1096" s="93">
        <f>IF('Net zero activities &amp; levers'!$C$14="Off",('Activity data'!AK20*EF!$H33)*kgtoGg,IF('Net zero activities &amp; levers'!$C$14="On",('Net zero Activity data'!AK20*EF!$H33)*kgtoGg,"ERROR"))</f>
        <v>2.2390235702415184</v>
      </c>
      <c r="S1096" s="93">
        <f>IF('Net zero activities &amp; levers'!$C$14="Off",('Activity data'!AL20*EF!$H33)*kgtoGg,IF('Net zero activities &amp; levers'!$C$14="On",('Net zero Activity data'!AL20*EF!$H33)*kgtoGg,"ERROR"))</f>
        <v>1.9526804721775937</v>
      </c>
      <c r="T1096" s="93">
        <f>IF('Net zero activities &amp; levers'!$C$14="Off",('Activity data'!AM20*EF!$H33)*kgtoGg,IF('Net zero activities &amp; levers'!$C$14="On",('Net zero Activity data'!AM20*EF!$H33)*kgtoGg,"ERROR"))</f>
        <v>2.100459804618418</v>
      </c>
      <c r="U1096" s="93">
        <f>IF('Net zero activities &amp; levers'!$C$14="Off",('Activity data'!AN20*EF!$H33)*kgtoGg,IF('Net zero activities &amp; levers'!$C$14="On",('Net zero Activity data'!AN20*EF!$H33)*kgtoGg,"ERROR"))</f>
        <v>9.1333253803948828</v>
      </c>
      <c r="V1096" s="93">
        <f>IF('Net zero activities &amp; levers'!$C$14="Off",('Activity data'!AO20*EF!$H33)*kgtoGg,IF('Net zero activities &amp; levers'!$C$14="On",('Net zero Activity data'!AO20*EF!$H33)*kgtoGg,"ERROR"))</f>
        <v>9.2970707439361586</v>
      </c>
      <c r="W1096" s="93">
        <f>IF('Net zero activities &amp; levers'!$C$14="Off",('Activity data'!AP20*EF!$H33)*kgtoGg,IF('Net zero activities &amp; levers'!$C$14="On",('Net zero Activity data'!AP20*EF!$H33)*kgtoGg,"ERROR"))</f>
        <v>9.4425409001496003</v>
      </c>
      <c r="X1096" s="93">
        <f>IF('Net zero activities &amp; levers'!$C$14="Off",('Activity data'!AQ20*EF!$H33)*kgtoGg,IF('Net zero activities &amp; levers'!$C$14="On",('Net zero Activity data'!AQ20*EF!$H33)*kgtoGg,"ERROR"))</f>
        <v>9.5703569928358032</v>
      </c>
      <c r="Y1096" s="93">
        <f>IF('Net zero activities &amp; levers'!$C$14="Off",('Activity data'!AR20*EF!$H33)*kgtoGg,IF('Net zero activities &amp; levers'!$C$14="On",('Net zero Activity data'!AR20*EF!$H33)*kgtoGg,"ERROR"))</f>
        <v>9.6822560637136306</v>
      </c>
      <c r="Z1096" s="93">
        <f>IF('Net zero activities &amp; levers'!$C$14="Off",('Activity data'!AS20*EF!$H33)*kgtoGg,IF('Net zero activities &amp; levers'!$C$14="On",('Net zero Activity data'!AS20*EF!$H33)*kgtoGg,"ERROR"))</f>
        <v>9.7773987663862059</v>
      </c>
      <c r="AA1096" s="93">
        <f>IF('Net zero activities &amp; levers'!$C$14="Off",('Activity data'!AT20*EF!$H33)*kgtoGg,IF('Net zero activities &amp; levers'!$C$14="On",('Net zero Activity data'!AT20*EF!$H33)*kgtoGg,"ERROR"))</f>
        <v>9.8551407097026438</v>
      </c>
      <c r="AB1096" s="93">
        <f>IF('Net zero activities &amp; levers'!$C$14="Off",('Activity data'!AU20*EF!$H33)*kgtoGg,IF('Net zero activities &amp; levers'!$C$14="On",('Net zero Activity data'!AU20*EF!$H33)*kgtoGg,"ERROR"))</f>
        <v>9.9148485168231666</v>
      </c>
      <c r="AC1096" s="93">
        <f>IF('Net zero activities &amp; levers'!$C$14="Off",('Activity data'!AV20*EF!$H33)*kgtoGg,IF('Net zero activities &amp; levers'!$C$14="On",('Net zero Activity data'!AV20*EF!$H33)*kgtoGg,"ERROR"))</f>
        <v>9.9559572971640158</v>
      </c>
      <c r="AD1096" s="93">
        <f>IF('Net zero activities &amp; levers'!$C$14="Off",('Activity data'!AW20*EF!$H33)*kgtoGg,IF('Net zero activities &amp; levers'!$C$14="On",('Net zero Activity data'!AW20*EF!$H33)*kgtoGg,"ERROR"))</f>
        <v>9.9780818543236887</v>
      </c>
      <c r="AE1096" s="93">
        <f>IF('Net zero activities &amp; levers'!$C$14="Off",('Activity data'!AX20*EF!$H33)*kgtoGg,IF('Net zero activities &amp; levers'!$C$14="On",('Net zero Activity data'!AX20*EF!$H33)*kgtoGg,"ERROR"))</f>
        <v>9.9808650627783955</v>
      </c>
      <c r="AF1096" s="93">
        <f>IF('Net zero activities &amp; levers'!$C$14="Off",('Activity data'!AY20*EF!$H33)*kgtoGg,IF('Net zero activities &amp; levers'!$C$14="On",('Net zero Activity data'!AY20*EF!$H33)*kgtoGg,"ERROR"))</f>
        <v>9.9641144926279814</v>
      </c>
      <c r="AG1096" s="93">
        <f>IF('Net zero activities &amp; levers'!$C$14="Off",('Activity data'!AZ20*EF!$H33)*kgtoGg,IF('Net zero activities &amp; levers'!$C$14="On",('Net zero Activity data'!AZ20*EF!$H33)*kgtoGg,"ERROR"))</f>
        <v>9.9278067613283412</v>
      </c>
      <c r="AH1096" s="93">
        <f>IF('Net zero activities &amp; levers'!$C$14="Off",('Activity data'!BA20*EF!$H33)*kgtoGg,IF('Net zero activities &amp; levers'!$C$14="On",('Net zero Activity data'!BA20*EF!$H33)*kgtoGg,"ERROR"))</f>
        <v>9.8719390395073479</v>
      </c>
      <c r="AI1096" s="93">
        <f>IF('Net zero activities &amp; levers'!$C$14="Off",('Activity data'!BB20*EF!$H33)*kgtoGg,IF('Net zero activities &amp; levers'!$C$14="On",('Net zero Activity data'!BB20*EF!$H33)*kgtoGg,"ERROR"))</f>
        <v>9.7965950136724871</v>
      </c>
      <c r="AJ1096" s="93">
        <f>IF('Net zero activities &amp; levers'!$C$14="Off",('Activity data'!BC20*EF!$H33)*kgtoGg,IF('Net zero activities &amp; levers'!$C$14="On",('Net zero Activity data'!BC20*EF!$H33)*kgtoGg,"ERROR"))</f>
        <v>-2.0919754098137773</v>
      </c>
      <c r="AK1096" s="93">
        <f>IF('Net zero activities &amp; levers'!$C$14="Off",('Activity data'!BD20*EF!$H33)*kgtoGg,IF('Net zero activities &amp; levers'!$C$14="On",('Net zero Activity data'!BD20*EF!$H33)*kgtoGg,"ERROR"))</f>
        <v>-2.0949358900923882</v>
      </c>
      <c r="AL1096" s="93">
        <f>IF('Net zero activities &amp; levers'!$C$14="Off",('Activity data'!BE20*EF!$H33)*kgtoGg,IF('Net zero activities &amp; levers'!$C$14="On",('Net zero Activity data'!BE20*EF!$H33)*kgtoGg,"ERROR"))</f>
        <v>-2.0976165546607759</v>
      </c>
      <c r="AM1096" s="93">
        <f>IF('Net zero activities &amp; levers'!$C$14="Off",('Activity data'!BF20*EF!$H33)*kgtoGg,IF('Net zero activities &amp; levers'!$C$14="On",('Net zero Activity data'!BF20*EF!$H33)*kgtoGg,"ERROR"))</f>
        <v>-2.1000401992552491</v>
      </c>
      <c r="AN1096" s="93">
        <f>IF('Net zero activities &amp; levers'!$C$14="Off",('Activity data'!BG20*EF!$H33)*kgtoGg,IF('Net zero activities &amp; levers'!$C$14="On",('Net zero Activity data'!BG20*EF!$H33)*kgtoGg,"ERROR"))</f>
        <v>-2.1022328856249954</v>
      </c>
      <c r="AO1096" s="93">
        <f>IF('Net zero activities &amp; levers'!$C$14="Off",('Activity data'!BH20*EF!$H33)*kgtoGg,IF('Net zero activities &amp; levers'!$C$14="On",('Net zero Activity data'!BH20*EF!$H33)*kgtoGg,"ERROR"))</f>
        <v>-2.1041334183696132</v>
      </c>
      <c r="AP1096" s="93">
        <f>IF('Net zero activities &amp; levers'!$C$14="Off",('Activity data'!BI20*EF!$H33)*kgtoGg,IF('Net zero activities &amp; levers'!$C$14="On",('Net zero Activity data'!BI20*EF!$H33)*kgtoGg,"ERROR"))</f>
        <v>-2.1057026664304765</v>
      </c>
      <c r="AQ1096" s="93">
        <f>IF('Net zero activities &amp; levers'!$C$14="Off",('Activity data'!BJ20*EF!$H33)*kgtoGg,IF('Net zero activities &amp; levers'!$C$14="On",('Net zero Activity data'!BJ20*EF!$H33)*kgtoGg,"ERROR"))</f>
        <v>-2.1069388532626809</v>
      </c>
      <c r="AR1096" s="93">
        <f>IF('Net zero activities &amp; levers'!$C$14="Off",('Activity data'!BK20*EF!$H33)*kgtoGg,IF('Net zero activities &amp; levers'!$C$14="On",('Net zero Activity data'!BK20*EF!$H33)*kgtoGg,"ERROR"))</f>
        <v>-2.107796866715046</v>
      </c>
      <c r="AS1096" s="93">
        <f>IF('Net zero activities &amp; levers'!$C$14="Off",('Activity data'!BL20*EF!$H33)*kgtoGg,IF('Net zero activities &amp; levers'!$C$14="On",('Net zero Activity data'!BL20*EF!$H33)*kgtoGg,"ERROR"))</f>
        <v>-2.1082275012492091</v>
      </c>
      <c r="AT1096" s="93">
        <f>IF('Net zero activities &amp; levers'!$C$14="Off",('Activity data'!BM20*EF!$H33)*kgtoGg,IF('Net zero activities &amp; levers'!$C$14="On",('Net zero Activity data'!BM20*EF!$H33)*kgtoGg,"ERROR"))</f>
        <v>-2.1082293468263522</v>
      </c>
      <c r="AU1096" s="93">
        <f>IF('Net zero activities &amp; levers'!$C$14="Off",('Activity data'!BN20*EF!$H33)*kgtoGg,IF('Net zero activities &amp; levers'!$C$14="On",('Net zero Activity data'!BN20*EF!$H33)*kgtoGg,"ERROR"))</f>
        <v>-2.1078151792766633</v>
      </c>
      <c r="AV1096" s="93">
        <f>IF('Net zero activities &amp; levers'!$C$14="Off",('Activity data'!BO20*EF!$H33)*kgtoGg,IF('Net zero activities &amp; levers'!$C$14="On",('Net zero Activity data'!BO20*EF!$H33)*kgtoGg,"ERROR"))</f>
        <v>-2.1069951517588699</v>
      </c>
      <c r="AW1096" s="93">
        <f>IF('Net zero activities &amp; levers'!$C$14="Off",('Activity data'!BP20*EF!$H33)*kgtoGg,IF('Net zero activities &amp; levers'!$C$14="On",('Net zero Activity data'!BP20*EF!$H33)*kgtoGg,"ERROR"))</f>
        <v>-2.1057231360288351</v>
      </c>
      <c r="AY1096" s="79"/>
    </row>
    <row r="1097" spans="1:51" x14ac:dyDescent="0.25">
      <c r="A1097" s="95" t="str">
        <f t="shared" si="374"/>
        <v>CM Poultry MMCH4</v>
      </c>
      <c r="B1097" s="95" t="s">
        <v>1322</v>
      </c>
      <c r="C1097" s="95" t="s">
        <v>1231</v>
      </c>
      <c r="D1097" t="s">
        <v>15</v>
      </c>
      <c r="E1097" t="s">
        <v>22</v>
      </c>
      <c r="F1097" t="s">
        <v>28</v>
      </c>
      <c r="G1097" t="s">
        <v>134</v>
      </c>
      <c r="H1097" t="s">
        <v>1227</v>
      </c>
      <c r="I1097" t="s">
        <v>121</v>
      </c>
      <c r="J1097" t="s">
        <v>286</v>
      </c>
      <c r="K1097" s="93">
        <f>IF('Net zero activities &amp; levers'!$C$14="Off",('Activity data'!AD21*EF!$H34)*kgtoGg,IF('Net zero activities &amp; levers'!$C$14="On",('Net zero Activity data'!AD21*EF!$H34)*kgtoGg,"ERROR"))</f>
        <v>2.3161053423012629E-2</v>
      </c>
      <c r="L1097" s="93">
        <f>IF('Net zero activities &amp; levers'!$C$14="Off",('Activity data'!AE21*EF!$H34)*kgtoGg,IF('Net zero activities &amp; levers'!$C$14="On",('Net zero Activity data'!AE21*EF!$H34)*kgtoGg,"ERROR"))</f>
        <v>2.3631963555267661E-2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2.5198104828966571E-2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2.5862077897454101E-2</v>
      </c>
      <c r="S1097" s="93">
        <f>IF('Net zero activities &amp; levers'!$C$14="Off",('Activity data'!AL21*EF!$H34)*kgtoGg,IF('Net zero activities &amp; levers'!$C$14="On",('Net zero Activity data'!AL21*EF!$H34)*kgtoGg,"ERROR"))</f>
        <v>2.4842542158273501E-2</v>
      </c>
      <c r="T1097" s="93">
        <f>IF('Net zero activities &amp; levers'!$C$14="Off",('Activity data'!AM21*EF!$H34)*kgtoGg,IF('Net zero activities &amp; levers'!$C$14="On",('Net zero Activity data'!AM21*EF!$H34)*kgtoGg,"ERROR"))</f>
        <v>2.5753806533601667E-2</v>
      </c>
      <c r="U1097" s="93">
        <f>IF('Net zero activities &amp; levers'!$C$14="Off",('Activity data'!AN21*EF!$H34)*kgtoGg,IF('Net zero activities &amp; levers'!$C$14="On",('Net zero Activity data'!AN21*EF!$H34)*kgtoGg,"ERROR"))</f>
        <v>5.7236201552992215E-2</v>
      </c>
      <c r="V1097" s="93">
        <f>IF('Net zero activities &amp; levers'!$C$14="Off",('Activity data'!AO21*EF!$H34)*kgtoGg,IF('Net zero activities &amp; levers'!$C$14="On",('Net zero Activity data'!AO21*EF!$H34)*kgtoGg,"ERROR"))</f>
        <v>5.8494506476340941E-2</v>
      </c>
      <c r="W1097" s="93">
        <f>IF('Net zero activities &amp; levers'!$C$14="Off",('Activity data'!AP21*EF!$H34)*kgtoGg,IF('Net zero activities &amp; levers'!$C$14="On",('Net zero Activity data'!AP21*EF!$H34)*kgtoGg,"ERROR"))</f>
        <v>5.9701208981511052E-2</v>
      </c>
      <c r="X1097" s="93">
        <f>IF('Net zero activities &amp; levers'!$C$14="Off",('Activity data'!AQ21*EF!$H34)*kgtoGg,IF('Net zero activities &amp; levers'!$C$14="On",('Net zero Activity data'!AQ21*EF!$H34)*kgtoGg,"ERROR"))</f>
        <v>6.0845652039913642E-2</v>
      </c>
      <c r="Y1097" s="93">
        <f>IF('Net zero activities &amp; levers'!$C$14="Off",('Activity data'!AR21*EF!$H34)*kgtoGg,IF('Net zero activities &amp; levers'!$C$14="On",('Net zero Activity data'!AR21*EF!$H34)*kgtoGg,"ERROR"))</f>
        <v>6.1913384085450655E-2</v>
      </c>
      <c r="Z1097" s="93">
        <f>IF('Net zero activities &amp; levers'!$C$14="Off",('Activity data'!AS21*EF!$H34)*kgtoGg,IF('Net zero activities &amp; levers'!$C$14="On",('Net zero Activity data'!AS21*EF!$H34)*kgtoGg,"ERROR"))</f>
        <v>6.2899738646059397E-2</v>
      </c>
      <c r="AA1097" s="93">
        <f>IF('Net zero activities &amp; levers'!$C$14="Off",('Activity data'!AT21*EF!$H34)*kgtoGg,IF('Net zero activities &amp; levers'!$C$14="On",('Net zero Activity data'!AT21*EF!$H34)*kgtoGg,"ERROR"))</f>
        <v>6.3799966711723347E-2</v>
      </c>
      <c r="AB1097" s="93">
        <f>IF('Net zero activities &amp; levers'!$C$14="Off",('Activity data'!AU21*EF!$H34)*kgtoGg,IF('Net zero activities &amp; levers'!$C$14="On",('Net zero Activity data'!AU21*EF!$H34)*kgtoGg,"ERROR"))</f>
        <v>6.4609971647092854E-2</v>
      </c>
      <c r="AC1097" s="93">
        <f>IF('Net zero activities &amp; levers'!$C$14="Off",('Activity data'!AV21*EF!$H34)*kgtoGg,IF('Net zero activities &amp; levers'!$C$14="On",('Net zero Activity data'!AV21*EF!$H34)*kgtoGg,"ERROR"))</f>
        <v>6.5326158516229374E-2</v>
      </c>
      <c r="AD1097" s="93">
        <f>IF('Net zero activities &amp; levers'!$C$14="Off",('Activity data'!AW21*EF!$H34)*kgtoGg,IF('Net zero activities &amp; levers'!$C$14="On",('Net zero Activity data'!AW21*EF!$H34)*kgtoGg,"ERROR"))</f>
        <v>6.5945063808234589E-2</v>
      </c>
      <c r="AE1097" s="93">
        <f>IF('Net zero activities &amp; levers'!$C$14="Off",('Activity data'!AX21*EF!$H34)*kgtoGg,IF('Net zero activities &amp; levers'!$C$14="On",('Net zero Activity data'!AX21*EF!$H34)*kgtoGg,"ERROR"))</f>
        <v>6.6463970587373244E-2</v>
      </c>
      <c r="AF1097" s="93">
        <f>IF('Net zero activities &amp; levers'!$C$14="Off",('Activity data'!AY21*EF!$H34)*kgtoGg,IF('Net zero activities &amp; levers'!$C$14="On",('Net zero Activity data'!AY21*EF!$H34)*kgtoGg,"ERROR"))</f>
        <v>6.6880427805656326E-2</v>
      </c>
      <c r="AG1097" s="93">
        <f>IF('Net zero activities &amp; levers'!$C$14="Off",('Activity data'!AZ21*EF!$H34)*kgtoGg,IF('Net zero activities &amp; levers'!$C$14="On",('Net zero Activity data'!AZ21*EF!$H34)*kgtoGg,"ERROR"))</f>
        <v>6.7192255511818053E-2</v>
      </c>
      <c r="AH1097" s="93">
        <f>IF('Net zero activities &amp; levers'!$C$14="Off",('Activity data'!BA21*EF!$H34)*kgtoGg,IF('Net zero activities &amp; levers'!$C$14="On",('Net zero Activity data'!BA21*EF!$H34)*kgtoGg,"ERROR"))</f>
        <v>6.7398141293831301E-2</v>
      </c>
      <c r="AI1097" s="93">
        <f>IF('Net zero activities &amp; levers'!$C$14="Off",('Activity data'!BB21*EF!$H34)*kgtoGg,IF('Net zero activities &amp; levers'!$C$14="On",('Net zero Activity data'!BB21*EF!$H34)*kgtoGg,"ERROR"))</f>
        <v>6.7497405924335729E-2</v>
      </c>
      <c r="AJ1097" s="93">
        <f>IF('Net zero activities &amp; levers'!$C$14="Off",('Activity data'!BC21*EF!$H34)*kgtoGg,IF('Net zero activities &amp; levers'!$C$14="On",('Net zero Activity data'!BC21*EF!$H34)*kgtoGg,"ERROR"))</f>
        <v>8.7991886779588708E-3</v>
      </c>
      <c r="AK1097" s="93">
        <f>IF('Net zero activities &amp; levers'!$C$14="Off",('Activity data'!BD21*EF!$H34)*kgtoGg,IF('Net zero activities &amp; levers'!$C$14="On",('Net zero Activity data'!BD21*EF!$H34)*kgtoGg,"ERROR"))</f>
        <v>8.8637689566539793E-3</v>
      </c>
      <c r="AL1097" s="93">
        <f>IF('Net zero activities &amp; levers'!$C$14="Off",('Activity data'!BE21*EF!$H34)*kgtoGg,IF('Net zero activities &amp; levers'!$C$14="On",('Net zero Activity data'!BE21*EF!$H34)*kgtoGg,"ERROR"))</f>
        <v>8.9267483735029646E-3</v>
      </c>
      <c r="AM1097" s="93">
        <f>IF('Net zero activities &amp; levers'!$C$14="Off",('Activity data'!BF21*EF!$H34)*kgtoGg,IF('Net zero activities &amp; levers'!$C$14="On",('Net zero Activity data'!BF21*EF!$H34)*kgtoGg,"ERROR"))</f>
        <v>8.9882218030821696E-3</v>
      </c>
      <c r="AN1097" s="93">
        <f>IF('Net zero activities &amp; levers'!$C$14="Off",('Activity data'!BG21*EF!$H34)*kgtoGg,IF('Net zero activities &amp; levers'!$C$14="On",('Net zero Activity data'!BG21*EF!$H34)*kgtoGg,"ERROR"))</f>
        <v>9.0482986130435011E-3</v>
      </c>
      <c r="AO1097" s="93">
        <f>IF('Net zero activities &amp; levers'!$C$14="Off",('Activity data'!BH21*EF!$H34)*kgtoGg,IF('Net zero activities &amp; levers'!$C$14="On",('Net zero Activity data'!BH21*EF!$H34)*kgtoGg,"ERROR"))</f>
        <v>9.1067324781659627E-3</v>
      </c>
      <c r="AP1097" s="93">
        <f>IF('Net zero activities &amp; levers'!$C$14="Off",('Activity data'!BI21*EF!$H34)*kgtoGg,IF('Net zero activities &amp; levers'!$C$14="On",('Net zero Activity data'!BI21*EF!$H34)*kgtoGg,"ERROR"))</f>
        <v>9.1633611840193346E-3</v>
      </c>
      <c r="AQ1097" s="93">
        <f>IF('Net zero activities &amp; levers'!$C$14="Off",('Activity data'!BJ21*EF!$H34)*kgtoGg,IF('Net zero activities &amp; levers'!$C$14="On",('Net zero Activity data'!BJ21*EF!$H34)*kgtoGg,"ERROR"))</f>
        <v>9.2181727841291489E-3</v>
      </c>
      <c r="AR1097" s="93">
        <f>IF('Net zero activities &amp; levers'!$C$14="Off",('Activity data'!BK21*EF!$H34)*kgtoGg,IF('Net zero activities &amp; levers'!$C$14="On",('Net zero Activity data'!BK21*EF!$H34)*kgtoGg,"ERROR"))</f>
        <v>9.2709740520652353E-3</v>
      </c>
      <c r="AS1097" s="93">
        <f>IF('Net zero activities &amp; levers'!$C$14="Off",('Activity data'!BL21*EF!$H34)*kgtoGg,IF('Net zero activities &amp; levers'!$C$14="On",('Net zero Activity data'!BL21*EF!$H34)*kgtoGg,"ERROR"))</f>
        <v>9.3215498773796274E-3</v>
      </c>
      <c r="AT1097" s="93">
        <f>IF('Net zero activities &amp; levers'!$C$14="Off",('Activity data'!BM21*EF!$H34)*kgtoGg,IF('Net zero activities &amp; levers'!$C$14="On",('Net zero Activity data'!BM21*EF!$H34)*kgtoGg,"ERROR"))</f>
        <v>9.3698814479497017E-3</v>
      </c>
      <c r="AU1097" s="93">
        <f>IF('Net zero activities &amp; levers'!$C$14="Off",('Activity data'!BN21*EF!$H34)*kgtoGg,IF('Net zero activities &amp; levers'!$C$14="On",('Net zero Activity data'!BN21*EF!$H34)*kgtoGg,"ERROR"))</f>
        <v>9.4160095285836763E-3</v>
      </c>
      <c r="AV1097" s="93">
        <f>IF('Net zero activities &amp; levers'!$C$14="Off",('Activity data'!BO21*EF!$H34)*kgtoGg,IF('Net zero activities &amp; levers'!$C$14="On",('Net zero Activity data'!BO21*EF!$H34)*kgtoGg,"ERROR"))</f>
        <v>9.4599645533896878E-3</v>
      </c>
      <c r="AW1097" s="93">
        <f>IF('Net zero activities &amp; levers'!$C$14="Off",('Activity data'!BP21*EF!$H34)*kgtoGg,IF('Net zero activities &amp; levers'!$C$14="On",('Net zero Activity data'!BP21*EF!$H34)*kgtoGg,"ERROR"))</f>
        <v>9.5015367589008064E-3</v>
      </c>
      <c r="AY1097" s="79"/>
    </row>
    <row r="1098" spans="1:51" x14ac:dyDescent="0.25">
      <c r="A1098" s="95" t="str">
        <f t="shared" si="374"/>
        <v>CM Poultry MMCH4</v>
      </c>
      <c r="B1098" s="95" t="s">
        <v>1322</v>
      </c>
      <c r="C1098" s="95" t="s">
        <v>1231</v>
      </c>
      <c r="D1098" t="s">
        <v>15</v>
      </c>
      <c r="E1098" t="s">
        <v>22</v>
      </c>
      <c r="F1098" t="s">
        <v>28</v>
      </c>
      <c r="G1098" t="s">
        <v>133</v>
      </c>
      <c r="H1098" t="s">
        <v>1227</v>
      </c>
      <c r="I1098" t="s">
        <v>121</v>
      </c>
      <c r="J1098" t="s">
        <v>286</v>
      </c>
      <c r="K1098" s="93">
        <f>IF('Net zero activities &amp; levers'!$C$14="Off",('Activity data'!AD22*EF!$H35)*kgtoGg,IF('Net zero activities &amp; levers'!$C$14="On",('Net zero Activity data'!AD22*EF!$H35)*kgtoGg,"ERROR"))</f>
        <v>9.2084154088933889E-2</v>
      </c>
      <c r="L1098" s="93">
        <f>IF('Net zero activities &amp; levers'!$C$14="Off",('Activity data'!AE22*EF!$H35)*kgtoGg,IF('Net zero activities &amp; levers'!$C$14="On",('Net zero Activity data'!AE22*EF!$H35)*kgtoGg,"ERROR"))</f>
        <v>9.3296737810214664E-2</v>
      </c>
      <c r="M1098" s="93">
        <f>IF('Net zero activities &amp; levers'!$C$14="Off",('Activity data'!AF22*EF!$H35)*kgtoGg,IF('Net zero activities &amp; levers'!$C$14="On",('Net zero Activity data'!AF22*EF!$H35)*kgtoGg,"ERROR"))</f>
        <v>9.5244495094686882E-2</v>
      </c>
      <c r="N1098" s="93">
        <f>IF('Net zero activities &amp; levers'!$C$14="Off",('Activity data'!AG22*EF!$H35)*kgtoGg,IF('Net zero activities &amp; levers'!$C$14="On",('Net zero Activity data'!AG22*EF!$H35)*kgtoGg,"ERROR"))</f>
        <v>9.5803753116994267E-2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9.4219345357912279E-2</v>
      </c>
      <c r="Q1098" s="93">
        <f>IF('Net zero activities &amp; levers'!$C$14="Off",('Activity data'!AJ22*EF!$H35)*kgtoGg,IF('Net zero activities &amp; levers'!$C$14="On",('Net zero Activity data'!AJ22*EF!$H35)*kgtoGg,"ERROR"))</f>
        <v>9.3696712749775993E-2</v>
      </c>
      <c r="R1098" s="93">
        <f>IF('Net zero activities &amp; levers'!$C$14="Off",('Activity data'!AK22*EF!$H35)*kgtoGg,IF('Net zero activities &amp; levers'!$C$14="On",('Net zero Activity data'!AK22*EF!$H35)*kgtoGg,"ERROR"))</f>
        <v>9.3292648760063338E-2</v>
      </c>
      <c r="S1098" s="93">
        <f>IF('Net zero activities &amp; levers'!$C$14="Off",('Activity data'!AL22*EF!$H35)*kgtoGg,IF('Net zero activities &amp; levers'!$C$14="On",('Net zero Activity data'!AL22*EF!$H35)*kgtoGg,"ERROR"))</f>
        <v>8.1361686340733153E-2</v>
      </c>
      <c r="T1098" s="93">
        <f>IF('Net zero activities &amp; levers'!$C$14="Off",('Activity data'!AM22*EF!$H35)*kgtoGg,IF('Net zero activities &amp; levers'!$C$14="On",('Net zero Activity data'!AM22*EF!$H35)*kgtoGg,"ERROR"))</f>
        <v>8.7519158525767499E-2</v>
      </c>
      <c r="U1098" s="93">
        <f>IF('Net zero activities &amp; levers'!$C$14="Off",('Activity data'!AN22*EF!$H35)*kgtoGg,IF('Net zero activities &amp; levers'!$C$14="On",('Net zero Activity data'!AN22*EF!$H35)*kgtoGg,"ERROR"))</f>
        <v>0.38055522418312043</v>
      </c>
      <c r="V1098" s="93">
        <f>IF('Net zero activities &amp; levers'!$C$14="Off",('Activity data'!AO22*EF!$H35)*kgtoGg,IF('Net zero activities &amp; levers'!$C$14="On",('Net zero Activity data'!AO22*EF!$H35)*kgtoGg,"ERROR"))</f>
        <v>0.38737794766400691</v>
      </c>
      <c r="W1098" s="93">
        <f>IF('Net zero activities &amp; levers'!$C$14="Off",('Activity data'!AP22*EF!$H35)*kgtoGg,IF('Net zero activities &amp; levers'!$C$14="On",('Net zero Activity data'!AP22*EF!$H35)*kgtoGg,"ERROR"))</f>
        <v>0.39343920417290035</v>
      </c>
      <c r="X1098" s="93">
        <f>IF('Net zero activities &amp; levers'!$C$14="Off",('Activity data'!AQ22*EF!$H35)*kgtoGg,IF('Net zero activities &amp; levers'!$C$14="On",('Net zero Activity data'!AQ22*EF!$H35)*kgtoGg,"ERROR"))</f>
        <v>0.39876487470149208</v>
      </c>
      <c r="Y1098" s="93">
        <f>IF('Net zero activities &amp; levers'!$C$14="Off",('Activity data'!AR22*EF!$H35)*kgtoGg,IF('Net zero activities &amp; levers'!$C$14="On",('Net zero Activity data'!AR22*EF!$H35)*kgtoGg,"ERROR"))</f>
        <v>0.40342733598806829</v>
      </c>
      <c r="Z1098" s="93">
        <f>IF('Net zero activities &amp; levers'!$C$14="Off",('Activity data'!AS22*EF!$H35)*kgtoGg,IF('Net zero activities &amp; levers'!$C$14="On",('Net zero Activity data'!AS22*EF!$H35)*kgtoGg,"ERROR"))</f>
        <v>0.40739161526609236</v>
      </c>
      <c r="AA1098" s="93">
        <f>IF('Net zero activities &amp; levers'!$C$14="Off",('Activity data'!AT22*EF!$H35)*kgtoGg,IF('Net zero activities &amp; levers'!$C$14="On",('Net zero Activity data'!AT22*EF!$H35)*kgtoGg,"ERROR"))</f>
        <v>0.41063086290427719</v>
      </c>
      <c r="AB1098" s="93">
        <f>IF('Net zero activities &amp; levers'!$C$14="Off",('Activity data'!AU22*EF!$H35)*kgtoGg,IF('Net zero activities &amp; levers'!$C$14="On",('Net zero Activity data'!AU22*EF!$H35)*kgtoGg,"ERROR"))</f>
        <v>0.41311868820096576</v>
      </c>
      <c r="AC1098" s="93">
        <f>IF('Net zero activities &amp; levers'!$C$14="Off",('Activity data'!AV22*EF!$H35)*kgtoGg,IF('Net zero activities &amp; levers'!$C$14="On",('Net zero Activity data'!AV22*EF!$H35)*kgtoGg,"ERROR"))</f>
        <v>0.41483155404850092</v>
      </c>
      <c r="AD1098" s="93">
        <f>IF('Net zero activities &amp; levers'!$C$14="Off",('Activity data'!AW22*EF!$H35)*kgtoGg,IF('Net zero activities &amp; levers'!$C$14="On",('Net zero Activity data'!AW22*EF!$H35)*kgtoGg,"ERROR"))</f>
        <v>0.4157534105968208</v>
      </c>
      <c r="AE1098" s="93">
        <f>IF('Net zero activities &amp; levers'!$C$14="Off",('Activity data'!AX22*EF!$H35)*kgtoGg,IF('Net zero activities &amp; levers'!$C$14="On",('Net zero Activity data'!AX22*EF!$H35)*kgtoGg,"ERROR"))</f>
        <v>0.41586937761576692</v>
      </c>
      <c r="AF1098" s="93">
        <f>IF('Net zero activities &amp; levers'!$C$14="Off",('Activity data'!AY22*EF!$H35)*kgtoGg,IF('Net zero activities &amp; levers'!$C$14="On",('Net zero Activity data'!AY22*EF!$H35)*kgtoGg,"ERROR"))</f>
        <v>0.41517143719283295</v>
      </c>
      <c r="AG1098" s="93">
        <f>IF('Net zero activities &amp; levers'!$C$14="Off",('Activity data'!AZ22*EF!$H35)*kgtoGg,IF('Net zero activities &amp; levers'!$C$14="On",('Net zero Activity data'!AZ22*EF!$H35)*kgtoGg,"ERROR"))</f>
        <v>0.41365861505534796</v>
      </c>
      <c r="AH1098" s="93">
        <f>IF('Net zero activities &amp; levers'!$C$14="Off",('Activity data'!BA22*EF!$H35)*kgtoGg,IF('Net zero activities &amp; levers'!$C$14="On",('Net zero Activity data'!BA22*EF!$H35)*kgtoGg,"ERROR"))</f>
        <v>0.41133079331280648</v>
      </c>
      <c r="AI1098" s="93">
        <f>IF('Net zero activities &amp; levers'!$C$14="Off",('Activity data'!BB22*EF!$H35)*kgtoGg,IF('Net zero activities &amp; levers'!$C$14="On",('Net zero Activity data'!BB22*EF!$H35)*kgtoGg,"ERROR"))</f>
        <v>0.40819145890302061</v>
      </c>
      <c r="AJ1098" s="93">
        <f>IF('Net zero activities &amp; levers'!$C$14="Off",('Activity data'!BC22*EF!$H35)*kgtoGg,IF('Net zero activities &amp; levers'!$C$14="On",('Net zero Activity data'!BC22*EF!$H35)*kgtoGg,"ERROR"))</f>
        <v>-8.7165642075574146E-2</v>
      </c>
      <c r="AK1098" s="93">
        <f>IF('Net zero activities &amp; levers'!$C$14="Off",('Activity data'!BD22*EF!$H35)*kgtoGg,IF('Net zero activities &amp; levers'!$C$14="On",('Net zero Activity data'!BD22*EF!$H35)*kgtoGg,"ERROR"))</f>
        <v>-8.7288995420516255E-2</v>
      </c>
      <c r="AL1098" s="93">
        <f>IF('Net zero activities &amp; levers'!$C$14="Off",('Activity data'!BE22*EF!$H35)*kgtoGg,IF('Net zero activities &amp; levers'!$C$14="On",('Net zero Activity data'!BE22*EF!$H35)*kgtoGg,"ERROR"))</f>
        <v>-8.7400689777532417E-2</v>
      </c>
      <c r="AM1098" s="93">
        <f>IF('Net zero activities &amp; levers'!$C$14="Off",('Activity data'!BF22*EF!$H35)*kgtoGg,IF('Net zero activities &amp; levers'!$C$14="On",('Net zero Activity data'!BF22*EF!$H35)*kgtoGg,"ERROR"))</f>
        <v>-8.7501674968968782E-2</v>
      </c>
      <c r="AN1098" s="93">
        <f>IF('Net zero activities &amp; levers'!$C$14="Off",('Activity data'!BG22*EF!$H35)*kgtoGg,IF('Net zero activities &amp; levers'!$C$14="On",('Net zero Activity data'!BG22*EF!$H35)*kgtoGg,"ERROR"))</f>
        <v>-8.759303690104156E-2</v>
      </c>
      <c r="AO1098" s="93">
        <f>IF('Net zero activities &amp; levers'!$C$14="Off",('Activity data'!BH22*EF!$H35)*kgtoGg,IF('Net zero activities &amp; levers'!$C$14="On",('Net zero Activity data'!BH22*EF!$H35)*kgtoGg,"ERROR"))</f>
        <v>-8.7672225765400638E-2</v>
      </c>
      <c r="AP1098" s="93">
        <f>IF('Net zero activities &amp; levers'!$C$14="Off",('Activity data'!BI22*EF!$H35)*kgtoGg,IF('Net zero activities &amp; levers'!$C$14="On",('Net zero Activity data'!BI22*EF!$H35)*kgtoGg,"ERROR"))</f>
        <v>-8.773761110126993E-2</v>
      </c>
      <c r="AQ1098" s="93">
        <f>IF('Net zero activities &amp; levers'!$C$14="Off",('Activity data'!BJ22*EF!$H35)*kgtoGg,IF('Net zero activities &amp; levers'!$C$14="On",('Net zero Activity data'!BJ22*EF!$H35)*kgtoGg,"ERROR"))</f>
        <v>-8.7789118885945122E-2</v>
      </c>
      <c r="AR1098" s="93">
        <f>IF('Net zero activities &amp; levers'!$C$14="Off",('Activity data'!BK22*EF!$H35)*kgtoGg,IF('Net zero activities &amp; levers'!$C$14="On",('Net zero Activity data'!BK22*EF!$H35)*kgtoGg,"ERROR"))</f>
        <v>-8.7824869446460341E-2</v>
      </c>
      <c r="AS1098" s="93">
        <f>IF('Net zero activities &amp; levers'!$C$14="Off",('Activity data'!BL22*EF!$H35)*kgtoGg,IF('Net zero activities &amp; levers'!$C$14="On",('Net zero Activity data'!BL22*EF!$H35)*kgtoGg,"ERROR"))</f>
        <v>-8.7842812552050467E-2</v>
      </c>
      <c r="AT1098" s="93">
        <f>IF('Net zero activities &amp; levers'!$C$14="Off",('Activity data'!BM22*EF!$H35)*kgtoGg,IF('Net zero activities &amp; levers'!$C$14="On",('Net zero Activity data'!BM22*EF!$H35)*kgtoGg,"ERROR"))</f>
        <v>-8.7842889451098083E-2</v>
      </c>
      <c r="AU1098" s="93">
        <f>IF('Net zero activities &amp; levers'!$C$14="Off",('Activity data'!BN22*EF!$H35)*kgtoGg,IF('Net zero activities &amp; levers'!$C$14="On",('Net zero Activity data'!BN22*EF!$H35)*kgtoGg,"ERROR"))</f>
        <v>-8.7825632469861054E-2</v>
      </c>
      <c r="AV1098" s="93">
        <f>IF('Net zero activities &amp; levers'!$C$14="Off",('Activity data'!BO22*EF!$H35)*kgtoGg,IF('Net zero activities &amp; levers'!$C$14="On",('Net zero Activity data'!BO22*EF!$H35)*kgtoGg,"ERROR"))</f>
        <v>-8.7791464656619661E-2</v>
      </c>
      <c r="AW1098" s="93">
        <f>IF('Net zero activities &amp; levers'!$C$14="Off",('Activity data'!BP22*EF!$H35)*kgtoGg,IF('Net zero activities &amp; levers'!$C$14="On",('Net zero Activity data'!BP22*EF!$H35)*kgtoGg,"ERROR"))</f>
        <v>-8.7738464001201541E-2</v>
      </c>
      <c r="AY1098" s="79"/>
    </row>
    <row r="1099" spans="1:51" x14ac:dyDescent="0.25">
      <c r="A1099" s="95" t="str">
        <f t="shared" si="374"/>
        <v>CM Cattle MMN2O</v>
      </c>
      <c r="B1099" s="95" t="s">
        <v>1322</v>
      </c>
      <c r="C1099" s="95" t="s">
        <v>1232</v>
      </c>
      <c r="D1099" t="s">
        <v>15</v>
      </c>
      <c r="E1099" t="s">
        <v>657</v>
      </c>
      <c r="F1099" t="s">
        <v>6</v>
      </c>
      <c r="G1099" t="s">
        <v>136</v>
      </c>
      <c r="H1099" t="s">
        <v>1227</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6.0278316688762053E-2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6.0782907527895308E-2</v>
      </c>
      <c r="P1099" s="93">
        <f>IF('Net zero activities &amp; levers'!$C$14="Off",('Activity data'!AI5*EF!$H36*EF!$H54)*NtoN2O*kgtoGg,IF('Net zero activities &amp; levers'!$C$14="On",('Net zero Activity data'!AI5*EF!$H36*EF!$H54)*NtoN2O*kgtoGg,"ERROR"))</f>
        <v>6.0880663265441164E-2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6.1344406036983781E-2</v>
      </c>
      <c r="S1099" s="93">
        <f>IF('Net zero activities &amp; levers'!$C$14="Off",('Activity data'!AL5*EF!$H36*EF!$H54)*NtoN2O*kgtoGg,IF('Net zero activities &amp; levers'!$C$14="On",('Net zero Activity data'!AL5*EF!$H36*EF!$H54)*NtoN2O*kgtoGg,"ERROR"))</f>
        <v>5.9601328930113273E-2</v>
      </c>
      <c r="T1099" s="93">
        <f>IF('Net zero activities &amp; levers'!$C$14="Off",('Activity data'!AM5*EF!$H36*EF!$H54)*NtoN2O*kgtoGg,IF('Net zero activities &amp; levers'!$C$14="On",('Net zero Activity data'!AM5*EF!$H36*EF!$H54)*NtoN2O*kgtoGg,"ERROR"))</f>
        <v>6.0626854202705693E-2</v>
      </c>
      <c r="U1099" s="93">
        <f>IF('Net zero activities &amp; levers'!$C$14="Off",('Activity data'!AN5*EF!$H36*EF!$H54)*NtoN2O*kgtoGg,IF('Net zero activities &amp; levers'!$C$14="On",('Net zero Activity data'!AN5*EF!$H36*EF!$H54)*NtoN2O*kgtoGg,"ERROR"))</f>
        <v>0.10431335111869787</v>
      </c>
      <c r="V1099" s="93">
        <f>IF('Net zero activities &amp; levers'!$C$14="Off",('Activity data'!AO5*EF!$H36*EF!$H54)*NtoN2O*kgtoGg,IF('Net zero activities &amp; levers'!$C$14="On",('Net zero Activity data'!AO5*EF!$H36*EF!$H54)*NtoN2O*kgtoGg,"ERROR"))</f>
        <v>0.10557079987792001</v>
      </c>
      <c r="W1099" s="93">
        <f>IF('Net zero activities &amp; levers'!$C$14="Off",('Activity data'!AP5*EF!$H36*EF!$H54)*NtoN2O*kgtoGg,IF('Net zero activities &amp; levers'!$C$14="On",('Net zero Activity data'!AP5*EF!$H36*EF!$H54)*NtoN2O*kgtoGg,"ERROR"))</f>
        <v>0.10677309385797164</v>
      </c>
      <c r="X1099" s="93">
        <f>IF('Net zero activities &amp; levers'!$C$14="Off",('Activity data'!AQ5*EF!$H36*EF!$H54)*NtoN2O*kgtoGg,IF('Net zero activities &amp; levers'!$C$14="On",('Net zero Activity data'!AQ5*EF!$H36*EF!$H54)*NtoN2O*kgtoGg,"ERROR"))</f>
        <v>0.10789978230362134</v>
      </c>
      <c r="Y1099" s="93">
        <f>IF('Net zero activities &amp; levers'!$C$14="Off",('Activity data'!AR5*EF!$H36*EF!$H54)*NtoN2O*kgtoGg,IF('Net zero activities &amp; levers'!$C$14="On",('Net zero Activity data'!AR5*EF!$H36*EF!$H54)*NtoN2O*kgtoGg,"ERROR"))</f>
        <v>0.10892077673602073</v>
      </c>
      <c r="Z1099" s="93">
        <f>IF('Net zero activities &amp; levers'!$C$14="Off",('Activity data'!AS5*EF!$H36*EF!$H54)*NtoN2O*kgtoGg,IF('Net zero activities &amp; levers'!$C$14="On",('Net zero Activity data'!AS5*EF!$H36*EF!$H54)*NtoN2O*kgtoGg,"ERROR"))</f>
        <v>0.10983130908819148</v>
      </c>
      <c r="AA1099" s="93">
        <f>IF('Net zero activities &amp; levers'!$C$14="Off",('Activity data'!AT5*EF!$H36*EF!$H54)*NtoN2O*kgtoGg,IF('Net zero activities &amp; levers'!$C$14="On",('Net zero Activity data'!AT5*EF!$H36*EF!$H54)*NtoN2O*kgtoGg,"ERROR"))</f>
        <v>0.11062607502856897</v>
      </c>
      <c r="AB1099" s="93">
        <f>IF('Net zero activities &amp; levers'!$C$14="Off",('Activity data'!AU5*EF!$H36*EF!$H54)*NtoN2O*kgtoGg,IF('Net zero activities &amp; levers'!$C$14="On",('Net zero Activity data'!AU5*EF!$H36*EF!$H54)*NtoN2O*kgtoGg,"ERROR"))</f>
        <v>0.11130105996088024</v>
      </c>
      <c r="AC1099" s="93">
        <f>IF('Net zero activities &amp; levers'!$C$14="Off",('Activity data'!AV5*EF!$H36*EF!$H54)*NtoN2O*kgtoGg,IF('Net zero activities &amp; levers'!$C$14="On",('Net zero Activity data'!AV5*EF!$H36*EF!$H54)*NtoN2O*kgtoGg,"ERROR"))</f>
        <v>0.11185308002540331</v>
      </c>
      <c r="AD1099" s="93">
        <f>IF('Net zero activities &amp; levers'!$C$14="Off",('Activity data'!AW5*EF!$H36*EF!$H54)*NtoN2O*kgtoGg,IF('Net zero activities &amp; levers'!$C$14="On",('Net zero Activity data'!AW5*EF!$H36*EF!$H54)*NtoN2O*kgtoGg,"ERROR"))</f>
        <v>0.11227878827005904</v>
      </c>
      <c r="AE1099" s="93">
        <f>IF('Net zero activities &amp; levers'!$C$14="Off",('Activity data'!AX5*EF!$H36*EF!$H54)*NtoN2O*kgtoGg,IF('Net zero activities &amp; levers'!$C$14="On",('Net zero Activity data'!AX5*EF!$H36*EF!$H54)*NtoN2O*kgtoGg,"ERROR"))</f>
        <v>0.11257618100536711</v>
      </c>
      <c r="AF1099" s="93">
        <f>IF('Net zero activities &amp; levers'!$C$14="Off",('Activity data'!AY5*EF!$H36*EF!$H54)*NtoN2O*kgtoGg,IF('Net zero activities &amp; levers'!$C$14="On",('Net zero Activity data'!AY5*EF!$H36*EF!$H54)*NtoN2O*kgtoGg,"ERROR"))</f>
        <v>0.11274333624880213</v>
      </c>
      <c r="AG1099" s="93">
        <f>IF('Net zero activities &amp; levers'!$C$14="Off",('Activity data'!AZ5*EF!$H36*EF!$H54)*NtoN2O*kgtoGg,IF('Net zero activities &amp; levers'!$C$14="On",('Net zero Activity data'!AZ5*EF!$H36*EF!$H54)*NtoN2O*kgtoGg,"ERROR"))</f>
        <v>0.11277839712706036</v>
      </c>
      <c r="AH1099" s="93">
        <f>IF('Net zero activities &amp; levers'!$C$14="Off",('Activity data'!BA5*EF!$H36*EF!$H54)*NtoN2O*kgtoGg,IF('Net zero activities &amp; levers'!$C$14="On",('Net zero Activity data'!BA5*EF!$H36*EF!$H54)*NtoN2O*kgtoGg,"ERROR"))</f>
        <v>0.11268102453940491</v>
      </c>
      <c r="AI1099" s="93">
        <f>IF('Net zero activities &amp; levers'!$C$14="Off",('Activity data'!BB5*EF!$H36*EF!$H54)*NtoN2O*kgtoGg,IF('Net zero activities &amp; levers'!$C$14="On",('Net zero Activity data'!BB5*EF!$H36*EF!$H54)*NtoN2O*kgtoGg,"ERROR"))</f>
        <v>0.11245177283662604</v>
      </c>
      <c r="AJ1099" s="93">
        <f>IF('Net zero activities &amp; levers'!$C$14="Off",('Activity data'!BC5*EF!$H36*EF!$H54)*NtoN2O*kgtoGg,IF('Net zero activities &amp; levers'!$C$14="On",('Net zero Activity data'!BC5*EF!$H36*EF!$H54)*NtoN2O*kgtoGg,"ERROR"))</f>
        <v>3.5577796363991845E-2</v>
      </c>
      <c r="AK1099" s="93">
        <f>IF('Net zero activities &amp; levers'!$C$14="Off",('Activity data'!BD5*EF!$H36*EF!$H54)*NtoN2O*kgtoGg,IF('Net zero activities &amp; levers'!$C$14="On",('Net zero Activity data'!BD5*EF!$H36*EF!$H54)*NtoN2O*kgtoGg,"ERROR"))</f>
        <v>3.5603767558276704E-2</v>
      </c>
      <c r="AL1099" s="93">
        <f>IF('Net zero activities &amp; levers'!$C$14="Off",('Activity data'!BE5*EF!$H36*EF!$H54)*NtoN2O*kgtoGg,IF('Net zero activities &amp; levers'!$C$14="On",('Net zero Activity data'!BE5*EF!$H36*EF!$H54)*NtoN2O*kgtoGg,"ERROR"))</f>
        <v>3.5627869174539424E-2</v>
      </c>
      <c r="AM1099" s="93">
        <f>IF('Net zero activities &amp; levers'!$C$14="Off",('Activity data'!BF5*EF!$H36*EF!$H54)*NtoN2O*kgtoGg,IF('Net zero activities &amp; levers'!$C$14="On",('Net zero Activity data'!BF5*EF!$H36*EF!$H54)*NtoN2O*kgtoGg,"ERROR"))</f>
        <v>3.5650264251912672E-2</v>
      </c>
      <c r="AN1099" s="93">
        <f>IF('Net zero activities &amp; levers'!$C$14="Off",('Activity data'!BG5*EF!$H36*EF!$H54)*NtoN2O*kgtoGg,IF('Net zero activities &amp; levers'!$C$14="On",('Net zero Activity data'!BG5*EF!$H36*EF!$H54)*NtoN2O*kgtoGg,"ERROR"))</f>
        <v>3.5671153620438649E-2</v>
      </c>
      <c r="AO1099" s="93">
        <f>IF('Net zero activities &amp; levers'!$C$14="Off",('Activity data'!BH5*EF!$H36*EF!$H54)*NtoN2O*kgtoGg,IF('Net zero activities &amp; levers'!$C$14="On",('Net zero Activity data'!BH5*EF!$H36*EF!$H54)*NtoN2O*kgtoGg,"ERROR"))</f>
        <v>3.5689881664317018E-2</v>
      </c>
      <c r="AP1099" s="93">
        <f>IF('Net zero activities &amp; levers'!$C$14="Off",('Activity data'!BI5*EF!$H36*EF!$H54)*NtoN2O*kgtoGg,IF('Net zero activities &amp; levers'!$C$14="On",('Net zero Activity data'!BI5*EF!$H36*EF!$H54)*NtoN2O*kgtoGg,"ERROR"))</f>
        <v>3.5706008112300056E-2</v>
      </c>
      <c r="AQ1099" s="93">
        <f>IF('Net zero activities &amp; levers'!$C$14="Off",('Activity data'!BJ5*EF!$H36*EF!$H54)*NtoN2O*kgtoGg,IF('Net zero activities &amp; levers'!$C$14="On",('Net zero Activity data'!BJ5*EF!$H36*EF!$H54)*NtoN2O*kgtoGg,"ERROR"))</f>
        <v>3.5719462361704167E-2</v>
      </c>
      <c r="AR1099" s="93">
        <f>IF('Net zero activities &amp; levers'!$C$14="Off",('Activity data'!BK5*EF!$H36*EF!$H54)*NtoN2O*kgtoGg,IF('Net zero activities &amp; levers'!$C$14="On",('Net zero Activity data'!BK5*EF!$H36*EF!$H54)*NtoN2O*kgtoGg,"ERROR"))</f>
        <v>3.5729744862623404E-2</v>
      </c>
      <c r="AS1099" s="93">
        <f>IF('Net zero activities &amp; levers'!$C$14="Off",('Activity data'!BL5*EF!$H36*EF!$H54)*NtoN2O*kgtoGg,IF('Net zero activities &amp; levers'!$C$14="On",('Net zero Activity data'!BL5*EF!$H36*EF!$H54)*NtoN2O*kgtoGg,"ERROR"))</f>
        <v>3.5736313260064892E-2</v>
      </c>
      <c r="AT1099" s="93">
        <f>IF('Net zero activities &amp; levers'!$C$14="Off",('Activity data'!BM5*EF!$H36*EF!$H54)*NtoN2O*kgtoGg,IF('Net zero activities &amp; levers'!$C$14="On",('Net zero Activity data'!BM5*EF!$H36*EF!$H54)*NtoN2O*kgtoGg,"ERROR"))</f>
        <v>3.5739100565622635E-2</v>
      </c>
      <c r="AU1099" s="93">
        <f>IF('Net zero activities &amp; levers'!$C$14="Off",('Activity data'!BN5*EF!$H36*EF!$H54)*NtoN2O*kgtoGg,IF('Net zero activities &amp; levers'!$C$14="On",('Net zero Activity data'!BN5*EF!$H36*EF!$H54)*NtoN2O*kgtoGg,"ERROR"))</f>
        <v>3.5738183814189306E-2</v>
      </c>
      <c r="AV1099" s="93">
        <f>IF('Net zero activities &amp; levers'!$C$14="Off",('Activity data'!BO5*EF!$H36*EF!$H54)*NtoN2O*kgtoGg,IF('Net zero activities &amp; levers'!$C$14="On",('Net zero Activity data'!BO5*EF!$H36*EF!$H54)*NtoN2O*kgtoGg,"ERROR"))</f>
        <v>3.5733616728715514E-2</v>
      </c>
      <c r="AW1099" s="93">
        <f>IF('Net zero activities &amp; levers'!$C$14="Off",('Activity data'!BP5*EF!$H36*EF!$H54)*NtoN2O*kgtoGg,IF('Net zero activities &amp; levers'!$C$14="On",('Net zero Activity data'!BP5*EF!$H36*EF!$H54)*NtoN2O*kgtoGg,"ERROR"))</f>
        <v>3.5724889195264529E-2</v>
      </c>
      <c r="AY1099" s="79"/>
    </row>
    <row r="1100" spans="1:51" x14ac:dyDescent="0.25">
      <c r="A1100" s="95" t="str">
        <f t="shared" si="374"/>
        <v>CM Cattle MMN2O</v>
      </c>
      <c r="B1100" s="95" t="s">
        <v>1322</v>
      </c>
      <c r="C1100" s="95" t="s">
        <v>1232</v>
      </c>
      <c r="D1100" t="s">
        <v>15</v>
      </c>
      <c r="E1100" t="s">
        <v>657</v>
      </c>
      <c r="F1100" t="s">
        <v>6</v>
      </c>
      <c r="G1100" t="s">
        <v>137</v>
      </c>
      <c r="H1100" t="s">
        <v>1227</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0.26393657447404822</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0.26614599213711054</v>
      </c>
      <c r="P1100" s="93">
        <f>IF('Net zero activities &amp; levers'!$C$14="Off",('Activity data'!AI6*EF!$H37*EF!$H55)*NtoN2O*kgtoGg,IF('Net zero activities &amp; levers'!$C$14="On",('Net zero Activity data'!AI6*EF!$H37*EF!$H55)*NtoN2O*kgtoGg,"ERROR"))</f>
        <v>0.26657402855087214</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0.26860458755254507</v>
      </c>
      <c r="S1100" s="93">
        <f>IF('Net zero activities &amp; levers'!$C$14="Off",('Activity data'!AL6*EF!$H37*EF!$H55)*NtoN2O*kgtoGg,IF('Net zero activities &amp; levers'!$C$14="On",('Net zero Activity data'!AL6*EF!$H37*EF!$H55)*NtoN2O*kgtoGg,"ERROR"))</f>
        <v>0.26097229411928624</v>
      </c>
      <c r="T1100" s="93">
        <f>IF('Net zero activities &amp; levers'!$C$14="Off",('Activity data'!AM6*EF!$H37*EF!$H55)*NtoN2O*kgtoGg,IF('Net zero activities &amp; levers'!$C$14="On",('Net zero Activity data'!AM6*EF!$H37*EF!$H55)*NtoN2O*kgtoGg,"ERROR"))</f>
        <v>0.26546269203272144</v>
      </c>
      <c r="U1100" s="93">
        <f>IF('Net zero activities &amp; levers'!$C$14="Off",('Activity data'!AN6*EF!$H37*EF!$H55)*NtoN2O*kgtoGg,IF('Net zero activities &amp; levers'!$C$14="On",('Net zero Activity data'!AN6*EF!$H37*EF!$H55)*NtoN2O*kgtoGg,"ERROR"))</f>
        <v>0.45674979127794169</v>
      </c>
      <c r="V1100" s="93">
        <f>IF('Net zero activities &amp; levers'!$C$14="Off",('Activity data'!AO6*EF!$H37*EF!$H55)*NtoN2O*kgtoGg,IF('Net zero activities &amp; levers'!$C$14="On",('Net zero Activity data'!AO6*EF!$H37*EF!$H55)*NtoN2O*kgtoGg,"ERROR"))</f>
        <v>0.46225569682270645</v>
      </c>
      <c r="W1100" s="93">
        <f>IF('Net zero activities &amp; levers'!$C$14="Off",('Activity data'!AP6*EF!$H37*EF!$H55)*NtoN2O*kgtoGg,IF('Net zero activities &amp; levers'!$C$14="On",('Net zero Activity data'!AP6*EF!$H37*EF!$H55)*NtoN2O*kgtoGg,"ERROR"))</f>
        <v>0.46752009987901733</v>
      </c>
      <c r="X1100" s="93">
        <f>IF('Net zero activities &amp; levers'!$C$14="Off",('Activity data'!AQ6*EF!$H37*EF!$H55)*NtoN2O*kgtoGg,IF('Net zero activities &amp; levers'!$C$14="On",('Net zero Activity data'!AQ6*EF!$H37*EF!$H55)*NtoN2O*kgtoGg,"ERROR"))</f>
        <v>0.47245345411284095</v>
      </c>
      <c r="Y1100" s="93">
        <f>IF('Net zero activities &amp; levers'!$C$14="Off",('Activity data'!AR6*EF!$H37*EF!$H55)*NtoN2O*kgtoGg,IF('Net zero activities &amp; levers'!$C$14="On",('Net zero Activity data'!AR6*EF!$H37*EF!$H55)*NtoN2O*kgtoGg,"ERROR"))</f>
        <v>0.47692401314381044</v>
      </c>
      <c r="Z1100" s="93">
        <f>IF('Net zero activities &amp; levers'!$C$14="Off",('Activity data'!AS6*EF!$H37*EF!$H55)*NtoN2O*kgtoGg,IF('Net zero activities &amp; levers'!$C$14="On",('Net zero Activity data'!AS6*EF!$H37*EF!$H55)*NtoN2O*kgtoGg,"ERROR"))</f>
        <v>0.48091089936063391</v>
      </c>
      <c r="AA1100" s="93">
        <f>IF('Net zero activities &amp; levers'!$C$14="Off",('Activity data'!AT6*EF!$H37*EF!$H55)*NtoN2O*kgtoGg,IF('Net zero activities &amp; levers'!$C$14="On",('Net zero Activity data'!AT6*EF!$H37*EF!$H55)*NtoN2O*kgtoGg,"ERROR"))</f>
        <v>0.48439088704666999</v>
      </c>
      <c r="AB1100" s="93">
        <f>IF('Net zero activities &amp; levers'!$C$14="Off",('Activity data'!AU6*EF!$H37*EF!$H55)*NtoN2O*kgtoGg,IF('Net zero activities &amp; levers'!$C$14="On",('Net zero Activity data'!AU6*EF!$H37*EF!$H55)*NtoN2O*kgtoGg,"ERROR"))</f>
        <v>0.48734639776167055</v>
      </c>
      <c r="AC1100" s="93">
        <f>IF('Net zero activities &amp; levers'!$C$14="Off",('Activity data'!AV6*EF!$H37*EF!$H55)*NtoN2O*kgtoGg,IF('Net zero activities &amp; levers'!$C$14="On",('Net zero Activity data'!AV6*EF!$H37*EF!$H55)*NtoN2O*kgtoGg,"ERROR"))</f>
        <v>0.48976349055514479</v>
      </c>
      <c r="AD1100" s="93">
        <f>IF('Net zero activities &amp; levers'!$C$14="Off",('Activity data'!AW6*EF!$H37*EF!$H55)*NtoN2O*kgtoGg,IF('Net zero activities &amp; levers'!$C$14="On",('Net zero Activity data'!AW6*EF!$H37*EF!$H55)*NtoN2O*kgtoGg,"ERROR"))</f>
        <v>0.49162751035516583</v>
      </c>
      <c r="AE1100" s="93">
        <f>IF('Net zero activities &amp; levers'!$C$14="Off",('Activity data'!AX6*EF!$H37*EF!$H55)*NtoN2O*kgtoGg,IF('Net zero activities &amp; levers'!$C$14="On",('Net zero Activity data'!AX6*EF!$H37*EF!$H55)*NtoN2O*kgtoGg,"ERROR"))</f>
        <v>0.49292968374258739</v>
      </c>
      <c r="AF1100" s="93">
        <f>IF('Net zero activities &amp; levers'!$C$14="Off",('Activity data'!AY6*EF!$H37*EF!$H55)*NtoN2O*kgtoGg,IF('Net zero activities &amp; levers'!$C$14="On",('Net zero Activity data'!AY6*EF!$H37*EF!$H55)*NtoN2O*kgtoGg,"ERROR"))</f>
        <v>0.49366159506296176</v>
      </c>
      <c r="AG1100" s="93">
        <f>IF('Net zero activities &amp; levers'!$C$14="Off",('Activity data'!AZ6*EF!$H37*EF!$H55)*NtoN2O*kgtoGg,IF('Net zero activities &amp; levers'!$C$14="On",('Net zero Activity data'!AZ6*EF!$H37*EF!$H55)*NtoN2O*kgtoGg,"ERROR"))</f>
        <v>0.49381511375117121</v>
      </c>
      <c r="AH1100" s="93">
        <f>IF('Net zero activities &amp; levers'!$C$14="Off",('Activity data'!BA6*EF!$H37*EF!$H55)*NtoN2O*kgtoGg,IF('Net zero activities &amp; levers'!$C$14="On",('Net zero Activity data'!BA6*EF!$H37*EF!$H55)*NtoN2O*kgtoGg,"ERROR"))</f>
        <v>0.4933887550098322</v>
      </c>
      <c r="AI1100" s="93">
        <f>IF('Net zero activities &amp; levers'!$C$14="Off",('Activity data'!BB6*EF!$H37*EF!$H55)*NtoN2O*kgtoGg,IF('Net zero activities &amp; levers'!$C$14="On",('Net zero Activity data'!BB6*EF!$H37*EF!$H55)*NtoN2O*kgtoGg,"ERROR"))</f>
        <v>0.49238494613712885</v>
      </c>
      <c r="AJ1100" s="93">
        <f>IF('Net zero activities &amp; levers'!$C$14="Off",('Activity data'!BC6*EF!$H37*EF!$H55)*NtoN2O*kgtoGg,IF('Net zero activities &amp; levers'!$C$14="On",('Net zero Activity data'!BC6*EF!$H37*EF!$H55)*NtoN2O*kgtoGg,"ERROR"))</f>
        <v>0.15578208243824307</v>
      </c>
      <c r="AK1100" s="93">
        <f>IF('Net zero activities &amp; levers'!$C$14="Off",('Activity data'!BD6*EF!$H37*EF!$H55)*NtoN2O*kgtoGg,IF('Net zero activities &amp; levers'!$C$14="On",('Net zero Activity data'!BD6*EF!$H37*EF!$H55)*NtoN2O*kgtoGg,"ERROR"))</f>
        <v>0.15589580074411316</v>
      </c>
      <c r="AL1100" s="93">
        <f>IF('Net zero activities &amp; levers'!$C$14="Off",('Activity data'!BE6*EF!$H37*EF!$H55)*NtoN2O*kgtoGg,IF('Net zero activities &amp; levers'!$C$14="On",('Net zero Activity data'!BE6*EF!$H37*EF!$H55)*NtoN2O*kgtoGg,"ERROR"))</f>
        <v>0.15600133285557738</v>
      </c>
      <c r="AM1100" s="93">
        <f>IF('Net zero activities &amp; levers'!$C$14="Off",('Activity data'!BF6*EF!$H37*EF!$H55)*NtoN2O*kgtoGg,IF('Net zero activities &amp; levers'!$C$14="On",('Net zero Activity data'!BF6*EF!$H37*EF!$H55)*NtoN2O*kgtoGg,"ERROR"))</f>
        <v>0.1560993926610211</v>
      </c>
      <c r="AN1100" s="93">
        <f>IF('Net zero activities &amp; levers'!$C$14="Off",('Activity data'!BG6*EF!$H37*EF!$H55)*NtoN2O*kgtoGg,IF('Net zero activities &amp; levers'!$C$14="On",('Net zero Activity data'!BG6*EF!$H37*EF!$H55)*NtoN2O*kgtoGg,"ERROR"))</f>
        <v>0.15619085952132081</v>
      </c>
      <c r="AO1100" s="93">
        <f>IF('Net zero activities &amp; levers'!$C$14="Off",('Activity data'!BH6*EF!$H37*EF!$H55)*NtoN2O*kgtoGg,IF('Net zero activities &amp; levers'!$C$14="On",('Net zero Activity data'!BH6*EF!$H37*EF!$H55)*NtoN2O*kgtoGg,"ERROR"))</f>
        <v>0.15627286273606522</v>
      </c>
      <c r="AP1100" s="93">
        <f>IF('Net zero activities &amp; levers'!$C$14="Off",('Activity data'!BI6*EF!$H37*EF!$H55)*NtoN2O*kgtoGg,IF('Net zero activities &amp; levers'!$C$14="On",('Net zero Activity data'!BI6*EF!$H37*EF!$H55)*NtoN2O*kgtoGg,"ERROR"))</f>
        <v>0.15634347451942091</v>
      </c>
      <c r="AQ1100" s="93">
        <f>IF('Net zero activities &amp; levers'!$C$14="Off",('Activity data'!BJ6*EF!$H37*EF!$H55)*NtoN2O*kgtoGg,IF('Net zero activities &amp; levers'!$C$14="On",('Net zero Activity data'!BJ6*EF!$H37*EF!$H55)*NtoN2O*kgtoGg,"ERROR"))</f>
        <v>0.15640238572820886</v>
      </c>
      <c r="AR1100" s="93">
        <f>IF('Net zero activities &amp; levers'!$C$14="Off",('Activity data'!BK6*EF!$H37*EF!$H55)*NtoN2O*kgtoGg,IF('Net zero activities &amp; levers'!$C$14="On",('Net zero Activity data'!BK6*EF!$H37*EF!$H55)*NtoN2O*kgtoGg,"ERROR"))</f>
        <v>0.15644740901715809</v>
      </c>
      <c r="AS1100" s="93">
        <f>IF('Net zero activities &amp; levers'!$C$14="Off",('Activity data'!BL6*EF!$H37*EF!$H55)*NtoN2O*kgtoGg,IF('Net zero activities &amp; levers'!$C$14="On",('Net zero Activity data'!BL6*EF!$H37*EF!$H55)*NtoN2O*kgtoGg,"ERROR"))</f>
        <v>0.15647616961326835</v>
      </c>
      <c r="AT1100" s="93">
        <f>IF('Net zero activities &amp; levers'!$C$14="Off",('Activity data'!BM6*EF!$H37*EF!$H55)*NtoN2O*kgtoGg,IF('Net zero activities &amp; levers'!$C$14="On",('Net zero Activity data'!BM6*EF!$H37*EF!$H55)*NtoN2O*kgtoGg,"ERROR"))</f>
        <v>0.15648837419895245</v>
      </c>
      <c r="AU1100" s="93">
        <f>IF('Net zero activities &amp; levers'!$C$14="Off",('Activity data'!BN6*EF!$H37*EF!$H55)*NtoN2O*kgtoGg,IF('Net zero activities &amp; levers'!$C$14="On",('Net zero Activity data'!BN6*EF!$H37*EF!$H55)*NtoN2O*kgtoGg,"ERROR"))</f>
        <v>0.15648436008166708</v>
      </c>
      <c r="AV1100" s="93">
        <f>IF('Net zero activities &amp; levers'!$C$14="Off",('Activity data'!BO6*EF!$H37*EF!$H55)*NtoN2O*kgtoGg,IF('Net zero activities &amp; levers'!$C$14="On",('Net zero Activity data'!BO6*EF!$H37*EF!$H55)*NtoN2O*kgtoGg,"ERROR"))</f>
        <v>0.15646436249445</v>
      </c>
      <c r="AW1100" s="93">
        <f>IF('Net zero activities &amp; levers'!$C$14="Off",('Activity data'!BP6*EF!$H37*EF!$H55)*NtoN2O*kgtoGg,IF('Net zero activities &amp; levers'!$C$14="On",('Net zero Activity data'!BP6*EF!$H37*EF!$H55)*NtoN2O*kgtoGg,"ERROR"))</f>
        <v>0.15642614783602549</v>
      </c>
      <c r="AY1100" s="79"/>
    </row>
    <row r="1101" spans="1:51" x14ac:dyDescent="0.25">
      <c r="A1101" s="95" t="str">
        <f t="shared" si="374"/>
        <v>CM Cattle MMN2O</v>
      </c>
      <c r="B1101" s="95" t="s">
        <v>1322</v>
      </c>
      <c r="C1101" s="95" t="s">
        <v>1232</v>
      </c>
      <c r="D1101" t="s">
        <v>15</v>
      </c>
      <c r="E1101" t="s">
        <v>657</v>
      </c>
      <c r="F1101" t="s">
        <v>67</v>
      </c>
      <c r="G1101" t="s">
        <v>307</v>
      </c>
      <c r="H1101" t="s">
        <v>1227</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1.1743619004328788E-2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1.1841925043604104E-2</v>
      </c>
      <c r="P1101" s="93">
        <f>IF('Net zero activities &amp; levers'!$C$14="Off",('Activity data'!AI7*EF!$H38*EF!$H56)*NtoN2O*kgtoGg,IF('Net zero activities &amp; levers'!$C$14="On",('Net zero Activity data'!AI7*EF!$H38*EF!$H56)*NtoN2O*kgtoGg,"ERROR"))</f>
        <v>1.186097013643829E-2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1.1951318021451862E-2</v>
      </c>
      <c r="S1101" s="93">
        <f>IF('Net zero activities &amp; levers'!$C$14="Off",('Activity data'!AL7*EF!$H38*EF!$H56)*NtoN2O*kgtoGg,IF('Net zero activities &amp; levers'!$C$14="On",('Net zero Activity data'!AL7*EF!$H38*EF!$H56)*NtoN2O*kgtoGg,"ERROR"))</f>
        <v>1.1611726032777913E-2</v>
      </c>
      <c r="T1101" s="93">
        <f>IF('Net zero activities &amp; levers'!$C$14="Off",('Activity data'!AM7*EF!$H38*EF!$H56)*NtoN2O*kgtoGg,IF('Net zero activities &amp; levers'!$C$14="On",('Net zero Activity data'!AM7*EF!$H38*EF!$H56)*NtoN2O*kgtoGg,"ERROR"))</f>
        <v>1.1811522223882912E-2</v>
      </c>
      <c r="U1101" s="93">
        <f>IF('Net zero activities &amp; levers'!$C$14="Off",('Activity data'!AN7*EF!$H38*EF!$H56)*NtoN2O*kgtoGg,IF('Net zero activities &amp; levers'!$C$14="On",('Net zero Activity data'!AN7*EF!$H38*EF!$H56)*NtoN2O*kgtoGg,"ERROR"))</f>
        <v>2.0322668579614574E-2</v>
      </c>
      <c r="V1101" s="93">
        <f>IF('Net zero activities &amp; levers'!$C$14="Off",('Activity data'!AO7*EF!$H38*EF!$H56)*NtoN2O*kgtoGg,IF('Net zero activities &amp; levers'!$C$14="On",('Net zero Activity data'!AO7*EF!$H38*EF!$H56)*NtoN2O*kgtoGg,"ERROR"))</f>
        <v>2.0567648863686182E-2</v>
      </c>
      <c r="W1101" s="93">
        <f>IF('Net zero activities &amp; levers'!$C$14="Off",('Activity data'!AP7*EF!$H38*EF!$H56)*NtoN2O*kgtoGg,IF('Net zero activities &amp; levers'!$C$14="On",('Net zero Activity data'!AP7*EF!$H38*EF!$H56)*NtoN2O*kgtoGg,"ERROR"))</f>
        <v>2.0801883713106869E-2</v>
      </c>
      <c r="X1101" s="93">
        <f>IF('Net zero activities &amp; levers'!$C$14="Off",('Activity data'!AQ7*EF!$H38*EF!$H56)*NtoN2O*kgtoGg,IF('Net zero activities &amp; levers'!$C$14="On",('Net zero Activity data'!AQ7*EF!$H38*EF!$H56)*NtoN2O*kgtoGg,"ERROR"))</f>
        <v>2.1021388844788085E-2</v>
      </c>
      <c r="Y1101" s="93">
        <f>IF('Net zero activities &amp; levers'!$C$14="Off",('Activity data'!AR7*EF!$H38*EF!$H56)*NtoN2O*kgtoGg,IF('Net zero activities &amp; levers'!$C$14="On",('Net zero Activity data'!AR7*EF!$H38*EF!$H56)*NtoN2O*kgtoGg,"ERROR"))</f>
        <v>2.1220302322773034E-2</v>
      </c>
      <c r="Z1101" s="93">
        <f>IF('Net zero activities &amp; levers'!$C$14="Off",('Activity data'!AS7*EF!$H38*EF!$H56)*NtoN2O*kgtoGg,IF('Net zero activities &amp; levers'!$C$14="On",('Net zero Activity data'!AS7*EF!$H38*EF!$H56)*NtoN2O*kgtoGg,"ERROR"))</f>
        <v>2.1397695216642653E-2</v>
      </c>
      <c r="AA1101" s="93">
        <f>IF('Net zero activities &amp; levers'!$C$14="Off",('Activity data'!AT7*EF!$H38*EF!$H56)*NtoN2O*kgtoGg,IF('Net zero activities &amp; levers'!$C$14="On",('Net zero Activity data'!AT7*EF!$H38*EF!$H56)*NtoN2O*kgtoGg,"ERROR"))</f>
        <v>2.1552534119155507E-2</v>
      </c>
      <c r="AB1101" s="93">
        <f>IF('Net zero activities &amp; levers'!$C$14="Off",('Activity data'!AU7*EF!$H38*EF!$H56)*NtoN2O*kgtoGg,IF('Net zero activities &amp; levers'!$C$14="On",('Net zero Activity data'!AU7*EF!$H38*EF!$H56)*NtoN2O*kgtoGg,"ERROR"))</f>
        <v>2.1684036893522194E-2</v>
      </c>
      <c r="AC1101" s="93">
        <f>IF('Net zero activities &amp; levers'!$C$14="Off",('Activity data'!AV7*EF!$H38*EF!$H56)*NtoN2O*kgtoGg,IF('Net zero activities &amp; levers'!$C$14="On",('Net zero Activity data'!AV7*EF!$H38*EF!$H56)*NtoN2O*kgtoGg,"ERROR"))</f>
        <v>2.1791583249767946E-2</v>
      </c>
      <c r="AD1101" s="93">
        <f>IF('Net zero activities &amp; levers'!$C$14="Off",('Activity data'!AW7*EF!$H38*EF!$H56)*NtoN2O*kgtoGg,IF('Net zero activities &amp; levers'!$C$14="On",('Net zero Activity data'!AW7*EF!$H38*EF!$H56)*NtoN2O*kgtoGg,"ERROR"))</f>
        <v>2.1874521123731019E-2</v>
      </c>
      <c r="AE1101" s="93">
        <f>IF('Net zero activities &amp; levers'!$C$14="Off",('Activity data'!AX7*EF!$H38*EF!$H56)*NtoN2O*kgtoGg,IF('Net zero activities &amp; levers'!$C$14="On",('Net zero Activity data'!AX7*EF!$H38*EF!$H56)*NtoN2O*kgtoGg,"ERROR"))</f>
        <v>2.1932460150066901E-2</v>
      </c>
      <c r="AF1101" s="93">
        <f>IF('Net zero activities &amp; levers'!$C$14="Off",('Activity data'!AY7*EF!$H38*EF!$H56)*NtoN2O*kgtoGg,IF('Net zero activities &amp; levers'!$C$14="On",('Net zero Activity data'!AY7*EF!$H38*EF!$H56)*NtoN2O*kgtoGg,"ERROR"))</f>
        <v>2.1965025881847573E-2</v>
      </c>
      <c r="AG1101" s="93">
        <f>IF('Net zero activities &amp; levers'!$C$14="Off",('Activity data'!AZ7*EF!$H38*EF!$H56)*NtoN2O*kgtoGg,IF('Net zero activities &amp; levers'!$C$14="On",('Net zero Activity data'!AZ7*EF!$H38*EF!$H56)*NtoN2O*kgtoGg,"ERROR"))</f>
        <v>2.1971856556936734E-2</v>
      </c>
      <c r="AH1101" s="93">
        <f>IF('Net zero activities &amp; levers'!$C$14="Off",('Activity data'!BA7*EF!$H38*EF!$H56)*NtoN2O*kgtoGg,IF('Net zero activities &amp; levers'!$C$14="On",('Net zero Activity data'!BA7*EF!$H38*EF!$H56)*NtoN2O*kgtoGg,"ERROR"))</f>
        <v>2.1952886110618599E-2</v>
      </c>
      <c r="AI1101" s="93">
        <f>IF('Net zero activities &amp; levers'!$C$14="Off",('Activity data'!BB7*EF!$H38*EF!$H56)*NtoN2O*kgtoGg,IF('Net zero activities &amp; levers'!$C$14="On",('Net zero Activity data'!BB7*EF!$H38*EF!$H56)*NtoN2O*kgtoGg,"ERROR"))</f>
        <v>2.190822254332906E-2</v>
      </c>
      <c r="AJ1101" s="93">
        <f>IF('Net zero activities &amp; levers'!$C$14="Off",('Activity data'!BC7*EF!$H38*EF!$H56)*NtoN2O*kgtoGg,IF('Net zero activities &amp; levers'!$C$14="On",('Net zero Activity data'!BC7*EF!$H38*EF!$H56)*NtoN2O*kgtoGg,"ERROR"))</f>
        <v>6.931382766868284E-3</v>
      </c>
      <c r="AK1101" s="93">
        <f>IF('Net zero activities &amp; levers'!$C$14="Off",('Activity data'!BD7*EF!$H38*EF!$H56)*NtoN2O*kgtoGg,IF('Net zero activities &amp; levers'!$C$14="On",('Net zero Activity data'!BD7*EF!$H38*EF!$H56)*NtoN2O*kgtoGg,"ERROR"))</f>
        <v>6.9364425599667493E-3</v>
      </c>
      <c r="AL1101" s="93">
        <f>IF('Net zero activities &amp; levers'!$C$14="Off",('Activity data'!BE7*EF!$H38*EF!$H56)*NtoN2O*kgtoGg,IF('Net zero activities &amp; levers'!$C$14="On",('Net zero Activity data'!BE7*EF!$H38*EF!$H56)*NtoN2O*kgtoGg,"ERROR"))</f>
        <v>6.9411381157540699E-3</v>
      </c>
      <c r="AM1101" s="93">
        <f>IF('Net zero activities &amp; levers'!$C$14="Off",('Activity data'!BF7*EF!$H38*EF!$H56)*NtoN2O*kgtoGg,IF('Net zero activities &amp; levers'!$C$14="On",('Net zero Activity data'!BF7*EF!$H38*EF!$H56)*NtoN2O*kgtoGg,"ERROR"))</f>
        <v>6.9455011980478565E-3</v>
      </c>
      <c r="AN1101" s="93">
        <f>IF('Net zero activities &amp; levers'!$C$14="Off",('Activity data'!BG7*EF!$H38*EF!$H56)*NtoN2O*kgtoGg,IF('Net zero activities &amp; levers'!$C$14="On",('Net zero Activity data'!BG7*EF!$H38*EF!$H56)*NtoN2O*kgtoGg,"ERROR"))</f>
        <v>6.9495709332144289E-3</v>
      </c>
      <c r="AO1101" s="93">
        <f>IF('Net zero activities &amp; levers'!$C$14="Off",('Activity data'!BH7*EF!$H38*EF!$H56)*NtoN2O*kgtoGg,IF('Net zero activities &amp; levers'!$C$14="On",('Net zero Activity data'!BH7*EF!$H38*EF!$H56)*NtoN2O*kgtoGg,"ERROR"))</f>
        <v>6.9532195920371295E-3</v>
      </c>
      <c r="AP1101" s="93">
        <f>IF('Net zero activities &amp; levers'!$C$14="Off",('Activity data'!BI7*EF!$H38*EF!$H56)*NtoN2O*kgtoGg,IF('Net zero activities &amp; levers'!$C$14="On",('Net zero Activity data'!BI7*EF!$H38*EF!$H56)*NtoN2O*kgtoGg,"ERROR"))</f>
        <v>6.9563613994300545E-3</v>
      </c>
      <c r="AQ1101" s="93">
        <f>IF('Net zero activities &amp; levers'!$C$14="Off",('Activity data'!BJ7*EF!$H38*EF!$H56)*NtoN2O*kgtoGg,IF('Net zero activities &amp; levers'!$C$14="On",('Net zero Activity data'!BJ7*EF!$H38*EF!$H56)*NtoN2O*kgtoGg,"ERROR"))</f>
        <v>6.9589826003472414E-3</v>
      </c>
      <c r="AR1101" s="93">
        <f>IF('Net zero activities &amp; levers'!$C$14="Off",('Activity data'!BK7*EF!$H38*EF!$H56)*NtoN2O*kgtoGg,IF('Net zero activities &amp; levers'!$C$14="On",('Net zero Activity data'!BK7*EF!$H38*EF!$H56)*NtoN2O*kgtoGg,"ERROR"))</f>
        <v>6.9609858708405197E-3</v>
      </c>
      <c r="AS1101" s="93">
        <f>IF('Net zero activities &amp; levers'!$C$14="Off",('Activity data'!BL7*EF!$H38*EF!$H56)*NtoN2O*kgtoGg,IF('Net zero activities &amp; levers'!$C$14="On",('Net zero Activity data'!BL7*EF!$H38*EF!$H56)*NtoN2O*kgtoGg,"ERROR"))</f>
        <v>6.9622655475345486E-3</v>
      </c>
      <c r="AT1101" s="93">
        <f>IF('Net zero activities &amp; levers'!$C$14="Off",('Activity data'!BM7*EF!$H38*EF!$H56)*NtoN2O*kgtoGg,IF('Net zero activities &amp; levers'!$C$14="On",('Net zero Activity data'!BM7*EF!$H38*EF!$H56)*NtoN2O*kgtoGg,"ERROR"))</f>
        <v>6.9628085795287523E-3</v>
      </c>
      <c r="AU1101" s="93">
        <f>IF('Net zero activities &amp; levers'!$C$14="Off",('Activity data'!BN7*EF!$H38*EF!$H56)*NtoN2O*kgtoGg,IF('Net zero activities &amp; levers'!$C$14="On",('Net zero Activity data'!BN7*EF!$H38*EF!$H56)*NtoN2O*kgtoGg,"ERROR"))</f>
        <v>6.9626299750131342E-3</v>
      </c>
      <c r="AV1101" s="93">
        <f>IF('Net zero activities &amp; levers'!$C$14="Off",('Activity data'!BO7*EF!$H38*EF!$H56)*NtoN2O*kgtoGg,IF('Net zero activities &amp; levers'!$C$14="On",('Net zero Activity data'!BO7*EF!$H38*EF!$H56)*NtoN2O*kgtoGg,"ERROR"))</f>
        <v>6.9617402004688092E-3</v>
      </c>
      <c r="AW1101" s="93">
        <f>IF('Net zero activities &amp; levers'!$C$14="Off",('Activity data'!BP7*EF!$H38*EF!$H56)*NtoN2O*kgtoGg,IF('Net zero activities &amp; levers'!$C$14="On",('Net zero Activity data'!BP7*EF!$H38*EF!$H56)*NtoN2O*kgtoGg,"ERROR"))</f>
        <v>6.960039873828548E-3</v>
      </c>
      <c r="AY1101" s="79"/>
    </row>
    <row r="1102" spans="1:51" x14ac:dyDescent="0.25">
      <c r="A1102" s="95" t="str">
        <f t="shared" si="374"/>
        <v>CM Cattle MMN2O</v>
      </c>
      <c r="B1102" s="95" t="s">
        <v>1322</v>
      </c>
      <c r="C1102" s="95" t="s">
        <v>1232</v>
      </c>
      <c r="D1102" t="s">
        <v>15</v>
      </c>
      <c r="E1102" t="s">
        <v>657</v>
      </c>
      <c r="F1102" t="s">
        <v>67</v>
      </c>
      <c r="G1102" t="s">
        <v>122</v>
      </c>
      <c r="H1102" t="s">
        <v>1227</v>
      </c>
      <c r="I1102" t="s">
        <v>139</v>
      </c>
      <c r="J1102" t="s">
        <v>287</v>
      </c>
      <c r="K1102" s="93">
        <f>IF('Net zero activities &amp; levers'!$C$14="Off",('Activity data'!AD8*EF!$H39*EF!$H57)*NtoN2O*kgtoGg,IF('Net zero activities &amp; levers'!$C$14="On",('Net zero Activity data'!AD8*EF!$H39*EF!$H57)*NtoN2O*kgtoGg,"ERROR"))</f>
        <v>0.52525224947331295</v>
      </c>
      <c r="L1102" s="93">
        <f>IF('Net zero activities &amp; levers'!$C$14="Off",('Activity data'!AE8*EF!$H39*EF!$H57)*NtoN2O*kgtoGg,IF('Net zero activities &amp; levers'!$C$14="On",('Net zero Activity data'!AE8*EF!$H39*EF!$H57)*NtoN2O*kgtoGg,"ERROR"))</f>
        <v>0.5206969044571037</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0.51203275332440923</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0.48899333628247277</v>
      </c>
      <c r="Q1102" s="93">
        <f>IF('Net zero activities &amp; levers'!$C$14="Off",('Activity data'!AJ8*EF!$H39*EF!$H57)*NtoN2O*kgtoGg,IF('Net zero activities &amp; levers'!$C$14="On",('Net zero Activity data'!AJ8*EF!$H39*EF!$H57)*NtoN2O*kgtoGg,"ERROR"))</f>
        <v>0.47875543160314166</v>
      </c>
      <c r="R1102" s="93">
        <f>IF('Net zero activities &amp; levers'!$C$14="Off",('Activity data'!AK8*EF!$H39*EF!$H57)*NtoN2O*kgtoGg,IF('Net zero activities &amp; levers'!$C$14="On",('Net zero Activity data'!AK8*EF!$H39*EF!$H57)*NtoN2O*kgtoGg,"ERROR"))</f>
        <v>0.46906920988966783</v>
      </c>
      <c r="S1102" s="93">
        <f>IF('Net zero activities &amp; levers'!$C$14="Off",('Activity data'!AL8*EF!$H39*EF!$H57)*NtoN2O*kgtoGg,IF('Net zero activities &amp; levers'!$C$14="On",('Net zero Activity data'!AL8*EF!$H39*EF!$H57)*NtoN2O*kgtoGg,"ERROR"))</f>
        <v>0.41949739097667643</v>
      </c>
      <c r="T1102" s="93">
        <f>IF('Net zero activities &amp; levers'!$C$14="Off",('Activity data'!AM8*EF!$H39*EF!$H57)*NtoN2O*kgtoGg,IF('Net zero activities &amp; levers'!$C$14="On",('Net zero Activity data'!AM8*EF!$H39*EF!$H57)*NtoN2O*kgtoGg,"ERROR"))</f>
        <v>0.43565935064957972</v>
      </c>
      <c r="U1102" s="93">
        <f>IF('Net zero activities &amp; levers'!$C$14="Off",('Activity data'!AN8*EF!$H39*EF!$H57)*NtoN2O*kgtoGg,IF('Net zero activities &amp; levers'!$C$14="On",('Net zero Activity data'!AN8*EF!$H39*EF!$H57)*NtoN2O*kgtoGg,"ERROR"))</f>
        <v>1.3730656770552265</v>
      </c>
      <c r="V1102" s="93">
        <f>IF('Net zero activities &amp; levers'!$C$14="Off",('Activity data'!AO8*EF!$H39*EF!$H57)*NtoN2O*kgtoGg,IF('Net zero activities &amp; levers'!$C$14="On",('Net zero Activity data'!AO8*EF!$H39*EF!$H57)*NtoN2O*kgtoGg,"ERROR"))</f>
        <v>1.3796884935069886</v>
      </c>
      <c r="W1102" s="93">
        <f>IF('Net zero activities &amp; levers'!$C$14="Off",('Activity data'!AP8*EF!$H39*EF!$H57)*NtoN2O*kgtoGg,IF('Net zero activities &amp; levers'!$C$14="On",('Net zero Activity data'!AP8*EF!$H39*EF!$H57)*NtoN2O*kgtoGg,"ERROR"))</f>
        <v>1.3839270796629521</v>
      </c>
      <c r="X1102" s="93">
        <f>IF('Net zero activities &amp; levers'!$C$14="Off",('Activity data'!AQ8*EF!$H39*EF!$H57)*NtoN2O*kgtoGg,IF('Net zero activities &amp; levers'!$C$14="On",('Net zero Activity data'!AQ8*EF!$H39*EF!$H57)*NtoN2O*kgtoGg,"ERROR"))</f>
        <v>1.3857805722044871</v>
      </c>
      <c r="Y1102" s="93">
        <f>IF('Net zero activities &amp; levers'!$C$14="Off",('Activity data'!AR8*EF!$H39*EF!$H57)*NtoN2O*kgtoGg,IF('Net zero activities &amp; levers'!$C$14="On",('Net zero Activity data'!AR8*EF!$H39*EF!$H57)*NtoN2O*kgtoGg,"ERROR"))</f>
        <v>1.3852882351123565</v>
      </c>
      <c r="Z1102" s="93">
        <f>IF('Net zero activities &amp; levers'!$C$14="Off",('Activity data'!AS8*EF!$H39*EF!$H57)*NtoN2O*kgtoGg,IF('Net zero activities &amp; levers'!$C$14="On",('Net zero Activity data'!AS8*EF!$H39*EF!$H57)*NtoN2O*kgtoGg,"ERROR"))</f>
        <v>1.3824264694708266</v>
      </c>
      <c r="AA1102" s="93">
        <f>IF('Net zero activities &amp; levers'!$C$14="Off",('Activity data'!AT8*EF!$H39*EF!$H57)*NtoN2O*kgtoGg,IF('Net zero activities &amp; levers'!$C$14="On",('Net zero Activity data'!AT8*EF!$H39*EF!$H57)*NtoN2O*kgtoGg,"ERROR"))</f>
        <v>1.3771882651473364</v>
      </c>
      <c r="AB1102" s="93">
        <f>IF('Net zero activities &amp; levers'!$C$14="Off",('Activity data'!AU8*EF!$H39*EF!$H57)*NtoN2O*kgtoGg,IF('Net zero activities &amp; levers'!$C$14="On",('Net zero Activity data'!AU8*EF!$H39*EF!$H57)*NtoN2O*kgtoGg,"ERROR"))</f>
        <v>1.3695779562696064</v>
      </c>
      <c r="AC1102" s="93">
        <f>IF('Net zero activities &amp; levers'!$C$14="Off",('Activity data'!AV8*EF!$H39*EF!$H57)*NtoN2O*kgtoGg,IF('Net zero activities &amp; levers'!$C$14="On",('Net zero Activity data'!AV8*EF!$H39*EF!$H57)*NtoN2O*kgtoGg,"ERROR"))</f>
        <v>1.3596126553947701</v>
      </c>
      <c r="AD1102" s="93">
        <f>IF('Net zero activities &amp; levers'!$C$14="Off",('Activity data'!AW8*EF!$H39*EF!$H57)*NtoN2O*kgtoGg,IF('Net zero activities &amp; levers'!$C$14="On",('Net zero Activity data'!AW8*EF!$H39*EF!$H57)*NtoN2O*kgtoGg,"ERROR"))</f>
        <v>1.33600285419975</v>
      </c>
      <c r="AE1102" s="93">
        <f>IF('Net zero activities &amp; levers'!$C$14="Off",('Activity data'!AX8*EF!$H39*EF!$H57)*NtoN2O*kgtoGg,IF('Net zero activities &amp; levers'!$C$14="On",('Net zero Activity data'!AX8*EF!$H39*EF!$H57)*NtoN2O*kgtoGg,"ERROR"))</f>
        <v>1.3101691590672178</v>
      </c>
      <c r="AF1102" s="93">
        <f>IF('Net zero activities &amp; levers'!$C$14="Off",('Activity data'!AY8*EF!$H39*EF!$H57)*NtoN2O*kgtoGg,IF('Net zero activities &amp; levers'!$C$14="On",('Net zero Activity data'!AY8*EF!$H39*EF!$H57)*NtoN2O*kgtoGg,"ERROR"))</f>
        <v>1.2822276459176047</v>
      </c>
      <c r="AG1102" s="93">
        <f>IF('Net zero activities &amp; levers'!$C$14="Off",('Activity data'!AZ8*EF!$H39*EF!$H57)*NtoN2O*kgtoGg,IF('Net zero activities &amp; levers'!$C$14="On",('Net zero Activity data'!AZ8*EF!$H39*EF!$H57)*NtoN2O*kgtoGg,"ERROR"))</f>
        <v>1.2523075801974097</v>
      </c>
      <c r="AH1102" s="93">
        <f>IF('Net zero activities &amp; levers'!$C$14="Off",('Activity data'!BA8*EF!$H39*EF!$H57)*NtoN2O*kgtoGg,IF('Net zero activities &amp; levers'!$C$14="On",('Net zero Activity data'!BA8*EF!$H39*EF!$H57)*NtoN2O*kgtoGg,"ERROR"))</f>
        <v>1.2205465760046283</v>
      </c>
      <c r="AI1102" s="93">
        <f>IF('Net zero activities &amp; levers'!$C$14="Off",('Activity data'!BB8*EF!$H39*EF!$H57)*NtoN2O*kgtoGg,IF('Net zero activities &amp; levers'!$C$14="On",('Net zero Activity data'!BB8*EF!$H39*EF!$H57)*NtoN2O*kgtoGg,"ERROR"))</f>
        <v>1.1870911726481781</v>
      </c>
      <c r="AJ1102" s="93">
        <f>IF('Net zero activities &amp; levers'!$C$14="Off",('Activity data'!BC8*EF!$H39*EF!$H57)*NtoN2O*kgtoGg,IF('Net zero activities &amp; levers'!$C$14="On",('Net zero Activity data'!BC8*EF!$H39*EF!$H57)*NtoN2O*kgtoGg,"ERROR"))</f>
        <v>-9.1659099684125458E-2</v>
      </c>
      <c r="AK1102" s="93">
        <f>IF('Net zero activities &amp; levers'!$C$14="Off",('Activity data'!BD8*EF!$H39*EF!$H57)*NtoN2O*kgtoGg,IF('Net zero activities &amp; levers'!$C$14="On",('Net zero Activity data'!BD8*EF!$H39*EF!$H57)*NtoN2O*kgtoGg,"ERROR"))</f>
        <v>-8.9452213438823466E-2</v>
      </c>
      <c r="AL1102" s="93">
        <f>IF('Net zero activities &amp; levers'!$C$14="Off",('Activity data'!BE8*EF!$H39*EF!$H57)*NtoN2O*kgtoGg,IF('Net zero activities &amp; levers'!$C$14="On",('Net zero Activity data'!BE8*EF!$H39*EF!$H57)*NtoN2O*kgtoGg,"ERROR"))</f>
        <v>-8.7268288718690495E-2</v>
      </c>
      <c r="AM1102" s="93">
        <f>IF('Net zero activities &amp; levers'!$C$14="Off",('Activity data'!BF8*EF!$H39*EF!$H57)*NtoN2O*kgtoGg,IF('Net zero activities &amp; levers'!$C$14="On",('Net zero Activity data'!BF8*EF!$H39*EF!$H57)*NtoN2O*kgtoGg,"ERROR"))</f>
        <v>-8.5107099964586319E-2</v>
      </c>
      <c r="AN1102" s="93">
        <f>IF('Net zero activities &amp; levers'!$C$14="Off",('Activity data'!BG8*EF!$H39*EF!$H57)*NtoN2O*kgtoGg,IF('Net zero activities &amp; levers'!$C$14="On",('Net zero Activity data'!BG8*EF!$H39*EF!$H57)*NtoN2O*kgtoGg,"ERROR"))</f>
        <v>-8.3391821536204336E-2</v>
      </c>
      <c r="AO1102" s="93">
        <f>IF('Net zero activities &amp; levers'!$C$14="Off",('Activity data'!BH8*EF!$H39*EF!$H57)*NtoN2O*kgtoGg,IF('Net zero activities &amp; levers'!$C$14="On",('Net zero Activity data'!BH8*EF!$H39*EF!$H57)*NtoN2O*kgtoGg,"ERROR"))</f>
        <v>-8.1692814399719135E-2</v>
      </c>
      <c r="AP1102" s="93">
        <f>IF('Net zero activities &amp; levers'!$C$14="Off",('Activity data'!BI8*EF!$H39*EF!$H57)*NtoN2O*kgtoGg,IF('Net zero activities &amp; levers'!$C$14="On",('Net zero Activity data'!BI8*EF!$H39*EF!$H57)*NtoN2O*kgtoGg,"ERROR"))</f>
        <v>-8.0008814881266738E-2</v>
      </c>
      <c r="AQ1102" s="93">
        <f>IF('Net zero activities &amp; levers'!$C$14="Off",('Activity data'!BJ8*EF!$H39*EF!$H57)*NtoN2O*kgtoGg,IF('Net zero activities &amp; levers'!$C$14="On",('Net zero Activity data'!BJ8*EF!$H39*EF!$H57)*NtoN2O*kgtoGg,"ERROR"))</f>
        <v>-7.8339405843548718E-2</v>
      </c>
      <c r="AR1102" s="93">
        <f>IF('Net zero activities &amp; levers'!$C$14="Off",('Activity data'!BK8*EF!$H39*EF!$H57)*NtoN2O*kgtoGg,IF('Net zero activities &amp; levers'!$C$14="On",('Net zero Activity data'!BK8*EF!$H39*EF!$H57)*NtoN2O*kgtoGg,"ERROR"))</f>
        <v>-7.6683366781164067E-2</v>
      </c>
      <c r="AS1102" s="93">
        <f>IF('Net zero activities &amp; levers'!$C$14="Off",('Activity data'!BL8*EF!$H39*EF!$H57)*NtoN2O*kgtoGg,IF('Net zero activities &amp; levers'!$C$14="On",('Net zero Activity data'!BL8*EF!$H39*EF!$H57)*NtoN2O*kgtoGg,"ERROR"))</f>
        <v>-7.5039502453707246E-2</v>
      </c>
      <c r="AT1102" s="93">
        <f>IF('Net zero activities &amp; levers'!$C$14="Off",('Activity data'!BM8*EF!$H39*EF!$H57)*NtoN2O*kgtoGg,IF('Net zero activities &amp; levers'!$C$14="On",('Net zero Activity data'!BM8*EF!$H39*EF!$H57)*NtoN2O*kgtoGg,"ERROR"))</f>
        <v>-7.3407620898571099E-2</v>
      </c>
      <c r="AU1102" s="93">
        <f>IF('Net zero activities &amp; levers'!$C$14="Off",('Activity data'!BN8*EF!$H39*EF!$H57)*NtoN2O*kgtoGg,IF('Net zero activities &amp; levers'!$C$14="On",('Net zero Activity data'!BN8*EF!$H39*EF!$H57)*NtoN2O*kgtoGg,"ERROR"))</f>
        <v>-7.1787822935495418E-2</v>
      </c>
      <c r="AV1102" s="93">
        <f>IF('Net zero activities &amp; levers'!$C$14="Off",('Activity data'!BO8*EF!$H39*EF!$H57)*NtoN2O*kgtoGg,IF('Net zero activities &amp; levers'!$C$14="On",('Net zero Activity data'!BO8*EF!$H39*EF!$H57)*NtoN2O*kgtoGg,"ERROR"))</f>
        <v>-7.0180170412069726E-2</v>
      </c>
      <c r="AW1102" s="93">
        <f>IF('Net zero activities &amp; levers'!$C$14="Off",('Activity data'!BP8*EF!$H39*EF!$H57)*NtoN2O*kgtoGg,IF('Net zero activities &amp; levers'!$C$14="On",('Net zero Activity data'!BP8*EF!$H39*EF!$H57)*NtoN2O*kgtoGg,"ERROR"))</f>
        <v>-6.8583739954492046E-2</v>
      </c>
      <c r="AY1102" s="79"/>
    </row>
    <row r="1103" spans="1:51" x14ac:dyDescent="0.25">
      <c r="A1103" s="95" t="str">
        <f t="shared" si="374"/>
        <v>CM Cattle MMN2O</v>
      </c>
      <c r="B1103" s="95" t="s">
        <v>1322</v>
      </c>
      <c r="C1103" s="95" t="s">
        <v>1232</v>
      </c>
      <c r="D1103" t="s">
        <v>15</v>
      </c>
      <c r="E1103" t="s">
        <v>657</v>
      </c>
      <c r="F1103" t="s">
        <v>67</v>
      </c>
      <c r="G1103" t="s">
        <v>123</v>
      </c>
      <c r="H1103" t="s">
        <v>1227</v>
      </c>
      <c r="I1103" t="s">
        <v>139</v>
      </c>
      <c r="J1103" t="s">
        <v>287</v>
      </c>
      <c r="K1103" s="93">
        <f>IF('Net zero activities &amp; levers'!$C$14="Off",('Activity data'!AD9*EF!$H40*EF!$H58)*NtoN2O*kgtoGg,IF('Net zero activities &amp; levers'!$C$14="On",('Net zero Activity data'!AD9*EF!$H40*EF!$H58)*NtoN2O*kgtoGg,"ERROR"))</f>
        <v>0.80452586370517853</v>
      </c>
      <c r="L1103" s="93">
        <f>IF('Net zero activities &amp; levers'!$C$14="Off",('Activity data'!AE9*EF!$H40*EF!$H58)*NtoN2O*kgtoGg,IF('Net zero activities &amp; levers'!$C$14="On",('Net zero Activity data'!AE9*EF!$H40*EF!$H58)*NtoN2O*kgtoGg,"ERROR"))</f>
        <v>0.79754846782098077</v>
      </c>
      <c r="M1103" s="93">
        <f>IF('Net zero activities &amp; levers'!$C$14="Off",('Activity data'!AF9*EF!$H40*EF!$H58)*NtoN2O*kgtoGg,IF('Net zero activities &amp; levers'!$C$14="On",('Net zero Activity data'!AF9*EF!$H40*EF!$H58)*NtoN2O*kgtoGg,"ERROR"))</f>
        <v>0.79489238443144161</v>
      </c>
      <c r="N1103" s="93">
        <f>IF('Net zero activities &amp; levers'!$C$14="Off",('Activity data'!AG9*EF!$H40*EF!$H58)*NtoN2O*kgtoGg,IF('Net zero activities &amp; levers'!$C$14="On",('Net zero Activity data'!AG9*EF!$H40*EF!$H58)*NtoN2O*kgtoGg,"ERROR"))</f>
        <v>0.78427763712907461</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0.74898829393537247</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0.71847062359542468</v>
      </c>
      <c r="S1103" s="93">
        <f>IF('Net zero activities &amp; levers'!$C$14="Off",('Activity data'!AL9*EF!$H40*EF!$H58)*NtoN2O*kgtoGg,IF('Net zero activities &amp; levers'!$C$14="On",('Net zero Activity data'!AL9*EF!$H40*EF!$H58)*NtoN2O*kgtoGg,"ERROR"))</f>
        <v>0.64254175234089539</v>
      </c>
      <c r="T1103" s="93">
        <f>IF('Net zero activities &amp; levers'!$C$14="Off",('Activity data'!AM9*EF!$H40*EF!$H58)*NtoN2O*kgtoGg,IF('Net zero activities &amp; levers'!$C$14="On",('Net zero Activity data'!AM9*EF!$H40*EF!$H58)*NtoN2O*kgtoGg,"ERROR"))</f>
        <v>0.66729693345254038</v>
      </c>
      <c r="U1103" s="93">
        <f>IF('Net zero activities &amp; levers'!$C$14="Off",('Activity data'!AN9*EF!$H40*EF!$H58)*NtoN2O*kgtoGg,IF('Net zero activities &amp; levers'!$C$14="On",('Net zero Activity data'!AN9*EF!$H40*EF!$H58)*NtoN2O*kgtoGg,"ERROR"))</f>
        <v>2.1031168374137881</v>
      </c>
      <c r="V1103" s="93">
        <f>IF('Net zero activities &amp; levers'!$C$14="Off",('Activity data'!AO9*EF!$H40*EF!$H58)*NtoN2O*kgtoGg,IF('Net zero activities &amp; levers'!$C$14="On",('Net zero Activity data'!AO9*EF!$H40*EF!$H58)*NtoN2O*kgtoGg,"ERROR"))</f>
        <v>2.1132609674605565</v>
      </c>
      <c r="W1103" s="93">
        <f>IF('Net zero activities &amp; levers'!$C$14="Off",('Activity data'!AP9*EF!$H40*EF!$H58)*NtoN2O*kgtoGg,IF('Net zero activities &amp; levers'!$C$14="On",('Net zero Activity data'!AP9*EF!$H40*EF!$H58)*NtoN2O*kgtoGg,"ERROR"))</f>
        <v>2.1197531856118057</v>
      </c>
      <c r="X1103" s="93">
        <f>IF('Net zero activities &amp; levers'!$C$14="Off",('Activity data'!AQ9*EF!$H40*EF!$H58)*NtoN2O*kgtoGg,IF('Net zero activities &amp; levers'!$C$14="On",('Net zero Activity data'!AQ9*EF!$H40*EF!$H58)*NtoN2O*kgtoGg,"ERROR"))</f>
        <v>2.1225921695273335</v>
      </c>
      <c r="Y1103" s="93">
        <f>IF('Net zero activities &amp; levers'!$C$14="Off",('Activity data'!AR9*EF!$H40*EF!$H58)*NtoN2O*kgtoGg,IF('Net zero activities &amp; levers'!$C$14="On",('Net zero Activity data'!AR9*EF!$H40*EF!$H58)*NtoN2O*kgtoGg,"ERROR"))</f>
        <v>2.1218380596217075</v>
      </c>
      <c r="Z1103" s="93">
        <f>IF('Net zero activities &amp; levers'!$C$14="Off",('Activity data'!AS9*EF!$H40*EF!$H58)*NtoN2O*kgtoGg,IF('Net zero activities &amp; levers'!$C$14="On",('Net zero Activity data'!AS9*EF!$H40*EF!$H58)*NtoN2O*kgtoGg,"ERROR"))</f>
        <v>2.1174547095707896</v>
      </c>
      <c r="AA1103" s="93">
        <f>IF('Net zero activities &amp; levers'!$C$14="Off",('Activity data'!AT9*EF!$H40*EF!$H58)*NtoN2O*kgtoGg,IF('Net zero activities &amp; levers'!$C$14="On",('Net zero Activity data'!AT9*EF!$H40*EF!$H58)*NtoN2O*kgtoGg,"ERROR"))</f>
        <v>2.1094313819946655</v>
      </c>
      <c r="AB1103" s="93">
        <f>IF('Net zero activities &amp; levers'!$C$14="Off",('Activity data'!AU9*EF!$H40*EF!$H58)*NtoN2O*kgtoGg,IF('Net zero activities &amp; levers'!$C$14="On",('Net zero Activity data'!AU9*EF!$H40*EF!$H58)*NtoN2O*kgtoGg,"ERROR"))</f>
        <v>2.0977747154519557</v>
      </c>
      <c r="AC1103" s="93">
        <f>IF('Net zero activities &amp; levers'!$C$14="Off",('Activity data'!AV9*EF!$H40*EF!$H58)*NtoN2O*kgtoGg,IF('Net zero activities &amp; levers'!$C$14="On",('Net zero Activity data'!AV9*EF!$H40*EF!$H58)*NtoN2O*kgtoGg,"ERROR"))</f>
        <v>2.0825109211484589</v>
      </c>
      <c r="AD1103" s="93">
        <f>IF('Net zero activities &amp; levers'!$C$14="Off",('Activity data'!AW9*EF!$H40*EF!$H58)*NtoN2O*kgtoGg,IF('Net zero activities &amp; levers'!$C$14="On",('Net zero Activity data'!AW9*EF!$H40*EF!$H58)*NtoN2O*kgtoGg,"ERROR"))</f>
        <v>2.0463479238126498</v>
      </c>
      <c r="AE1103" s="93">
        <f>IF('Net zero activities &amp; levers'!$C$14="Off",('Activity data'!AX9*EF!$H40*EF!$H58)*NtoN2O*kgtoGg,IF('Net zero activities &amp; levers'!$C$14="On",('Net zero Activity data'!AX9*EF!$H40*EF!$H58)*NtoN2O*kgtoGg,"ERROR"))</f>
        <v>2.0067786008634618</v>
      </c>
      <c r="AF1103" s="93">
        <f>IF('Net zero activities &amp; levers'!$C$14="Off",('Activity data'!AY9*EF!$H40*EF!$H58)*NtoN2O*kgtoGg,IF('Net zero activities &amp; levers'!$C$14="On",('Net zero Activity data'!AY9*EF!$H40*EF!$H58)*NtoN2O*kgtoGg,"ERROR"))</f>
        <v>1.9639807451237425</v>
      </c>
      <c r="AG1103" s="93">
        <f>IF('Net zero activities &amp; levers'!$C$14="Off",('Activity data'!AZ9*EF!$H40*EF!$H58)*NtoN2O*kgtoGg,IF('Net zero activities &amp; levers'!$C$14="On",('Net zero Activity data'!AZ9*EF!$H40*EF!$H58)*NtoN2O*kgtoGg,"ERROR"))</f>
        <v>1.9181523517379118</v>
      </c>
      <c r="AH1103" s="93">
        <f>IF('Net zero activities &amp; levers'!$C$14="Off",('Activity data'!BA9*EF!$H40*EF!$H58)*NtoN2O*kgtoGg,IF('Net zero activities &amp; levers'!$C$14="On",('Net zero Activity data'!BA9*EF!$H40*EF!$H58)*NtoN2O*kgtoGg,"ERROR"))</f>
        <v>1.8695042034320957</v>
      </c>
      <c r="AI1103" s="93">
        <f>IF('Net zero activities &amp; levers'!$C$14="Off",('Activity data'!BB9*EF!$H40*EF!$H58)*NtoN2O*kgtoGg,IF('Net zero activities &amp; levers'!$C$14="On",('Net zero Activity data'!BB9*EF!$H40*EF!$H58)*NtoN2O*kgtoGg,"ERROR"))</f>
        <v>1.8182607536268967</v>
      </c>
      <c r="AJ1103" s="93">
        <f>IF('Net zero activities &amp; levers'!$C$14="Off",('Activity data'!BC9*EF!$H40*EF!$H58)*NtoN2O*kgtoGg,IF('Net zero activities &amp; levers'!$C$14="On",('Net zero Activity data'!BC9*EF!$H40*EF!$H58)*NtoN2O*kgtoGg,"ERROR"))</f>
        <v>-0.14039371828250841</v>
      </c>
      <c r="AK1103" s="93">
        <f>IF('Net zero activities &amp; levers'!$C$14="Off",('Activity data'!BD9*EF!$H40*EF!$H58)*NtoN2O*kgtoGg,IF('Net zero activities &amp; levers'!$C$14="On",('Net zero Activity data'!BD9*EF!$H40*EF!$H58)*NtoN2O*kgtoGg,"ERROR"))</f>
        <v>-0.13701344325392734</v>
      </c>
      <c r="AL1103" s="93">
        <f>IF('Net zero activities &amp; levers'!$C$14="Off",('Activity data'!BE9*EF!$H40*EF!$H58)*NtoN2O*kgtoGg,IF('Net zero activities &amp; levers'!$C$14="On",('Net zero Activity data'!BE9*EF!$H40*EF!$H58)*NtoN2O*kgtoGg,"ERROR"))</f>
        <v>-0.13366833826200414</v>
      </c>
      <c r="AM1103" s="93">
        <f>IF('Net zero activities &amp; levers'!$C$14="Off",('Activity data'!BF9*EF!$H40*EF!$H58)*NtoN2O*kgtoGg,IF('Net zero activities &amp; levers'!$C$14="On",('Net zero Activity data'!BF9*EF!$H40*EF!$H58)*NtoN2O*kgtoGg,"ERROR"))</f>
        <v>-0.13035805781909493</v>
      </c>
      <c r="AN1103" s="93">
        <f>IF('Net zero activities &amp; levers'!$C$14="Off",('Activity data'!BG9*EF!$H40*EF!$H58)*NtoN2O*kgtoGg,IF('Net zero activities &amp; levers'!$C$14="On",('Net zero Activity data'!BG9*EF!$H40*EF!$H58)*NtoN2O*kgtoGg,"ERROR"))</f>
        <v>-0.12773077566947513</v>
      </c>
      <c r="AO1103" s="93">
        <f>IF('Net zero activities &amp; levers'!$C$14="Off",('Activity data'!BH9*EF!$H40*EF!$H58)*NtoN2O*kgtoGg,IF('Net zero activities &amp; levers'!$C$14="On",('Net zero Activity data'!BH9*EF!$H40*EF!$H58)*NtoN2O*kgtoGg,"ERROR"))</f>
        <v>-0.12512841616450843</v>
      </c>
      <c r="AP1103" s="93">
        <f>IF('Net zero activities &amp; levers'!$C$14="Off",('Activity data'!BI9*EF!$H40*EF!$H58)*NtoN2O*kgtoGg,IF('Net zero activities &amp; levers'!$C$14="On",('Net zero Activity data'!BI9*EF!$H40*EF!$H58)*NtoN2O*kgtoGg,"ERROR"))</f>
        <v>-0.12254904374217125</v>
      </c>
      <c r="AQ1103" s="93">
        <f>IF('Net zero activities &amp; levers'!$C$14="Off",('Activity data'!BJ9*EF!$H40*EF!$H58)*NtoN2O*kgtoGg,IF('Net zero activities &amp; levers'!$C$14="On",('Net zero Activity data'!BJ9*EF!$H40*EF!$H58)*NtoN2O*kgtoGg,"ERROR"))</f>
        <v>-0.11999201947565157</v>
      </c>
      <c r="AR1103" s="93">
        <f>IF('Net zero activities &amp; levers'!$C$14="Off",('Activity data'!BK9*EF!$H40*EF!$H58)*NtoN2O*kgtoGg,IF('Net zero activities &amp; levers'!$C$14="On",('Net zero Activity data'!BK9*EF!$H40*EF!$H58)*NtoN2O*kgtoGg,"ERROR"))</f>
        <v>-0.11745547392381339</v>
      </c>
      <c r="AS1103" s="93">
        <f>IF('Net zero activities &amp; levers'!$C$14="Off",('Activity data'!BL9*EF!$H40*EF!$H58)*NtoN2O*kgtoGg,IF('Net zero activities &amp; levers'!$C$14="On",('Net zero Activity data'!BL9*EF!$H40*EF!$H58)*NtoN2O*kgtoGg,"ERROR"))</f>
        <v>-0.11493757634376978</v>
      </c>
      <c r="AT1103" s="93">
        <f>IF('Net zero activities &amp; levers'!$C$14="Off",('Activity data'!BM9*EF!$H40*EF!$H58)*NtoN2O*kgtoGg,IF('Net zero activities &amp; levers'!$C$14="On",('Net zero Activity data'!BM9*EF!$H40*EF!$H58)*NtoN2O*kgtoGg,"ERROR"))</f>
        <v>-0.11243803270749411</v>
      </c>
      <c r="AU1103" s="93">
        <f>IF('Net zero activities &amp; levers'!$C$14="Off",('Activity data'!BN9*EF!$H40*EF!$H58)*NtoN2O*kgtoGg,IF('Net zero activities &amp; levers'!$C$14="On",('Net zero Activity data'!BN9*EF!$H40*EF!$H58)*NtoN2O*kgtoGg,"ERROR"))</f>
        <v>-0.10995699744000494</v>
      </c>
      <c r="AV1103" s="93">
        <f>IF('Net zero activities &amp; levers'!$C$14="Off",('Activity data'!BO9*EF!$H40*EF!$H58)*NtoN2O*kgtoGg,IF('Net zero activities &amp; levers'!$C$14="On",('Net zero Activity data'!BO9*EF!$H40*EF!$H58)*NtoN2O*kgtoGg,"ERROR"))</f>
        <v>-0.10749456527290084</v>
      </c>
      <c r="AW1103" s="93">
        <f>IF('Net zero activities &amp; levers'!$C$14="Off",('Activity data'!BP9*EF!$H40*EF!$H58)*NtoN2O*kgtoGg,IF('Net zero activities &amp; levers'!$C$14="On",('Net zero Activity data'!BP9*EF!$H40*EF!$H58)*NtoN2O*kgtoGg,"ERROR"))</f>
        <v>-0.10504932187981528</v>
      </c>
      <c r="AY1103" s="79"/>
    </row>
    <row r="1104" spans="1:51" x14ac:dyDescent="0.25">
      <c r="A1104" s="95" t="str">
        <f t="shared" si="374"/>
        <v>CM Cattle MMN2O</v>
      </c>
      <c r="B1104" s="95" t="s">
        <v>1322</v>
      </c>
      <c r="C1104" s="95" t="s">
        <v>1232</v>
      </c>
      <c r="D1104" t="s">
        <v>15</v>
      </c>
      <c r="E1104" t="s">
        <v>657</v>
      </c>
      <c r="F1104" t="s">
        <v>67</v>
      </c>
      <c r="G1104" t="s">
        <v>135</v>
      </c>
      <c r="H1104" t="s">
        <v>1227</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1.0122801448609147</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1.0806972456941155</v>
      </c>
      <c r="O1104" s="93">
        <f>IF('Net zero activities &amp; levers'!$C$14="Off",('Activity data'!AH10*EF!$H41*EF!$H59)*NtoN2O*kgtoGg,IF('Net zero activities &amp; levers'!$C$14="On",('Net zero Activity data'!AH10*EF!$H41*EF!$H59)*NtoN2O*kgtoGg,"ERROR"))</f>
        <v>1.1032367943433714</v>
      </c>
      <c r="P1104" s="93">
        <f>IF('Net zero activities &amp; levers'!$C$14="Off",('Activity data'!AI10*EF!$H41*EF!$H59)*NtoN2O*kgtoGg,IF('Net zero activities &amp; levers'!$C$14="On",('Net zero Activity data'!AI10*EF!$H41*EF!$H59)*NtoN2O*kgtoGg,"ERROR"))</f>
        <v>1.1187666946803869</v>
      </c>
      <c r="Q1104" s="93">
        <f>IF('Net zero activities &amp; levers'!$C$14="Off",('Activity data'!AJ10*EF!$H41*EF!$H59)*NtoN2O*kgtoGg,IF('Net zero activities &amp; levers'!$C$14="On",('Net zero Activity data'!AJ10*EF!$H41*EF!$H59)*NtoN2O*kgtoGg,"ERROR"))</f>
        <v>1.1399714801203364</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1.0813845600959935</v>
      </c>
      <c r="T1104" s="93">
        <f>IF('Net zero activities &amp; levers'!$C$14="Off",('Activity data'!AM10*EF!$H41*EF!$H59)*NtoN2O*kgtoGg,IF('Net zero activities &amp; levers'!$C$14="On",('Net zero Activity data'!AM10*EF!$H41*EF!$H59)*NtoN2O*kgtoGg,"ERROR"))</f>
        <v>1.1501042489069657</v>
      </c>
      <c r="U1104" s="93">
        <f>IF('Net zero activities &amp; levers'!$C$14="Off",('Activity data'!AN10*EF!$H41*EF!$H59)*NtoN2O*kgtoGg,IF('Net zero activities &amp; levers'!$C$14="On",('Net zero Activity data'!AN10*EF!$H41*EF!$H59)*NtoN2O*kgtoGg,"ERROR"))</f>
        <v>3.7109100106027491</v>
      </c>
      <c r="V1104" s="93">
        <f>IF('Net zero activities &amp; levers'!$C$14="Off",('Activity data'!AO10*EF!$H41*EF!$H59)*NtoN2O*kgtoGg,IF('Net zero activities &amp; levers'!$C$14="On",('Net zero Activity data'!AO10*EF!$H41*EF!$H59)*NtoN2O*kgtoGg,"ERROR"))</f>
        <v>3.81628643561459</v>
      </c>
      <c r="W1104" s="93">
        <f>IF('Net zero activities &amp; levers'!$C$14="Off",('Activity data'!AP10*EF!$H41*EF!$H59)*NtoN2O*kgtoGg,IF('Net zero activities &amp; levers'!$C$14="On",('Net zero Activity data'!AP10*EF!$H41*EF!$H59)*NtoN2O*kgtoGg,"ERROR"))</f>
        <v>3.9167580657264067</v>
      </c>
      <c r="X1104" s="93">
        <f>IF('Net zero activities &amp; levers'!$C$14="Off",('Activity data'!AQ10*EF!$H41*EF!$H59)*NtoN2O*kgtoGg,IF('Net zero activities &amp; levers'!$C$14="On",('Net zero Activity data'!AQ10*EF!$H41*EF!$H59)*NtoN2O*kgtoGg,"ERROR"))</f>
        <v>4.0119388397207816</v>
      </c>
      <c r="Y1104" s="93">
        <f>IF('Net zero activities &amp; levers'!$C$14="Off",('Activity data'!AR10*EF!$H41*EF!$H59)*NtoN2O*kgtoGg,IF('Net zero activities &amp; levers'!$C$14="On",('Net zero Activity data'!AR10*EF!$H41*EF!$H59)*NtoN2O*kgtoGg,"ERROR"))</f>
        <v>4.1015489666041693</v>
      </c>
      <c r="Z1104" s="93">
        <f>IF('Net zero activities &amp; levers'!$C$14="Off",('Activity data'!AS10*EF!$H41*EF!$H59)*NtoN2O*kgtoGg,IF('Net zero activities &amp; levers'!$C$14="On",('Net zero Activity data'!AS10*EF!$H41*EF!$H59)*NtoN2O*kgtoGg,"ERROR"))</f>
        <v>4.185115809425092</v>
      </c>
      <c r="AA1104" s="93">
        <f>IF('Net zero activities &amp; levers'!$C$14="Off",('Activity data'!AT10*EF!$H41*EF!$H59)*NtoN2O*kgtoGg,IF('Net zero activities &amp; levers'!$C$14="On",('Net zero Activity data'!AT10*EF!$H41*EF!$H59)*NtoN2O*kgtoGg,"ERROR"))</f>
        <v>4.2621982223461794</v>
      </c>
      <c r="AB1104" s="93">
        <f>IF('Net zero activities &amp; levers'!$C$14="Off",('Activity data'!AU10*EF!$H41*EF!$H59)*NtoN2O*kgtoGg,IF('Net zero activities &amp; levers'!$C$14="On",('Net zero Activity data'!AU10*EF!$H41*EF!$H59)*NtoN2O*kgtoGg,"ERROR"))</f>
        <v>4.332374707921506</v>
      </c>
      <c r="AC1104" s="93">
        <f>IF('Net zero activities &amp; levers'!$C$14="Off",('Activity data'!AV10*EF!$H41*EF!$H59)*NtoN2O*kgtoGg,IF('Net zero activities &amp; levers'!$C$14="On",('Net zero Activity data'!AV10*EF!$H41*EF!$H59)*NtoN2O*kgtoGg,"ERROR"))</f>
        <v>4.3952511811697104</v>
      </c>
      <c r="AD1104" s="93">
        <f>IF('Net zero activities &amp; levers'!$C$14="Off",('Activity data'!AW10*EF!$H41*EF!$H59)*NtoN2O*kgtoGg,IF('Net zero activities &amp; levers'!$C$14="On",('Net zero Activity data'!AW10*EF!$H41*EF!$H59)*NtoN2O*kgtoGg,"ERROR"))</f>
        <v>4.4621545606882416</v>
      </c>
      <c r="AE1104" s="93">
        <f>IF('Net zero activities &amp; levers'!$C$14="Off",('Activity data'!AX10*EF!$H41*EF!$H59)*NtoN2O*kgtoGg,IF('Net zero activities &amp; levers'!$C$14="On",('Net zero Activity data'!AX10*EF!$H41*EF!$H59)*NtoN2O*kgtoGg,"ERROR"))</f>
        <v>4.5212658165225097</v>
      </c>
      <c r="AF1104" s="93">
        <f>IF('Net zero activities &amp; levers'!$C$14="Off",('Activity data'!AY10*EF!$H41*EF!$H59)*NtoN2O*kgtoGg,IF('Net zero activities &amp; levers'!$C$14="On",('Net zero Activity data'!AY10*EF!$H41*EF!$H59)*NtoN2O*kgtoGg,"ERROR"))</f>
        <v>4.572238941429692</v>
      </c>
      <c r="AG1104" s="93">
        <f>IF('Net zero activities &amp; levers'!$C$14="Off",('Activity data'!AZ10*EF!$H41*EF!$H59)*NtoN2O*kgtoGg,IF('Net zero activities &amp; levers'!$C$14="On",('Net zero Activity data'!AZ10*EF!$H41*EF!$H59)*NtoN2O*kgtoGg,"ERROR"))</f>
        <v>4.6147735825145579</v>
      </c>
      <c r="AH1104" s="93">
        <f>IF('Net zero activities &amp; levers'!$C$14="Off",('Activity data'!BA10*EF!$H41*EF!$H59)*NtoN2O*kgtoGg,IF('Net zero activities &amp; levers'!$C$14="On",('Net zero Activity data'!BA10*EF!$H41*EF!$H59)*NtoN2O*kgtoGg,"ERROR"))</f>
        <v>4.6486045920264791</v>
      </c>
      <c r="AI1104" s="93">
        <f>IF('Net zero activities &amp; levers'!$C$14="Off",('Activity data'!BB10*EF!$H41*EF!$H59)*NtoN2O*kgtoGg,IF('Net zero activities &amp; levers'!$C$14="On",('Net zero Activity data'!BB10*EF!$H41*EF!$H59)*NtoN2O*kgtoGg,"ERROR"))</f>
        <v>4.6735101171168392</v>
      </c>
      <c r="AJ1104" s="93">
        <f>IF('Net zero activities &amp; levers'!$C$14="Off",('Activity data'!BC10*EF!$H41*EF!$H59)*NtoN2O*kgtoGg,IF('Net zero activities &amp; levers'!$C$14="On",('Net zero Activity data'!BC10*EF!$H41*EF!$H59)*NtoN2O*kgtoGg,"ERROR"))</f>
        <v>-0.37307516132200708</v>
      </c>
      <c r="AK1104" s="93">
        <f>IF('Net zero activities &amp; levers'!$C$14="Off",('Activity data'!BD10*EF!$H41*EF!$H59)*NtoN2O*kgtoGg,IF('Net zero activities &amp; levers'!$C$14="On",('Net zero Activity data'!BD10*EF!$H41*EF!$H59)*NtoN2O*kgtoGg,"ERROR"))</f>
        <v>-0.37648970355727795</v>
      </c>
      <c r="AL1104" s="93">
        <f>IF('Net zero activities &amp; levers'!$C$14="Off",('Activity data'!BE10*EF!$H41*EF!$H59)*NtoN2O*kgtoGg,IF('Net zero activities &amp; levers'!$C$14="On",('Net zero Activity data'!BE10*EF!$H41*EF!$H59)*NtoN2O*kgtoGg,"ERROR"))</f>
        <v>-0.37988166723122341</v>
      </c>
      <c r="AM1104" s="93">
        <f>IF('Net zero activities &amp; levers'!$C$14="Off",('Activity data'!BF10*EF!$H41*EF!$H59)*NtoN2O*kgtoGg,IF('Net zero activities &amp; levers'!$C$14="On",('Net zero Activity data'!BF10*EF!$H41*EF!$H59)*NtoN2O*kgtoGg,"ERROR"))</f>
        <v>-0.38325274179247815</v>
      </c>
      <c r="AN1104" s="93">
        <f>IF('Net zero activities &amp; levers'!$C$14="Off",('Activity data'!BG10*EF!$H41*EF!$H59)*NtoN2O*kgtoGg,IF('Net zero activities &amp; levers'!$C$14="On",('Net zero Activity data'!BG10*EF!$H41*EF!$H59)*NtoN2O*kgtoGg,"ERROR"))</f>
        <v>-0.3861241570916577</v>
      </c>
      <c r="AO1104" s="93">
        <f>IF('Net zero activities &amp; levers'!$C$14="Off",('Activity data'!BH10*EF!$H41*EF!$H59)*NtoN2O*kgtoGg,IF('Net zero activities &amp; levers'!$C$14="On",('Net zero Activity data'!BH10*EF!$H41*EF!$H59)*NtoN2O*kgtoGg,"ERROR"))</f>
        <v>-0.38896686054418655</v>
      </c>
      <c r="AP1104" s="93">
        <f>IF('Net zero activities &amp; levers'!$C$14="Off",('Activity data'!BI10*EF!$H41*EF!$H59)*NtoN2O*kgtoGg,IF('Net zero activities &amp; levers'!$C$14="On",('Net zero Activity data'!BI10*EF!$H41*EF!$H59)*NtoN2O*kgtoGg,"ERROR"))</f>
        <v>-0.39177650128046815</v>
      </c>
      <c r="AQ1104" s="93">
        <f>IF('Net zero activities &amp; levers'!$C$14="Off",('Activity data'!BJ10*EF!$H41*EF!$H59)*NtoN2O*kgtoGg,IF('Net zero activities &amp; levers'!$C$14="On",('Net zero Activity data'!BJ10*EF!$H41*EF!$H59)*NtoN2O*kgtoGg,"ERROR"))</f>
        <v>-0.39455230658450102</v>
      </c>
      <c r="AR1104" s="93">
        <f>IF('Net zero activities &amp; levers'!$C$14="Off",('Activity data'!BK10*EF!$H41*EF!$H59)*NtoN2O*kgtoGg,IF('Net zero activities &amp; levers'!$C$14="On",('Net zero Activity data'!BK10*EF!$H41*EF!$H59)*NtoN2O*kgtoGg,"ERROR"))</f>
        <v>-0.39728909714720628</v>
      </c>
      <c r="AS1104" s="93">
        <f>IF('Net zero activities &amp; levers'!$C$14="Off",('Activity data'!BL10*EF!$H41*EF!$H59)*NtoN2O*kgtoGg,IF('Net zero activities &amp; levers'!$C$14="On",('Net zero Activity data'!BL10*EF!$H41*EF!$H59)*NtoN2O*kgtoGg,"ERROR"))</f>
        <v>-0.39998109146847105</v>
      </c>
      <c r="AT1104" s="93">
        <f>IF('Net zero activities &amp; levers'!$C$14="Off",('Activity data'!BM10*EF!$H41*EF!$H59)*NtoN2O*kgtoGg,IF('Net zero activities &amp; levers'!$C$14="On",('Net zero Activity data'!BM10*EF!$H41*EF!$H59)*NtoN2O*kgtoGg,"ERROR"))</f>
        <v>-0.40262723351695445</v>
      </c>
      <c r="AU1104" s="93">
        <f>IF('Net zero activities &amp; levers'!$C$14="Off",('Activity data'!BN10*EF!$H41*EF!$H59)*NtoN2O*kgtoGg,IF('Net zero activities &amp; levers'!$C$14="On",('Net zero Activity data'!BN10*EF!$H41*EF!$H59)*NtoN2O*kgtoGg,"ERROR"))</f>
        <v>-0.4052279233246403</v>
      </c>
      <c r="AV1104" s="93">
        <f>IF('Net zero activities &amp; levers'!$C$14="Off",('Activity data'!BO10*EF!$H41*EF!$H59)*NtoN2O*kgtoGg,IF('Net zero activities &amp; levers'!$C$14="On",('Net zero Activity data'!BO10*EF!$H41*EF!$H59)*NtoN2O*kgtoGg,"ERROR"))</f>
        <v>-0.40778332090512204</v>
      </c>
      <c r="AW1104" s="93">
        <f>IF('Net zero activities &amp; levers'!$C$14="Off",('Activity data'!BP10*EF!$H41*EF!$H59)*NtoN2O*kgtoGg,IF('Net zero activities &amp; levers'!$C$14="On",('Net zero Activity data'!BP10*EF!$H41*EF!$H59)*NtoN2O*kgtoGg,"ERROR"))</f>
        <v>-0.41028765697691083</v>
      </c>
      <c r="AY1104" s="79"/>
    </row>
    <row r="1105" spans="1:51" x14ac:dyDescent="0.25">
      <c r="A1105" s="95" t="str">
        <f t="shared" si="374"/>
        <v>CM Sheep MMN2O</v>
      </c>
      <c r="B1105" s="95" t="s">
        <v>1322</v>
      </c>
      <c r="C1105" s="95" t="s">
        <v>1328</v>
      </c>
      <c r="D1105" t="s">
        <v>15</v>
      </c>
      <c r="E1105" t="s">
        <v>657</v>
      </c>
      <c r="F1105" t="s">
        <v>18</v>
      </c>
      <c r="G1105" t="s">
        <v>122</v>
      </c>
      <c r="H1105" t="s">
        <v>1227</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0.11888990250365807</v>
      </c>
      <c r="T1105" s="93">
        <f>IF('Net zero activities &amp; levers'!$C$14="Off",('Activity data'!AM11*EF!$H42*EF!$H60)*NtoN2O*kgtoGg,IF('Net zero activities &amp; levers'!$C$14="On",('Net zero Activity data'!AM11*EF!$H42*EF!$H60)*NtoN2O*kgtoGg,"ERROR"))</f>
        <v>0.1189690287837306</v>
      </c>
      <c r="U1105" s="93">
        <f>IF('Net zero activities &amp; levers'!$C$14="Off",('Activity data'!AN11*EF!$H42*EF!$H60)*NtoN2O*kgtoGg,IF('Net zero activities &amp; levers'!$C$14="On",('Net zero Activity data'!AN11*EF!$H42*EF!$H60)*NtoN2O*kgtoGg,"ERROR"))</f>
        <v>0.12051861082287679</v>
      </c>
      <c r="V1105" s="93">
        <f>IF('Net zero activities &amp; levers'!$C$14="Off",('Activity data'!AO11*EF!$H42*EF!$H60)*NtoN2O*kgtoGg,IF('Net zero activities &amp; levers'!$C$14="On",('Net zero Activity data'!AO11*EF!$H42*EF!$H60)*NtoN2O*kgtoGg,"ERROR"))</f>
        <v>0.1205564116673056</v>
      </c>
      <c r="W1105" s="93">
        <f>IF('Net zero activities &amp; levers'!$C$14="Off",('Activity data'!AP11*EF!$H42*EF!$H60)*NtoN2O*kgtoGg,IF('Net zero activities &amp; levers'!$C$14="On",('Net zero Activity data'!AP11*EF!$H42*EF!$H60)*NtoN2O*kgtoGg,"ERROR"))</f>
        <v>0.1207181038170992</v>
      </c>
      <c r="X1105" s="93">
        <f>IF('Net zero activities &amp; levers'!$C$14="Off",('Activity data'!AQ11*EF!$H42*EF!$H60)*NtoN2O*kgtoGg,IF('Net zero activities &amp; levers'!$C$14="On",('Net zero Activity data'!AQ11*EF!$H42*EF!$H60)*NtoN2O*kgtoGg,"ERROR"))</f>
        <v>0.1209518337442019</v>
      </c>
      <c r="Y1105" s="93">
        <f>IF('Net zero activities &amp; levers'!$C$14="Off",('Activity data'!AR11*EF!$H42*EF!$H60)*NtoN2O*kgtoGg,IF('Net zero activities &amp; levers'!$C$14="On",('Net zero Activity data'!AR11*EF!$H42*EF!$H60)*NtoN2O*kgtoGg,"ERROR"))</f>
        <v>0.12116896083678347</v>
      </c>
      <c r="Z1105" s="93">
        <f>IF('Net zero activities &amp; levers'!$C$14="Off",('Activity data'!AS11*EF!$H42*EF!$H60)*NtoN2O*kgtoGg,IF('Net zero activities &amp; levers'!$C$14="On",('Net zero Activity data'!AS11*EF!$H42*EF!$H60)*NtoN2O*kgtoGg,"ERROR"))</f>
        <v>0.12137217342001694</v>
      </c>
      <c r="AA1105" s="93">
        <f>IF('Net zero activities &amp; levers'!$C$14="Off",('Activity data'!AT11*EF!$H42*EF!$H60)*NtoN2O*kgtoGg,IF('Net zero activities &amp; levers'!$C$14="On",('Net zero Activity data'!AT11*EF!$H42*EF!$H60)*NtoN2O*kgtoGg,"ERROR"))</f>
        <v>0.1215603878714394</v>
      </c>
      <c r="AB1105" s="93">
        <f>IF('Net zero activities &amp; levers'!$C$14="Off",('Activity data'!AU11*EF!$H42*EF!$H60)*NtoN2O*kgtoGg,IF('Net zero activities &amp; levers'!$C$14="On",('Net zero Activity data'!AU11*EF!$H42*EF!$H60)*NtoN2O*kgtoGg,"ERROR"))</f>
        <v>0.12173530001872475</v>
      </c>
      <c r="AC1105" s="93">
        <f>IF('Net zero activities &amp; levers'!$C$14="Off",('Activity data'!AV11*EF!$H42*EF!$H60)*NtoN2O*kgtoGg,IF('Net zero activities &amp; levers'!$C$14="On",('Net zero Activity data'!AV11*EF!$H42*EF!$H60)*NtoN2O*kgtoGg,"ERROR"))</f>
        <v>0.12189956310100271</v>
      </c>
      <c r="AD1105" s="93">
        <f>IF('Net zero activities &amp; levers'!$C$14="Off",('Activity data'!AW11*EF!$H42*EF!$H60)*NtoN2O*kgtoGg,IF('Net zero activities &amp; levers'!$C$14="On",('Net zero Activity data'!AW11*EF!$H42*EF!$H60)*NtoN2O*kgtoGg,"ERROR"))</f>
        <v>0.12205302234453672</v>
      </c>
      <c r="AE1105" s="93">
        <f>IF('Net zero activities &amp; levers'!$C$14="Off",('Activity data'!AX11*EF!$H42*EF!$H60)*NtoN2O*kgtoGg,IF('Net zero activities &amp; levers'!$C$14="On",('Net zero Activity data'!AX11*EF!$H42*EF!$H60)*NtoN2O*kgtoGg,"ERROR"))</f>
        <v>0.12219813225383717</v>
      </c>
      <c r="AF1105" s="93">
        <f>IF('Net zero activities &amp; levers'!$C$14="Off",('Activity data'!AY11*EF!$H42*EF!$H60)*NtoN2O*kgtoGg,IF('Net zero activities &amp; levers'!$C$14="On",('Net zero Activity data'!AY11*EF!$H42*EF!$H60)*NtoN2O*kgtoGg,"ERROR"))</f>
        <v>0.12233524409037175</v>
      </c>
      <c r="AG1105" s="93">
        <f>IF('Net zero activities &amp; levers'!$C$14="Off",('Activity data'!AZ11*EF!$H42*EF!$H60)*NtoN2O*kgtoGg,IF('Net zero activities &amp; levers'!$C$14="On",('Net zero Activity data'!AZ11*EF!$H42*EF!$H60)*NtoN2O*kgtoGg,"ERROR"))</f>
        <v>0.12246247857835596</v>
      </c>
      <c r="AH1105" s="93">
        <f>IF('Net zero activities &amp; levers'!$C$14="Off",('Activity data'!BA11*EF!$H42*EF!$H60)*NtoN2O*kgtoGg,IF('Net zero activities &amp; levers'!$C$14="On",('Net zero Activity data'!BA11*EF!$H42*EF!$H60)*NtoN2O*kgtoGg,"ERROR"))</f>
        <v>0.12258099962950754</v>
      </c>
      <c r="AI1105" s="93">
        <f>IF('Net zero activities &amp; levers'!$C$14="Off",('Activity data'!BB11*EF!$H42*EF!$H60)*NtoN2O*kgtoGg,IF('Net zero activities &amp; levers'!$C$14="On",('Net zero Activity data'!BB11*EF!$H42*EF!$H60)*NtoN2O*kgtoGg,"ERROR"))</f>
        <v>0.1226926980528978</v>
      </c>
      <c r="AJ1105" s="93">
        <f>IF('Net zero activities &amp; levers'!$C$14="Off",('Activity data'!BC11*EF!$H42*EF!$H60)*NtoN2O*kgtoGg,IF('Net zero activities &amp; levers'!$C$14="On",('Net zero Activity data'!BC11*EF!$H42*EF!$H60)*NtoN2O*kgtoGg,"ERROR"))</f>
        <v>0.12000006421083369</v>
      </c>
      <c r="AK1105" s="93">
        <f>IF('Net zero activities &amp; levers'!$C$14="Off",('Activity data'!BD11*EF!$H42*EF!$H60)*NtoN2O*kgtoGg,IF('Net zero activities &amp; levers'!$C$14="On",('Net zero Activity data'!BD11*EF!$H42*EF!$H60)*NtoN2O*kgtoGg,"ERROR"))</f>
        <v>0.12011041514130365</v>
      </c>
      <c r="AL1105" s="93">
        <f>IF('Net zero activities &amp; levers'!$C$14="Off",('Activity data'!BE11*EF!$H42*EF!$H60)*NtoN2O*kgtoGg,IF('Net zero activities &amp; levers'!$C$14="On",('Net zero Activity data'!BE11*EF!$H42*EF!$H60)*NtoN2O*kgtoGg,"ERROR"))</f>
        <v>0.12021334415571779</v>
      </c>
      <c r="AM1105" s="93">
        <f>IF('Net zero activities &amp; levers'!$C$14="Off",('Activity data'!BF11*EF!$H42*EF!$H60)*NtoN2O*kgtoGg,IF('Net zero activities &amp; levers'!$C$14="On",('Net zero Activity data'!BF11*EF!$H42*EF!$H60)*NtoN2O*kgtoGg,"ERROR"))</f>
        <v>0.12030948030331916</v>
      </c>
      <c r="AN1105" s="93">
        <f>IF('Net zero activities &amp; levers'!$C$14="Off",('Activity data'!BG11*EF!$H42*EF!$H60)*NtoN2O*kgtoGg,IF('Net zero activities &amp; levers'!$C$14="On",('Net zero Activity data'!BG11*EF!$H42*EF!$H60)*NtoN2O*kgtoGg,"ERROR"))</f>
        <v>0.12039958826810335</v>
      </c>
      <c r="AO1105" s="93">
        <f>IF('Net zero activities &amp; levers'!$C$14="Off",('Activity data'!BH11*EF!$H42*EF!$H60)*NtoN2O*kgtoGg,IF('Net zero activities &amp; levers'!$C$14="On",('Net zero Activity data'!BH11*EF!$H42*EF!$H60)*NtoN2O*kgtoGg,"ERROR"))</f>
        <v>0.12048129784431058</v>
      </c>
      <c r="AP1105" s="93">
        <f>IF('Net zero activities &amp; levers'!$C$14="Off",('Activity data'!BI11*EF!$H42*EF!$H60)*NtoN2O*kgtoGg,IF('Net zero activities &amp; levers'!$C$14="On",('Net zero Activity data'!BI11*EF!$H42*EF!$H60)*NtoN2O*kgtoGg,"ERROR"))</f>
        <v>0.12055302618273207</v>
      </c>
      <c r="AQ1105" s="93">
        <f>IF('Net zero activities &amp; levers'!$C$14="Off",('Activity data'!BJ11*EF!$H42*EF!$H60)*NtoN2O*kgtoGg,IF('Net zero activities &amp; levers'!$C$14="On",('Net zero Activity data'!BJ11*EF!$H42*EF!$H60)*NtoN2O*kgtoGg,"ERROR"))</f>
        <v>0.12061454144456668</v>
      </c>
      <c r="AR1105" s="93">
        <f>IF('Net zero activities &amp; levers'!$C$14="Off",('Activity data'!BK11*EF!$H42*EF!$H60)*NtoN2O*kgtoGg,IF('Net zero activities &amp; levers'!$C$14="On",('Net zero Activity data'!BK11*EF!$H42*EF!$H60)*NtoN2O*kgtoGg,"ERROR"))</f>
        <v>0.12066404237348154</v>
      </c>
      <c r="AS1105" s="93">
        <f>IF('Net zero activities &amp; levers'!$C$14="Off",('Activity data'!BL11*EF!$H42*EF!$H60)*NtoN2O*kgtoGg,IF('Net zero activities &amp; levers'!$C$14="On",('Net zero Activity data'!BL11*EF!$H42*EF!$H60)*NtoN2O*kgtoGg,"ERROR"))</f>
        <v>0.12069957105311468</v>
      </c>
      <c r="AT1105" s="93">
        <f>IF('Net zero activities &amp; levers'!$C$14="Off",('Activity data'!BM11*EF!$H42*EF!$H60)*NtoN2O*kgtoGg,IF('Net zero activities &amp; levers'!$C$14="On",('Net zero Activity data'!BM11*EF!$H42*EF!$H60)*NtoN2O*kgtoGg,"ERROR"))</f>
        <v>0.12072090668873016</v>
      </c>
      <c r="AU1105" s="93">
        <f>IF('Net zero activities &amp; levers'!$C$14="Off",('Activity data'!BN11*EF!$H42*EF!$H60)*NtoN2O*kgtoGg,IF('Net zero activities &amp; levers'!$C$14="On",('Net zero Activity data'!BN11*EF!$H42*EF!$H60)*NtoN2O*kgtoGg,"ERROR"))</f>
        <v>0.12072835361242823</v>
      </c>
      <c r="AV1105" s="93">
        <f>IF('Net zero activities &amp; levers'!$C$14="Off",('Activity data'!BO11*EF!$H42*EF!$H60)*NtoN2O*kgtoGg,IF('Net zero activities &amp; levers'!$C$14="On",('Net zero Activity data'!BO11*EF!$H42*EF!$H60)*NtoN2O*kgtoGg,"ERROR"))</f>
        <v>0.12072212964886384</v>
      </c>
      <c r="AW1105" s="93">
        <f>IF('Net zero activities &amp; levers'!$C$14="Off",('Activity data'!BP11*EF!$H42*EF!$H60)*NtoN2O*kgtoGg,IF('Net zero activities &amp; levers'!$C$14="On",('Net zero Activity data'!BP11*EF!$H42*EF!$H60)*NtoN2O*kgtoGg,"ERROR"))</f>
        <v>0.12070039195556491</v>
      </c>
      <c r="AY1105" s="79"/>
    </row>
    <row r="1106" spans="1:51" x14ac:dyDescent="0.25">
      <c r="A1106" s="95" t="str">
        <f t="shared" si="374"/>
        <v>CM Sheep MMN2O</v>
      </c>
      <c r="B1106" s="95" t="s">
        <v>1322</v>
      </c>
      <c r="C1106" s="95" t="s">
        <v>1328</v>
      </c>
      <c r="D1106" t="s">
        <v>15</v>
      </c>
      <c r="E1106" t="s">
        <v>657</v>
      </c>
      <c r="F1106" t="s">
        <v>18</v>
      </c>
      <c r="G1106" t="s">
        <v>123</v>
      </c>
      <c r="H1106" t="s">
        <v>1227</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6.3575358075834407E-2</v>
      </c>
      <c r="T1106" s="93">
        <f>IF('Net zero activities &amp; levers'!$C$14="Off",('Activity data'!AM12*EF!$H43*EF!$H61)*NtoN2O*kgtoGg,IF('Net zero activities &amp; levers'!$C$14="On",('Net zero Activity data'!AM12*EF!$H43*EF!$H61)*NtoN2O*kgtoGg,"ERROR"))</f>
        <v>6.3617670177054816E-2</v>
      </c>
      <c r="U1106" s="93">
        <f>IF('Net zero activities &amp; levers'!$C$14="Off",('Activity data'!AN12*EF!$H43*EF!$H61)*NtoN2O*kgtoGg,IF('Net zero activities &amp; levers'!$C$14="On",('Net zero Activity data'!AN12*EF!$H43*EF!$H61)*NtoN2O*kgtoGg,"ERROR"))</f>
        <v>6.4446295913404186E-2</v>
      </c>
      <c r="V1106" s="93">
        <f>IF('Net zero activities &amp; levers'!$C$14="Off",('Activity data'!AO12*EF!$H43*EF!$H61)*NtoN2O*kgtoGg,IF('Net zero activities &amp; levers'!$C$14="On",('Net zero Activity data'!AO12*EF!$H43*EF!$H61)*NtoN2O*kgtoGg,"ERROR"))</f>
        <v>6.4466509591517507E-2</v>
      </c>
      <c r="W1106" s="93">
        <f>IF('Net zero activities &amp; levers'!$C$14="Off",('Activity data'!AP12*EF!$H43*EF!$H61)*NtoN2O*kgtoGg,IF('Net zero activities &amp; levers'!$C$14="On",('Net zero Activity data'!AP12*EF!$H43*EF!$H61)*NtoN2O*kgtoGg,"ERROR"))</f>
        <v>6.4552973085091836E-2</v>
      </c>
      <c r="X1106" s="93">
        <f>IF('Net zero activities &amp; levers'!$C$14="Off",('Activity data'!AQ12*EF!$H43*EF!$H61)*NtoN2O*kgtoGg,IF('Net zero activities &amp; levers'!$C$14="On",('Net zero Activity data'!AQ12*EF!$H43*EF!$H61)*NtoN2O*kgtoGg,"ERROR"))</f>
        <v>6.4677958163687016E-2</v>
      </c>
      <c r="Y1106" s="93">
        <f>IF('Net zero activities &amp; levers'!$C$14="Off",('Activity data'!AR12*EF!$H43*EF!$H61)*NtoN2O*kgtoGg,IF('Net zero activities &amp; levers'!$C$14="On",('Net zero Activity data'!AR12*EF!$H43*EF!$H61)*NtoN2O*kgtoGg,"ERROR"))</f>
        <v>6.479406501858509E-2</v>
      </c>
      <c r="Z1106" s="93">
        <f>IF('Net zero activities &amp; levers'!$C$14="Off",('Activity data'!AS12*EF!$H43*EF!$H61)*NtoN2O*kgtoGg,IF('Net zero activities &amp; levers'!$C$14="On",('Net zero Activity data'!AS12*EF!$H43*EF!$H61)*NtoN2O*kgtoGg,"ERROR"))</f>
        <v>6.4902731208669517E-2</v>
      </c>
      <c r="AA1106" s="93">
        <f>IF('Net zero activities &amp; levers'!$C$14="Off",('Activity data'!AT12*EF!$H43*EF!$H61)*NtoN2O*kgtoGg,IF('Net zero activities &amp; levers'!$C$14="On",('Net zero Activity data'!AT12*EF!$H43*EF!$H61)*NtoN2O*kgtoGg,"ERROR"))</f>
        <v>6.500337727610038E-2</v>
      </c>
      <c r="AB1106" s="93">
        <f>IF('Net zero activities &amp; levers'!$C$14="Off",('Activity data'!AU12*EF!$H43*EF!$H61)*NtoN2O*kgtoGg,IF('Net zero activities &amp; levers'!$C$14="On",('Net zero Activity data'!AU12*EF!$H43*EF!$H61)*NtoN2O*kgtoGg,"ERROR"))</f>
        <v>6.5096910050215798E-2</v>
      </c>
      <c r="AC1106" s="93">
        <f>IF('Net zero activities &amp; levers'!$C$14="Off",('Activity data'!AV12*EF!$H43*EF!$H61)*NtoN2O*kgtoGg,IF('Net zero activities &amp; levers'!$C$14="On",('Net zero Activity data'!AV12*EF!$H43*EF!$H61)*NtoN2O*kgtoGg,"ERROR"))</f>
        <v>6.518474832793783E-2</v>
      </c>
      <c r="AD1106" s="93">
        <f>IF('Net zero activities &amp; levers'!$C$14="Off",('Activity data'!AW12*EF!$H43*EF!$H61)*NtoN2O*kgtoGg,IF('Net zero activities &amp; levers'!$C$14="On",('Net zero Activity data'!AW12*EF!$H43*EF!$H61)*NtoN2O*kgtoGg,"ERROR"))</f>
        <v>6.5266809345335172E-2</v>
      </c>
      <c r="AE1106" s="93">
        <f>IF('Net zero activities &amp; levers'!$C$14="Off",('Activity data'!AX12*EF!$H43*EF!$H61)*NtoN2O*kgtoGg,IF('Net zero activities &amp; levers'!$C$14="On",('Net zero Activity data'!AX12*EF!$H43*EF!$H61)*NtoN2O*kgtoGg,"ERROR"))</f>
        <v>6.5344405627692656E-2</v>
      </c>
      <c r="AF1106" s="93">
        <f>IF('Net zero activities &amp; levers'!$C$14="Off",('Activity data'!AY12*EF!$H43*EF!$H61)*NtoN2O*kgtoGg,IF('Net zero activities &amp; levers'!$C$14="On",('Net zero Activity data'!AY12*EF!$H43*EF!$H61)*NtoN2O*kgtoGg,"ERROR"))</f>
        <v>6.5417725009074529E-2</v>
      </c>
      <c r="AG1106" s="93">
        <f>IF('Net zero activities &amp; levers'!$C$14="Off",('Activity data'!AZ12*EF!$H43*EF!$H61)*NtoN2O*kgtoGg,IF('Net zero activities &amp; levers'!$C$14="On",('Net zero Activity data'!AZ12*EF!$H43*EF!$H61)*NtoN2O*kgtoGg,"ERROR"))</f>
        <v>6.5485762562835198E-2</v>
      </c>
      <c r="AH1106" s="93">
        <f>IF('Net zero activities &amp; levers'!$C$14="Off",('Activity data'!BA12*EF!$H43*EF!$H61)*NtoN2O*kgtoGg,IF('Net zero activities &amp; levers'!$C$14="On",('Net zero Activity data'!BA12*EF!$H43*EF!$H61)*NtoN2O*kgtoGg,"ERROR"))</f>
        <v>6.5549140680806597E-2</v>
      </c>
      <c r="AI1106" s="93">
        <f>IF('Net zero activities &amp; levers'!$C$14="Off",('Activity data'!BB12*EF!$H43*EF!$H61)*NtoN2O*kgtoGg,IF('Net zero activities &amp; levers'!$C$14="On",('Net zero Activity data'!BB12*EF!$H43*EF!$H61)*NtoN2O*kgtoGg,"ERROR"))</f>
        <v>6.560887045696083E-2</v>
      </c>
      <c r="AJ1106" s="93">
        <f>IF('Net zero activities &amp; levers'!$C$14="Off",('Activity data'!BC12*EF!$H43*EF!$H61)*NtoN2O*kgtoGg,IF('Net zero activities &amp; levers'!$C$14="On",('Net zero Activity data'!BC12*EF!$H43*EF!$H61)*NtoN2O*kgtoGg,"ERROR"))</f>
        <v>6.4169007549586779E-2</v>
      </c>
      <c r="AK1106" s="93">
        <f>IF('Net zero activities &amp; levers'!$C$14="Off",('Activity data'!BD12*EF!$H43*EF!$H61)*NtoN2O*kgtoGg,IF('Net zero activities &amp; levers'!$C$14="On",('Net zero Activity data'!BD12*EF!$H43*EF!$H61)*NtoN2O*kgtoGg,"ERROR"))</f>
        <v>6.42280167654318E-2</v>
      </c>
      <c r="AL1106" s="93">
        <f>IF('Net zero activities &amp; levers'!$C$14="Off",('Activity data'!BE12*EF!$H43*EF!$H61)*NtoN2O*kgtoGg,IF('Net zero activities &amp; levers'!$C$14="On",('Net zero Activity data'!BE12*EF!$H43*EF!$H61)*NtoN2O*kgtoGg,"ERROR"))</f>
        <v>6.4283057175171951E-2</v>
      </c>
      <c r="AM1106" s="93">
        <f>IF('Net zero activities &amp; levers'!$C$14="Off",('Activity data'!BF12*EF!$H43*EF!$H61)*NtoN2O*kgtoGg,IF('Net zero activities &amp; levers'!$C$14="On",('Net zero Activity data'!BF12*EF!$H43*EF!$H61)*NtoN2O*kgtoGg,"ERROR"))</f>
        <v>6.4334465157507542E-2</v>
      </c>
      <c r="AN1106" s="93">
        <f>IF('Net zero activities &amp; levers'!$C$14="Off",('Activity data'!BG12*EF!$H43*EF!$H61)*NtoN2O*kgtoGg,IF('Net zero activities &amp; levers'!$C$14="On",('Net zero Activity data'!BG12*EF!$H43*EF!$H61)*NtoN2O*kgtoGg,"ERROR"))</f>
        <v>6.4382649620662147E-2</v>
      </c>
      <c r="AO1106" s="93">
        <f>IF('Net zero activities &amp; levers'!$C$14="Off",('Activity data'!BH12*EF!$H43*EF!$H61)*NtoN2O*kgtoGg,IF('Net zero activities &amp; levers'!$C$14="On",('Net zero Activity data'!BH12*EF!$H43*EF!$H61)*NtoN2O*kgtoGg,"ERROR"))</f>
        <v>6.4426343117386445E-2</v>
      </c>
      <c r="AP1106" s="93">
        <f>IF('Net zero activities &amp; levers'!$C$14="Off",('Activity data'!BI12*EF!$H43*EF!$H61)*NtoN2O*kgtoGg,IF('Net zero activities &amp; levers'!$C$14="On",('Net zero Activity data'!BI12*EF!$H43*EF!$H61)*NtoN2O*kgtoGg,"ERROR"))</f>
        <v>6.4464699232609876E-2</v>
      </c>
      <c r="AQ1106" s="93">
        <f>IF('Net zero activities &amp; levers'!$C$14="Off",('Activity data'!BJ12*EF!$H43*EF!$H61)*NtoN2O*kgtoGg,IF('Net zero activities &amp; levers'!$C$14="On",('Net zero Activity data'!BJ12*EF!$H43*EF!$H61)*NtoN2O*kgtoGg,"ERROR"))</f>
        <v>6.4497593992517213E-2</v>
      </c>
      <c r="AR1106" s="93">
        <f>IF('Net zero activities &amp; levers'!$C$14="Off",('Activity data'!BK12*EF!$H43*EF!$H61)*NtoN2O*kgtoGg,IF('Net zero activities &amp; levers'!$C$14="On",('Net zero Activity data'!BK12*EF!$H43*EF!$H61)*NtoN2O*kgtoGg,"ERROR"))</f>
        <v>6.452406419069702E-2</v>
      </c>
      <c r="AS1106" s="93">
        <f>IF('Net zero activities &amp; levers'!$C$14="Off",('Activity data'!BL12*EF!$H43*EF!$H61)*NtoN2O*kgtoGg,IF('Net zero activities &amp; levers'!$C$14="On",('Net zero Activity data'!BL12*EF!$H43*EF!$H61)*NtoN2O*kgtoGg,"ERROR"))</f>
        <v>6.4543062848127733E-2</v>
      </c>
      <c r="AT1106" s="93">
        <f>IF('Net zero activities &amp; levers'!$C$14="Off",('Activity data'!BM12*EF!$H43*EF!$H61)*NtoN2O*kgtoGg,IF('Net zero activities &amp; levers'!$C$14="On",('Net zero Activity data'!BM12*EF!$H43*EF!$H61)*NtoN2O*kgtoGg,"ERROR"))</f>
        <v>6.4554471896713567E-2</v>
      </c>
      <c r="AU1106" s="93">
        <f>IF('Net zero activities &amp; levers'!$C$14="Off",('Activity data'!BN12*EF!$H43*EF!$H61)*NtoN2O*kgtoGg,IF('Net zero activities &amp; levers'!$C$14="On",('Net zero Activity data'!BN12*EF!$H43*EF!$H61)*NtoN2O*kgtoGg,"ERROR"))</f>
        <v>6.4558454075441099E-2</v>
      </c>
      <c r="AV1106" s="93">
        <f>IF('Net zero activities &amp; levers'!$C$14="Off",('Activity data'!BO12*EF!$H43*EF!$H61)*NtoN2O*kgtoGg,IF('Net zero activities &amp; levers'!$C$14="On",('Net zero Activity data'!BO12*EF!$H43*EF!$H61)*NtoN2O*kgtoGg,"ERROR"))</f>
        <v>6.4555125864180746E-2</v>
      </c>
      <c r="AW1106" s="93">
        <f>IF('Net zero activities &amp; levers'!$C$14="Off",('Activity data'!BP12*EF!$H43*EF!$H61)*NtoN2O*kgtoGg,IF('Net zero activities &amp; levers'!$C$14="On",('Net zero Activity data'!BP12*EF!$H43*EF!$H61)*NtoN2O*kgtoGg,"ERROR"))</f>
        <v>6.4543501818688898E-2</v>
      </c>
      <c r="AY1106" s="79"/>
    </row>
    <row r="1107" spans="1:51" x14ac:dyDescent="0.25">
      <c r="A1107" s="95" t="str">
        <f t="shared" si="374"/>
        <v>CM Goats MMN2O</v>
      </c>
      <c r="B1107" s="95" t="s">
        <v>1322</v>
      </c>
      <c r="C1107" s="95" t="s">
        <v>1329</v>
      </c>
      <c r="D1107" t="s">
        <v>15</v>
      </c>
      <c r="E1107" t="s">
        <v>657</v>
      </c>
      <c r="F1107" t="s">
        <v>19</v>
      </c>
      <c r="G1107" t="s">
        <v>122</v>
      </c>
      <c r="H1107" t="s">
        <v>1227</v>
      </c>
      <c r="I1107" t="s">
        <v>139</v>
      </c>
      <c r="J1107" t="s">
        <v>287</v>
      </c>
      <c r="K1107" s="93">
        <f>IF('Net zero activities &amp; levers'!$C$14="Off",('Activity data'!AD13*EF!$H44*EF!$H62)*NtoN2O*kgtoGg,IF('Net zero activities &amp; levers'!$C$14="On",('Net zero Activity data'!AD13*EF!$H44*EF!$H62)*NtoN2O*kgtoGg,"ERROR"))</f>
        <v>1.4486129996083084E-2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1.4890706011157261E-2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1.4952125307683931E-2</v>
      </c>
      <c r="T1107" s="93">
        <f>IF('Net zero activities &amp; levers'!$C$14="Off",('Activity data'!AM13*EF!$H44*EF!$H62)*NtoN2O*kgtoGg,IF('Net zero activities &amp; levers'!$C$14="On",('Net zero Activity data'!AM13*EF!$H44*EF!$H62)*NtoN2O*kgtoGg,"ERROR"))</f>
        <v>1.497659485650934E-2</v>
      </c>
      <c r="U1107" s="93">
        <f>IF('Net zero activities &amp; levers'!$C$14="Off",('Activity data'!AN13*EF!$H44*EF!$H62)*NtoN2O*kgtoGg,IF('Net zero activities &amp; levers'!$C$14="On",('Net zero Activity data'!AN13*EF!$H44*EF!$H62)*NtoN2O*kgtoGg,"ERROR"))</f>
        <v>1.5280249217669807E-2</v>
      </c>
      <c r="V1107" s="93">
        <f>IF('Net zero activities &amp; levers'!$C$14="Off",('Activity data'!AO13*EF!$H44*EF!$H62)*NtoN2O*kgtoGg,IF('Net zero activities &amp; levers'!$C$14="On",('Net zero Activity data'!AO13*EF!$H44*EF!$H62)*NtoN2O*kgtoGg,"ERROR"))</f>
        <v>1.5293967954982137E-2</v>
      </c>
      <c r="W1107" s="93">
        <f>IF('Net zero activities &amp; levers'!$C$14="Off",('Activity data'!AP13*EF!$H44*EF!$H62)*NtoN2O*kgtoGg,IF('Net zero activities &amp; levers'!$C$14="On",('Net zero Activity data'!AP13*EF!$H44*EF!$H62)*NtoN2O*kgtoGg,"ERROR"))</f>
        <v>1.5330288500558316E-2</v>
      </c>
      <c r="X1107" s="93">
        <f>IF('Net zero activities &amp; levers'!$C$14="Off",('Activity data'!AQ13*EF!$H44*EF!$H62)*NtoN2O*kgtoGg,IF('Net zero activities &amp; levers'!$C$14="On",('Net zero Activity data'!AQ13*EF!$H44*EF!$H62)*NtoN2O*kgtoGg,"ERROR"))</f>
        <v>1.5379307775042967E-2</v>
      </c>
      <c r="Y1107" s="93">
        <f>IF('Net zero activities &amp; levers'!$C$14="Off",('Activity data'!AR13*EF!$H44*EF!$H62)*NtoN2O*kgtoGg,IF('Net zero activities &amp; levers'!$C$14="On",('Net zero Activity data'!AR13*EF!$H44*EF!$H62)*NtoN2O*kgtoGg,"ERROR"))</f>
        <v>1.5424265287422665E-2</v>
      </c>
      <c r="Z1107" s="93">
        <f>IF('Net zero activities &amp; levers'!$C$14="Off",('Activity data'!AS13*EF!$H44*EF!$H62)*NtoN2O*kgtoGg,IF('Net zero activities &amp; levers'!$C$14="On",('Net zero Activity data'!AS13*EF!$H44*EF!$H62)*NtoN2O*kgtoGg,"ERROR"))</f>
        <v>1.5465755297522263E-2</v>
      </c>
      <c r="AA1107" s="93">
        <f>IF('Net zero activities &amp; levers'!$C$14="Off",('Activity data'!AT13*EF!$H44*EF!$H62)*NtoN2O*kgtoGg,IF('Net zero activities &amp; levers'!$C$14="On",('Net zero Activity data'!AT13*EF!$H44*EF!$H62)*NtoN2O*kgtoGg,"ERROR"))</f>
        <v>1.5503650543984475E-2</v>
      </c>
      <c r="AB1107" s="93">
        <f>IF('Net zero activities &amp; levers'!$C$14="Off",('Activity data'!AU13*EF!$H44*EF!$H62)*NtoN2O*kgtoGg,IF('Net zero activities &amp; levers'!$C$14="On",('Net zero Activity data'!AU13*EF!$H44*EF!$H62)*NtoN2O*kgtoGg,"ERROR"))</f>
        <v>1.5538340165319426E-2</v>
      </c>
      <c r="AC1107" s="93">
        <f>IF('Net zero activities &amp; levers'!$C$14="Off",('Activity data'!AV13*EF!$H44*EF!$H62)*NtoN2O*kgtoGg,IF('Net zero activities &amp; levers'!$C$14="On",('Net zero Activity data'!AV13*EF!$H44*EF!$H62)*NtoN2O*kgtoGg,"ERROR"))</f>
        <v>1.5570383853796523E-2</v>
      </c>
      <c r="AD1107" s="93">
        <f>IF('Net zero activities &amp; levers'!$C$14="Off",('Activity data'!AW13*EF!$H44*EF!$H62)*NtoN2O*kgtoGg,IF('Net zero activities &amp; levers'!$C$14="On",('Net zero Activity data'!AW13*EF!$H44*EF!$H62)*NtoN2O*kgtoGg,"ERROR"))</f>
        <v>1.5599807426957595E-2</v>
      </c>
      <c r="AE1107" s="93">
        <f>IF('Net zero activities &amp; levers'!$C$14="Off",('Activity data'!AX13*EF!$H44*EF!$H62)*NtoN2O*kgtoGg,IF('Net zero activities &amp; levers'!$C$14="On",('Net zero Activity data'!AX13*EF!$H44*EF!$H62)*NtoN2O*kgtoGg,"ERROR"))</f>
        <v>1.5627118939580072E-2</v>
      </c>
      <c r="AF1107" s="93">
        <f>IF('Net zero activities &amp; levers'!$C$14="Off",('Activity data'!AY13*EF!$H44*EF!$H62)*NtoN2O*kgtoGg,IF('Net zero activities &amp; levers'!$C$14="On",('Net zero Activity data'!AY13*EF!$H44*EF!$H62)*NtoN2O*kgtoGg,"ERROR"))</f>
        <v>1.5652427506297684E-2</v>
      </c>
      <c r="AG1107" s="93">
        <f>IF('Net zero activities &amp; levers'!$C$14="Off",('Activity data'!AZ13*EF!$H44*EF!$H62)*NtoN2O*kgtoGg,IF('Net zero activities &amp; levers'!$C$14="On",('Net zero Activity data'!AZ13*EF!$H44*EF!$H62)*NtoN2O*kgtoGg,"ERROR"))</f>
        <v>1.5675424120776597E-2</v>
      </c>
      <c r="AH1107" s="93">
        <f>IF('Net zero activities &amp; levers'!$C$14="Off",('Activity data'!BA13*EF!$H44*EF!$H62)*NtoN2O*kgtoGg,IF('Net zero activities &amp; levers'!$C$14="On",('Net zero Activity data'!BA13*EF!$H44*EF!$H62)*NtoN2O*kgtoGg,"ERROR"))</f>
        <v>1.5696363462061685E-2</v>
      </c>
      <c r="AI1107" s="93">
        <f>IF('Net zero activities &amp; levers'!$C$14="Off",('Activity data'!BB13*EF!$H44*EF!$H62)*NtoN2O*kgtoGg,IF('Net zero activities &amp; levers'!$C$14="On",('Net zero Activity data'!BB13*EF!$H44*EF!$H62)*NtoN2O*kgtoGg,"ERROR"))</f>
        <v>1.5715630256505467E-2</v>
      </c>
      <c r="AJ1107" s="93">
        <f>IF('Net zero activities &amp; levers'!$C$14="Off",('Activity data'!BC13*EF!$H44*EF!$H62)*NtoN2O*kgtoGg,IF('Net zero activities &amp; levers'!$C$14="On",('Net zero Activity data'!BC13*EF!$H44*EF!$H62)*NtoN2O*kgtoGg,"ERROR"))</f>
        <v>1.5216731234132433E-2</v>
      </c>
      <c r="AK1107" s="93">
        <f>IF('Net zero activities &amp; levers'!$C$14="Off",('Activity data'!BD13*EF!$H44*EF!$H62)*NtoN2O*kgtoGg,IF('Net zero activities &amp; levers'!$C$14="On",('Net zero Activity data'!BD13*EF!$H44*EF!$H62)*NtoN2O*kgtoGg,"ERROR"))</f>
        <v>1.5235961154748286E-2</v>
      </c>
      <c r="AL1107" s="93">
        <f>IF('Net zero activities &amp; levers'!$C$14="Off",('Activity data'!BE13*EF!$H44*EF!$H62)*NtoN2O*kgtoGg,IF('Net zero activities &amp; levers'!$C$14="On",('Net zero Activity data'!BE13*EF!$H44*EF!$H62)*NtoN2O*kgtoGg,"ERROR"))</f>
        <v>1.5253469736089939E-2</v>
      </c>
      <c r="AM1107" s="93">
        <f>IF('Net zero activities &amp; levers'!$C$14="Off",('Activity data'!BF13*EF!$H44*EF!$H62)*NtoN2O*kgtoGg,IF('Net zero activities &amp; levers'!$C$14="On",('Net zero Activity data'!BF13*EF!$H44*EF!$H62)*NtoN2O*kgtoGg,"ERROR"))</f>
        <v>1.5269398678749371E-2</v>
      </c>
      <c r="AN1107" s="93">
        <f>IF('Net zero activities &amp; levers'!$C$14="Off",('Activity data'!BG13*EF!$H44*EF!$H62)*NtoN2O*kgtoGg,IF('Net zero activities &amp; levers'!$C$14="On",('Net zero Activity data'!BG13*EF!$H44*EF!$H62)*NtoN2O*kgtoGg,"ERROR"))</f>
        <v>1.5283912082079585E-2</v>
      </c>
      <c r="AO1107" s="93">
        <f>IF('Net zero activities &amp; levers'!$C$14="Off",('Activity data'!BH13*EF!$H44*EF!$H62)*NtoN2O*kgtoGg,IF('Net zero activities &amp; levers'!$C$14="On",('Net zero Activity data'!BH13*EF!$H44*EF!$H62)*NtoN2O*kgtoGg,"ERROR"))</f>
        <v>1.5296597939016455E-2</v>
      </c>
      <c r="AP1107" s="93">
        <f>IF('Net zero activities &amp; levers'!$C$14="Off",('Activity data'!BI13*EF!$H44*EF!$H62)*NtoN2O*kgtoGg,IF('Net zero activities &amp; levers'!$C$14="On",('Net zero Activity data'!BI13*EF!$H44*EF!$H62)*NtoN2O*kgtoGg,"ERROR"))</f>
        <v>1.530718972818932E-2</v>
      </c>
      <c r="AQ1107" s="93">
        <f>IF('Net zero activities &amp; levers'!$C$14="Off",('Activity data'!BJ13*EF!$H44*EF!$H62)*NtoN2O*kgtoGg,IF('Net zero activities &amp; levers'!$C$14="On",('Net zero Activity data'!BJ13*EF!$H44*EF!$H62)*NtoN2O*kgtoGg,"ERROR"))</f>
        <v>1.5315667991874672E-2</v>
      </c>
      <c r="AR1107" s="93">
        <f>IF('Net zero activities &amp; levers'!$C$14="Off",('Activity data'!BK13*EF!$H44*EF!$H62)*NtoN2O*kgtoGg,IF('Net zero activities &amp; levers'!$C$14="On",('Net zero Activity data'!BK13*EF!$H44*EF!$H62)*NtoN2O*kgtoGg,"ERROR"))</f>
        <v>1.5321726619352006E-2</v>
      </c>
      <c r="AS1107" s="93">
        <f>IF('Net zero activities &amp; levers'!$C$14="Off",('Activity data'!BL13*EF!$H44*EF!$H62)*NtoN2O*kgtoGg,IF('Net zero activities &amp; levers'!$C$14="On",('Net zero Activity data'!BL13*EF!$H44*EF!$H62)*NtoN2O*kgtoGg,"ERROR"))</f>
        <v>1.5325032079315765E-2</v>
      </c>
      <c r="AT1107" s="93">
        <f>IF('Net zero activities &amp; levers'!$C$14="Off",('Activity data'!BM13*EF!$H44*EF!$H62)*NtoN2O*kgtoGg,IF('Net zero activities &amp; levers'!$C$14="On",('Net zero Activity data'!BM13*EF!$H44*EF!$H62)*NtoN2O*kgtoGg,"ERROR"))</f>
        <v>1.5325567315367106E-2</v>
      </c>
      <c r="AU1107" s="93">
        <f>IF('Net zero activities &amp; levers'!$C$14="Off",('Activity data'!BN13*EF!$H44*EF!$H62)*NtoN2O*kgtoGg,IF('Net zero activities &amp; levers'!$C$14="On",('Net zero Activity data'!BN13*EF!$H44*EF!$H62)*NtoN2O*kgtoGg,"ERROR"))</f>
        <v>1.5323409630922659E-2</v>
      </c>
      <c r="AV1107" s="93">
        <f>IF('Net zero activities &amp; levers'!$C$14="Off",('Activity data'!BO13*EF!$H44*EF!$H62)*NtoN2O*kgtoGg,IF('Net zero activities &amp; levers'!$C$14="On",('Net zero Activity data'!BO13*EF!$H44*EF!$H62)*NtoN2O*kgtoGg,"ERROR"))</f>
        <v>1.5318619367085746E-2</v>
      </c>
      <c r="AW1107" s="93">
        <f>IF('Net zero activities &amp; levers'!$C$14="Off",('Activity data'!BP13*EF!$H44*EF!$H62)*NtoN2O*kgtoGg,IF('Net zero activities &amp; levers'!$C$14="On",('Net zero Activity data'!BP13*EF!$H44*EF!$H62)*NtoN2O*kgtoGg,"ERROR"))</f>
        <v>1.5310883587655623E-2</v>
      </c>
      <c r="AY1107" s="79"/>
    </row>
    <row r="1108" spans="1:51" x14ac:dyDescent="0.25">
      <c r="A1108" s="95" t="str">
        <f t="shared" si="374"/>
        <v>CM Goats MMN2O</v>
      </c>
      <c r="B1108" s="95" t="s">
        <v>1322</v>
      </c>
      <c r="C1108" s="95" t="s">
        <v>1329</v>
      </c>
      <c r="D1108" t="s">
        <v>15</v>
      </c>
      <c r="E1108" t="s">
        <v>657</v>
      </c>
      <c r="F1108" t="s">
        <v>19</v>
      </c>
      <c r="G1108" t="s">
        <v>123</v>
      </c>
      <c r="H1108" t="s">
        <v>1227</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0.11664735601685972</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0.11805182815822728</v>
      </c>
      <c r="R1108" s="93">
        <f>IF('Net zero activities &amp; levers'!$C$14="Off",('Activity data'!AK14*EF!$H45*EF!$H63)*NtoN2O*kgtoGg,IF('Net zero activities &amp; levers'!$C$14="On",('Net zero Activity data'!AK14*EF!$H45*EF!$H63)*NtoN2O*kgtoGg,"ERROR"))</f>
        <v>0.11882851694408277</v>
      </c>
      <c r="S1108" s="93">
        <f>IF('Net zero activities &amp; levers'!$C$14="Off",('Activity data'!AL14*EF!$H45*EF!$H63)*NtoN2O*kgtoGg,IF('Net zero activities &amp; levers'!$C$14="On",('Net zero Activity data'!AL14*EF!$H45*EF!$H63)*NtoN2O*kgtoGg,"ERROR"))</f>
        <v>0.11853875337411246</v>
      </c>
      <c r="T1108" s="93">
        <f>IF('Net zero activities &amp; levers'!$C$14="Off",('Activity data'!AM14*EF!$H45*EF!$H63)*NtoN2O*kgtoGg,IF('Net zero activities &amp; levers'!$C$14="On",('Net zero Activity data'!AM14*EF!$H45*EF!$H63)*NtoN2O*kgtoGg,"ERROR"))</f>
        <v>0.11873274518154472</v>
      </c>
      <c r="U1108" s="93">
        <f>IF('Net zero activities &amp; levers'!$C$14="Off",('Activity data'!AN14*EF!$H45*EF!$H63)*NtoN2O*kgtoGg,IF('Net zero activities &amp; levers'!$C$14="On",('Net zero Activity data'!AN14*EF!$H45*EF!$H63)*NtoN2O*kgtoGg,"ERROR"))</f>
        <v>0.12114008251238399</v>
      </c>
      <c r="V1108" s="93">
        <f>IF('Net zero activities &amp; levers'!$C$14="Off",('Activity data'!AO14*EF!$H45*EF!$H63)*NtoN2O*kgtoGg,IF('Net zero activities &amp; levers'!$C$14="On",('Net zero Activity data'!AO14*EF!$H45*EF!$H63)*NtoN2O*kgtoGg,"ERROR"))</f>
        <v>0.12124884310563787</v>
      </c>
      <c r="W1108" s="93">
        <f>IF('Net zero activities &amp; levers'!$C$14="Off",('Activity data'!AP14*EF!$H45*EF!$H63)*NtoN2O*kgtoGg,IF('Net zero activities &amp; levers'!$C$14="On",('Net zero Activity data'!AP14*EF!$H45*EF!$H63)*NtoN2O*kgtoGg,"ERROR"))</f>
        <v>0.12153678827101554</v>
      </c>
      <c r="X1108" s="93">
        <f>IF('Net zero activities &amp; levers'!$C$14="Off",('Activity data'!AQ14*EF!$H45*EF!$H63)*NtoN2O*kgtoGg,IF('Net zero activities &amp; levers'!$C$14="On",('Net zero Activity data'!AQ14*EF!$H45*EF!$H63)*NtoN2O*kgtoGg,"ERROR"))</f>
        <v>0.12192540751872388</v>
      </c>
      <c r="Y1108" s="93">
        <f>IF('Net zero activities &amp; levers'!$C$14="Off",('Activity data'!AR14*EF!$H45*EF!$H63)*NtoN2O*kgtoGg,IF('Net zero activities &amp; levers'!$C$14="On",('Net zero Activity data'!AR14*EF!$H45*EF!$H63)*NtoN2O*kgtoGg,"ERROR"))</f>
        <v>0.12228182557720234</v>
      </c>
      <c r="Z1108" s="93">
        <f>IF('Net zero activities &amp; levers'!$C$14="Off",('Activity data'!AS14*EF!$H45*EF!$H63)*NtoN2O*kgtoGg,IF('Net zero activities &amp; levers'!$C$14="On",('Net zero Activity data'!AS14*EF!$H45*EF!$H63)*NtoN2O*kgtoGg,"ERROR"))</f>
        <v>0.12261075367093349</v>
      </c>
      <c r="AA1108" s="93">
        <f>IF('Net zero activities &amp; levers'!$C$14="Off",('Activity data'!AT14*EF!$H45*EF!$H63)*NtoN2O*kgtoGg,IF('Net zero activities &amp; levers'!$C$14="On",('Net zero Activity data'!AT14*EF!$H45*EF!$H63)*NtoN2O*kgtoGg,"ERROR"))</f>
        <v>0.12291118288631245</v>
      </c>
      <c r="AB1108" s="93">
        <f>IF('Net zero activities &amp; levers'!$C$14="Off",('Activity data'!AU14*EF!$H45*EF!$H63)*NtoN2O*kgtoGg,IF('Net zero activities &amp; levers'!$C$14="On",('Net zero Activity data'!AU14*EF!$H45*EF!$H63)*NtoN2O*kgtoGg,"ERROR"))</f>
        <v>0.12318619826930632</v>
      </c>
      <c r="AC1108" s="93">
        <f>IF('Net zero activities &amp; levers'!$C$14="Off",('Activity data'!AV14*EF!$H45*EF!$H63)*NtoN2O*kgtoGg,IF('Net zero activities &amp; levers'!$C$14="On",('Net zero Activity data'!AV14*EF!$H45*EF!$H63)*NtoN2O*kgtoGg,"ERROR"))</f>
        <v>0.12344023699673938</v>
      </c>
      <c r="AD1108" s="93">
        <f>IF('Net zero activities &amp; levers'!$C$14="Off",('Activity data'!AW14*EF!$H45*EF!$H63)*NtoN2O*kgtoGg,IF('Net zero activities &amp; levers'!$C$14="On",('Net zero Activity data'!AW14*EF!$H45*EF!$H63)*NtoN2O*kgtoGg,"ERROR"))</f>
        <v>0.12367350374715462</v>
      </c>
      <c r="AE1108" s="93">
        <f>IF('Net zero activities &amp; levers'!$C$14="Off",('Activity data'!AX14*EF!$H45*EF!$H63)*NtoN2O*kgtoGg,IF('Net zero activities &amp; levers'!$C$14="On",('Net zero Activity data'!AX14*EF!$H45*EF!$H63)*NtoN2O*kgtoGg,"ERROR"))</f>
        <v>0.12389002632119744</v>
      </c>
      <c r="AF1108" s="93">
        <f>IF('Net zero activities &amp; levers'!$C$14="Off",('Activity data'!AY14*EF!$H45*EF!$H63)*NtoN2O*kgtoGg,IF('Net zero activities &amp; levers'!$C$14="On",('Net zero Activity data'!AY14*EF!$H45*EF!$H63)*NtoN2O*kgtoGg,"ERROR"))</f>
        <v>0.12409066976730669</v>
      </c>
      <c r="AG1108" s="93">
        <f>IF('Net zero activities &amp; levers'!$C$14="Off",('Activity data'!AZ14*EF!$H45*EF!$H63)*NtoN2O*kgtoGg,IF('Net zero activities &amp; levers'!$C$14="On",('Net zero Activity data'!AZ14*EF!$H45*EF!$H63)*NtoN2O*kgtoGg,"ERROR"))</f>
        <v>0.12427298431831933</v>
      </c>
      <c r="AH1108" s="93">
        <f>IF('Net zero activities &amp; levers'!$C$14="Off",('Activity data'!BA14*EF!$H45*EF!$H63)*NtoN2O*kgtoGg,IF('Net zero activities &amp; levers'!$C$14="On",('Net zero Activity data'!BA14*EF!$H45*EF!$H63)*NtoN2O*kgtoGg,"ERROR"))</f>
        <v>0.12443898904081413</v>
      </c>
      <c r="AI1108" s="93">
        <f>IF('Net zero activities &amp; levers'!$C$14="Off",('Activity data'!BB14*EF!$H45*EF!$H63)*NtoN2O*kgtoGg,IF('Net zero activities &amp; levers'!$C$14="On",('Net zero Activity data'!BB14*EF!$H45*EF!$H63)*NtoN2O*kgtoGg,"ERROR"))</f>
        <v>0.12459173400167312</v>
      </c>
      <c r="AJ1108" s="93">
        <f>IF('Net zero activities &amp; levers'!$C$14="Off",('Activity data'!BC14*EF!$H45*EF!$H63)*NtoN2O*kgtoGg,IF('Net zero activities &amp; levers'!$C$14="On",('Net zero Activity data'!BC14*EF!$H45*EF!$H63)*NtoN2O*kgtoGg,"ERROR"))</f>
        <v>0.12063651914393841</v>
      </c>
      <c r="AK1108" s="93">
        <f>IF('Net zero activities &amp; levers'!$C$14="Off",('Activity data'!BD14*EF!$H45*EF!$H63)*NtoN2O*kgtoGg,IF('Net zero activities &amp; levers'!$C$14="On",('Net zero Activity data'!BD14*EF!$H45*EF!$H63)*NtoN2O*kgtoGg,"ERROR"))</f>
        <v>0.12078897177327232</v>
      </c>
      <c r="AL1108" s="93">
        <f>IF('Net zero activities &amp; levers'!$C$14="Off",('Activity data'!BE14*EF!$H45*EF!$H63)*NtoN2O*kgtoGg,IF('Net zero activities &amp; levers'!$C$14="On",('Net zero Activity data'!BE14*EF!$H45*EF!$H63)*NtoN2O*kgtoGg,"ERROR"))</f>
        <v>0.12092777782009714</v>
      </c>
      <c r="AM1108" s="93">
        <f>IF('Net zero activities &amp; levers'!$C$14="Off",('Activity data'!BF14*EF!$H45*EF!$H63)*NtoN2O*kgtoGg,IF('Net zero activities &amp; levers'!$C$14="On",('Net zero Activity data'!BF14*EF!$H45*EF!$H63)*NtoN2O*kgtoGg,"ERROR"))</f>
        <v>0.12105406067063253</v>
      </c>
      <c r="AN1108" s="93">
        <f>IF('Net zero activities &amp; levers'!$C$14="Off",('Activity data'!BG14*EF!$H45*EF!$H63)*NtoN2O*kgtoGg,IF('Net zero activities &amp; levers'!$C$14="On",('Net zero Activity data'!BG14*EF!$H45*EF!$H63)*NtoN2O*kgtoGg,"ERROR"))</f>
        <v>0.12116912128593484</v>
      </c>
      <c r="AO1108" s="93">
        <f>IF('Net zero activities &amp; levers'!$C$14="Off",('Activity data'!BH14*EF!$H45*EF!$H63)*NtoN2O*kgtoGg,IF('Net zero activities &amp; levers'!$C$14="On",('Net zero Activity data'!BH14*EF!$H45*EF!$H63)*NtoN2O*kgtoGg,"ERROR"))</f>
        <v>0.12126969332073484</v>
      </c>
      <c r="AP1108" s="93">
        <f>IF('Net zero activities &amp; levers'!$C$14="Off",('Activity data'!BI14*EF!$H45*EF!$H63)*NtoN2O*kgtoGg,IF('Net zero activities &amp; levers'!$C$14="On",('Net zero Activity data'!BI14*EF!$H45*EF!$H63)*NtoN2O*kgtoGg,"ERROR"))</f>
        <v>0.12135366382383837</v>
      </c>
      <c r="AQ1108" s="93">
        <f>IF('Net zero activities &amp; levers'!$C$14="Off",('Activity data'!BJ14*EF!$H45*EF!$H63)*NtoN2O*kgtoGg,IF('Net zero activities &amp; levers'!$C$14="On",('Net zero Activity data'!BJ14*EF!$H45*EF!$H63)*NtoN2O*kgtoGg,"ERROR"))</f>
        <v>0.12142087853662052</v>
      </c>
      <c r="AR1108" s="93">
        <f>IF('Net zero activities &amp; levers'!$C$14="Off",('Activity data'!BK14*EF!$H45*EF!$H63)*NtoN2O*kgtoGg,IF('Net zero activities &amp; levers'!$C$14="On",('Net zero Activity data'!BK14*EF!$H45*EF!$H63)*NtoN2O*kgtoGg,"ERROR"))</f>
        <v>0.12146891064801223</v>
      </c>
      <c r="AS1108" s="93">
        <f>IF('Net zero activities &amp; levers'!$C$14="Off",('Activity data'!BL14*EF!$H45*EF!$H63)*NtoN2O*kgtoGg,IF('Net zero activities &amp; levers'!$C$14="On",('Net zero Activity data'!BL14*EF!$H45*EF!$H63)*NtoN2O*kgtoGg,"ERROR"))</f>
        <v>0.12149511595965648</v>
      </c>
      <c r="AT1108" s="93">
        <f>IF('Net zero activities &amp; levers'!$C$14="Off",('Activity data'!BM14*EF!$H45*EF!$H63)*NtoN2O*kgtoGg,IF('Net zero activities &amp; levers'!$C$14="On",('Net zero Activity data'!BM14*EF!$H45*EF!$H63)*NtoN2O*kgtoGg,"ERROR"))</f>
        <v>0.12149935925035804</v>
      </c>
      <c r="AU1108" s="93">
        <f>IF('Net zero activities &amp; levers'!$C$14="Off",('Activity data'!BN14*EF!$H45*EF!$H63)*NtoN2O*kgtoGg,IF('Net zero activities &amp; levers'!$C$14="On",('Net zero Activity data'!BN14*EF!$H45*EF!$H63)*NtoN2O*kgtoGg,"ERROR"))</f>
        <v>0.12148225337283523</v>
      </c>
      <c r="AV1108" s="93">
        <f>IF('Net zero activities &amp; levers'!$C$14="Off",('Activity data'!BO14*EF!$H45*EF!$H63)*NtoN2O*kgtoGg,IF('Net zero activities &amp; levers'!$C$14="On",('Net zero Activity data'!BO14*EF!$H45*EF!$H63)*NtoN2O*kgtoGg,"ERROR"))</f>
        <v>0.12144427670451041</v>
      </c>
      <c r="AW1108" s="93">
        <f>IF('Net zero activities &amp; levers'!$C$14="Off",('Activity data'!BP14*EF!$H45*EF!$H63)*NtoN2O*kgtoGg,IF('Net zero activities &amp; levers'!$C$14="On",('Net zero Activity data'!BP14*EF!$H45*EF!$H63)*NtoN2O*kgtoGg,"ERROR"))</f>
        <v>0.12138294832268144</v>
      </c>
      <c r="AY1108" s="79"/>
    </row>
    <row r="1109" spans="1:51" x14ac:dyDescent="0.25">
      <c r="A1109" s="95" t="str">
        <f t="shared" si="374"/>
        <v>CM Horses MMN2O</v>
      </c>
      <c r="B1109" s="95" t="s">
        <v>1322</v>
      </c>
      <c r="C1109" s="95" t="s">
        <v>1330</v>
      </c>
      <c r="D1109" t="s">
        <v>15</v>
      </c>
      <c r="E1109" t="s">
        <v>657</v>
      </c>
      <c r="F1109" t="s">
        <v>20</v>
      </c>
      <c r="G1109" t="s">
        <v>3</v>
      </c>
      <c r="H1109" t="s">
        <v>1227</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25">
      <c r="A1110" s="95" t="str">
        <f t="shared" si="374"/>
        <v>CM Mules MMN2O</v>
      </c>
      <c r="B1110" s="95" t="s">
        <v>1322</v>
      </c>
      <c r="C1110" s="95" t="s">
        <v>1331</v>
      </c>
      <c r="D1110" t="s">
        <v>15</v>
      </c>
      <c r="E1110" t="s">
        <v>657</v>
      </c>
      <c r="F1110" t="s">
        <v>140</v>
      </c>
      <c r="G1110" t="s">
        <v>124</v>
      </c>
      <c r="H1110" t="s">
        <v>1227</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25">
      <c r="A1111" s="95" t="str">
        <f t="shared" si="374"/>
        <v>CM Swine MMN2O</v>
      </c>
      <c r="B1111" s="95" t="s">
        <v>1322</v>
      </c>
      <c r="C1111" s="95" t="s">
        <v>1233</v>
      </c>
      <c r="D1111" t="s">
        <v>15</v>
      </c>
      <c r="E1111" t="s">
        <v>657</v>
      </c>
      <c r="F1111" t="s">
        <v>21</v>
      </c>
      <c r="G1111" t="s">
        <v>122</v>
      </c>
      <c r="H1111" t="s">
        <v>1227</v>
      </c>
      <c r="I1111" t="s">
        <v>139</v>
      </c>
      <c r="J1111" t="s">
        <v>287</v>
      </c>
      <c r="K1111" s="93">
        <f>IF('Net zero activities &amp; levers'!$C$14="Off",('Activity data'!AD17*EF!$H48*EF!$H66)*NtoN2O*kgtoGg,IF('Net zero activities &amp; levers'!$C$14="On",('Net zero Activity data'!AD17*EF!$H48*EF!$H66)*NtoN2O*kgtoGg,"ERROR"))</f>
        <v>9.7466979224281824E-2</v>
      </c>
      <c r="L1111" s="93">
        <f>IF('Net zero activities &amp; levers'!$C$14="Off",('Activity data'!AE17*EF!$H48*EF!$H66)*NtoN2O*kgtoGg,IF('Net zero activities &amp; levers'!$C$14="On",('Net zero Activity data'!AE17*EF!$H48*EF!$H66)*NtoN2O*kgtoGg,"ERROR"))</f>
        <v>9.6937181363551519E-2</v>
      </c>
      <c r="M1111" s="93">
        <f>IF('Net zero activities &amp; levers'!$C$14="Off",('Activity data'!AF17*EF!$H48*EF!$H66)*NtoN2O*kgtoGg,IF('Net zero activities &amp; levers'!$C$14="On",('Net zero Activity data'!AF17*EF!$H48*EF!$H66)*NtoN2O*kgtoGg,"ERROR"))</f>
        <v>9.6980665528366608E-2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9.2641437622218339E-2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8.9872834352323558E-2</v>
      </c>
      <c r="S1111" s="93">
        <f>IF('Net zero activities &amp; levers'!$C$14="Off",('Activity data'!AL17*EF!$H48*EF!$H66)*NtoN2O*kgtoGg,IF('Net zero activities &amp; levers'!$C$14="On",('Net zero Activity data'!AL17*EF!$H48*EF!$H66)*NtoN2O*kgtoGg,"ERROR"))</f>
        <v>8.0860772779409465E-2</v>
      </c>
      <c r="T1111" s="93">
        <f>IF('Net zero activities &amp; levers'!$C$14="Off",('Activity data'!AM17*EF!$H48*EF!$H66)*NtoN2O*kgtoGg,IF('Net zero activities &amp; levers'!$C$14="On",('Net zero Activity data'!AM17*EF!$H48*EF!$H66)*NtoN2O*kgtoGg,"ERROR"))</f>
        <v>8.3748164551472229E-2</v>
      </c>
      <c r="U1111" s="93">
        <f>IF('Net zero activities &amp; levers'!$C$14="Off",('Activity data'!AN17*EF!$H48*EF!$H66)*NtoN2O*kgtoGg,IF('Net zero activities &amp; levers'!$C$14="On",('Net zero Activity data'!AN17*EF!$H48*EF!$H66)*NtoN2O*kgtoGg,"ERROR"))</f>
        <v>0.26770254430249885</v>
      </c>
      <c r="V1111" s="93">
        <f>IF('Net zero activities &amp; levers'!$C$14="Off",('Activity data'!AO17*EF!$H48*EF!$H66)*NtoN2O*kgtoGg,IF('Net zero activities &amp; levers'!$C$14="On",('Net zero Activity data'!AO17*EF!$H48*EF!$H66)*NtoN2O*kgtoGg,"ERROR"))</f>
        <v>0.26843638329557273</v>
      </c>
      <c r="W1111" s="93">
        <f>IF('Net zero activities &amp; levers'!$C$14="Off",('Activity data'!AP17*EF!$H48*EF!$H66)*NtoN2O*kgtoGg,IF('Net zero activities &amp; levers'!$C$14="On",('Net zero Activity data'!AP17*EF!$H48*EF!$H66)*NtoN2O*kgtoGg,"ERROR"))</f>
        <v>0.26870741156063732</v>
      </c>
      <c r="X1111" s="93">
        <f>IF('Net zero activities &amp; levers'!$C$14="Off",('Activity data'!AQ17*EF!$H48*EF!$H66)*NtoN2O*kgtoGg,IF('Net zero activities &amp; levers'!$C$14="On",('Net zero Activity data'!AQ17*EF!$H48*EF!$H66)*NtoN2O*kgtoGg,"ERROR"))</f>
        <v>0.26852785801231227</v>
      </c>
      <c r="Y1111" s="93">
        <f>IF('Net zero activities &amp; levers'!$C$14="Off",('Activity data'!AR17*EF!$H48*EF!$H66)*NtoN2O*kgtoGg,IF('Net zero activities &amp; levers'!$C$14="On",('Net zero Activity data'!AR17*EF!$H48*EF!$H66)*NtoN2O*kgtoGg,"ERROR"))</f>
        <v>0.26792481068861962</v>
      </c>
      <c r="Z1111" s="93">
        <f>IF('Net zero activities &amp; levers'!$C$14="Off",('Activity data'!AS17*EF!$H48*EF!$H66)*NtoN2O*kgtoGg,IF('Net zero activities &amp; levers'!$C$14="On",('Net zero Activity data'!AS17*EF!$H48*EF!$H66)*NtoN2O*kgtoGg,"ERROR"))</f>
        <v>0.26689273021889548</v>
      </c>
      <c r="AA1111" s="93">
        <f>IF('Net zero activities &amp; levers'!$C$14="Off",('Activity data'!AT17*EF!$H48*EF!$H66)*NtoN2O*kgtoGg,IF('Net zero activities &amp; levers'!$C$14="On",('Net zero Activity data'!AT17*EF!$H48*EF!$H66)*NtoN2O*kgtoGg,"ERROR"))</f>
        <v>0.26543013343256128</v>
      </c>
      <c r="AB1111" s="93">
        <f>IF('Net zero activities &amp; levers'!$C$14="Off",('Activity data'!AU17*EF!$H48*EF!$H66)*NtoN2O*kgtoGg,IF('Net zero activities &amp; levers'!$C$14="On",('Net zero Activity data'!AU17*EF!$H48*EF!$H66)*NtoN2O*kgtoGg,"ERROR"))</f>
        <v>0.26353715747778594</v>
      </c>
      <c r="AC1111" s="93">
        <f>IF('Net zero activities &amp; levers'!$C$14="Off",('Activity data'!AV17*EF!$H48*EF!$H66)*NtoN2O*kgtoGg,IF('Net zero activities &amp; levers'!$C$14="On",('Net zero Activity data'!AV17*EF!$H48*EF!$H66)*NtoN2O*kgtoGg,"ERROR"))</f>
        <v>0.26121623026966229</v>
      </c>
      <c r="AD1111" s="93">
        <f>IF('Net zero activities &amp; levers'!$C$14="Off",('Activity data'!AW17*EF!$H48*EF!$H66)*NtoN2O*kgtoGg,IF('Net zero activities &amp; levers'!$C$14="On",('Net zero Activity data'!AW17*EF!$H48*EF!$H66)*NtoN2O*kgtoGg,"ERROR"))</f>
        <v>0.25847332541622875</v>
      </c>
      <c r="AE1111" s="93">
        <f>IF('Net zero activities &amp; levers'!$C$14="Off",('Activity data'!AX17*EF!$H48*EF!$H66)*NtoN2O*kgtoGg,IF('Net zero activities &amp; levers'!$C$14="On",('Net zero Activity data'!AX17*EF!$H48*EF!$H66)*NtoN2O*kgtoGg,"ERROR"))</f>
        <v>0.25531599764072704</v>
      </c>
      <c r="AF1111" s="93">
        <f>IF('Net zero activities &amp; levers'!$C$14="Off",('Activity data'!AY17*EF!$H48*EF!$H66)*NtoN2O*kgtoGg,IF('Net zero activities &amp; levers'!$C$14="On",('Net zero Activity data'!AY17*EF!$H48*EF!$H66)*NtoN2O*kgtoGg,"ERROR"))</f>
        <v>0.25175492240639524</v>
      </c>
      <c r="AG1111" s="93">
        <f>IF('Net zero activities &amp; levers'!$C$14="Off",('Activity data'!AZ17*EF!$H48*EF!$H66)*NtoN2O*kgtoGg,IF('Net zero activities &amp; levers'!$C$14="On",('Net zero Activity data'!AZ17*EF!$H48*EF!$H66)*NtoN2O*kgtoGg,"ERROR"))</f>
        <v>0.2478037797344021</v>
      </c>
      <c r="AH1111" s="93">
        <f>IF('Net zero activities &amp; levers'!$C$14="Off",('Activity data'!BA17*EF!$H48*EF!$H66)*NtoN2O*kgtoGg,IF('Net zero activities &amp; levers'!$C$14="On",('Net zero Activity data'!BA17*EF!$H48*EF!$H66)*NtoN2O*kgtoGg,"ERROR"))</f>
        <v>0.24347738783336567</v>
      </c>
      <c r="AI1111" s="93">
        <f>IF('Net zero activities &amp; levers'!$C$14="Off",('Activity data'!BB17*EF!$H48*EF!$H66)*NtoN2O*kgtoGg,IF('Net zero activities &amp; levers'!$C$14="On",('Net zero Activity data'!BB17*EF!$H48*EF!$H66)*NtoN2O*kgtoGg,"ERROR"))</f>
        <v>0.23879237534138331</v>
      </c>
      <c r="AJ1111" s="93">
        <f>IF('Net zero activities &amp; levers'!$C$14="Off",('Activity data'!BC17*EF!$H48*EF!$H66)*NtoN2O*kgtoGg,IF('Net zero activities &amp; levers'!$C$14="On",('Net zero Activity data'!BC17*EF!$H48*EF!$H66)*NtoN2O*kgtoGg,"ERROR"))</f>
        <v>-2.2251219051901461E-2</v>
      </c>
      <c r="AK1111" s="93">
        <f>IF('Net zero activities &amp; levers'!$C$14="Off",('Activity data'!BD17*EF!$H48*EF!$H66)*NtoN2O*kgtoGg,IF('Net zero activities &amp; levers'!$C$14="On",('Net zero Activity data'!BD17*EF!$H48*EF!$H66)*NtoN2O*kgtoGg,"ERROR"))</f>
        <v>-2.2010329292297307E-2</v>
      </c>
      <c r="AL1111" s="93">
        <f>IF('Net zero activities &amp; levers'!$C$14="Off",('Activity data'!BE17*EF!$H48*EF!$H66)*NtoN2O*kgtoGg,IF('Net zero activities &amp; levers'!$C$14="On",('Net zero Activity data'!BE17*EF!$H48*EF!$H66)*NtoN2O*kgtoGg,"ERROR"))</f>
        <v>-2.1768586076349947E-2</v>
      </c>
      <c r="AM1111" s="93">
        <f>IF('Net zero activities &amp; levers'!$C$14="Off",('Activity data'!BF17*EF!$H48*EF!$H66)*NtoN2O*kgtoGg,IF('Net zero activities &amp; levers'!$C$14="On",('Net zero Activity data'!BF17*EF!$H48*EF!$H66)*NtoN2O*kgtoGg,"ERROR"))</f>
        <v>-2.1526240200831197E-2</v>
      </c>
      <c r="AN1111" s="93">
        <f>IF('Net zero activities &amp; levers'!$C$14="Off",('Activity data'!BG17*EF!$H48*EF!$H66)*NtoN2O*kgtoGg,IF('Net zero activities &amp; levers'!$C$14="On",('Net zero Activity data'!BG17*EF!$H48*EF!$H66)*NtoN2O*kgtoGg,"ERROR"))</f>
        <v>-2.1283568844564598E-2</v>
      </c>
      <c r="AO1111" s="93">
        <f>IF('Net zero activities &amp; levers'!$C$14="Off",('Activity data'!BH17*EF!$H48*EF!$H66)*NtoN2O*kgtoGg,IF('Net zero activities &amp; levers'!$C$14="On",('Net zero Activity data'!BH17*EF!$H48*EF!$H66)*NtoN2O*kgtoGg,"ERROR"))</f>
        <v>-2.1039928732674035E-2</v>
      </c>
      <c r="AP1111" s="93">
        <f>IF('Net zero activities &amp; levers'!$C$14="Off",('Activity data'!BI17*EF!$H48*EF!$H66)*NtoN2O*kgtoGg,IF('Net zero activities &amp; levers'!$C$14="On",('Net zero Activity data'!BI17*EF!$H48*EF!$H66)*NtoN2O*kgtoGg,"ERROR"))</f>
        <v>-2.0794940089199746E-2</v>
      </c>
      <c r="AQ1111" s="93">
        <f>IF('Net zero activities &amp; levers'!$C$14="Off",('Activity data'!BJ17*EF!$H48*EF!$H66)*NtoN2O*kgtoGg,IF('Net zero activities &amp; levers'!$C$14="On",('Net zero Activity data'!BJ17*EF!$H48*EF!$H66)*NtoN2O*kgtoGg,"ERROR"))</f>
        <v>-2.054862658012397E-2</v>
      </c>
      <c r="AR1111" s="93">
        <f>IF('Net zero activities &amp; levers'!$C$14="Off",('Activity data'!BK17*EF!$H48*EF!$H66)*NtoN2O*kgtoGg,IF('Net zero activities &amp; levers'!$C$14="On",('Net zero Activity data'!BK17*EF!$H48*EF!$H66)*NtoN2O*kgtoGg,"ERROR"))</f>
        <v>-2.0300580022227385E-2</v>
      </c>
      <c r="AS1111" s="93">
        <f>IF('Net zero activities &amp; levers'!$C$14="Off",('Activity data'!BL17*EF!$H48*EF!$H66)*NtoN2O*kgtoGg,IF('Net zero activities &amp; levers'!$C$14="On",('Net zero Activity data'!BL17*EF!$H48*EF!$H66)*NtoN2O*kgtoGg,"ERROR"))</f>
        <v>-2.0050376976853562E-2</v>
      </c>
      <c r="AT1111" s="93">
        <f>IF('Net zero activities &amp; levers'!$C$14="Off",('Activity data'!BM17*EF!$H48*EF!$H66)*NtoN2O*kgtoGg,IF('Net zero activities &amp; levers'!$C$14="On",('Net zero Activity data'!BM17*EF!$H48*EF!$H66)*NtoN2O*kgtoGg,"ERROR"))</f>
        <v>-1.9798088456072588E-2</v>
      </c>
      <c r="AU1111" s="93">
        <f>IF('Net zero activities &amp; levers'!$C$14="Off",('Activity data'!BN17*EF!$H48*EF!$H66)*NtoN2O*kgtoGg,IF('Net zero activities &amp; levers'!$C$14="On",('Net zero Activity data'!BN17*EF!$H48*EF!$H66)*NtoN2O*kgtoGg,"ERROR"))</f>
        <v>-1.9543924397373666E-2</v>
      </c>
      <c r="AV1111" s="93">
        <f>IF('Net zero activities &amp; levers'!$C$14="Off",('Activity data'!BO17*EF!$H48*EF!$H66)*NtoN2O*kgtoGg,IF('Net zero activities &amp; levers'!$C$14="On",('Net zero Activity data'!BO17*EF!$H48*EF!$H66)*NtoN2O*kgtoGg,"ERROR"))</f>
        <v>-1.9288064378450123E-2</v>
      </c>
      <c r="AW1111" s="93">
        <f>IF('Net zero activities &amp; levers'!$C$14="Off",('Activity data'!BP17*EF!$H48*EF!$H66)*NtoN2O*kgtoGg,IF('Net zero activities &amp; levers'!$C$14="On",('Net zero Activity data'!BP17*EF!$H48*EF!$H66)*NtoN2O*kgtoGg,"ERROR"))</f>
        <v>-1.9030154173993289E-2</v>
      </c>
      <c r="AY1111" s="79"/>
    </row>
    <row r="1112" spans="1:51" x14ac:dyDescent="0.25">
      <c r="A1112" s="95" t="str">
        <f t="shared" si="374"/>
        <v>CM Swine MMN2O</v>
      </c>
      <c r="B1112" s="95" t="s">
        <v>1322</v>
      </c>
      <c r="C1112" s="95" t="s">
        <v>1233</v>
      </c>
      <c r="D1112" t="s">
        <v>15</v>
      </c>
      <c r="E1112" t="s">
        <v>657</v>
      </c>
      <c r="F1112" t="s">
        <v>21</v>
      </c>
      <c r="G1112" t="s">
        <v>123</v>
      </c>
      <c r="H1112" t="s">
        <v>1227</v>
      </c>
      <c r="I1112" t="s">
        <v>139</v>
      </c>
      <c r="J1112" t="s">
        <v>287</v>
      </c>
      <c r="K1112" s="93">
        <f>IF('Net zero activities &amp; levers'!$C$14="Off",('Activity data'!AD18*EF!$H49*EF!$H67)*NtoN2O*kgtoGg,IF('Net zero activities &amp; levers'!$C$14="On",('Net zero Activity data'!AD18*EF!$H49*EF!$H67)*NtoN2O*kgtoGg,"ERROR"))</f>
        <v>3.8131055665722169E-2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3.7940799901590251E-2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3.6243206089281214E-2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3.5160072434777256E-2</v>
      </c>
      <c r="S1112" s="93">
        <f>IF('Net zero activities &amp; levers'!$C$14="Off",('Activity data'!AL18*EF!$H49*EF!$H67)*NtoN2O*kgtoGg,IF('Net zero activities &amp; levers'!$C$14="On",('Net zero Activity data'!AL18*EF!$H49*EF!$H67)*NtoN2O*kgtoGg,"ERROR"))</f>
        <v>3.1634371482160743E-2</v>
      </c>
      <c r="T1112" s="93">
        <f>IF('Net zero activities &amp; levers'!$C$14="Off",('Activity data'!AM18*EF!$H49*EF!$H67)*NtoN2O*kgtoGg,IF('Net zero activities &amp; levers'!$C$14="On",('Net zero Activity data'!AM18*EF!$H49*EF!$H67)*NtoN2O*kgtoGg,"ERROR"))</f>
        <v>3.2763977603798337E-2</v>
      </c>
      <c r="U1112" s="93">
        <f>IF('Net zero activities &amp; levers'!$C$14="Off",('Activity data'!AN18*EF!$H49*EF!$H67)*NtoN2O*kgtoGg,IF('Net zero activities &amp; levers'!$C$14="On",('Net zero Activity data'!AN18*EF!$H49*EF!$H67)*NtoN2O*kgtoGg,"ERROR"))</f>
        <v>0.10473065544757326</v>
      </c>
      <c r="V1112" s="93">
        <f>IF('Net zero activities &amp; levers'!$C$14="Off",('Activity data'!AO18*EF!$H49*EF!$H67)*NtoN2O*kgtoGg,IF('Net zero activities &amp; levers'!$C$14="On",('Net zero Activity data'!AO18*EF!$H49*EF!$H67)*NtoN2O*kgtoGg,"ERROR"))</f>
        <v>0.10501774811954566</v>
      </c>
      <c r="W1112" s="93">
        <f>IF('Net zero activities &amp; levers'!$C$14="Off",('Activity data'!AP18*EF!$H49*EF!$H67)*NtoN2O*kgtoGg,IF('Net zero activities &amp; levers'!$C$14="On",('Net zero Activity data'!AP18*EF!$H49*EF!$H67)*NtoN2O*kgtoGg,"ERROR"))</f>
        <v>0.10512377986429053</v>
      </c>
      <c r="X1112" s="93">
        <f>IF('Net zero activities &amp; levers'!$C$14="Off",('Activity data'!AQ18*EF!$H49*EF!$H67)*NtoN2O*kgtoGg,IF('Net zero activities &amp; levers'!$C$14="On",('Net zero Activity data'!AQ18*EF!$H49*EF!$H67)*NtoN2O*kgtoGg,"ERROR"))</f>
        <v>0.10505353488080327</v>
      </c>
      <c r="Y1112" s="93">
        <f>IF('Net zero activities &amp; levers'!$C$14="Off",('Activity data'!AR18*EF!$H49*EF!$H67)*NtoN2O*kgtoGg,IF('Net zero activities &amp; levers'!$C$14="On",('Net zero Activity data'!AR18*EF!$H49*EF!$H67)*NtoN2O*kgtoGg,"ERROR"))</f>
        <v>0.10481761055800391</v>
      </c>
      <c r="Z1112" s="93">
        <f>IF('Net zero activities &amp; levers'!$C$14="Off",('Activity data'!AS18*EF!$H49*EF!$H67)*NtoN2O*kgtoGg,IF('Net zero activities &amp; levers'!$C$14="On",('Net zero Activity data'!AS18*EF!$H49*EF!$H67)*NtoN2O*kgtoGg,"ERROR"))</f>
        <v>0.10441383978193423</v>
      </c>
      <c r="AA1112" s="93">
        <f>IF('Net zero activities &amp; levers'!$C$14="Off",('Activity data'!AT18*EF!$H49*EF!$H67)*NtoN2O*kgtoGg,IF('Net zero activities &amp; levers'!$C$14="On",('Net zero Activity data'!AT18*EF!$H49*EF!$H67)*NtoN2O*kgtoGg,"ERROR"))</f>
        <v>0.10384164230623445</v>
      </c>
      <c r="AB1112" s="93">
        <f>IF('Net zero activities &amp; levers'!$C$14="Off",('Activity data'!AU18*EF!$H49*EF!$H67)*NtoN2O*kgtoGg,IF('Net zero activities &amp; levers'!$C$14="On",('Net zero Activity data'!AU18*EF!$H49*EF!$H67)*NtoN2O*kgtoGg,"ERROR"))</f>
        <v>0.10310107178604509</v>
      </c>
      <c r="AC1112" s="93">
        <f>IF('Net zero activities &amp; levers'!$C$14="Off",('Activity data'!AV18*EF!$H49*EF!$H67)*NtoN2O*kgtoGg,IF('Net zero activities &amp; levers'!$C$14="On",('Net zero Activity data'!AV18*EF!$H49*EF!$H67)*NtoN2O*kgtoGg,"ERROR"))</f>
        <v>0.10219307807090795</v>
      </c>
      <c r="AD1112" s="93">
        <f>IF('Net zero activities &amp; levers'!$C$14="Off",('Activity data'!AW18*EF!$H49*EF!$H67)*NtoN2O*kgtoGg,IF('Net zero activities &amp; levers'!$C$14="On",('Net zero Activity data'!AW18*EF!$H49*EF!$H67)*NtoN2O*kgtoGg,"ERROR"))</f>
        <v>0.10111999815723396</v>
      </c>
      <c r="AE1112" s="93">
        <f>IF('Net zero activities &amp; levers'!$C$14="Off",('Activity data'!AX18*EF!$H49*EF!$H67)*NtoN2O*kgtoGg,IF('Net zero activities &amp; levers'!$C$14="On",('Net zero Activity data'!AX18*EF!$H49*EF!$H67)*NtoN2O*kgtoGg,"ERROR"))</f>
        <v>9.9884787605714245E-2</v>
      </c>
      <c r="AF1112" s="93">
        <f>IF('Net zero activities &amp; levers'!$C$14="Off",('Activity data'!AY18*EF!$H49*EF!$H67)*NtoN2O*kgtoGg,IF('Net zero activities &amp; levers'!$C$14="On",('Net zero Activity data'!AY18*EF!$H49*EF!$H67)*NtoN2O*kgtoGg,"ERROR"))</f>
        <v>9.8491622873711313E-2</v>
      </c>
      <c r="AG1112" s="93">
        <f>IF('Net zero activities &amp; levers'!$C$14="Off",('Activity data'!AZ18*EF!$H49*EF!$H67)*NtoN2O*kgtoGg,IF('Net zero activities &amp; levers'!$C$14="On",('Net zero Activity data'!AZ18*EF!$H49*EF!$H67)*NtoN2O*kgtoGg,"ERROR"))</f>
        <v>9.6945855862482944E-2</v>
      </c>
      <c r="AH1112" s="93">
        <f>IF('Net zero activities &amp; levers'!$C$14="Off",('Activity data'!BA18*EF!$H49*EF!$H67)*NtoN2O*kgtoGg,IF('Net zero activities &amp; levers'!$C$14="On",('Net zero Activity data'!BA18*EF!$H49*EF!$H67)*NtoN2O*kgtoGg,"ERROR"))</f>
        <v>9.5253283755261486E-2</v>
      </c>
      <c r="AI1112" s="93">
        <f>IF('Net zero activities &amp; levers'!$C$14="Off",('Activity data'!BB18*EF!$H49*EF!$H67)*NtoN2O*kgtoGg,IF('Net zero activities &amp; levers'!$C$14="On",('Net zero Activity data'!BB18*EF!$H49*EF!$H67)*NtoN2O*kgtoGg,"ERROR"))</f>
        <v>9.3420412011947257E-2</v>
      </c>
      <c r="AJ1112" s="93">
        <f>IF('Net zero activities &amp; levers'!$C$14="Off",('Activity data'!BC18*EF!$H49*EF!$H67)*NtoN2O*kgtoGg,IF('Net zero activities &amp; levers'!$C$14="On",('Net zero Activity data'!BC18*EF!$H49*EF!$H67)*NtoN2O*kgtoGg,"ERROR"))</f>
        <v>-8.7051274087999644E-3</v>
      </c>
      <c r="AK1112" s="93">
        <f>IF('Net zero activities &amp; levers'!$C$14="Off",('Activity data'!BD18*EF!$H49*EF!$H67)*NtoN2O*kgtoGg,IF('Net zero activities &amp; levers'!$C$14="On",('Net zero Activity data'!BD18*EF!$H49*EF!$H67)*NtoN2O*kgtoGg,"ERROR"))</f>
        <v>-8.6108864575991286E-3</v>
      </c>
      <c r="AL1112" s="93">
        <f>IF('Net zero activities &amp; levers'!$C$14="Off",('Activity data'!BE18*EF!$H49*EF!$H67)*NtoN2O*kgtoGg,IF('Net zero activities &amp; levers'!$C$14="On",('Net zero Activity data'!BE18*EF!$H49*EF!$H67)*NtoN2O*kgtoGg,"ERROR"))</f>
        <v>-8.5163116169970788E-3</v>
      </c>
      <c r="AM1112" s="93">
        <f>IF('Net zero activities &amp; levers'!$C$14="Off",('Activity data'!BF18*EF!$H49*EF!$H67)*NtoN2O*kgtoGg,IF('Net zero activities &amp; levers'!$C$14="On",('Net zero Activity data'!BF18*EF!$H49*EF!$H67)*NtoN2O*kgtoGg,"ERROR"))</f>
        <v>-8.4215010037687853E-3</v>
      </c>
      <c r="AN1112" s="93">
        <f>IF('Net zero activities &amp; levers'!$C$14="Off",('Activity data'!BG18*EF!$H49*EF!$H67)*NtoN2O*kgtoGg,IF('Net zero activities &amp; levers'!$C$14="On",('Net zero Activity data'!BG18*EF!$H49*EF!$H67)*NtoN2O*kgtoGg,"ERROR"))</f>
        <v>-8.3265630558819938E-3</v>
      </c>
      <c r="AO1112" s="93">
        <f>IF('Net zero activities &amp; levers'!$C$14="Off",('Activity data'!BH18*EF!$H49*EF!$H67)*NtoN2O*kgtoGg,IF('Net zero activities &amp; levers'!$C$14="On",('Net zero Activity data'!BH18*EF!$H49*EF!$H67)*NtoN2O*kgtoGg,"ERROR"))</f>
        <v>-8.2312461111809163E-3</v>
      </c>
      <c r="AP1112" s="93">
        <f>IF('Net zero activities &amp; levers'!$C$14="Off",('Activity data'!BI18*EF!$H49*EF!$H67)*NtoN2O*kgtoGg,IF('Net zero activities &amp; levers'!$C$14="On",('Net zero Activity data'!BI18*EF!$H49*EF!$H67)*NtoN2O*kgtoGg,"ERROR"))</f>
        <v>-8.135401593620856E-3</v>
      </c>
      <c r="AQ1112" s="93">
        <f>IF('Net zero activities &amp; levers'!$C$14="Off",('Activity data'!BJ18*EF!$H49*EF!$H67)*NtoN2O*kgtoGg,IF('Net zero activities &amp; levers'!$C$14="On",('Net zero Activity data'!BJ18*EF!$H49*EF!$H67)*NtoN2O*kgtoGg,"ERROR"))</f>
        <v>-8.0390387618132202E-3</v>
      </c>
      <c r="AR1112" s="93">
        <f>IF('Net zero activities &amp; levers'!$C$14="Off",('Activity data'!BK18*EF!$H49*EF!$H67)*NtoN2O*kgtoGg,IF('Net zero activities &amp; levers'!$C$14="On",('Net zero Activity data'!BK18*EF!$H49*EF!$H67)*NtoN2O*kgtoGg,"ERROR"))</f>
        <v>-7.9419979262182108E-3</v>
      </c>
      <c r="AS1112" s="93">
        <f>IF('Net zero activities &amp; levers'!$C$14="Off",('Activity data'!BL18*EF!$H49*EF!$H67)*NtoN2O*kgtoGg,IF('Net zero activities &amp; levers'!$C$14="On",('Net zero Activity data'!BL18*EF!$H49*EF!$H67)*NtoN2O*kgtoGg,"ERROR"))</f>
        <v>-7.8441134290601709E-3</v>
      </c>
      <c r="AT1112" s="93">
        <f>IF('Net zero activities &amp; levers'!$C$14="Off",('Activity data'!BM18*EF!$H49*EF!$H67)*NtoN2O*kgtoGg,IF('Net zero activities &amp; levers'!$C$14="On",('Net zero Activity data'!BM18*EF!$H49*EF!$H67)*NtoN2O*kgtoGg,"ERROR"))</f>
        <v>-7.7454130516986675E-3</v>
      </c>
      <c r="AU1112" s="93">
        <f>IF('Net zero activities &amp; levers'!$C$14="Off",('Activity data'!BN18*EF!$H49*EF!$H67)*NtoN2O*kgtoGg,IF('Net zero activities &amp; levers'!$C$14="On",('Net zero Activity data'!BN18*EF!$H49*EF!$H67)*NtoN2O*kgtoGg,"ERROR"))</f>
        <v>-7.6459789259300508E-3</v>
      </c>
      <c r="AV1112" s="93">
        <f>IF('Net zero activities &amp; levers'!$C$14="Off",('Activity data'!BO18*EF!$H49*EF!$H67)*NtoN2O*kgtoGg,IF('Net zero activities &amp; levers'!$C$14="On",('Net zero Activity data'!BO18*EF!$H49*EF!$H67)*NtoN2O*kgtoGg,"ERROR"))</f>
        <v>-7.5458813061838152E-3</v>
      </c>
      <c r="AW1112" s="93">
        <f>IF('Net zero activities &amp; levers'!$C$14="Off",('Activity data'!BP18*EF!$H49*EF!$H67)*NtoN2O*kgtoGg,IF('Net zero activities &amp; levers'!$C$14="On",('Net zero Activity data'!BP18*EF!$H49*EF!$H67)*NtoN2O*kgtoGg,"ERROR"))</f>
        <v>-7.444981612347289E-3</v>
      </c>
      <c r="AY1112" s="79"/>
    </row>
    <row r="1113" spans="1:51" x14ac:dyDescent="0.25">
      <c r="A1113" s="95" t="str">
        <f t="shared" si="374"/>
        <v>CM Poultry MMN2O</v>
      </c>
      <c r="B1113" s="95" t="s">
        <v>1322</v>
      </c>
      <c r="C1113" s="95" t="s">
        <v>1234</v>
      </c>
      <c r="D1113" t="s">
        <v>15</v>
      </c>
      <c r="E1113" t="s">
        <v>657</v>
      </c>
      <c r="F1113" t="s">
        <v>28</v>
      </c>
      <c r="G1113" t="s">
        <v>131</v>
      </c>
      <c r="H1113" t="s">
        <v>1227</v>
      </c>
      <c r="I1113" t="s">
        <v>139</v>
      </c>
      <c r="J1113" t="s">
        <v>287</v>
      </c>
      <c r="K1113" s="93">
        <f>IF('Net zero activities &amp; levers'!$C$14="Off",('Activity data'!AD19*EF!$H50*EF!$H68)*NtoN2O*kgtoGg,IF('Net zero activities &amp; levers'!$C$14="On",('Net zero Activity data'!AD19*EF!$H50*EF!$H68)*NtoN2O*kgtoGg,"ERROR"))</f>
        <v>0.3278422472608899</v>
      </c>
      <c r="L1113" s="93">
        <f>IF('Net zero activities &amp; levers'!$C$14="Off",('Activity data'!AE19*EF!$H50*EF!$H68)*NtoN2O*kgtoGg,IF('Net zero activities &amp; levers'!$C$14="On",('Net zero Activity data'!AE19*EF!$H50*EF!$H68)*NtoN2O*kgtoGg,"ERROR"))</f>
        <v>0.33450793008613738</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0.34828124731402305</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0.35667649320457162</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0.36607496135357975</v>
      </c>
      <c r="S1113" s="93">
        <f>IF('Net zero activities &amp; levers'!$C$14="Off",('Activity data'!AL19*EF!$H50*EF!$H68)*NtoN2O*kgtoGg,IF('Net zero activities &amp; levers'!$C$14="On",('Net zero Activity data'!AL19*EF!$H50*EF!$H68)*NtoN2O*kgtoGg,"ERROR"))</f>
        <v>0.35164354142672727</v>
      </c>
      <c r="T1113" s="93">
        <f>IF('Net zero activities &amp; levers'!$C$14="Off",('Activity data'!AM19*EF!$H50*EF!$H68)*NtoN2O*kgtoGg,IF('Net zero activities &amp; levers'!$C$14="On",('Net zero Activity data'!AM19*EF!$H50*EF!$H68)*NtoN2O*kgtoGg,"ERROR"))</f>
        <v>0.36454239171647873</v>
      </c>
      <c r="U1113" s="93">
        <f>IF('Net zero activities &amp; levers'!$C$14="Off",('Activity data'!AN19*EF!$H50*EF!$H68)*NtoN2O*kgtoGg,IF('Net zero activities &amp; levers'!$C$14="On",('Net zero Activity data'!AN19*EF!$H50*EF!$H68)*NtoN2O*kgtoGg,"ERROR"))</f>
        <v>0.81017234402499216</v>
      </c>
      <c r="V1113" s="93">
        <f>IF('Net zero activities &amp; levers'!$C$14="Off",('Activity data'!AO19*EF!$H50*EF!$H68)*NtoN2O*kgtoGg,IF('Net zero activities &amp; levers'!$C$14="On",('Net zero Activity data'!AO19*EF!$H50*EF!$H68)*NtoN2O*kgtoGg,"ERROR"))</f>
        <v>0.82798351635276735</v>
      </c>
      <c r="W1113" s="93">
        <f>IF('Net zero activities &amp; levers'!$C$14="Off",('Activity data'!AP19*EF!$H50*EF!$H68)*NtoN2O*kgtoGg,IF('Net zero activities &amp; levers'!$C$14="On",('Net zero Activity data'!AP19*EF!$H50*EF!$H68)*NtoN2O*kgtoGg,"ERROR"))</f>
        <v>0.84506426194084328</v>
      </c>
      <c r="X1113" s="93">
        <f>IF('Net zero activities &amp; levers'!$C$14="Off",('Activity data'!AQ19*EF!$H50*EF!$H68)*NtoN2O*kgtoGg,IF('Net zero activities &amp; levers'!$C$14="On",('Net zero Activity data'!AQ19*EF!$H50*EF!$H68)*NtoN2O*kgtoGg,"ERROR"))</f>
        <v>0.86126373168327053</v>
      </c>
      <c r="Y1113" s="93">
        <f>IF('Net zero activities &amp; levers'!$C$14="Off",('Activity data'!AR19*EF!$H50*EF!$H68)*NtoN2O*kgtoGg,IF('Net zero activities &amp; levers'!$C$14="On",('Net zero Activity data'!AR19*EF!$H50*EF!$H68)*NtoN2O*kgtoGg,"ERROR"))</f>
        <v>0.8763773651993314</v>
      </c>
      <c r="Z1113" s="93">
        <f>IF('Net zero activities &amp; levers'!$C$14="Off",('Activity data'!AS19*EF!$H50*EF!$H68)*NtoN2O*kgtoGg,IF('Net zero activities &amp; levers'!$C$14="On",('Net zero Activity data'!AS19*EF!$H50*EF!$H68)*NtoN2O*kgtoGg,"ERROR"))</f>
        <v>0.89033910907341196</v>
      </c>
      <c r="AA1113" s="93">
        <f>IF('Net zero activities &amp; levers'!$C$14="Off",('Activity data'!AT19*EF!$H50*EF!$H68)*NtoN2O*kgtoGg,IF('Net zero activities &amp; levers'!$C$14="On",('Net zero Activity data'!AT19*EF!$H50*EF!$H68)*NtoN2O*kgtoGg,"ERROR"))</f>
        <v>0.90308174157394194</v>
      </c>
      <c r="AB1113" s="93">
        <f>IF('Net zero activities &amp; levers'!$C$14="Off",('Activity data'!AU19*EF!$H50*EF!$H68)*NtoN2O*kgtoGg,IF('Net zero activities &amp; levers'!$C$14="On",('Net zero Activity data'!AU19*EF!$H50*EF!$H68)*NtoN2O*kgtoGg,"ERROR"))</f>
        <v>0.91454727526335933</v>
      </c>
      <c r="AC1113" s="93">
        <f>IF('Net zero activities &amp; levers'!$C$14="Off",('Activity data'!AV19*EF!$H50*EF!$H68)*NtoN2O*kgtoGg,IF('Net zero activities &amp; levers'!$C$14="On",('Net zero Activity data'!AV19*EF!$H50*EF!$H68)*NtoN2O*kgtoGg,"ERROR"))</f>
        <v>0.92468482420589437</v>
      </c>
      <c r="AD1113" s="93">
        <f>IF('Net zero activities &amp; levers'!$C$14="Off",('Activity data'!AW19*EF!$H50*EF!$H68)*NtoN2O*kgtoGg,IF('Net zero activities &amp; levers'!$C$14="On",('Net zero Activity data'!AW19*EF!$H50*EF!$H68)*NtoN2O*kgtoGg,"ERROR"))</f>
        <v>0.93344536277323964</v>
      </c>
      <c r="AE1113" s="93">
        <f>IF('Net zero activities &amp; levers'!$C$14="Off",('Activity data'!AX19*EF!$H50*EF!$H68)*NtoN2O*kgtoGg,IF('Net zero activities &amp; levers'!$C$14="On",('Net zero Activity data'!AX19*EF!$H50*EF!$H68)*NtoN2O*kgtoGg,"ERROR"))</f>
        <v>0.94079043302909848</v>
      </c>
      <c r="AF1113" s="93">
        <f>IF('Net zero activities &amp; levers'!$C$14="Off",('Activity data'!AY19*EF!$H50*EF!$H68)*NtoN2O*kgtoGg,IF('Net zero activities &amp; levers'!$C$14="On",('Net zero Activity data'!AY19*EF!$H50*EF!$H68)*NtoN2O*kgtoGg,"ERROR"))</f>
        <v>0.94668534064993604</v>
      </c>
      <c r="AG1113" s="93">
        <f>IF('Net zero activities &amp; levers'!$C$14="Off",('Activity data'!AZ19*EF!$H50*EF!$H68)*NtoN2O*kgtoGg,IF('Net zero activities &amp; levers'!$C$14="On",('Net zero Activity data'!AZ19*EF!$H50*EF!$H68)*NtoN2O*kgtoGg,"ERROR"))</f>
        <v>0.95109922865749519</v>
      </c>
      <c r="AH1113" s="93">
        <f>IF('Net zero activities &amp; levers'!$C$14="Off",('Activity data'!BA19*EF!$H50*EF!$H68)*NtoN2O*kgtoGg,IF('Net zero activities &amp; levers'!$C$14="On",('Net zero Activity data'!BA19*EF!$H50*EF!$H68)*NtoN2O*kgtoGg,"ERROR"))</f>
        <v>0.95401351999914974</v>
      </c>
      <c r="AI1113" s="93">
        <f>IF('Net zero activities &amp; levers'!$C$14="Off",('Activity data'!BB19*EF!$H50*EF!$H68)*NtoN2O*kgtoGg,IF('Net zero activities &amp; levers'!$C$14="On",('Net zero Activity data'!BB19*EF!$H50*EF!$H68)*NtoN2O*kgtoGg,"ERROR"))</f>
        <v>0.95541860028387315</v>
      </c>
      <c r="AJ1113" s="93">
        <f>IF('Net zero activities &amp; levers'!$C$14="Off",('Activity data'!BC19*EF!$H50*EF!$H68)*NtoN2O*kgtoGg,IF('Net zero activities &amp; levers'!$C$14="On",('Net zero Activity data'!BC19*EF!$H50*EF!$H68)*NtoN2O*kgtoGg,"ERROR"))</f>
        <v>0.12455157965260578</v>
      </c>
      <c r="AK1113" s="93">
        <f>IF('Net zero activities &amp; levers'!$C$14="Off",('Activity data'!BD19*EF!$H50*EF!$H68)*NtoN2O*kgtoGg,IF('Net zero activities &amp; levers'!$C$14="On",('Net zero Activity data'!BD19*EF!$H50*EF!$H68)*NtoN2O*kgtoGg,"ERROR"))</f>
        <v>0.12546570662729262</v>
      </c>
      <c r="AL1113" s="93">
        <f>IF('Net zero activities &amp; levers'!$C$14="Off",('Activity data'!BE19*EF!$H50*EF!$H68)*NtoN2O*kgtoGg,IF('Net zero activities &amp; levers'!$C$14="On",('Net zero Activity data'!BE19*EF!$H50*EF!$H68)*NtoN2O*kgtoGg,"ERROR"))</f>
        <v>0.12635717357285206</v>
      </c>
      <c r="AM1113" s="93">
        <f>IF('Net zero activities &amp; levers'!$C$14="Off",('Activity data'!BF19*EF!$H50*EF!$H68)*NtoN2O*kgtoGg,IF('Net zero activities &amp; levers'!$C$14="On",('Net zero Activity data'!BF19*EF!$H50*EF!$H68)*NtoN2O*kgtoGg,"ERROR"))</f>
        <v>0.12722732342881915</v>
      </c>
      <c r="AN1113" s="93">
        <f>IF('Net zero activities &amp; levers'!$C$14="Off",('Activity data'!BG19*EF!$H50*EF!$H68)*NtoN2O*kgtoGg,IF('Net zero activities &amp; levers'!$C$14="On",('Net zero Activity data'!BG19*EF!$H50*EF!$H68)*NtoN2O*kgtoGg,"ERROR"))</f>
        <v>0.12807770428267184</v>
      </c>
      <c r="AO1113" s="93">
        <f>IF('Net zero activities &amp; levers'!$C$14="Off",('Activity data'!BH19*EF!$H50*EF!$H68)*NtoN2O*kgtoGg,IF('Net zero activities &amp; levers'!$C$14="On",('Net zero Activity data'!BH19*EF!$H50*EF!$H68)*NtoN2O*kgtoGg,"ERROR"))</f>
        <v>0.12890482942711159</v>
      </c>
      <c r="AP1113" s="93">
        <f>IF('Net zero activities &amp; levers'!$C$14="Off",('Activity data'!BI19*EF!$H50*EF!$H68)*NtoN2O*kgtoGg,IF('Net zero activities &amp; levers'!$C$14="On",('Net zero Activity data'!BI19*EF!$H50*EF!$H68)*NtoN2O*kgtoGg,"ERROR"))</f>
        <v>0.12970640273413572</v>
      </c>
      <c r="AQ1113" s="93">
        <f>IF('Net zero activities &amp; levers'!$C$14="Off",('Activity data'!BJ19*EF!$H50*EF!$H68)*NtoN2O*kgtoGg,IF('Net zero activities &amp; levers'!$C$14="On",('Net zero Activity data'!BJ19*EF!$H50*EF!$H68)*NtoN2O*kgtoGg,"ERROR"))</f>
        <v>0.13048225510266878</v>
      </c>
      <c r="AR1113" s="93">
        <f>IF('Net zero activities &amp; levers'!$C$14="Off",('Activity data'!BK19*EF!$H50*EF!$H68)*NtoN2O*kgtoGg,IF('Net zero activities &amp; levers'!$C$14="On",('Net zero Activity data'!BK19*EF!$H50*EF!$H68)*NtoN2O*kgtoGg,"ERROR"))</f>
        <v>0.13122965143314799</v>
      </c>
      <c r="AS1113" s="93">
        <f>IF('Net zero activities &amp; levers'!$C$14="Off",('Activity data'!BL19*EF!$H50*EF!$H68)*NtoN2O*kgtoGg,IF('Net zero activities &amp; levers'!$C$14="On",('Net zero Activity data'!BL19*EF!$H50*EF!$H68)*NtoN2O*kgtoGg,"ERROR"))</f>
        <v>0.13194554686006624</v>
      </c>
      <c r="AT1113" s="93">
        <f>IF('Net zero activities &amp; levers'!$C$14="Off",('Activity data'!BM19*EF!$H50*EF!$H68)*NtoN2O*kgtoGg,IF('Net zero activities &amp; levers'!$C$14="On",('Net zero Activity data'!BM19*EF!$H50*EF!$H68)*NtoN2O*kgtoGg,"ERROR"))</f>
        <v>0.1326296750998292</v>
      </c>
      <c r="AU1113" s="93">
        <f>IF('Net zero activities &amp; levers'!$C$14="Off",('Activity data'!BN19*EF!$H50*EF!$H68)*NtoN2O*kgtoGg,IF('Net zero activities &amp; levers'!$C$14="On",('Net zero Activity data'!BN19*EF!$H50*EF!$H68)*NtoN2O*kgtoGg,"ERROR"))</f>
        <v>0.13328261317396048</v>
      </c>
      <c r="AV1113" s="93">
        <f>IF('Net zero activities &amp; levers'!$C$14="Off",('Activity data'!BO19*EF!$H50*EF!$H68)*NtoN2O*kgtoGg,IF('Net zero activities &amp; levers'!$C$14="On",('Net zero Activity data'!BO19*EF!$H50*EF!$H68)*NtoN2O*kgtoGg,"ERROR"))</f>
        <v>0.1339047918740231</v>
      </c>
      <c r="AW1113" s="93">
        <f>IF('Net zero activities &amp; levers'!$C$14="Off",('Activity data'!BP19*EF!$H50*EF!$H68)*NtoN2O*kgtoGg,IF('Net zero activities &amp; levers'!$C$14="On",('Net zero Activity data'!BP19*EF!$H50*EF!$H68)*NtoN2O*kgtoGg,"ERROR"))</f>
        <v>0.13449324202045793</v>
      </c>
      <c r="AY1113" s="79"/>
    </row>
    <row r="1114" spans="1:51" x14ac:dyDescent="0.25">
      <c r="A1114" s="95" t="str">
        <f t="shared" si="374"/>
        <v>CM Poultry MMN2O</v>
      </c>
      <c r="B1114" s="95" t="s">
        <v>1322</v>
      </c>
      <c r="C1114" s="95" t="s">
        <v>1234</v>
      </c>
      <c r="D1114" t="s">
        <v>15</v>
      </c>
      <c r="E1114" t="s">
        <v>657</v>
      </c>
      <c r="F1114" t="s">
        <v>28</v>
      </c>
      <c r="G1114" t="s">
        <v>132</v>
      </c>
      <c r="H1114" t="s">
        <v>1227</v>
      </c>
      <c r="I1114" t="s">
        <v>139</v>
      </c>
      <c r="J1114" t="s">
        <v>287</v>
      </c>
      <c r="K1114" s="93">
        <f>IF('Net zero activities &amp; levers'!$C$14="Off",('Activity data'!AD20*EF!$H51*EF!$H69)*NtoN2O*kgtoGg,IF('Net zero activities &amp; levers'!$C$14="On",('Net zero Activity data'!AD20*EF!$H51*EF!$H69)*NtoN2O*kgtoGg,"ERROR"))</f>
        <v>1.7017151675634967</v>
      </c>
      <c r="L1114" s="93">
        <f>IF('Net zero activities &amp; levers'!$C$14="Off",('Activity data'!AE20*EF!$H51*EF!$H69)*NtoN2O*kgtoGg,IF('Net zero activities &amp; levers'!$C$14="On",('Net zero Activity data'!AE20*EF!$H51*EF!$H69)*NtoN2O*kgtoGg,"ERROR"))</f>
        <v>1.724123714732765</v>
      </c>
      <c r="M1114" s="93">
        <f>IF('Net zero activities &amp; levers'!$C$14="Off",('Activity data'!AF20*EF!$H51*EF!$H69)*NtoN2O*kgtoGg,IF('Net zero activities &amp; levers'!$C$14="On",('Net zero Activity data'!AF20*EF!$H51*EF!$H69)*NtoN2O*kgtoGg,"ERROR"))</f>
        <v>1.7601182693498119</v>
      </c>
      <c r="N1114" s="93">
        <f>IF('Net zero activities &amp; levers'!$C$14="Off",('Activity data'!AG20*EF!$H51*EF!$H69)*NtoN2O*kgtoGg,IF('Net zero activities &amp; levers'!$C$14="On",('Net zero Activity data'!AG20*EF!$H51*EF!$H69)*NtoN2O*kgtoGg,"ERROR"))</f>
        <v>1.7704533576020518</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1.7240481490859689</v>
      </c>
      <c r="S1114" s="93">
        <f>IF('Net zero activities &amp; levers'!$C$14="Off",('Activity data'!AL20*EF!$H51*EF!$H69)*NtoN2O*kgtoGg,IF('Net zero activities &amp; levers'!$C$14="On",('Net zero Activity data'!AL20*EF!$H51*EF!$H69)*NtoN2O*kgtoGg,"ERROR"))</f>
        <v>1.5035639635767468</v>
      </c>
      <c r="T1114" s="93">
        <f>IF('Net zero activities &amp; levers'!$C$14="Off",('Activity data'!AM20*EF!$H51*EF!$H69)*NtoN2O*kgtoGg,IF('Net zero activities &amp; levers'!$C$14="On",('Net zero Activity data'!AM20*EF!$H51*EF!$H69)*NtoN2O*kgtoGg,"ERROR"))</f>
        <v>1.6173540495561818</v>
      </c>
      <c r="U1114" s="93">
        <f>IF('Net zero activities &amp; levers'!$C$14="Off",('Activity data'!AN20*EF!$H51*EF!$H69)*NtoN2O*kgtoGg,IF('Net zero activities &amp; levers'!$C$14="On",('Net zero Activity data'!AN20*EF!$H51*EF!$H69)*NtoN2O*kgtoGg,"ERROR"))</f>
        <v>7.0326605429040603</v>
      </c>
      <c r="V1114" s="93">
        <f>IF('Net zero activities &amp; levers'!$C$14="Off",('Activity data'!AO20*EF!$H51*EF!$H69)*NtoN2O*kgtoGg,IF('Net zero activities &amp; levers'!$C$14="On",('Net zero Activity data'!AO20*EF!$H51*EF!$H69)*NtoN2O*kgtoGg,"ERROR"))</f>
        <v>7.1587444728308389</v>
      </c>
      <c r="W1114" s="93">
        <f>IF('Net zero activities &amp; levers'!$C$14="Off",('Activity data'!AP20*EF!$H51*EF!$H69)*NtoN2O*kgtoGg,IF('Net zero activities &amp; levers'!$C$14="On",('Net zero Activity data'!AP20*EF!$H51*EF!$H69)*NtoN2O*kgtoGg,"ERROR"))</f>
        <v>7.2707564931151909</v>
      </c>
      <c r="X1114" s="93">
        <f>IF('Net zero activities &amp; levers'!$C$14="Off",('Activity data'!AQ20*EF!$H51*EF!$H69)*NtoN2O*kgtoGg,IF('Net zero activities &amp; levers'!$C$14="On",('Net zero Activity data'!AQ20*EF!$H51*EF!$H69)*NtoN2O*kgtoGg,"ERROR"))</f>
        <v>7.3691748844835665</v>
      </c>
      <c r="Y1114" s="93">
        <f>IF('Net zero activities &amp; levers'!$C$14="Off",('Activity data'!AR20*EF!$H51*EF!$H69)*NtoN2O*kgtoGg,IF('Net zero activities &amp; levers'!$C$14="On",('Net zero Activity data'!AR20*EF!$H51*EF!$H69)*NtoN2O*kgtoGg,"ERROR"))</f>
        <v>7.4553371690594963</v>
      </c>
      <c r="Z1114" s="93">
        <f>IF('Net zero activities &amp; levers'!$C$14="Off",('Activity data'!AS20*EF!$H51*EF!$H69)*NtoN2O*kgtoGg,IF('Net zero activities &amp; levers'!$C$14="On",('Net zero Activity data'!AS20*EF!$H51*EF!$H69)*NtoN2O*kgtoGg,"ERROR"))</f>
        <v>7.5285970501173791</v>
      </c>
      <c r="AA1114" s="93">
        <f>IF('Net zero activities &amp; levers'!$C$14="Off",('Activity data'!AT20*EF!$H51*EF!$H69)*NtoN2O*kgtoGg,IF('Net zero activities &amp; levers'!$C$14="On",('Net zero Activity data'!AT20*EF!$H51*EF!$H69)*NtoN2O*kgtoGg,"ERROR"))</f>
        <v>7.5884583464710351</v>
      </c>
      <c r="AB1114" s="93">
        <f>IF('Net zero activities &amp; levers'!$C$14="Off",('Activity data'!AU20*EF!$H51*EF!$H69)*NtoN2O*kgtoGg,IF('Net zero activities &amp; levers'!$C$14="On",('Net zero Activity data'!AU20*EF!$H51*EF!$H69)*NtoN2O*kgtoGg,"ERROR"))</f>
        <v>7.6344333579538368</v>
      </c>
      <c r="AC1114" s="93">
        <f>IF('Net zero activities &amp; levers'!$C$14="Off",('Activity data'!AV20*EF!$H51*EF!$H69)*NtoN2O*kgtoGg,IF('Net zero activities &amp; levers'!$C$14="On",('Net zero Activity data'!AV20*EF!$H51*EF!$H69)*NtoN2O*kgtoGg,"ERROR"))</f>
        <v>7.6660871188162911</v>
      </c>
      <c r="AD1114" s="93">
        <f>IF('Net zero activities &amp; levers'!$C$14="Off",('Activity data'!AW20*EF!$H51*EF!$H69)*NtoN2O*kgtoGg,IF('Net zero activities &amp; levers'!$C$14="On",('Net zero Activity data'!AW20*EF!$H51*EF!$H69)*NtoN2O*kgtoGg,"ERROR"))</f>
        <v>7.6831230278292386</v>
      </c>
      <c r="AE1114" s="93">
        <f>IF('Net zero activities &amp; levers'!$C$14="Off",('Activity data'!AX20*EF!$H51*EF!$H69)*NtoN2O*kgtoGg,IF('Net zero activities &amp; levers'!$C$14="On",('Net zero Activity data'!AX20*EF!$H51*EF!$H69)*NtoN2O*kgtoGg,"ERROR"))</f>
        <v>7.6852660983393646</v>
      </c>
      <c r="AF1114" s="93">
        <f>IF('Net zero activities &amp; levers'!$C$14="Off",('Activity data'!AY20*EF!$H51*EF!$H69)*NtoN2O*kgtoGg,IF('Net zero activities &amp; levers'!$C$14="On",('Net zero Activity data'!AY20*EF!$H51*EF!$H69)*NtoN2O*kgtoGg,"ERROR"))</f>
        <v>7.6723681593235442</v>
      </c>
      <c r="AG1114" s="93">
        <f>IF('Net zero activities &amp; levers'!$C$14="Off",('Activity data'!AZ20*EF!$H51*EF!$H69)*NtoN2O*kgtoGg,IF('Net zero activities &amp; levers'!$C$14="On",('Net zero Activity data'!AZ20*EF!$H51*EF!$H69)*NtoN2O*kgtoGg,"ERROR"))</f>
        <v>7.6444112062228218</v>
      </c>
      <c r="AH1114" s="93">
        <f>IF('Net zero activities &amp; levers'!$C$14="Off",('Activity data'!BA20*EF!$H51*EF!$H69)*NtoN2O*kgtoGg,IF('Net zero activities &amp; levers'!$C$14="On",('Net zero Activity data'!BA20*EF!$H51*EF!$H69)*NtoN2O*kgtoGg,"ERROR"))</f>
        <v>7.601393060420655</v>
      </c>
      <c r="AI1114" s="93">
        <f>IF('Net zero activities &amp; levers'!$C$14="Off",('Activity data'!BB20*EF!$H51*EF!$H69)*NtoN2O*kgtoGg,IF('Net zero activities &amp; levers'!$C$14="On",('Net zero Activity data'!BB20*EF!$H51*EF!$H69)*NtoN2O*kgtoGg,"ERROR"))</f>
        <v>7.5433781605278138</v>
      </c>
      <c r="AJ1114" s="93">
        <f>IF('Net zero activities &amp; levers'!$C$14="Off",('Activity data'!BC20*EF!$H51*EF!$H69)*NtoN2O*kgtoGg,IF('Net zero activities &amp; levers'!$C$14="On",('Net zero Activity data'!BC20*EF!$H51*EF!$H69)*NtoN2O*kgtoGg,"ERROR"))</f>
        <v>-1.6108210655566082</v>
      </c>
      <c r="AK1114" s="93">
        <f>IF('Net zero activities &amp; levers'!$C$14="Off",('Activity data'!BD20*EF!$H51*EF!$H69)*NtoN2O*kgtoGg,IF('Net zero activities &amp; levers'!$C$14="On",('Net zero Activity data'!BD20*EF!$H51*EF!$H69)*NtoN2O*kgtoGg,"ERROR"))</f>
        <v>-1.613100635371139</v>
      </c>
      <c r="AL1114" s="93">
        <f>IF('Net zero activities &amp; levers'!$C$14="Off",('Activity data'!BE20*EF!$H51*EF!$H69)*NtoN2O*kgtoGg,IF('Net zero activities &amp; levers'!$C$14="On",('Net zero Activity data'!BE20*EF!$H51*EF!$H69)*NtoN2O*kgtoGg,"ERROR"))</f>
        <v>-1.6151647470887973</v>
      </c>
      <c r="AM1114" s="93">
        <f>IF('Net zero activities &amp; levers'!$C$14="Off",('Activity data'!BF20*EF!$H51*EF!$H69)*NtoN2O*kgtoGg,IF('Net zero activities &amp; levers'!$C$14="On",('Net zero Activity data'!BF20*EF!$H51*EF!$H69)*NtoN2O*kgtoGg,"ERROR"))</f>
        <v>-1.6170309534265412</v>
      </c>
      <c r="AN1114" s="93">
        <f>IF('Net zero activities &amp; levers'!$C$14="Off",('Activity data'!BG20*EF!$H51*EF!$H69)*NtoN2O*kgtoGg,IF('Net zero activities &amp; levers'!$C$14="On",('Net zero Activity data'!BG20*EF!$H51*EF!$H69)*NtoN2O*kgtoGg,"ERROR"))</f>
        <v>-1.6187193219312461</v>
      </c>
      <c r="AO1114" s="93">
        <f>IF('Net zero activities &amp; levers'!$C$14="Off",('Activity data'!BH20*EF!$H51*EF!$H69)*NtoN2O*kgtoGg,IF('Net zero activities &amp; levers'!$C$14="On",('Net zero Activity data'!BH20*EF!$H51*EF!$H69)*NtoN2O*kgtoGg,"ERROR"))</f>
        <v>-1.6201827321446018</v>
      </c>
      <c r="AP1114" s="93">
        <f>IF('Net zero activities &amp; levers'!$C$14="Off",('Activity data'!BI20*EF!$H51*EF!$H69)*NtoN2O*kgtoGg,IF('Net zero activities &amp; levers'!$C$14="On",('Net zero Activity data'!BI20*EF!$H51*EF!$H69)*NtoN2O*kgtoGg,"ERROR"))</f>
        <v>-1.6213910531514668</v>
      </c>
      <c r="AQ1114" s="93">
        <f>IF('Net zero activities &amp; levers'!$C$14="Off",('Activity data'!BJ20*EF!$H51*EF!$H69)*NtoN2O*kgtoGg,IF('Net zero activities &amp; levers'!$C$14="On",('Net zero Activity data'!BJ20*EF!$H51*EF!$H69)*NtoN2O*kgtoGg,"ERROR"))</f>
        <v>-1.6223429170122639</v>
      </c>
      <c r="AR1114" s="93">
        <f>IF('Net zero activities &amp; levers'!$C$14="Off",('Activity data'!BK20*EF!$H51*EF!$H69)*NtoN2O*kgtoGg,IF('Net zero activities &amp; levers'!$C$14="On",('Net zero Activity data'!BK20*EF!$H51*EF!$H69)*NtoN2O*kgtoGg,"ERROR"))</f>
        <v>-1.623003587370585</v>
      </c>
      <c r="AS1114" s="93">
        <f>IF('Net zero activities &amp; levers'!$C$14="Off",('Activity data'!BL20*EF!$H51*EF!$H69)*NtoN2O*kgtoGg,IF('Net zero activities &amp; levers'!$C$14="On",('Net zero Activity data'!BL20*EF!$H51*EF!$H69)*NtoN2O*kgtoGg,"ERROR"))</f>
        <v>-1.6233351759618906</v>
      </c>
      <c r="AT1114" s="93">
        <f>IF('Net zero activities &amp; levers'!$C$14="Off",('Activity data'!BM20*EF!$H51*EF!$H69)*NtoN2O*kgtoGg,IF('Net zero activities &amp; levers'!$C$14="On",('Net zero Activity data'!BM20*EF!$H51*EF!$H69)*NtoN2O*kgtoGg,"ERROR"))</f>
        <v>-1.623336597056291</v>
      </c>
      <c r="AU1114" s="93">
        <f>IF('Net zero activities &amp; levers'!$C$14="Off",('Activity data'!BN20*EF!$H51*EF!$H69)*NtoN2O*kgtoGg,IF('Net zero activities &amp; levers'!$C$14="On",('Net zero Activity data'!BN20*EF!$H51*EF!$H69)*NtoN2O*kgtoGg,"ERROR"))</f>
        <v>-1.6230176880430305</v>
      </c>
      <c r="AV1114" s="93">
        <f>IF('Net zero activities &amp; levers'!$C$14="Off",('Activity data'!BO20*EF!$H51*EF!$H69)*NtoN2O*kgtoGg,IF('Net zero activities &amp; levers'!$C$14="On",('Net zero Activity data'!BO20*EF!$H51*EF!$H69)*NtoN2O*kgtoGg,"ERROR"))</f>
        <v>-1.6223862668543294</v>
      </c>
      <c r="AW1114" s="93">
        <f>IF('Net zero activities &amp; levers'!$C$14="Off",('Activity data'!BP20*EF!$H51*EF!$H69)*NtoN2O*kgtoGg,IF('Net zero activities &amp; levers'!$C$14="On",('Net zero Activity data'!BP20*EF!$H51*EF!$H69)*NtoN2O*kgtoGg,"ERROR"))</f>
        <v>-1.6214068147422027</v>
      </c>
      <c r="AY1114" s="79"/>
    </row>
    <row r="1115" spans="1:51" x14ac:dyDescent="0.25">
      <c r="A1115" s="95" t="str">
        <f t="shared" si="374"/>
        <v>CM Poultry MMN2O</v>
      </c>
      <c r="B1115" s="95" t="s">
        <v>1322</v>
      </c>
      <c r="C1115" s="95" t="s">
        <v>1234</v>
      </c>
      <c r="D1115" t="s">
        <v>15</v>
      </c>
      <c r="E1115" t="s">
        <v>657</v>
      </c>
      <c r="F1115" t="s">
        <v>28</v>
      </c>
      <c r="G1115" t="s">
        <v>134</v>
      </c>
      <c r="H1115" t="s">
        <v>1227</v>
      </c>
      <c r="I1115" t="s">
        <v>139</v>
      </c>
      <c r="J1115" t="s">
        <v>287</v>
      </c>
      <c r="K1115" s="93">
        <f>IF('Net zero activities &amp; levers'!$C$14="Off",('Activity data'!AD21*EF!$H52*EF!$H70)*NtoN2O*kgtoGg,IF('Net zero activities &amp; levers'!$C$14="On",('Net zero Activity data'!AD21*EF!$H52*EF!$H70)*NtoN2O*kgtoGg,"ERROR"))</f>
        <v>1.3660093635870426E-2</v>
      </c>
      <c r="L1115" s="93">
        <f>IF('Net zero activities &amp; levers'!$C$14="Off",('Activity data'!AE21*EF!$H52*EF!$H70)*NtoN2O*kgtoGg,IF('Net zero activities &amp; levers'!$C$14="On",('Net zero Activity data'!AE21*EF!$H52*EF!$H70)*NtoN2O*kgtoGg,"ERROR"))</f>
        <v>1.3937830420255738E-2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1.4861520550190495E-2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1.5253123389732505E-2</v>
      </c>
      <c r="S1115" s="93">
        <f>IF('Net zero activities &amp; levers'!$C$14="Off",('Activity data'!AL21*EF!$H52*EF!$H70)*NtoN2O*kgtoGg,IF('Net zero activities &amp; levers'!$C$14="On",('Net zero Activity data'!AL21*EF!$H52*EF!$H70)*NtoN2O*kgtoGg,"ERROR"))</f>
        <v>1.4651814226113646E-2</v>
      </c>
      <c r="T1115" s="93">
        <f>IF('Net zero activities &amp; levers'!$C$14="Off",('Activity data'!AM21*EF!$H52*EF!$H70)*NtoN2O*kgtoGg,IF('Net zero activities &amp; levers'!$C$14="On",('Net zero Activity data'!AM21*EF!$H52*EF!$H70)*NtoN2O*kgtoGg,"ERROR"))</f>
        <v>1.5189266321519962E-2</v>
      </c>
      <c r="U1115" s="93">
        <f>IF('Net zero activities &amp; levers'!$C$14="Off",('Activity data'!AN21*EF!$H52*EF!$H70)*NtoN2O*kgtoGg,IF('Net zero activities &amp; levers'!$C$14="On",('Net zero Activity data'!AN21*EF!$H52*EF!$H70)*NtoN2O*kgtoGg,"ERROR"))</f>
        <v>3.3757181001041366E-2</v>
      </c>
      <c r="V1115" s="93">
        <f>IF('Net zero activities &amp; levers'!$C$14="Off",('Activity data'!AO21*EF!$H52*EF!$H70)*NtoN2O*kgtoGg,IF('Net zero activities &amp; levers'!$C$14="On",('Net zero Activity data'!AO21*EF!$H52*EF!$H70)*NtoN2O*kgtoGg,"ERROR"))</f>
        <v>3.4499313181365336E-2</v>
      </c>
      <c r="W1115" s="93">
        <f>IF('Net zero activities &amp; levers'!$C$14="Off",('Activity data'!AP21*EF!$H52*EF!$H70)*NtoN2O*kgtoGg,IF('Net zero activities &amp; levers'!$C$14="On",('Net zero Activity data'!AP21*EF!$H52*EF!$H70)*NtoN2O*kgtoGg,"ERROR"))</f>
        <v>3.5211010914201833E-2</v>
      </c>
      <c r="X1115" s="93">
        <f>IF('Net zero activities &amp; levers'!$C$14="Off",('Activity data'!AQ21*EF!$H52*EF!$H70)*NtoN2O*kgtoGg,IF('Net zero activities &amp; levers'!$C$14="On",('Net zero Activity data'!AQ21*EF!$H52*EF!$H70)*NtoN2O*kgtoGg,"ERROR"))</f>
        <v>3.5885988820136307E-2</v>
      </c>
      <c r="Y1115" s="93">
        <f>IF('Net zero activities &amp; levers'!$C$14="Off",('Activity data'!AR21*EF!$H52*EF!$H70)*NtoN2O*kgtoGg,IF('Net zero activities &amp; levers'!$C$14="On",('Net zero Activity data'!AR21*EF!$H52*EF!$H70)*NtoN2O*kgtoGg,"ERROR"))</f>
        <v>3.6515723549972179E-2</v>
      </c>
      <c r="Z1115" s="93">
        <f>IF('Net zero activities &amp; levers'!$C$14="Off",('Activity data'!AS21*EF!$H52*EF!$H70)*NtoN2O*kgtoGg,IF('Net zero activities &amp; levers'!$C$14="On",('Net zero Activity data'!AS21*EF!$H52*EF!$H70)*NtoN2O*kgtoGg,"ERROR"))</f>
        <v>3.7097462878058866E-2</v>
      </c>
      <c r="AA1115" s="93">
        <f>IF('Net zero activities &amp; levers'!$C$14="Off",('Activity data'!AT21*EF!$H52*EF!$H70)*NtoN2O*kgtoGg,IF('Net zero activities &amp; levers'!$C$14="On",('Net zero Activity data'!AT21*EF!$H52*EF!$H70)*NtoN2O*kgtoGg,"ERROR"))</f>
        <v>3.7628405898914287E-2</v>
      </c>
      <c r="AB1115" s="93">
        <f>IF('Net zero activities &amp; levers'!$C$14="Off",('Activity data'!AU21*EF!$H52*EF!$H70)*NtoN2O*kgtoGg,IF('Net zero activities &amp; levers'!$C$14="On",('Net zero Activity data'!AU21*EF!$H52*EF!$H70)*NtoN2O*kgtoGg,"ERROR"))</f>
        <v>3.8106136469306676E-2</v>
      </c>
      <c r="AC1115" s="93">
        <f>IF('Net zero activities &amp; levers'!$C$14="Off",('Activity data'!AV21*EF!$H52*EF!$H70)*NtoN2O*kgtoGg,IF('Net zero activities &amp; levers'!$C$14="On",('Net zero Activity data'!AV21*EF!$H52*EF!$H70)*NtoN2O*kgtoGg,"ERROR"))</f>
        <v>3.85285343419123E-2</v>
      </c>
      <c r="AD1115" s="93">
        <f>IF('Net zero activities &amp; levers'!$C$14="Off",('Activity data'!AW21*EF!$H52*EF!$H70)*NtoN2O*kgtoGg,IF('Net zero activities &amp; levers'!$C$14="On",('Net zero Activity data'!AW21*EF!$H52*EF!$H70)*NtoN2O*kgtoGg,"ERROR"))</f>
        <v>3.8893556782218362E-2</v>
      </c>
      <c r="AE1115" s="93">
        <f>IF('Net zero activities &amp; levers'!$C$14="Off",('Activity data'!AX21*EF!$H52*EF!$H70)*NtoN2O*kgtoGg,IF('Net zero activities &amp; levers'!$C$14="On",('Net zero Activity data'!AX21*EF!$H52*EF!$H70)*NtoN2O*kgtoGg,"ERROR"))</f>
        <v>3.9199601376212471E-2</v>
      </c>
      <c r="AF1115" s="93">
        <f>IF('Net zero activities &amp; levers'!$C$14="Off",('Activity data'!AY21*EF!$H52*EF!$H70)*NtoN2O*kgtoGg,IF('Net zero activities &amp; levers'!$C$14="On",('Net zero Activity data'!AY21*EF!$H52*EF!$H70)*NtoN2O*kgtoGg,"ERROR"))</f>
        <v>3.9445222527080714E-2</v>
      </c>
      <c r="AG1115" s="93">
        <f>IF('Net zero activities &amp; levers'!$C$14="Off",('Activity data'!AZ21*EF!$H52*EF!$H70)*NtoN2O*kgtoGg,IF('Net zero activities &amp; levers'!$C$14="On",('Net zero Activity data'!AZ21*EF!$H52*EF!$H70)*NtoN2O*kgtoGg,"ERROR"))</f>
        <v>3.9629134527395672E-2</v>
      </c>
      <c r="AH1115" s="93">
        <f>IF('Net zero activities &amp; levers'!$C$14="Off",('Activity data'!BA21*EF!$H52*EF!$H70)*NtoN2O*kgtoGg,IF('Net zero activities &amp; levers'!$C$14="On",('Net zero Activity data'!BA21*EF!$H52*EF!$H70)*NtoN2O*kgtoGg,"ERROR"))</f>
        <v>3.9750563333297947E-2</v>
      </c>
      <c r="AI1115" s="93">
        <f>IF('Net zero activities &amp; levers'!$C$14="Off",('Activity data'!BB21*EF!$H52*EF!$H70)*NtoN2O*kgtoGg,IF('Net zero activities &amp; levers'!$C$14="On",('Net zero Activity data'!BB21*EF!$H52*EF!$H70)*NtoN2O*kgtoGg,"ERROR"))</f>
        <v>3.9809108345161416E-2</v>
      </c>
      <c r="AJ1115" s="93">
        <f>IF('Net zero activities &amp; levers'!$C$14="Off",('Activity data'!BC21*EF!$H52*EF!$H70)*NtoN2O*kgtoGg,IF('Net zero activities &amp; levers'!$C$14="On",('Net zero Activity data'!BC21*EF!$H52*EF!$H70)*NtoN2O*kgtoGg,"ERROR"))</f>
        <v>5.189649152191912E-3</v>
      </c>
      <c r="AK1115" s="93">
        <f>IF('Net zero activities &amp; levers'!$C$14="Off",('Activity data'!BD21*EF!$H52*EF!$H70)*NtoN2O*kgtoGg,IF('Net zero activities &amp; levers'!$C$14="On",('Net zero Activity data'!BD21*EF!$H52*EF!$H70)*NtoN2O*kgtoGg,"ERROR"))</f>
        <v>5.2277377761371976E-3</v>
      </c>
      <c r="AL1115" s="93">
        <f>IF('Net zero activities &amp; levers'!$C$14="Off",('Activity data'!BE21*EF!$H52*EF!$H70)*NtoN2O*kgtoGg,IF('Net zero activities &amp; levers'!$C$14="On",('Net zero Activity data'!BE21*EF!$H52*EF!$H70)*NtoN2O*kgtoGg,"ERROR"))</f>
        <v>5.2648822322021753E-3</v>
      </c>
      <c r="AM1115" s="93">
        <f>IF('Net zero activities &amp; levers'!$C$14="Off",('Activity data'!BF21*EF!$H52*EF!$H70)*NtoN2O*kgtoGg,IF('Net zero activities &amp; levers'!$C$14="On",('Net zero Activity data'!BF21*EF!$H52*EF!$H70)*NtoN2O*kgtoGg,"ERROR"))</f>
        <v>5.3011384762008023E-3</v>
      </c>
      <c r="AN1115" s="93">
        <f>IF('Net zero activities &amp; levers'!$C$14="Off",('Activity data'!BG21*EF!$H52*EF!$H70)*NtoN2O*kgtoGg,IF('Net zero activities &amp; levers'!$C$14="On",('Net zero Activity data'!BG21*EF!$H52*EF!$H70)*NtoN2O*kgtoGg,"ERROR"))</f>
        <v>5.3365710117779979E-3</v>
      </c>
      <c r="AO1115" s="93">
        <f>IF('Net zero activities &amp; levers'!$C$14="Off",('Activity data'!BH21*EF!$H52*EF!$H70)*NtoN2O*kgtoGg,IF('Net zero activities &amp; levers'!$C$14="On",('Net zero Activity data'!BH21*EF!$H52*EF!$H70)*NtoN2O*kgtoGg,"ERROR"))</f>
        <v>5.3710345594629892E-3</v>
      </c>
      <c r="AP1115" s="93">
        <f>IF('Net zero activities &amp; levers'!$C$14="Off",('Activity data'!BI21*EF!$H52*EF!$H70)*NtoN2O*kgtoGg,IF('Net zero activities &amp; levers'!$C$14="On",('Net zero Activity data'!BI21*EF!$H52*EF!$H70)*NtoN2O*kgtoGg,"ERROR"))</f>
        <v>5.4044334472556589E-3</v>
      </c>
      <c r="AQ1115" s="93">
        <f>IF('Net zero activities &amp; levers'!$C$14="Off",('Activity data'!BJ21*EF!$H52*EF!$H70)*NtoN2O*kgtoGg,IF('Net zero activities &amp; levers'!$C$14="On",('Net zero Activity data'!BJ21*EF!$H52*EF!$H70)*NtoN2O*kgtoGg,"ERROR"))</f>
        <v>5.4367606292778717E-3</v>
      </c>
      <c r="AR1115" s="93">
        <f>IF('Net zero activities &amp; levers'!$C$14="Off",('Activity data'!BK21*EF!$H52*EF!$H70)*NtoN2O*kgtoGg,IF('Net zero activities &amp; levers'!$C$14="On",('Net zero Activity data'!BK21*EF!$H52*EF!$H70)*NtoN2O*kgtoGg,"ERROR"))</f>
        <v>5.4679021430478368E-3</v>
      </c>
      <c r="AS1115" s="93">
        <f>IF('Net zero activities &amp; levers'!$C$14="Off",('Activity data'!BL21*EF!$H52*EF!$H70)*NtoN2O*kgtoGg,IF('Net zero activities &amp; levers'!$C$14="On",('Net zero Activity data'!BL21*EF!$H52*EF!$H70)*NtoN2O*kgtoGg,"ERROR"))</f>
        <v>5.4977311191694326E-3</v>
      </c>
      <c r="AT1115" s="93">
        <f>IF('Net zero activities &amp; levers'!$C$14="Off",('Activity data'!BM21*EF!$H52*EF!$H70)*NtoN2O*kgtoGg,IF('Net zero activities &amp; levers'!$C$14="On",('Net zero Activity data'!BM21*EF!$H52*EF!$H70)*NtoN2O*kgtoGg,"ERROR"))</f>
        <v>5.5262364624928872E-3</v>
      </c>
      <c r="AU1115" s="93">
        <f>IF('Net zero activities &amp; levers'!$C$14="Off",('Activity data'!BN21*EF!$H52*EF!$H70)*NtoN2O*kgtoGg,IF('Net zero activities &amp; levers'!$C$14="On",('Net zero Activity data'!BN21*EF!$H52*EF!$H70)*NtoN2O*kgtoGg,"ERROR"))</f>
        <v>5.5534422155816918E-3</v>
      </c>
      <c r="AV1115" s="93">
        <f>IF('Net zero activities &amp; levers'!$C$14="Off",('Activity data'!BO21*EF!$H52*EF!$H70)*NtoN2O*kgtoGg,IF('Net zero activities &amp; levers'!$C$14="On",('Net zero Activity data'!BO21*EF!$H52*EF!$H70)*NtoN2O*kgtoGg,"ERROR"))</f>
        <v>5.5793663280842998E-3</v>
      </c>
      <c r="AW1115" s="93">
        <f>IF('Net zero activities &amp; levers'!$C$14="Off",('Activity data'!BP21*EF!$H52*EF!$H70)*NtoN2O*kgtoGg,IF('Net zero activities &amp; levers'!$C$14="On",('Net zero Activity data'!BP21*EF!$H52*EF!$H70)*NtoN2O*kgtoGg,"ERROR"))</f>
        <v>5.6038850841857524E-3</v>
      </c>
      <c r="AY1115" s="79"/>
    </row>
    <row r="1116" spans="1:51" x14ac:dyDescent="0.25">
      <c r="A1116" s="95" t="str">
        <f t="shared" si="374"/>
        <v>CM Poultry MMN2O</v>
      </c>
      <c r="B1116" s="95" t="s">
        <v>1322</v>
      </c>
      <c r="C1116" s="95" t="s">
        <v>1234</v>
      </c>
      <c r="D1116" t="s">
        <v>15</v>
      </c>
      <c r="E1116" t="s">
        <v>657</v>
      </c>
      <c r="F1116" t="s">
        <v>28</v>
      </c>
      <c r="G1116" t="s">
        <v>133</v>
      </c>
      <c r="H1116" t="s">
        <v>1227</v>
      </c>
      <c r="I1116" t="s">
        <v>139</v>
      </c>
      <c r="J1116" t="s">
        <v>287</v>
      </c>
      <c r="K1116" s="93">
        <f>IF('Net zero activities &amp; levers'!$C$14="Off",('Activity data'!AD22*EF!$H53*EF!$H71)*NtoN2O*kgtoGg,IF('Net zero activities &amp; levers'!$C$14="On",('Net zero Activity data'!AD22*EF!$H53*EF!$H71)*NtoN2O*kgtoGg,"ERROR"))</f>
        <v>7.0904798648479081E-2</v>
      </c>
      <c r="L1116" s="93">
        <f>IF('Net zero activities &amp; levers'!$C$14="Off",('Activity data'!AE22*EF!$H53*EF!$H71)*NtoN2O*kgtoGg,IF('Net zero activities &amp; levers'!$C$14="On",('Net zero Activity data'!AE22*EF!$H53*EF!$H71)*NtoN2O*kgtoGg,"ERROR"))</f>
        <v>7.183848811386527E-2</v>
      </c>
      <c r="M1116" s="93">
        <f>IF('Net zero activities &amp; levers'!$C$14="Off",('Activity data'!AF22*EF!$H53*EF!$H71)*NtoN2O*kgtoGg,IF('Net zero activities &amp; levers'!$C$14="On",('Net zero Activity data'!AF22*EF!$H53*EF!$H71)*NtoN2O*kgtoGg,"ERROR"))</f>
        <v>7.3338261222908901E-2</v>
      </c>
      <c r="N1116" s="93">
        <f>IF('Net zero activities &amp; levers'!$C$14="Off",('Activity data'!AG22*EF!$H53*EF!$H71)*NtoN2O*kgtoGg,IF('Net zero activities &amp; levers'!$C$14="On",('Net zero Activity data'!AG22*EF!$H53*EF!$H71)*NtoN2O*kgtoGg,"ERROR"))</f>
        <v>7.3768889900085566E-2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7.2548895925592438E-2</v>
      </c>
      <c r="Q1116" s="93">
        <f>IF('Net zero activities &amp; levers'!$C$14="Off",('Activity data'!AJ22*EF!$H53*EF!$H71)*NtoN2O*kgtoGg,IF('Net zero activities &amp; levers'!$C$14="On",('Net zero Activity data'!AJ22*EF!$H53*EF!$H71)*NtoN2O*kgtoGg,"ERROR"))</f>
        <v>7.2146468817327503E-2</v>
      </c>
      <c r="R1116" s="93">
        <f>IF('Net zero activities &amp; levers'!$C$14="Off",('Activity data'!AK22*EF!$H53*EF!$H71)*NtoN2O*kgtoGg,IF('Net zero activities &amp; levers'!$C$14="On",('Net zero Activity data'!AK22*EF!$H53*EF!$H71)*NtoN2O*kgtoGg,"ERROR"))</f>
        <v>7.1835339545248775E-2</v>
      </c>
      <c r="S1116" s="93">
        <f>IF('Net zero activities &amp; levers'!$C$14="Off",('Activity data'!AL22*EF!$H53*EF!$H71)*NtoN2O*kgtoGg,IF('Net zero activities &amp; levers'!$C$14="On",('Net zero Activity data'!AL22*EF!$H53*EF!$H71)*NtoN2O*kgtoGg,"ERROR"))</f>
        <v>6.264849848236452E-2</v>
      </c>
      <c r="T1116" s="93">
        <f>IF('Net zero activities &amp; levers'!$C$14="Off",('Activity data'!AM22*EF!$H53*EF!$H71)*NtoN2O*kgtoGg,IF('Net zero activities &amp; levers'!$C$14="On",('Net zero Activity data'!AM22*EF!$H53*EF!$H71)*NtoN2O*kgtoGg,"ERROR"))</f>
        <v>6.7389752064840963E-2</v>
      </c>
      <c r="U1116" s="93">
        <f>IF('Net zero activities &amp; levers'!$C$14="Off",('Activity data'!AN22*EF!$H53*EF!$H71)*NtoN2O*kgtoGg,IF('Net zero activities &amp; levers'!$C$14="On",('Net zero Activity data'!AN22*EF!$H53*EF!$H71)*NtoN2O*kgtoGg,"ERROR"))</f>
        <v>0.29302752262100273</v>
      </c>
      <c r="V1116" s="93">
        <f>IF('Net zero activities &amp; levers'!$C$14="Off",('Activity data'!AO22*EF!$H53*EF!$H71)*NtoN2O*kgtoGg,IF('Net zero activities &amp; levers'!$C$14="On",('Net zero Activity data'!AO22*EF!$H53*EF!$H71)*NtoN2O*kgtoGg,"ERROR"))</f>
        <v>0.29828101970128529</v>
      </c>
      <c r="W1116" s="93">
        <f>IF('Net zero activities &amp; levers'!$C$14="Off",('Activity data'!AP22*EF!$H53*EF!$H71)*NtoN2O*kgtoGg,IF('Net zero activities &amp; levers'!$C$14="On",('Net zero Activity data'!AP22*EF!$H53*EF!$H71)*NtoN2O*kgtoGg,"ERROR"))</f>
        <v>0.30294818721313321</v>
      </c>
      <c r="X1116" s="93">
        <f>IF('Net zero activities &amp; levers'!$C$14="Off",('Activity data'!AQ22*EF!$H53*EF!$H71)*NtoN2O*kgtoGg,IF('Net zero activities &amp; levers'!$C$14="On",('Net zero Activity data'!AQ22*EF!$H53*EF!$H71)*NtoN2O*kgtoGg,"ERROR"))</f>
        <v>0.30704895352014883</v>
      </c>
      <c r="Y1116" s="93">
        <f>IF('Net zero activities &amp; levers'!$C$14="Off",('Activity data'!AR22*EF!$H53*EF!$H71)*NtoN2O*kgtoGg,IF('Net zero activities &amp; levers'!$C$14="On",('Net zero Activity data'!AR22*EF!$H53*EF!$H71)*NtoN2O*kgtoGg,"ERROR"))</f>
        <v>0.31063904871081255</v>
      </c>
      <c r="Z1116" s="93">
        <f>IF('Net zero activities &amp; levers'!$C$14="Off",('Activity data'!AS22*EF!$H53*EF!$H71)*NtoN2O*kgtoGg,IF('Net zero activities &amp; levers'!$C$14="On",('Net zero Activity data'!AS22*EF!$H53*EF!$H71)*NtoN2O*kgtoGg,"ERROR"))</f>
        <v>0.31369154375489111</v>
      </c>
      <c r="AA1116" s="93">
        <f>IF('Net zero activities &amp; levers'!$C$14="Off",('Activity data'!AT22*EF!$H53*EF!$H71)*NtoN2O*kgtoGg,IF('Net zero activities &amp; levers'!$C$14="On",('Net zero Activity data'!AT22*EF!$H53*EF!$H71)*NtoN2O*kgtoGg,"ERROR"))</f>
        <v>0.31618576443629343</v>
      </c>
      <c r="AB1116" s="93">
        <f>IF('Net zero activities &amp; levers'!$C$14="Off",('Activity data'!AU22*EF!$H53*EF!$H71)*NtoN2O*kgtoGg,IF('Net zero activities &amp; levers'!$C$14="On",('Net zero Activity data'!AU22*EF!$H53*EF!$H71)*NtoN2O*kgtoGg,"ERROR"))</f>
        <v>0.31810138991474352</v>
      </c>
      <c r="AC1116" s="93">
        <f>IF('Net zero activities &amp; levers'!$C$14="Off",('Activity data'!AV22*EF!$H53*EF!$H71)*NtoN2O*kgtoGg,IF('Net zero activities &amp; levers'!$C$14="On",('Net zero Activity data'!AV22*EF!$H53*EF!$H71)*NtoN2O*kgtoGg,"ERROR"))</f>
        <v>0.31942029661734572</v>
      </c>
      <c r="AD1116" s="93">
        <f>IF('Net zero activities &amp; levers'!$C$14="Off",('Activity data'!AW22*EF!$H53*EF!$H71)*NtoN2O*kgtoGg,IF('Net zero activities &amp; levers'!$C$14="On",('Net zero Activity data'!AW22*EF!$H53*EF!$H71)*NtoN2O*kgtoGg,"ERROR"))</f>
        <v>0.320130126159552</v>
      </c>
      <c r="AE1116" s="93">
        <f>IF('Net zero activities &amp; levers'!$C$14="Off",('Activity data'!AX22*EF!$H53*EF!$H71)*NtoN2O*kgtoGg,IF('Net zero activities &amp; levers'!$C$14="On",('Net zero Activity data'!AX22*EF!$H53*EF!$H71)*NtoN2O*kgtoGg,"ERROR"))</f>
        <v>0.32021942076414051</v>
      </c>
      <c r="AF1116" s="93">
        <f>IF('Net zero activities &amp; levers'!$C$14="Off",('Activity data'!AY22*EF!$H53*EF!$H71)*NtoN2O*kgtoGg,IF('Net zero activities &amp; levers'!$C$14="On",('Net zero Activity data'!AY22*EF!$H53*EF!$H71)*NtoN2O*kgtoGg,"ERROR"))</f>
        <v>0.31968200663848134</v>
      </c>
      <c r="AG1116" s="93">
        <f>IF('Net zero activities &amp; levers'!$C$14="Off",('Activity data'!AZ22*EF!$H53*EF!$H71)*NtoN2O*kgtoGg,IF('Net zero activities &amp; levers'!$C$14="On",('Net zero Activity data'!AZ22*EF!$H53*EF!$H71)*NtoN2O*kgtoGg,"ERROR"))</f>
        <v>0.31851713359261785</v>
      </c>
      <c r="AH1116" s="93">
        <f>IF('Net zero activities &amp; levers'!$C$14="Off",('Activity data'!BA22*EF!$H53*EF!$H71)*NtoN2O*kgtoGg,IF('Net zero activities &amp; levers'!$C$14="On",('Net zero Activity data'!BA22*EF!$H53*EF!$H71)*NtoN2O*kgtoGg,"ERROR"))</f>
        <v>0.31672471085086101</v>
      </c>
      <c r="AI1116" s="93">
        <f>IF('Net zero activities &amp; levers'!$C$14="Off",('Activity data'!BB22*EF!$H53*EF!$H71)*NtoN2O*kgtoGg,IF('Net zero activities &amp; levers'!$C$14="On",('Net zero Activity data'!BB22*EF!$H53*EF!$H71)*NtoN2O*kgtoGg,"ERROR"))</f>
        <v>0.31430742335532585</v>
      </c>
      <c r="AJ1116" s="93">
        <f>IF('Net zero activities &amp; levers'!$C$14="Off",('Activity data'!BC22*EF!$H53*EF!$H71)*NtoN2O*kgtoGg,IF('Net zero activities &amp; levers'!$C$14="On",('Net zero Activity data'!BC22*EF!$H53*EF!$H71)*NtoN2O*kgtoGg,"ERROR"))</f>
        <v>-6.7117544398192078E-2</v>
      </c>
      <c r="AK1116" s="93">
        <f>IF('Net zero activities &amp; levers'!$C$14="Off",('Activity data'!BD22*EF!$H53*EF!$H71)*NtoN2O*kgtoGg,IF('Net zero activities &amp; levers'!$C$14="On",('Net zero Activity data'!BD22*EF!$H53*EF!$H71)*NtoN2O*kgtoGg,"ERROR"))</f>
        <v>-6.7212526473797524E-2</v>
      </c>
      <c r="AL1116" s="93">
        <f>IF('Net zero activities &amp; levers'!$C$14="Off",('Activity data'!BE22*EF!$H53*EF!$H71)*NtoN2O*kgtoGg,IF('Net zero activities &amp; levers'!$C$14="On",('Net zero Activity data'!BE22*EF!$H53*EF!$H71)*NtoN2O*kgtoGg,"ERROR"))</f>
        <v>-6.7298531128699962E-2</v>
      </c>
      <c r="AM1116" s="93">
        <f>IF('Net zero activities &amp; levers'!$C$14="Off",('Activity data'!BF22*EF!$H53*EF!$H71)*NtoN2O*kgtoGg,IF('Net zero activities &amp; levers'!$C$14="On",('Net zero Activity data'!BF22*EF!$H53*EF!$H71)*NtoN2O*kgtoGg,"ERROR"))</f>
        <v>-6.7376289726105959E-2</v>
      </c>
      <c r="AN1116" s="93">
        <f>IF('Net zero activities &amp; levers'!$C$14="Off",('Activity data'!BG22*EF!$H53*EF!$H71)*NtoN2O*kgtoGg,IF('Net zero activities &amp; levers'!$C$14="On",('Net zero Activity data'!BG22*EF!$H53*EF!$H71)*NtoN2O*kgtoGg,"ERROR"))</f>
        <v>-6.7446638413801982E-2</v>
      </c>
      <c r="AO1116" s="93">
        <f>IF('Net zero activities &amp; levers'!$C$14="Off",('Activity data'!BH22*EF!$H53*EF!$H71)*NtoN2O*kgtoGg,IF('Net zero activities &amp; levers'!$C$14="On",('Net zero Activity data'!BH22*EF!$H53*EF!$H71)*NtoN2O*kgtoGg,"ERROR"))</f>
        <v>-6.750761383935848E-2</v>
      </c>
      <c r="AP1116" s="93">
        <f>IF('Net zero activities &amp; levers'!$C$14="Off",('Activity data'!BI22*EF!$H53*EF!$H71)*NtoN2O*kgtoGg,IF('Net zero activities &amp; levers'!$C$14="On",('Net zero Activity data'!BI22*EF!$H53*EF!$H71)*NtoN2O*kgtoGg,"ERROR"))</f>
        <v>-6.7557960547977858E-2</v>
      </c>
      <c r="AQ1116" s="93">
        <f>IF('Net zero activities &amp; levers'!$C$14="Off",('Activity data'!BJ22*EF!$H53*EF!$H71)*NtoN2O*kgtoGg,IF('Net zero activities &amp; levers'!$C$14="On",('Net zero Activity data'!BJ22*EF!$H53*EF!$H71)*NtoN2O*kgtoGg,"ERROR"))</f>
        <v>-6.759762154217773E-2</v>
      </c>
      <c r="AR1116" s="93">
        <f>IF('Net zero activities &amp; levers'!$C$14="Off",('Activity data'!BK22*EF!$H53*EF!$H71)*NtoN2O*kgtoGg,IF('Net zero activities &amp; levers'!$C$14="On",('Net zero Activity data'!BK22*EF!$H53*EF!$H71)*NtoN2O*kgtoGg,"ERROR"))</f>
        <v>-6.7625149473774446E-2</v>
      </c>
      <c r="AS1116" s="93">
        <f>IF('Net zero activities &amp; levers'!$C$14="Off",('Activity data'!BL22*EF!$H53*EF!$H71)*NtoN2O*kgtoGg,IF('Net zero activities &amp; levers'!$C$14="On",('Net zero Activity data'!BL22*EF!$H53*EF!$H71)*NtoN2O*kgtoGg,"ERROR"))</f>
        <v>-6.7638965665078848E-2</v>
      </c>
      <c r="AT1116" s="93">
        <f>IF('Net zero activities &amp; levers'!$C$14="Off",('Activity data'!BM22*EF!$H53*EF!$H71)*NtoN2O*kgtoGg,IF('Net zero activities &amp; levers'!$C$14="On",('Net zero Activity data'!BM22*EF!$H53*EF!$H71)*NtoN2O*kgtoGg,"ERROR"))</f>
        <v>-6.7639024877345522E-2</v>
      </c>
      <c r="AU1116" s="93">
        <f>IF('Net zero activities &amp; levers'!$C$14="Off",('Activity data'!BN22*EF!$H53*EF!$H71)*NtoN2O*kgtoGg,IF('Net zero activities &amp; levers'!$C$14="On",('Net zero Activity data'!BN22*EF!$H53*EF!$H71)*NtoN2O*kgtoGg,"ERROR"))</f>
        <v>-6.7625737001792988E-2</v>
      </c>
      <c r="AV1116" s="93">
        <f>IF('Net zero activities &amp; levers'!$C$14="Off",('Activity data'!BO22*EF!$H53*EF!$H71)*NtoN2O*kgtoGg,IF('Net zero activities &amp; levers'!$C$14="On",('Net zero Activity data'!BO22*EF!$H53*EF!$H71)*NtoN2O*kgtoGg,"ERROR"))</f>
        <v>-6.7599427785597133E-2</v>
      </c>
      <c r="AW1116" s="93">
        <f>IF('Net zero activities &amp; levers'!$C$14="Off",('Activity data'!BP22*EF!$H53*EF!$H71)*NtoN2O*kgtoGg,IF('Net zero activities &amp; levers'!$C$14="On",('Net zero Activity data'!BP22*EF!$H53*EF!$H71)*NtoN2O*kgtoGg,"ERROR"))</f>
        <v>-6.7558617280925187E-2</v>
      </c>
      <c r="AY1116" s="79"/>
    </row>
    <row r="1117" spans="1:51" x14ac:dyDescent="0.25">
      <c r="A1117" s="95" t="str">
        <f t="shared" si="374"/>
        <v>CM Synthetic</v>
      </c>
      <c r="B1117" s="95" t="s">
        <v>1322</v>
      </c>
      <c r="C1117" s="95" t="s">
        <v>1126</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6.6035651430821094</v>
      </c>
      <c r="U1117" s="22">
        <f t="shared" si="375"/>
        <v>6.6008394987584191</v>
      </c>
      <c r="V1117" s="22">
        <f t="shared" si="375"/>
        <v>6.5354261970149441</v>
      </c>
      <c r="W1117" s="22">
        <f t="shared" si="375"/>
        <v>6.5337920332710731</v>
      </c>
      <c r="X1117" s="22">
        <f t="shared" si="375"/>
        <v>6.5322793572104443</v>
      </c>
      <c r="Y1117" s="22">
        <f t="shared" si="375"/>
        <v>6.5308880056970544</v>
      </c>
      <c r="Z1117" s="22">
        <f t="shared" si="375"/>
        <v>6.5296169227266478</v>
      </c>
      <c r="AA1117" s="22">
        <f t="shared" si="375"/>
        <v>6.5284672118777083</v>
      </c>
      <c r="AB1117" s="22">
        <f t="shared" si="375"/>
        <v>6.5274397960506132</v>
      </c>
      <c r="AC1117" s="22">
        <f t="shared" si="375"/>
        <v>6.5265355793719113</v>
      </c>
      <c r="AD1117" s="22">
        <f t="shared" si="375"/>
        <v>6.5257554079256641</v>
      </c>
      <c r="AE1117" s="22">
        <f t="shared" si="375"/>
        <v>6.5250999875184093</v>
      </c>
      <c r="AF1117" s="22">
        <f t="shared" si="375"/>
        <v>6.524570013447069</v>
      </c>
      <c r="AG1117" s="22">
        <f t="shared" si="375"/>
        <v>6.524166065107158</v>
      </c>
      <c r="AH1117" s="22">
        <f t="shared" si="375"/>
        <v>6.5238886062718322</v>
      </c>
      <c r="AI1117" s="22">
        <f t="shared" si="375"/>
        <v>6.523738107982866</v>
      </c>
      <c r="AJ1117" s="22">
        <f t="shared" si="375"/>
        <v>6.5237149971504902</v>
      </c>
      <c r="AK1117" s="22">
        <f t="shared" si="375"/>
        <v>6.7170770118746468</v>
      </c>
      <c r="AL1117" s="22">
        <f t="shared" si="375"/>
        <v>6.7172409254060446</v>
      </c>
      <c r="AM1117" s="22">
        <f t="shared" si="375"/>
        <v>6.7174011054610014</v>
      </c>
      <c r="AN1117" s="22">
        <f t="shared" si="375"/>
        <v>6.717557770633813</v>
      </c>
      <c r="AO1117" s="22">
        <f t="shared" si="375"/>
        <v>6.7177111790148194</v>
      </c>
      <c r="AP1117" s="22">
        <f t="shared" si="375"/>
        <v>6.7178606782023653</v>
      </c>
      <c r="AQ1117" s="22">
        <f t="shared" si="375"/>
        <v>6.7180058277133394</v>
      </c>
      <c r="AR1117" s="22">
        <f t="shared" si="375"/>
        <v>6.7181465717092257</v>
      </c>
      <c r="AS1117" s="22">
        <f t="shared" si="375"/>
        <v>6.7182823869267976</v>
      </c>
      <c r="AT1117" s="22">
        <f t="shared" si="375"/>
        <v>6.7184126908492701</v>
      </c>
      <c r="AU1117" s="22">
        <f t="shared" si="375"/>
        <v>6.7185374065365453</v>
      </c>
      <c r="AV1117" s="22">
        <f t="shared" si="375"/>
        <v>6.7186566123512304</v>
      </c>
      <c r="AW1117" s="22">
        <f t="shared" si="375"/>
        <v>6.7187703615819192</v>
      </c>
      <c r="AY1117" s="79"/>
    </row>
    <row r="1118" spans="1:51" x14ac:dyDescent="0.25">
      <c r="A1118" s="95" t="str">
        <f t="shared" si="374"/>
        <v>CM Organic</v>
      </c>
      <c r="B1118" s="95" t="s">
        <v>1322</v>
      </c>
      <c r="C1118" s="95" t="s">
        <v>1127</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4.358352994434192E-2</v>
      </c>
      <c r="U1118" s="94">
        <f>IF('Net zero activities &amp; levers'!$C$14="Off",'Activity data'!AN48*ttokg*ONEF*NtoN2O*kgtoGg,IF('Net zero activities &amp; levers'!$C$14="On",'Net zero Activity data'!AN48*ttokg*ONEF*NtoN2O*kgtoGg,"ERROR"))</f>
        <v>4.3565540691805578E-2</v>
      </c>
      <c r="V1118" s="94">
        <f>IF('Net zero activities &amp; levers'!$C$14="Off",'Activity data'!AO48*ttokg*ONEF*NtoN2O*kgtoGg,IF('Net zero activities &amp; levers'!$C$14="On",'Net zero Activity data'!AO48*ttokg*ONEF*NtoN2O*kgtoGg,"ERROR"))</f>
        <v>4.3133812900298642E-2</v>
      </c>
      <c r="W1118" s="94">
        <f>IF('Net zero activities &amp; levers'!$C$14="Off",'Activity data'!AP48*ttokg*ONEF*NtoN2O*kgtoGg,IF('Net zero activities &amp; levers'!$C$14="On",'Net zero Activity data'!AP48*ttokg*ONEF*NtoN2O*kgtoGg,"ERROR"))</f>
        <v>4.312302741958908E-2</v>
      </c>
      <c r="X1118" s="94">
        <f>IF('Net zero activities &amp; levers'!$C$14="Off",'Activity data'!AQ48*ttokg*ONEF*NtoN2O*kgtoGg,IF('Net zero activities &amp; levers'!$C$14="On",'Net zero Activity data'!AQ48*ttokg*ONEF*NtoN2O*kgtoGg,"ERROR"))</f>
        <v>4.3113043757588947E-2</v>
      </c>
      <c r="Y1118" s="94">
        <f>IF('Net zero activities &amp; levers'!$C$14="Off",'Activity data'!AR48*ttokg*ONEF*NtoN2O*kgtoGg,IF('Net zero activities &amp; levers'!$C$14="On",'Net zero Activity data'!AR48*ttokg*ONEF*NtoN2O*kgtoGg,"ERROR"))</f>
        <v>4.3103860837600566E-2</v>
      </c>
      <c r="Z1118" s="94">
        <f>IF('Net zero activities &amp; levers'!$C$14="Off",'Activity data'!AS48*ttokg*ONEF*NtoN2O*kgtoGg,IF('Net zero activities &amp; levers'!$C$14="On",'Net zero Activity data'!AS48*ttokg*ONEF*NtoN2O*kgtoGg,"ERROR"))</f>
        <v>4.3095471689995883E-2</v>
      </c>
      <c r="AA1118" s="94">
        <f>IF('Net zero activities &amp; levers'!$C$14="Off",'Activity data'!AT48*ttokg*ONEF*NtoN2O*kgtoGg,IF('Net zero activities &amp; levers'!$C$14="On",'Net zero Activity data'!AT48*ttokg*ONEF*NtoN2O*kgtoGg,"ERROR"))</f>
        <v>4.3087883598392877E-2</v>
      </c>
      <c r="AB1118" s="94">
        <f>IF('Net zero activities &amp; levers'!$C$14="Off",'Activity data'!AU48*ttokg*ONEF*NtoN2O*kgtoGg,IF('Net zero activities &amp; levers'!$C$14="On",'Net zero Activity data'!AU48*ttokg*ONEF*NtoN2O*kgtoGg,"ERROR"))</f>
        <v>4.3081102653934056E-2</v>
      </c>
      <c r="AC1118" s="94">
        <f>IF('Net zero activities &amp; levers'!$C$14="Off",'Activity data'!AV48*ttokg*ONEF*NtoN2O*kgtoGg,IF('Net zero activities &amp; levers'!$C$14="On",'Net zero Activity data'!AV48*ttokg*ONEF*NtoN2O*kgtoGg,"ERROR"))</f>
        <v>4.3075134823854618E-2</v>
      </c>
      <c r="AD1118" s="94">
        <f>IF('Net zero activities &amp; levers'!$C$14="Off",'Activity data'!AW48*ttokg*ONEF*NtoN2O*kgtoGg,IF('Net zero activities &amp; levers'!$C$14="On",'Net zero Activity data'!AW48*ttokg*ONEF*NtoN2O*kgtoGg,"ERROR"))</f>
        <v>4.3069985692309382E-2</v>
      </c>
      <c r="AE1118" s="94">
        <f>IF('Net zero activities &amp; levers'!$C$14="Off",'Activity data'!AX48*ttokg*ONEF*NtoN2O*kgtoGg,IF('Net zero activities &amp; levers'!$C$14="On",'Net zero Activity data'!AX48*ttokg*ONEF*NtoN2O*kgtoGg,"ERROR"))</f>
        <v>4.3065659917621506E-2</v>
      </c>
      <c r="AF1118" s="94">
        <f>IF('Net zero activities &amp; levers'!$C$14="Off",'Activity data'!AY48*ttokg*ONEF*NtoN2O*kgtoGg,IF('Net zero activities &amp; levers'!$C$14="On",'Net zero Activity data'!AY48*ttokg*ONEF*NtoN2O*kgtoGg,"ERROR"))</f>
        <v>4.3062162088750661E-2</v>
      </c>
      <c r="AG1118" s="94">
        <f>IF('Net zero activities &amp; levers'!$C$14="Off",'Activity data'!AZ48*ttokg*ONEF*NtoN2O*kgtoGg,IF('Net zero activities &amp; levers'!$C$14="On",'Net zero Activity data'!AZ48*ttokg*ONEF*NtoN2O*kgtoGg,"ERROR"))</f>
        <v>4.3059496029707253E-2</v>
      </c>
      <c r="AH1118" s="94">
        <f>IF('Net zero activities &amp; levers'!$C$14="Off",'Activity data'!BA48*ttokg*ONEF*NtoN2O*kgtoGg,IF('Net zero activities &amp; levers'!$C$14="On",'Net zero Activity data'!BA48*ttokg*ONEF*NtoN2O*kgtoGg,"ERROR"))</f>
        <v>4.3057664801394106E-2</v>
      </c>
      <c r="AI1118" s="94">
        <f>IF('Net zero activities &amp; levers'!$C$14="Off",'Activity data'!BB48*ttokg*ONEF*NtoN2O*kgtoGg,IF('Net zero activities &amp; levers'!$C$14="On",'Net zero Activity data'!BB48*ttokg*ONEF*NtoN2O*kgtoGg,"ERROR"))</f>
        <v>4.3056671512686932E-2</v>
      </c>
      <c r="AJ1118" s="94">
        <f>IF('Net zero activities &amp; levers'!$C$14="Off",'Activity data'!BC48*ttokg*ONEF*NtoN2O*kgtoGg,IF('Net zero activities &amp; levers'!$C$14="On",'Net zero Activity data'!BC48*ttokg*ONEF*NtoN2O*kgtoGg,"ERROR"))</f>
        <v>4.3056518981193247E-2</v>
      </c>
      <c r="AK1118" s="94">
        <f>IF('Net zero activities &amp; levers'!$C$14="Off",'Activity data'!BD48*ttokg*ONEF*NtoN2O*kgtoGg,IF('Net zero activities &amp; levers'!$C$14="On",'Net zero Activity data'!BD48*ttokg*ONEF*NtoN2O*kgtoGg,"ERROR"))</f>
        <v>4.4332708278372678E-2</v>
      </c>
      <c r="AL1118" s="94">
        <f>IF('Net zero activities &amp; levers'!$C$14="Off",'Activity data'!BE48*ttokg*ONEF*NtoN2O*kgtoGg,IF('Net zero activities &amp; levers'!$C$14="On",'Net zero Activity data'!BE48*ttokg*ONEF*NtoN2O*kgtoGg,"ERROR"))</f>
        <v>4.4333790107679898E-2</v>
      </c>
      <c r="AM1118" s="94">
        <f>IF('Net zero activities &amp; levers'!$C$14="Off",'Activity data'!BF48*ttokg*ONEF*NtoN2O*kgtoGg,IF('Net zero activities &amp; levers'!$C$14="On",'Net zero Activity data'!BF48*ttokg*ONEF*NtoN2O*kgtoGg,"ERROR"))</f>
        <v>4.4334847296042611E-2</v>
      </c>
      <c r="AN1118" s="94">
        <f>IF('Net zero activities &amp; levers'!$C$14="Off",'Activity data'!BG48*ttokg*ONEF*NtoN2O*kgtoGg,IF('Net zero activities &amp; levers'!$C$14="On",'Net zero Activity data'!BG48*ttokg*ONEF*NtoN2O*kgtoGg,"ERROR"))</f>
        <v>4.4335881286183175E-2</v>
      </c>
      <c r="AO1118" s="94">
        <f>IF('Net zero activities &amp; levers'!$C$14="Off",'Activity data'!BH48*ttokg*ONEF*NtoN2O*kgtoGg,IF('Net zero activities &amp; levers'!$C$14="On",'Net zero Activity data'!BH48*ttokg*ONEF*NtoN2O*kgtoGg,"ERROR"))</f>
        <v>4.433689378149782E-2</v>
      </c>
      <c r="AP1118" s="94">
        <f>IF('Net zero activities &amp; levers'!$C$14="Off",'Activity data'!BI48*ttokg*ONEF*NtoN2O*kgtoGg,IF('Net zero activities &amp; levers'!$C$14="On",'Net zero Activity data'!BI48*ttokg*ONEF*NtoN2O*kgtoGg,"ERROR"))</f>
        <v>4.433788047613562E-2</v>
      </c>
      <c r="AQ1118" s="94">
        <f>IF('Net zero activities &amp; levers'!$C$14="Off",'Activity data'!BJ48*ttokg*ONEF*NtoN2O*kgtoGg,IF('Net zero activities &amp; levers'!$C$14="On",'Net zero Activity data'!BJ48*ttokg*ONEF*NtoN2O*kgtoGg,"ERROR"))</f>
        <v>4.4338838462908037E-2</v>
      </c>
      <c r="AR1118" s="94">
        <f>IF('Net zero activities &amp; levers'!$C$14="Off",'Activity data'!BK48*ttokg*ONEF*NtoN2O*kgtoGg,IF('Net zero activities &amp; levers'!$C$14="On",'Net zero Activity data'!BK48*ttokg*ONEF*NtoN2O*kgtoGg,"ERROR"))</f>
        <v>4.4339767373280901E-2</v>
      </c>
      <c r="AS1118" s="94">
        <f>IF('Net zero activities &amp; levers'!$C$14="Off",'Activity data'!BL48*ttokg*ONEF*NtoN2O*kgtoGg,IF('Net zero activities &amp; levers'!$C$14="On",'Net zero Activity data'!BL48*ttokg*ONEF*NtoN2O*kgtoGg,"ERROR"))</f>
        <v>4.4340663753716876E-2</v>
      </c>
      <c r="AT1118" s="94">
        <f>IF('Net zero activities &amp; levers'!$C$14="Off",'Activity data'!BM48*ttokg*ONEF*NtoN2O*kgtoGg,IF('Net zero activities &amp; levers'!$C$14="On",'Net zero Activity data'!BM48*ttokg*ONEF*NtoN2O*kgtoGg,"ERROR"))</f>
        <v>4.4341523759605192E-2</v>
      </c>
      <c r="AU1118" s="94">
        <f>IF('Net zero activities &amp; levers'!$C$14="Off",'Activity data'!BN48*ttokg*ONEF*NtoN2O*kgtoGg,IF('Net zero activities &amp; levers'!$C$14="On",'Net zero Activity data'!BN48*ttokg*ONEF*NtoN2O*kgtoGg,"ERROR"))</f>
        <v>4.4342346883141204E-2</v>
      </c>
      <c r="AV1118" s="94">
        <f>IF('Net zero activities &amp; levers'!$C$14="Off",'Activity data'!BO48*ttokg*ONEF*NtoN2O*kgtoGg,IF('Net zero activities &amp; levers'!$C$14="On",'Net zero Activity data'!BO48*ttokg*ONEF*NtoN2O*kgtoGg,"ERROR"))</f>
        <v>4.4343133641518123E-2</v>
      </c>
      <c r="AW1118" s="94">
        <f>IF('Net zero activities &amp; levers'!$C$14="Off",'Activity data'!BP48*ttokg*ONEF*NtoN2O*kgtoGg,IF('Net zero activities &amp; levers'!$C$14="On",'Net zero Activity data'!BP48*ttokg*ONEF*NtoN2O*kgtoGg,"ERROR"))</f>
        <v>4.4343884386440678E-2</v>
      </c>
      <c r="AY1118" s="79"/>
    </row>
    <row r="1119" spans="1:51" x14ac:dyDescent="0.25">
      <c r="A1119" s="95" t="str">
        <f t="shared" si="374"/>
        <v>CM Crop residues</v>
      </c>
      <c r="B1119" s="95" t="s">
        <v>1322</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2.9710792197336011</v>
      </c>
      <c r="U1119" s="22">
        <f t="shared" si="376"/>
        <v>2.9914277552243997</v>
      </c>
      <c r="V1119" s="22">
        <f t="shared" si="376"/>
        <v>3.4797764662170874</v>
      </c>
      <c r="W1119" s="22">
        <f t="shared" si="376"/>
        <v>3.4919764582156594</v>
      </c>
      <c r="X1119" s="22">
        <f t="shared" si="376"/>
        <v>3.5032694733160721</v>
      </c>
      <c r="Y1119" s="22">
        <f t="shared" si="376"/>
        <v>3.5136567294244192</v>
      </c>
      <c r="Z1119" s="22">
        <f t="shared" si="376"/>
        <v>3.5231461102325734</v>
      </c>
      <c r="AA1119" s="22">
        <f t="shared" si="376"/>
        <v>3.5317293768790967</v>
      </c>
      <c r="AB1119" s="22">
        <f t="shared" si="376"/>
        <v>3.539399639370707</v>
      </c>
      <c r="AC1119" s="22">
        <f t="shared" si="376"/>
        <v>3.5461501478717818</v>
      </c>
      <c r="AD1119" s="22">
        <f t="shared" si="376"/>
        <v>3.5519745858679355</v>
      </c>
      <c r="AE1119" s="22">
        <f t="shared" si="376"/>
        <v>3.5568676840988758</v>
      </c>
      <c r="AF1119" s="22">
        <f t="shared" si="376"/>
        <v>3.5608242517647808</v>
      </c>
      <c r="AG1119" s="22">
        <f t="shared" si="376"/>
        <v>3.5638399633378826</v>
      </c>
      <c r="AH1119" s="22">
        <f t="shared" si="376"/>
        <v>3.5659113564792468</v>
      </c>
      <c r="AI1119" s="22">
        <f t="shared" si="376"/>
        <v>3.5670349145853852</v>
      </c>
      <c r="AJ1119" s="22">
        <f t="shared" si="376"/>
        <v>3.5672074505207347</v>
      </c>
      <c r="AK1119" s="22">
        <f t="shared" si="376"/>
        <v>2.1236464601919001</v>
      </c>
      <c r="AL1119" s="22">
        <f t="shared" si="376"/>
        <v>2.122422749423007</v>
      </c>
      <c r="AM1119" s="22">
        <f t="shared" si="376"/>
        <v>2.1212269112482072</v>
      </c>
      <c r="AN1119" s="22">
        <f t="shared" si="376"/>
        <v>2.1200573137327008</v>
      </c>
      <c r="AO1119" s="22">
        <f t="shared" si="376"/>
        <v>2.1189120300805597</v>
      </c>
      <c r="AP1119" s="22">
        <f t="shared" si="376"/>
        <v>2.1177959308532275</v>
      </c>
      <c r="AQ1119" s="22">
        <f t="shared" si="376"/>
        <v>2.1167123045158354</v>
      </c>
      <c r="AR1119" s="22">
        <f t="shared" si="376"/>
        <v>2.1156615679356672</v>
      </c>
      <c r="AS1119" s="22">
        <f t="shared" si="376"/>
        <v>2.1146476275800086</v>
      </c>
      <c r="AT1119" s="22">
        <f t="shared" si="376"/>
        <v>2.1136748322787415</v>
      </c>
      <c r="AU1119" s="22">
        <f t="shared" si="376"/>
        <v>2.1127437564348668</v>
      </c>
      <c r="AV1119" s="22">
        <f t="shared" si="376"/>
        <v>2.111853815025504</v>
      </c>
      <c r="AW1119" s="22">
        <f t="shared" si="376"/>
        <v>2.1110046102200224</v>
      </c>
      <c r="AY1119" s="79"/>
    </row>
    <row r="1120" spans="1:51" x14ac:dyDescent="0.25">
      <c r="A1120" s="95" t="str">
        <f t="shared" si="374"/>
        <v>CM Organic</v>
      </c>
      <c r="B1120" s="95" t="s">
        <v>1322</v>
      </c>
      <c r="C1120" s="95" t="s">
        <v>1127</v>
      </c>
      <c r="D1120" t="s">
        <v>369</v>
      </c>
      <c r="E1120" t="s">
        <v>55</v>
      </c>
      <c r="F1120" t="s">
        <v>421</v>
      </c>
      <c r="G1120" t="s">
        <v>1152</v>
      </c>
      <c r="H1120" t="s">
        <v>1153</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0.32309177745176459</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0.32579638434951891</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0.32880601635823309</v>
      </c>
      <c r="S1120" s="94">
        <f>IF('Net zero activities &amp; levers'!$C$14="Off",'Activity data'!AL50*ManureNEF*NtoN2O*kgtoGg,IF('Net zero activities &amp; levers'!$C$14="On",'Net zero Activity data'!AL50*ManureNEF*NtoN2O*kgtoGg,"ERROR"))</f>
        <v>0.3194631230654072</v>
      </c>
      <c r="T1120" s="94">
        <f>IF('Net zero activities &amp; levers'!$C$14="Off",'Activity data'!AM50*ManureNEF*NtoN2O*kgtoGg,IF('Net zero activities &amp; levers'!$C$14="On",'Net zero Activity data'!AM50*ManureNEF*NtoN2O*kgtoGg,"ERROR"))</f>
        <v>0.32495993852650251</v>
      </c>
      <c r="U1120" s="94">
        <f>IF('Net zero activities &amp; levers'!$C$14="Off",'Activity data'!AN50*ManureNEF*NtoN2O*kgtoGg,IF('Net zero activities &amp; levers'!$C$14="On",'Net zero Activity data'!AN50*ManureNEF*NtoN2O*kgtoGg,"ERROR"))</f>
        <v>0.55911956199622048</v>
      </c>
      <c r="V1120" s="94">
        <f>IF('Net zero activities &amp; levers'!$C$14="Off",'Activity data'!AO50*ManureNEF*NtoN2O*kgtoGg,IF('Net zero activities &amp; levers'!$C$14="On",'Net zero Activity data'!AO50*ManureNEF*NtoN2O*kgtoGg,"ERROR"))</f>
        <v>0.56585948734565139</v>
      </c>
      <c r="W1120" s="94">
        <f>IF('Net zero activities &amp; levers'!$C$14="Off",'Activity data'!AP50*ManureNEF*NtoN2O*kgtoGg,IF('Net zero activities &amp; levers'!$C$14="On",'Net zero Activity data'!AP50*ManureNEF*NtoN2O*kgtoGg,"ERROR"))</f>
        <v>0.57230378307872798</v>
      </c>
      <c r="X1120" s="94">
        <f>IF('Net zero activities &amp; levers'!$C$14="Off",'Activity data'!AQ50*ManureNEF*NtoN2O*kgtoGg,IF('Net zero activities &amp; levers'!$C$14="On",'Net zero Activity data'!AQ50*ManureNEF*NtoN2O*kgtoGg,"ERROR"))</f>
        <v>0.57834283314741031</v>
      </c>
      <c r="Y1120" s="94">
        <f>IF('Net zero activities &amp; levers'!$C$14="Off",'Activity data'!AR50*ManureNEF*NtoN2O*kgtoGg,IF('Net zero activities &amp; levers'!$C$14="On",'Net zero Activity data'!AR50*ManureNEF*NtoN2O*kgtoGg,"ERROR"))</f>
        <v>0.58381536330507111</v>
      </c>
      <c r="Z1120" s="94">
        <f>IF('Net zero activities &amp; levers'!$C$14="Off",'Activity data'!AS50*ManureNEF*NtoN2O*kgtoGg,IF('Net zero activities &amp; levers'!$C$14="On",'Net zero Activity data'!AS50*ManureNEF*NtoN2O*kgtoGg,"ERROR"))</f>
        <v>0.58869581671270654</v>
      </c>
      <c r="AA1120" s="94">
        <f>IF('Net zero activities &amp; levers'!$C$14="Off",'Activity data'!AT50*ManureNEF*NtoN2O*kgtoGg,IF('Net zero activities &amp; levers'!$C$14="On",'Net zero Activity data'!AT50*ManureNEF*NtoN2O*kgtoGg,"ERROR"))</f>
        <v>0.59295576215312973</v>
      </c>
      <c r="AB1120" s="94">
        <f>IF('Net zero activities &amp; levers'!$C$14="Off",'Activity data'!AU50*ManureNEF*NtoN2O*kgtoGg,IF('Net zero activities &amp; levers'!$C$14="On",'Net zero Activity data'!AU50*ManureNEF*NtoN2O*kgtoGg,"ERROR"))</f>
        <v>0.59657368139031808</v>
      </c>
      <c r="AC1120" s="94">
        <f>IF('Net zero activities &amp; levers'!$C$14="Off",'Activity data'!AV50*ManureNEF*NtoN2O*kgtoGg,IF('Net zero activities &amp; levers'!$C$14="On",'Net zero Activity data'!AV50*ManureNEF*NtoN2O*kgtoGg,"ERROR"))</f>
        <v>0.59953250893616183</v>
      </c>
      <c r="AD1120" s="94">
        <f>IF('Net zero activities &amp; levers'!$C$14="Off",'Activity data'!AW50*ManureNEF*NtoN2O*kgtoGg,IF('Net zero activities &amp; levers'!$C$14="On",'Net zero Activity data'!AW50*ManureNEF*NtoN2O*kgtoGg,"ERROR"))</f>
        <v>0.60181430512751644</v>
      </c>
      <c r="AE1120" s="94">
        <f>IF('Net zero activities &amp; levers'!$C$14="Off",'Activity data'!AX50*ManureNEF*NtoN2O*kgtoGg,IF('Net zero activities &amp; levers'!$C$14="On",'Net zero Activity data'!AX50*ManureNEF*NtoN2O*kgtoGg,"ERROR"))</f>
        <v>0.60340833018876772</v>
      </c>
      <c r="AF1120" s="94">
        <f>IF('Net zero activities &amp; levers'!$C$14="Off",'Activity data'!AY50*ManureNEF*NtoN2O*kgtoGg,IF('Net zero activities &amp; levers'!$C$14="On",'Net zero Activity data'!AY50*ManureNEF*NtoN2O*kgtoGg,"ERROR"))</f>
        <v>0.60430428229357946</v>
      </c>
      <c r="AG1120" s="94">
        <f>IF('Net zero activities &amp; levers'!$C$14="Off",'Activity data'!AZ50*ManureNEF*NtoN2O*kgtoGg,IF('Net zero activities &amp; levers'!$C$14="On",'Net zero Activity data'!AZ50*ManureNEF*NtoN2O*kgtoGg,"ERROR"))</f>
        <v>0.60449220860104358</v>
      </c>
      <c r="AH1120" s="94">
        <f>IF('Net zero activities &amp; levers'!$C$14="Off",'Activity data'!BA50*ManureNEF*NtoN2O*kgtoGg,IF('Net zero activities &amp; levers'!$C$14="On",'Net zero Activity data'!BA50*ManureNEF*NtoN2O*kgtoGg,"ERROR"))</f>
        <v>0.60397029153121029</v>
      </c>
      <c r="AI1120" s="94">
        <f>IF('Net zero activities &amp; levers'!$C$14="Off",'Activity data'!BB50*ManureNEF*NtoN2O*kgtoGg,IF('Net zero activities &amp; levers'!$C$14="On",'Net zero Activity data'!BB50*ManureNEF*NtoN2O*kgtoGg,"ERROR"))</f>
        <v>0.60274150240431557</v>
      </c>
      <c r="AJ1120" s="94">
        <f>IF('Net zero activities &amp; levers'!$C$14="Off",'Activity data'!BC50*ManureNEF*NtoN2O*kgtoGg,IF('Net zero activities &amp; levers'!$C$14="On",'Net zero Activity data'!BC50*ManureNEF*NtoN2O*kgtoGg,"ERROR"))</f>
        <v>0.19069698851099628</v>
      </c>
      <c r="AK1120" s="94">
        <f>IF('Net zero activities &amp; levers'!$C$14="Off",'Activity data'!BD50*ManureNEF*NtoN2O*kgtoGg,IF('Net zero activities &amp; levers'!$C$14="On",'Net zero Activity data'!BD50*ManureNEF*NtoN2O*kgtoGg,"ERROR"))</f>
        <v>0.19083619411236313</v>
      </c>
      <c r="AL1120" s="94">
        <f>IF('Net zero activities &amp; levers'!$C$14="Off",'Activity data'!BE50*ManureNEF*NtoN2O*kgtoGg,IF('Net zero activities &amp; levers'!$C$14="On",'Net zero Activity data'!BE50*ManureNEF*NtoN2O*kgtoGg,"ERROR"))</f>
        <v>0.19096537877553132</v>
      </c>
      <c r="AM1120" s="94">
        <f>IF('Net zero activities &amp; levers'!$C$14="Off",'Activity data'!BF50*ManureNEF*NtoN2O*kgtoGg,IF('Net zero activities &amp; levers'!$C$14="On",'Net zero Activity data'!BF50*ManureNEF*NtoN2O*kgtoGg,"ERROR"))</f>
        <v>0.19108541639025195</v>
      </c>
      <c r="AN1120" s="94">
        <f>IF('Net zero activities &amp; levers'!$C$14="Off",'Activity data'!BG50*ManureNEF*NtoN2O*kgtoGg,IF('Net zero activities &amp; levers'!$C$14="On",'Net zero Activity data'!BG50*ManureNEF*NtoN2O*kgtoGg,"ERROR"))</f>
        <v>0.19119738340555115</v>
      </c>
      <c r="AO1120" s="94">
        <f>IF('Net zero activities &amp; levers'!$C$14="Off",'Activity data'!BH50*ManureNEF*NtoN2O*kgtoGg,IF('Net zero activities &amp; levers'!$C$14="On",'Net zero Activity data'!BH50*ManureNEF*NtoN2O*kgtoGg,"ERROR"))</f>
        <v>0.19129776572073925</v>
      </c>
      <c r="AP1120" s="94">
        <f>IF('Net zero activities &amp; levers'!$C$14="Off",'Activity data'!BI50*ManureNEF*NtoN2O*kgtoGg,IF('Net zero activities &amp; levers'!$C$14="On",'Net zero Activity data'!BI50*ManureNEF*NtoN2O*kgtoGg,"ERROR"))</f>
        <v>0.19138420348192833</v>
      </c>
      <c r="AQ1120" s="94">
        <f>IF('Net zero activities &amp; levers'!$C$14="Off",'Activity data'!BJ50*ManureNEF*NtoN2O*kgtoGg,IF('Net zero activities &amp; levers'!$C$14="On",'Net zero Activity data'!BJ50*ManureNEF*NtoN2O*kgtoGg,"ERROR"))</f>
        <v>0.19145631825873433</v>
      </c>
      <c r="AR1120" s="94">
        <f>IF('Net zero activities &amp; levers'!$C$14="Off",'Activity data'!BK50*ManureNEF*NtoN2O*kgtoGg,IF('Net zero activities &amp; levers'!$C$14="On",'Net zero Activity data'!BK50*ManureNEF*NtoN2O*kgtoGg,"ERROR"))</f>
        <v>0.19151143246366148</v>
      </c>
      <c r="AS1120" s="94">
        <f>IF('Net zero activities &amp; levers'!$C$14="Off",'Activity data'!BL50*ManureNEF*NtoN2O*kgtoGg,IF('Net zero activities &amp; levers'!$C$14="On",'Net zero Activity data'!BL50*ManureNEF*NtoN2O*kgtoGg,"ERROR"))</f>
        <v>0.19154663907394784</v>
      </c>
      <c r="AT1120" s="94">
        <f>IF('Net zero activities &amp; levers'!$C$14="Off",'Activity data'!BM50*ManureNEF*NtoN2O*kgtoGg,IF('Net zero activities &amp; levers'!$C$14="On",'Net zero Activity data'!BM50*ManureNEF*NtoN2O*kgtoGg,"ERROR"))</f>
        <v>0.19156157903173729</v>
      </c>
      <c r="AU1120" s="94">
        <f>IF('Net zero activities &amp; levers'!$C$14="Off",'Activity data'!BN50*ManureNEF*NtoN2O*kgtoGg,IF('Net zero activities &amp; levers'!$C$14="On",'Net zero Activity data'!BN50*ManureNEF*NtoN2O*kgtoGg,"ERROR"))</f>
        <v>0.19155666524405471</v>
      </c>
      <c r="AV1120" s="94">
        <f>IF('Net zero activities &amp; levers'!$C$14="Off",'Activity data'!BO50*ManureNEF*NtoN2O*kgtoGg,IF('Net zero activities &amp; levers'!$C$14="On",'Net zero Activity data'!BO50*ManureNEF*NtoN2O*kgtoGg,"ERROR"))</f>
        <v>0.19153218566591518</v>
      </c>
      <c r="AW1120" s="94">
        <f>IF('Net zero activities &amp; levers'!$C$14="Off",'Activity data'!BP50*ManureNEF*NtoN2O*kgtoGg,IF('Net zero activities &amp; levers'!$C$14="On",'Net zero Activity data'!BP50*ManureNEF*NtoN2O*kgtoGg,"ERROR"))</f>
        <v>0.1914854060866179</v>
      </c>
      <c r="AY1120" s="79"/>
    </row>
    <row r="1121" spans="1:51" x14ac:dyDescent="0.25">
      <c r="A1121" s="95" t="str">
        <f t="shared" si="374"/>
        <v>CM Organic</v>
      </c>
      <c r="B1121" s="95" t="s">
        <v>1322</v>
      </c>
      <c r="C1121" s="95" t="s">
        <v>1127</v>
      </c>
      <c r="D1121" t="s">
        <v>369</v>
      </c>
      <c r="E1121" t="s">
        <v>55</v>
      </c>
      <c r="F1121" t="s">
        <v>421</v>
      </c>
      <c r="G1121" t="s">
        <v>1154</v>
      </c>
      <c r="H1121" t="s">
        <v>1155</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0.94471091139331731</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0.95261910289076102</v>
      </c>
      <c r="P1121" s="94">
        <f>IF('Net zero activities &amp; levers'!$C$14="Off",'Activity data'!AI51*ManureNEF*NtoN2O*kgtoGg,IF('Net zero activities &amp; levers'!$C$14="On",'Net zero Activity data'!AI51*ManureNEF*NtoN2O*kgtoGg,"ERROR"))</f>
        <v>0.954151178054501</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0.96141917889497153</v>
      </c>
      <c r="S1121" s="94">
        <f>IF('Net zero activities &amp; levers'!$C$14="Off",'Activity data'!AL51*ManureNEF*NtoN2O*kgtoGg,IF('Net zero activities &amp; levers'!$C$14="On",'Net zero Activity data'!AL51*ManureNEF*NtoN2O*kgtoGg,"ERROR"))</f>
        <v>0.93410083205454864</v>
      </c>
      <c r="T1121" s="94">
        <f>IF('Net zero activities &amp; levers'!$C$14="Off",'Activity data'!AM51*ManureNEF*NtoN2O*kgtoGg,IF('Net zero activities &amp; levers'!$C$14="On",'Net zero Activity data'!AM51*ManureNEF*NtoN2O*kgtoGg,"ERROR"))</f>
        <v>0.95017335975849948</v>
      </c>
      <c r="U1121" s="94">
        <f>IF('Net zero activities &amp; levers'!$C$14="Off",'Activity data'!AN51*ManureNEF*NtoN2O*kgtoGg,IF('Net zero activities &amp; levers'!$C$14="On",'Net zero Activity data'!AN51*ManureNEF*NtoN2O*kgtoGg,"ERROR"))</f>
        <v>1.6348492529189775</v>
      </c>
      <c r="V1121" s="94">
        <f>IF('Net zero activities &amp; levers'!$C$14="Off",'Activity data'!AO51*ManureNEF*NtoN2O*kgtoGg,IF('Net zero activities &amp; levers'!$C$14="On",'Net zero Activity data'!AO51*ManureNEF*NtoN2O*kgtoGg,"ERROR"))</f>
        <v>1.654556597592997</v>
      </c>
      <c r="W1121" s="94">
        <f>IF('Net zero activities &amp; levers'!$C$14="Off",'Activity data'!AP51*ManureNEF*NtoN2O*kgtoGg,IF('Net zero activities &amp; levers'!$C$14="On",'Net zero Activity data'!AP51*ManureNEF*NtoN2O*kgtoGg,"ERROR"))</f>
        <v>1.6733995299117927</v>
      </c>
      <c r="X1121" s="94">
        <f>IF('Net zero activities &amp; levers'!$C$14="Off",'Activity data'!AQ51*ManureNEF*NtoN2O*kgtoGg,IF('Net zero activities &amp; levers'!$C$14="On",'Net zero Activity data'!AQ51*ManureNEF*NtoN2O*kgtoGg,"ERROR"))</f>
        <v>1.6910575357556168</v>
      </c>
      <c r="Y1121" s="94">
        <f>IF('Net zero activities &amp; levers'!$C$14="Off",'Activity data'!AR51*ManureNEF*NtoN2O*kgtoGg,IF('Net zero activities &amp; levers'!$C$14="On",'Net zero Activity data'!AR51*ManureNEF*NtoN2O*kgtoGg,"ERROR"))</f>
        <v>1.7070590539423278</v>
      </c>
      <c r="Z1121" s="94">
        <f>IF('Net zero activities &amp; levers'!$C$14="Off",'Activity data'!AS51*ManureNEF*NtoN2O*kgtoGg,IF('Net zero activities &amp; levers'!$C$14="On",'Net zero Activity data'!AS51*ManureNEF*NtoN2O*kgtoGg,"ERROR"))</f>
        <v>1.7213293570218551</v>
      </c>
      <c r="AA1121" s="94">
        <f>IF('Net zero activities &amp; levers'!$C$14="Off",'Activity data'!AT51*ManureNEF*NtoN2O*kgtoGg,IF('Net zero activities &amp; levers'!$C$14="On",'Net zero Activity data'!AT51*ManureNEF*NtoN2O*kgtoGg,"ERROR"))</f>
        <v>1.7337853129463565</v>
      </c>
      <c r="AB1121" s="94">
        <f>IF('Net zero activities &amp; levers'!$C$14="Off",'Activity data'!AU51*ManureNEF*NtoN2O*kgtoGg,IF('Net zero activities &amp; levers'!$C$14="On",'Net zero Activity data'!AU51*ManureNEF*NtoN2O*kgtoGg,"ERROR"))</f>
        <v>1.7443640030228067</v>
      </c>
      <c r="AC1121" s="94">
        <f>IF('Net zero activities &amp; levers'!$C$14="Off",'Activity data'!AV51*ManureNEF*NtoN2O*kgtoGg,IF('Net zero activities &amp; levers'!$C$14="On",'Net zero Activity data'!AV51*ManureNEF*NtoN2O*kgtoGg,"ERROR"))</f>
        <v>1.753015528262897</v>
      </c>
      <c r="AD1121" s="94">
        <f>IF('Net zero activities &amp; levers'!$C$14="Off",'Activity data'!AW51*ManureNEF*NtoN2O*kgtoGg,IF('Net zero activities &amp; levers'!$C$14="On",'Net zero Activity data'!AW51*ManureNEF*NtoN2O*kgtoGg,"ERROR"))</f>
        <v>1.7596874336160764</v>
      </c>
      <c r="AE1121" s="94">
        <f>IF('Net zero activities &amp; levers'!$C$14="Off",'Activity data'!AX51*ManureNEF*NtoN2O*kgtoGg,IF('Net zero activities &amp; levers'!$C$14="On",'Net zero Activity data'!AX51*ManureNEF*NtoN2O*kgtoGg,"ERROR"))</f>
        <v>1.7643483162924332</v>
      </c>
      <c r="AF1121" s="94">
        <f>IF('Net zero activities &amp; levers'!$C$14="Off",'Activity data'!AY51*ManureNEF*NtoN2O*kgtoGg,IF('Net zero activities &amp; levers'!$C$14="On",'Net zero Activity data'!AY51*ManureNEF*NtoN2O*kgtoGg,"ERROR"))</f>
        <v>1.7669680540529458</v>
      </c>
      <c r="AG1121" s="94">
        <f>IF('Net zero activities &amp; levers'!$C$14="Off",'Activity data'!AZ51*ManureNEF*NtoN2O*kgtoGg,IF('Net zero activities &amp; levers'!$C$14="On",'Net zero Activity data'!AZ51*ManureNEF*NtoN2O*kgtoGg,"ERROR"))</f>
        <v>1.7675175450817782</v>
      </c>
      <c r="AH1121" s="94">
        <f>IF('Net zero activities &amp; levers'!$C$14="Off",'Activity data'!BA51*ManureNEF*NtoN2O*kgtoGg,IF('Net zero activities &amp; levers'!$C$14="On",'Net zero Activity data'!BA51*ManureNEF*NtoN2O*kgtoGg,"ERROR"))</f>
        <v>1.7659914748282959</v>
      </c>
      <c r="AI1121" s="94">
        <f>IF('Net zero activities &amp; levers'!$C$14="Off",'Activity data'!BB51*ManureNEF*NtoN2O*kgtoGg,IF('Net zero activities &amp; levers'!$C$14="On",'Net zero Activity data'!BB51*ManureNEF*NtoN2O*kgtoGg,"ERROR"))</f>
        <v>1.7623985313459991</v>
      </c>
      <c r="AJ1121" s="94">
        <f>IF('Net zero activities &amp; levers'!$C$14="Off",'Activity data'!BC51*ManureNEF*NtoN2O*kgtoGg,IF('Net zero activities &amp; levers'!$C$14="On",'Net zero Activity data'!BC51*ManureNEF*NtoN2O*kgtoGg,"ERROR"))</f>
        <v>0.55759241920998737</v>
      </c>
      <c r="AK1121" s="94">
        <f>IF('Net zero activities &amp; levers'!$C$14="Off",'Activity data'!BD51*ManureNEF*NtoN2O*kgtoGg,IF('Net zero activities &amp; levers'!$C$14="On",'Net zero Activity data'!BD51*ManureNEF*NtoN2O*kgtoGg,"ERROR"))</f>
        <v>0.55799945231858428</v>
      </c>
      <c r="AL1121" s="94">
        <f>IF('Net zero activities &amp; levers'!$C$14="Off",'Activity data'!BE51*ManureNEF*NtoN2O*kgtoGg,IF('Net zero activities &amp; levers'!$C$14="On",'Net zero Activity data'!BE51*ManureNEF*NtoN2O*kgtoGg,"ERROR"))</f>
        <v>0.55837718449685969</v>
      </c>
      <c r="AM1121" s="94">
        <f>IF('Net zero activities &amp; levers'!$C$14="Off",'Activity data'!BF51*ManureNEF*NtoN2O*kgtoGg,IF('Net zero activities &amp; levers'!$C$14="On",'Net zero Activity data'!BF51*ManureNEF*NtoN2O*kgtoGg,"ERROR"))</f>
        <v>0.55872817097289618</v>
      </c>
      <c r="AN1121" s="94">
        <f>IF('Net zero activities &amp; levers'!$C$14="Off",'Activity data'!BG51*ManureNEF*NtoN2O*kgtoGg,IF('Net zero activities &amp; levers'!$C$14="On",'Net zero Activity data'!BG51*ManureNEF*NtoN2O*kgtoGg,"ERROR"))</f>
        <v>0.55905555925217576</v>
      </c>
      <c r="AO1121" s="94">
        <f>IF('Net zero activities &amp; levers'!$C$14="Off",'Activity data'!BH51*ManureNEF*NtoN2O*kgtoGg,IF('Net zero activities &amp; levers'!$C$14="On",'Net zero Activity data'!BH51*ManureNEF*NtoN2O*kgtoGg,"ERROR"))</f>
        <v>0.55934907420701951</v>
      </c>
      <c r="AP1121" s="94">
        <f>IF('Net zero activities &amp; levers'!$C$14="Off",'Activity data'!BI51*ManureNEF*NtoN2O*kgtoGg,IF('Net zero activities &amp; levers'!$C$14="On",'Net zero Activity data'!BI51*ManureNEF*NtoN2O*kgtoGg,"ERROR"))</f>
        <v>0.55960181569365119</v>
      </c>
      <c r="AQ1121" s="94">
        <f>IF('Net zero activities &amp; levers'!$C$14="Off",'Activity data'!BJ51*ManureNEF*NtoN2O*kgtoGg,IF('Net zero activities &amp; levers'!$C$14="On",'Net zero Activity data'!BJ51*ManureNEF*NtoN2O*kgtoGg,"ERROR"))</f>
        <v>0.55981267719269234</v>
      </c>
      <c r="AR1121" s="94">
        <f>IF('Net zero activities &amp; levers'!$C$14="Off",'Activity data'!BK51*ManureNEF*NtoN2O*kgtoGg,IF('Net zero activities &amp; levers'!$C$14="On",'Net zero Activity data'!BK51*ManureNEF*NtoN2O*kgtoGg,"ERROR"))</f>
        <v>0.55997382951658647</v>
      </c>
      <c r="AS1121" s="94">
        <f>IF('Net zero activities &amp; levers'!$C$14="Off",'Activity data'!BL51*ManureNEF*NtoN2O*kgtoGg,IF('Net zero activities &amp; levers'!$C$14="On",'Net zero Activity data'!BL51*ManureNEF*NtoN2O*kgtoGg,"ERROR"))</f>
        <v>0.56007677261576738</v>
      </c>
      <c r="AT1121" s="94">
        <f>IF('Net zero activities &amp; levers'!$C$14="Off",'Activity data'!BM51*ManureNEF*NtoN2O*kgtoGg,IF('Net zero activities &amp; levers'!$C$14="On",'Net zero Activity data'!BM51*ManureNEF*NtoN2O*kgtoGg,"ERROR"))</f>
        <v>0.56012045661556076</v>
      </c>
      <c r="AU1121" s="94">
        <f>IF('Net zero activities &amp; levers'!$C$14="Off",'Activity data'!BN51*ManureNEF*NtoN2O*kgtoGg,IF('Net zero activities &amp; levers'!$C$14="On",'Net zero Activity data'!BN51*ManureNEF*NtoN2O*kgtoGg,"ERROR"))</f>
        <v>0.56010608884403601</v>
      </c>
      <c r="AV1121" s="94">
        <f>IF('Net zero activities &amp; levers'!$C$14="Off",'Activity data'!BO51*ManureNEF*NtoN2O*kgtoGg,IF('Net zero activities &amp; levers'!$C$14="On",'Net zero Activity data'!BO51*ManureNEF*NtoN2O*kgtoGg,"ERROR"))</f>
        <v>0.56003451127323822</v>
      </c>
      <c r="AW1121" s="94">
        <f>IF('Net zero activities &amp; levers'!$C$14="Off",'Activity data'!BP51*ManureNEF*NtoN2O*kgtoGg,IF('Net zero activities &amp; levers'!$C$14="On",'Net zero Activity data'!BP51*ManureNEF*NtoN2O*kgtoGg,"ERROR"))</f>
        <v>0.55989772915101532</v>
      </c>
      <c r="AY1121" s="79"/>
    </row>
    <row r="1122" spans="1:51" x14ac:dyDescent="0.25">
      <c r="A1122" s="95" t="str">
        <f t="shared" si="374"/>
        <v>CM Organic</v>
      </c>
      <c r="B1122" s="95" t="s">
        <v>1322</v>
      </c>
      <c r="C1122" s="95" t="s">
        <v>1127</v>
      </c>
      <c r="D1122" t="s">
        <v>369</v>
      </c>
      <c r="E1122" t="s">
        <v>55</v>
      </c>
      <c r="F1122" t="s">
        <v>421</v>
      </c>
      <c r="G1122" t="s">
        <v>1156</v>
      </c>
      <c r="H1122" t="s">
        <v>1157</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5.0536707115294892E-2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5.0959750770976343E-2</v>
      </c>
      <c r="P1122" s="94">
        <f>IF('Net zero activities &amp; levers'!$C$14="Off",'Activity data'!AI52*ManureNEF*NtoN2O*kgtoGg,IF('Net zero activities &amp; levers'!$C$14="On",'Net zero Activity data'!AI52*ManureNEF*NtoN2O*kgtoGg,"ERROR"))</f>
        <v>5.1041708153806126E-2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5.1430505218981189E-2</v>
      </c>
      <c r="S1122" s="94">
        <f>IF('Net zero activities &amp; levers'!$C$14="Off",'Activity data'!AL52*ManureNEF*NtoN2O*kgtoGg,IF('Net zero activities &amp; levers'!$C$14="On",'Net zero Activity data'!AL52*ManureNEF*NtoN2O*kgtoGg,"ERROR"))</f>
        <v>4.9969127694387626E-2</v>
      </c>
      <c r="T1122" s="94">
        <f>IF('Net zero activities &amp; levers'!$C$14="Off",'Activity data'!AM52*ManureNEF*NtoN2O*kgtoGg,IF('Net zero activities &amp; levers'!$C$14="On",'Net zero Activity data'!AM52*ManureNEF*NtoN2O*kgtoGg,"ERROR"))</f>
        <v>5.08289173034428E-2</v>
      </c>
      <c r="U1122" s="94">
        <f>IF('Net zero activities &amp; levers'!$C$14="Off",'Activity data'!AN52*ManureNEF*NtoN2O*kgtoGg,IF('Net zero activities &amp; levers'!$C$14="On",'Net zero Activity data'!AN52*ManureNEF*NtoN2O*kgtoGg,"ERROR"))</f>
        <v>8.7455217120941425E-2</v>
      </c>
      <c r="V1122" s="94">
        <f>IF('Net zero activities &amp; levers'!$C$14="Off",'Activity data'!AO52*ManureNEF*NtoN2O*kgtoGg,IF('Net zero activities &amp; levers'!$C$14="On",'Net zero Activity data'!AO52*ManureNEF*NtoN2O*kgtoGg,"ERROR"))</f>
        <v>8.8509448943396227E-2</v>
      </c>
      <c r="W1122" s="94">
        <f>IF('Net zero activities &amp; levers'!$C$14="Off",'Activity data'!AP52*ManureNEF*NtoN2O*kgtoGg,IF('Net zero activities &amp; levers'!$C$14="On",'Net zero Activity data'!AP52*ManureNEF*NtoN2O*kgtoGg,"ERROR"))</f>
        <v>8.9517439578736563E-2</v>
      </c>
      <c r="X1122" s="94">
        <f>IF('Net zero activities &amp; levers'!$C$14="Off",'Activity data'!AQ52*ManureNEF*NtoN2O*kgtoGg,IF('Net zero activities &amp; levers'!$C$14="On",'Net zero Activity data'!AQ52*ManureNEF*NtoN2O*kgtoGg,"ERROR"))</f>
        <v>9.0462043328738057E-2</v>
      </c>
      <c r="Y1122" s="94">
        <f>IF('Net zero activities &amp; levers'!$C$14="Off",'Activity data'!AR52*ManureNEF*NtoN2O*kgtoGg,IF('Net zero activities &amp; levers'!$C$14="On",'Net zero Activity data'!AR52*ManureNEF*NtoN2O*kgtoGg,"ERROR"))</f>
        <v>9.1318034328999972E-2</v>
      </c>
      <c r="Z1122" s="94">
        <f>IF('Net zero activities &amp; levers'!$C$14="Off",'Activity data'!AS52*ManureNEF*NtoN2O*kgtoGg,IF('Net zero activities &amp; levers'!$C$14="On",'Net zero Activity data'!AS52*ManureNEF*NtoN2O*kgtoGg,"ERROR"))</f>
        <v>9.2081415082285539E-2</v>
      </c>
      <c r="AA1122" s="94">
        <f>IF('Net zero activities &amp; levers'!$C$14="Off",'Activity data'!AT52*ManureNEF*NtoN2O*kgtoGg,IF('Net zero activities &amp; levers'!$C$14="On",'Net zero Activity data'!AT52*ManureNEF*NtoN2O*kgtoGg,"ERROR"))</f>
        <v>9.2747738492765894E-2</v>
      </c>
      <c r="AB1122" s="94">
        <f>IF('Net zero activities &amp; levers'!$C$14="Off",'Activity data'!AU52*ManureNEF*NtoN2O*kgtoGg,IF('Net zero activities &amp; levers'!$C$14="On",'Net zero Activity data'!AU52*ManureNEF*NtoN2O*kgtoGg,"ERROR"))</f>
        <v>9.3313638765123857E-2</v>
      </c>
      <c r="AC1122" s="94">
        <f>IF('Net zero activities &amp; levers'!$C$14="Off",'Activity data'!AV52*ManureNEF*NtoN2O*kgtoGg,IF('Net zero activities &amp; levers'!$C$14="On",'Net zero Activity data'!AV52*ManureNEF*NtoN2O*kgtoGg,"ERROR"))</f>
        <v>9.3776446584834763E-2</v>
      </c>
      <c r="AD1122" s="94">
        <f>IF('Net zero activities &amp; levers'!$C$14="Off",'Activity data'!AW52*ManureNEF*NtoN2O*kgtoGg,IF('Net zero activities &amp; levers'!$C$14="On",'Net zero Activity data'!AW52*ManureNEF*NtoN2O*kgtoGg,"ERROR"))</f>
        <v>9.4133355902455834E-2</v>
      </c>
      <c r="AE1122" s="94">
        <f>IF('Net zero activities &amp; levers'!$C$14="Off",'Activity data'!AX52*ManureNEF*NtoN2O*kgtoGg,IF('Net zero activities &amp; levers'!$C$14="On",'Net zero Activity data'!AX52*ManureNEF*NtoN2O*kgtoGg,"ERROR"))</f>
        <v>9.4382686845787919E-2</v>
      </c>
      <c r="AF1122" s="94">
        <f>IF('Net zero activities &amp; levers'!$C$14="Off",'Activity data'!AY52*ManureNEF*NtoN2O*kgtoGg,IF('Net zero activities &amp; levers'!$C$14="On",'Net zero Activity data'!AY52*ManureNEF*NtoN2O*kgtoGg,"ERROR"))</f>
        <v>9.4522828044884072E-2</v>
      </c>
      <c r="AG1122" s="94">
        <f>IF('Net zero activities &amp; levers'!$C$14="Off",'Activity data'!AZ52*ManureNEF*NtoN2O*kgtoGg,IF('Net zero activities &amp; levers'!$C$14="On",'Net zero Activity data'!AZ52*ManureNEF*NtoN2O*kgtoGg,"ERROR"))</f>
        <v>9.4552222716684439E-2</v>
      </c>
      <c r="AH1122" s="94">
        <f>IF('Net zero activities &amp; levers'!$C$14="Off",'Activity data'!BA52*ManureNEF*NtoN2O*kgtoGg,IF('Net zero activities &amp; levers'!$C$14="On",'Net zero Activity data'!BA52*ManureNEF*NtoN2O*kgtoGg,"ERROR"))</f>
        <v>9.4470586562695413E-2</v>
      </c>
      <c r="AI1122" s="94">
        <f>IF('Net zero activities &amp; levers'!$C$14="Off",'Activity data'!BB52*ManureNEF*NtoN2O*kgtoGg,IF('Net zero activities &amp; levers'!$C$14="On",'Net zero Activity data'!BB52*ManureNEF*NtoN2O*kgtoGg,"ERROR"))</f>
        <v>9.4278384344792743E-2</v>
      </c>
      <c r="AJ1122" s="94">
        <f>IF('Net zero activities &amp; levers'!$C$14="Off",'Activity data'!BC52*ManureNEF*NtoN2O*kgtoGg,IF('Net zero activities &amp; levers'!$C$14="On",'Net zero Activity data'!BC52*ManureNEF*NtoN2O*kgtoGg,"ERROR"))</f>
        <v>2.9828050506756527E-2</v>
      </c>
      <c r="AK1122" s="94">
        <f>IF('Net zero activities &amp; levers'!$C$14="Off",'Activity data'!BD52*ManureNEF*NtoN2O*kgtoGg,IF('Net zero activities &amp; levers'!$C$14="On",'Net zero Activity data'!BD52*ManureNEF*NtoN2O*kgtoGg,"ERROR"))</f>
        <v>2.9849824483056911E-2</v>
      </c>
      <c r="AL1122" s="94">
        <f>IF('Net zero activities &amp; levers'!$C$14="Off",'Activity data'!BE52*ManureNEF*NtoN2O*kgtoGg,IF('Net zero activities &amp; levers'!$C$14="On",'Net zero Activity data'!BE52*ManureNEF*NtoN2O*kgtoGg,"ERROR"))</f>
        <v>2.9870031024795022E-2</v>
      </c>
      <c r="AM1122" s="94">
        <f>IF('Net zero activities &amp; levers'!$C$14="Off",'Activity data'!BF52*ManureNEF*NtoN2O*kgtoGg,IF('Net zero activities &amp; levers'!$C$14="On",'Net zero Activity data'!BF52*ManureNEF*NtoN2O*kgtoGg,"ERROR"))</f>
        <v>2.9888806822265943E-2</v>
      </c>
      <c r="AN1122" s="94">
        <f>IF('Net zero activities &amp; levers'!$C$14="Off",'Activity data'!BG52*ManureNEF*NtoN2O*kgtoGg,IF('Net zero activities &amp; levers'!$C$14="On",'Net zero Activity data'!BG52*ManureNEF*NtoN2O*kgtoGg,"ERROR"))</f>
        <v>2.9906320249266097E-2</v>
      </c>
      <c r="AO1122" s="94">
        <f>IF('Net zero activities &amp; levers'!$C$14="Off",'Activity data'!BH52*ManureNEF*NtoN2O*kgtoGg,IF('Net zero activities &amp; levers'!$C$14="On",'Net zero Activity data'!BH52*ManureNEF*NtoN2O*kgtoGg,"ERROR"))</f>
        <v>2.9922021644399784E-2</v>
      </c>
      <c r="AP1122" s="94">
        <f>IF('Net zero activities &amp; levers'!$C$14="Off",'Activity data'!BI52*ManureNEF*NtoN2O*kgtoGg,IF('Net zero activities &amp; levers'!$C$14="On",'Net zero Activity data'!BI52*ManureNEF*NtoN2O*kgtoGg,"ERROR"))</f>
        <v>2.9935541888880673E-2</v>
      </c>
      <c r="AQ1122" s="94">
        <f>IF('Net zero activities &amp; levers'!$C$14="Off",'Activity data'!BJ52*ManureNEF*NtoN2O*kgtoGg,IF('Net zero activities &amp; levers'!$C$14="On",'Net zero Activity data'!BJ52*ManureNEF*NtoN2O*kgtoGg,"ERROR"))</f>
        <v>2.9946821790160959E-2</v>
      </c>
      <c r="AR1122" s="94">
        <f>IF('Net zero activities &amp; levers'!$C$14="Off",'Activity data'!BK52*ManureNEF*NtoN2O*kgtoGg,IF('Net zero activities &amp; levers'!$C$14="On",'Net zero Activity data'!BK52*ManureNEF*NtoN2O*kgtoGg,"ERROR"))</f>
        <v>2.995544253085038E-2</v>
      </c>
      <c r="AS1122" s="94">
        <f>IF('Net zero activities &amp; levers'!$C$14="Off",'Activity data'!BL52*ManureNEF*NtoN2O*kgtoGg,IF('Net zero activities &amp; levers'!$C$14="On",'Net zero Activity data'!BL52*ManureNEF*NtoN2O*kgtoGg,"ERROR"))</f>
        <v>2.9960949406223684E-2</v>
      </c>
      <c r="AT1122" s="94">
        <f>IF('Net zero activities &amp; levers'!$C$14="Off",'Activity data'!BM52*ManureNEF*NtoN2O*kgtoGg,IF('Net zero activities &amp; levers'!$C$14="On",'Net zero Activity data'!BM52*ManureNEF*NtoN2O*kgtoGg,"ERROR"))</f>
        <v>2.9963286253905406E-2</v>
      </c>
      <c r="AU1122" s="94">
        <f>IF('Net zero activities &amp; levers'!$C$14="Off",'Activity data'!BN52*ManureNEF*NtoN2O*kgtoGg,IF('Net zero activities &amp; levers'!$C$14="On",'Net zero Activity data'!BN52*ManureNEF*NtoN2O*kgtoGg,"ERROR"))</f>
        <v>2.9962517659139858E-2</v>
      </c>
      <c r="AV1122" s="94">
        <f>IF('Net zero activities &amp; levers'!$C$14="Off",'Activity data'!BO52*ManureNEF*NtoN2O*kgtoGg,IF('Net zero activities &amp; levers'!$C$14="On",'Net zero Activity data'!BO52*ManureNEF*NtoN2O*kgtoGg,"ERROR"))</f>
        <v>2.995868866268411E-2</v>
      </c>
      <c r="AW1122" s="94">
        <f>IF('Net zero activities &amp; levers'!$C$14="Off",'Activity data'!BP52*ManureNEF*NtoN2O*kgtoGg,IF('Net zero activities &amp; levers'!$C$14="On",'Net zero Activity data'!BP52*ManureNEF*NtoN2O*kgtoGg,"ERROR"))</f>
        <v>2.9951371590375517E-2</v>
      </c>
      <c r="AY1122" s="79"/>
    </row>
    <row r="1123" spans="1:51" x14ac:dyDescent="0.25">
      <c r="A1123" s="95" t="str">
        <f t="shared" si="374"/>
        <v>CM Organic</v>
      </c>
      <c r="B1123" s="95" t="s">
        <v>1322</v>
      </c>
      <c r="C1123" s="95" t="s">
        <v>1127</v>
      </c>
      <c r="D1123" t="s">
        <v>369</v>
      </c>
      <c r="E1123" t="s">
        <v>55</v>
      </c>
      <c r="F1123" t="s">
        <v>421</v>
      </c>
      <c r="G1123" t="s">
        <v>1158</v>
      </c>
      <c r="H1123" t="s">
        <v>1159</v>
      </c>
      <c r="I1123" t="s">
        <v>139</v>
      </c>
      <c r="J1123" t="s">
        <v>287</v>
      </c>
      <c r="K1123" s="94">
        <f>IF('Net zero activities &amp; levers'!$C$14="Off",'Activity data'!AD53*ManureNEF*NtoN2O*kgtoGg,IF('Net zero activities &amp; levers'!$C$14="On",'Net zero Activity data'!AD53*ManureNEF*NtoN2O*kgtoGg,"ERROR"))</f>
        <v>0.39999978998352292</v>
      </c>
      <c r="L1123" s="94">
        <f>IF('Net zero activities &amp; levers'!$C$14="Off",'Activity data'!AE53*ManureNEF*NtoN2O*kgtoGg,IF('Net zero activities &amp; levers'!$C$14="On",'Net zero Activity data'!AE53*ManureNEF*NtoN2O*kgtoGg,"ERROR"))</f>
        <v>0.39653071954810204</v>
      </c>
      <c r="M1123" s="94">
        <f>IF('Net zero activities &amp; levers'!$C$14="Off",'Activity data'!AF53*ManureNEF*NtoN2O*kgtoGg,IF('Net zero activities &amp; levers'!$C$14="On",'Net zero Activity data'!AF53*ManureNEF*NtoN2O*kgtoGg,"ERROR"))</f>
        <v>0.39521014945095018</v>
      </c>
      <c r="N1123" s="94">
        <f>IF('Net zero activities &amp; levers'!$C$14="Off",'Activity data'!AG53*ManureNEF*NtoN2O*kgtoGg,IF('Net zero activities &amp; levers'!$C$14="On",'Net zero Activity data'!AG53*ManureNEF*NtoN2O*kgtoGg,"ERROR"))</f>
        <v>0.38993263522397326</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0.37238723301511389</v>
      </c>
      <c r="Q1123" s="94">
        <f>IF('Net zero activities &amp; levers'!$C$14="Off",'Activity data'!AJ53*ManureNEF*NtoN2O*kgtoGg,IF('Net zero activities &amp; levers'!$C$14="On",'Net zero Activity data'!AJ53*ManureNEF*NtoN2O*kgtoGg,"ERROR"))</f>
        <v>0.36459067483623864</v>
      </c>
      <c r="R1123" s="94">
        <f>IF('Net zero activities &amp; levers'!$C$14="Off",'Activity data'!AK53*ManureNEF*NtoN2O*kgtoGg,IF('Net zero activities &amp; levers'!$C$14="On",'Net zero Activity data'!AK53*ManureNEF*NtoN2O*kgtoGg,"ERROR"))</f>
        <v>0.35721424445443944</v>
      </c>
      <c r="S1123" s="94">
        <f>IF('Net zero activities &amp; levers'!$C$14="Off",'Activity data'!AL53*ManureNEF*NtoN2O*kgtoGg,IF('Net zero activities &amp; levers'!$C$14="On",'Net zero Activity data'!AL53*ManureNEF*NtoN2O*kgtoGg,"ERROR"))</f>
        <v>0.31946339774377674</v>
      </c>
      <c r="T1123" s="94">
        <f>IF('Net zero activities &amp; levers'!$C$14="Off",'Activity data'!AM53*ManureNEF*NtoN2O*kgtoGg,IF('Net zero activities &amp; levers'!$C$14="On",'Net zero Activity data'!AM53*ManureNEF*NtoN2O*kgtoGg,"ERROR"))</f>
        <v>0.33177135164852617</v>
      </c>
      <c r="U1123" s="94">
        <f>IF('Net zero activities &amp; levers'!$C$14="Off",'Activity data'!AN53*ManureNEF*NtoN2O*kgtoGg,IF('Net zero activities &amp; levers'!$C$14="On",'Net zero Activity data'!AN53*ManureNEF*NtoN2O*kgtoGg,"ERROR"))</f>
        <v>1.0456423232959036</v>
      </c>
      <c r="V1123" s="94">
        <f>IF('Net zero activities &amp; levers'!$C$14="Off",'Activity data'!AO53*ManureNEF*NtoN2O*kgtoGg,IF('Net zero activities &amp; levers'!$C$14="On",'Net zero Activity data'!AO53*ManureNEF*NtoN2O*kgtoGg,"ERROR"))</f>
        <v>1.0506858527476302</v>
      </c>
      <c r="W1123" s="94">
        <f>IF('Net zero activities &amp; levers'!$C$14="Off",'Activity data'!AP53*ManureNEF*NtoN2O*kgtoGg,IF('Net zero activities &amp; levers'!$C$14="On",'Net zero Activity data'!AP53*ManureNEF*NtoN2O*kgtoGg,"ERROR"))</f>
        <v>1.0539136991279403</v>
      </c>
      <c r="X1123" s="94">
        <f>IF('Net zero activities &amp; levers'!$C$14="Off",'Activity data'!AQ53*ManureNEF*NtoN2O*kgtoGg,IF('Net zero activities &amp; levers'!$C$14="On",'Net zero Activity data'!AQ53*ManureNEF*NtoN2O*kgtoGg,"ERROR"))</f>
        <v>1.0553252049864941</v>
      </c>
      <c r="Y1123" s="94">
        <f>IF('Net zero activities &amp; levers'!$C$14="Off",'Activity data'!AR53*ManureNEF*NtoN2O*kgtoGg,IF('Net zero activities &amp; levers'!$C$14="On",'Net zero Activity data'!AR53*ManureNEF*NtoN2O*kgtoGg,"ERROR"))</f>
        <v>1.0549502713547947</v>
      </c>
      <c r="Z1123" s="94">
        <f>IF('Net zero activities &amp; levers'!$C$14="Off",'Activity data'!AS53*ManureNEF*NtoN2O*kgtoGg,IF('Net zero activities &amp; levers'!$C$14="On",'Net zero Activity data'!AS53*ManureNEF*NtoN2O*kgtoGg,"ERROR"))</f>
        <v>1.0527709267508603</v>
      </c>
      <c r="AA1123" s="94">
        <f>IF('Net zero activities &amp; levers'!$C$14="Off",'Activity data'!AT53*ManureNEF*NtoN2O*kgtoGg,IF('Net zero activities &amp; levers'!$C$14="On",'Net zero Activity data'!AT53*ManureNEF*NtoN2O*kgtoGg,"ERROR"))</f>
        <v>1.0487818326891256</v>
      </c>
      <c r="AB1123" s="94">
        <f>IF('Net zero activities &amp; levers'!$C$14="Off",'Activity data'!AU53*ManureNEF*NtoN2O*kgtoGg,IF('Net zero activities &amp; levers'!$C$14="On",'Net zero Activity data'!AU53*ManureNEF*NtoN2O*kgtoGg,"ERROR"))</f>
        <v>1.0429862897745465</v>
      </c>
      <c r="AC1123" s="94">
        <f>IF('Net zero activities &amp; levers'!$C$14="Off",'Activity data'!AV53*ManureNEF*NtoN2O*kgtoGg,IF('Net zero activities &amp; levers'!$C$14="On",'Net zero Activity data'!AV53*ManureNEF*NtoN2O*kgtoGg,"ERROR"))</f>
        <v>1.0353973298775558</v>
      </c>
      <c r="AD1123" s="94">
        <f>IF('Net zero activities &amp; levers'!$C$14="Off",'Activity data'!AW53*ManureNEF*NtoN2O*kgtoGg,IF('Net zero activities &amp; levers'!$C$14="On",'Net zero Activity data'!AW53*ManureNEF*NtoN2O*kgtoGg,"ERROR"))</f>
        <v>1.0174175581982712</v>
      </c>
      <c r="AE1123" s="94">
        <f>IF('Net zero activities &amp; levers'!$C$14="Off",'Activity data'!AX53*ManureNEF*NtoN2O*kgtoGg,IF('Net zero activities &amp; levers'!$C$14="On",'Net zero Activity data'!AX53*ManureNEF*NtoN2O*kgtoGg,"ERROR"))</f>
        <v>0.99774420575118894</v>
      </c>
      <c r="AF1123" s="94">
        <f>IF('Net zero activities &amp; levers'!$C$14="Off",'Activity data'!AY53*ManureNEF*NtoN2O*kgtoGg,IF('Net zero activities &amp; levers'!$C$14="On",'Net zero Activity data'!AY53*ManureNEF*NtoN2O*kgtoGg,"ERROR"))</f>
        <v>0.97646566881417607</v>
      </c>
      <c r="AG1123" s="94">
        <f>IF('Net zero activities &amp; levers'!$C$14="Off",'Activity data'!AZ53*ManureNEF*NtoN2O*kgtoGg,IF('Net zero activities &amp; levers'!$C$14="On",'Net zero Activity data'!AZ53*ManureNEF*NtoN2O*kgtoGg,"ERROR"))</f>
        <v>0.95368038799648891</v>
      </c>
      <c r="AH1123" s="94">
        <f>IF('Net zero activities &amp; levers'!$C$14="Off",'Activity data'!BA53*ManureNEF*NtoN2O*kgtoGg,IF('Net zero activities &amp; levers'!$C$14="On",'Net zero Activity data'!BA53*ManureNEF*NtoN2O*kgtoGg,"ERROR"))</f>
        <v>0.92949316172660157</v>
      </c>
      <c r="AI1123" s="94">
        <f>IF('Net zero activities &amp; levers'!$C$14="Off",'Activity data'!BB53*ManureNEF*NtoN2O*kgtoGg,IF('Net zero activities &amp; levers'!$C$14="On",'Net zero Activity data'!BB53*ManureNEF*NtoN2O*kgtoGg,"ERROR"))</f>
        <v>0.90401558532438187</v>
      </c>
      <c r="AJ1123" s="94">
        <f>IF('Net zero activities &amp; levers'!$C$14="Off",'Activity data'!BC53*ManureNEF*NtoN2O*kgtoGg,IF('Net zero activities &amp; levers'!$C$14="On",'Net zero Activity data'!BC53*ManureNEF*NtoN2O*kgtoGg,"ERROR"))</f>
        <v>-6.9801929759449391E-2</v>
      </c>
      <c r="AK1123" s="94">
        <f>IF('Net zero activities &amp; levers'!$C$14="Off",'Activity data'!BD53*ManureNEF*NtoN2O*kgtoGg,IF('Net zero activities &amp; levers'!$C$14="On",'Net zero Activity data'!BD53*ManureNEF*NtoN2O*kgtoGg,"ERROR"))</f>
        <v>-6.8121301003411724E-2</v>
      </c>
      <c r="AL1123" s="94">
        <f>IF('Net zero activities &amp; levers'!$C$14="Off",'Activity data'!BE53*ManureNEF*NtoN2O*kgtoGg,IF('Net zero activities &amp; levers'!$C$14="On",'Net zero Activity data'!BE53*ManureNEF*NtoN2O*kgtoGg,"ERROR"))</f>
        <v>-6.6458158331925851E-2</v>
      </c>
      <c r="AM1123" s="94">
        <f>IF('Net zero activities &amp; levers'!$C$14="Off",'Activity data'!BF53*ManureNEF*NtoN2O*kgtoGg,IF('Net zero activities &amp; levers'!$C$14="On",'Net zero Activity data'!BF53*ManureNEF*NtoN2O*kgtoGg,"ERROR"))</f>
        <v>-6.481232997303113E-2</v>
      </c>
      <c r="AN1123" s="94">
        <f>IF('Net zero activities &amp; levers'!$C$14="Off",'Activity data'!BG53*ManureNEF*NtoN2O*kgtoGg,IF('Net zero activities &amp; levers'!$C$14="On",'Net zero Activity data'!BG53*ManureNEF*NtoN2O*kgtoGg,"ERROR"))</f>
        <v>-6.3506079477571004E-2</v>
      </c>
      <c r="AO1123" s="94">
        <f>IF('Net zero activities &amp; levers'!$C$14="Off",'Activity data'!BH53*ManureNEF*NtoN2O*kgtoGg,IF('Net zero activities &amp; levers'!$C$14="On",'Net zero Activity data'!BH53*ManureNEF*NtoN2O*kgtoGg,"ERROR"))</f>
        <v>-6.2212220196709189E-2</v>
      </c>
      <c r="AP1123" s="94">
        <f>IF('Net zero activities &amp; levers'!$C$14="Off",'Activity data'!BI53*ManureNEF*NtoN2O*kgtoGg,IF('Net zero activities &amp; levers'!$C$14="On",'Net zero Activity data'!BI53*ManureNEF*NtoN2O*kgtoGg,"ERROR"))</f>
        <v>-6.0929789794195444E-2</v>
      </c>
      <c r="AQ1123" s="94">
        <f>IF('Net zero activities &amp; levers'!$C$14="Off",'Activity data'!BJ53*ManureNEF*NtoN2O*kgtoGg,IF('Net zero activities &amp; levers'!$C$14="On",'Net zero Activity data'!BJ53*ManureNEF*NtoN2O*kgtoGg,"ERROR"))</f>
        <v>-5.9658470603933263E-2</v>
      </c>
      <c r="AR1123" s="94">
        <f>IF('Net zero activities &amp; levers'!$C$14="Off",'Activity data'!BK53*ManureNEF*NtoN2O*kgtoGg,IF('Net zero activities &amp; levers'!$C$14="On",'Net zero Activity data'!BK53*ManureNEF*NtoN2O*kgtoGg,"ERROR"))</f>
        <v>-5.839733316411725E-2</v>
      </c>
      <c r="AS1123" s="94">
        <f>IF('Net zero activities &amp; levers'!$C$14="Off",'Activity data'!BL53*ManureNEF*NtoN2O*kgtoGg,IF('Net zero activities &amp; levers'!$C$14="On",'Net zero Activity data'!BL53*ManureNEF*NtoN2O*kgtoGg,"ERROR"))</f>
        <v>-5.7145467253207828E-2</v>
      </c>
      <c r="AT1123" s="94">
        <f>IF('Net zero activities &amp; levers'!$C$14="Off",'Activity data'!BM53*ManureNEF*NtoN2O*kgtoGg,IF('Net zero activities &amp; levers'!$C$14="On",'Net zero Activity data'!BM53*ManureNEF*NtoN2O*kgtoGg,"ERROR"))</f>
        <v>-5.590272668429646E-2</v>
      </c>
      <c r="AU1123" s="94">
        <f>IF('Net zero activities &amp; levers'!$C$14="Off",'Activity data'!BN53*ManureNEF*NtoN2O*kgtoGg,IF('Net zero activities &amp; levers'!$C$14="On",'Net zero Activity data'!BN53*ManureNEF*NtoN2O*kgtoGg,"ERROR"))</f>
        <v>-5.4669188235492674E-2</v>
      </c>
      <c r="AV1123" s="94">
        <f>IF('Net zero activities &amp; levers'!$C$14="Off",'Activity data'!BO53*ManureNEF*NtoN2O*kgtoGg,IF('Net zero activities &amp; levers'!$C$14="On",'Net zero Activity data'!BO53*ManureNEF*NtoN2O*kgtoGg,"ERROR"))</f>
        <v>-5.3444899006114648E-2</v>
      </c>
      <c r="AW1123" s="94">
        <f>IF('Net zero activities &amp; levers'!$C$14="Off",'Activity data'!BP53*ManureNEF*NtoN2O*kgtoGg,IF('Net zero activities &amp; levers'!$C$14="On",'Net zero Activity data'!BP53*ManureNEF*NtoN2O*kgtoGg,"ERROR"))</f>
        <v>-5.2229155811497792E-2</v>
      </c>
      <c r="AY1123" s="79"/>
    </row>
    <row r="1124" spans="1:51" x14ac:dyDescent="0.25">
      <c r="A1124" s="95" t="str">
        <f t="shared" si="374"/>
        <v>CM Organic</v>
      </c>
      <c r="B1124" s="95" t="s">
        <v>1322</v>
      </c>
      <c r="C1124" s="95" t="s">
        <v>1127</v>
      </c>
      <c r="D1124" t="s">
        <v>369</v>
      </c>
      <c r="E1124" t="s">
        <v>55</v>
      </c>
      <c r="F1124" t="s">
        <v>421</v>
      </c>
      <c r="G1124" t="s">
        <v>1160</v>
      </c>
      <c r="H1124" t="s">
        <v>1161</v>
      </c>
      <c r="I1124" t="s">
        <v>139</v>
      </c>
      <c r="J1124" t="s">
        <v>287</v>
      </c>
      <c r="K1124" s="94">
        <f>IF('Net zero activities &amp; levers'!$C$14="Off",'Activity data'!AD54*ManureNEF*NtoN2O*kgtoGg,IF('Net zero activities &amp; levers'!$C$14="On",'Net zero Activity data'!AD54*ManureNEF*NtoN2O*kgtoGg,"ERROR"))</f>
        <v>2.6602988559851242</v>
      </c>
      <c r="L1124" s="94">
        <f>IF('Net zero activities &amp; levers'!$C$14="Off",'Activity data'!AE54*ManureNEF*NtoN2O*kgtoGg,IF('Net zero activities &amp; levers'!$C$14="On",'Net zero Activity data'!AE54*ManureNEF*NtoN2O*kgtoGg,"ERROR"))</f>
        <v>2.6372269335947092</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2.5933447201068063</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2.4766546252796315</v>
      </c>
      <c r="Q1124" s="94">
        <f>IF('Net zero activities &amp; levers'!$C$14="Off",'Activity data'!AJ54*ManureNEF*NtoN2O*kgtoGg,IF('Net zero activities &amp; levers'!$C$14="On",'Net zero Activity data'!AJ54*ManureNEF*NtoN2O*kgtoGg,"ERROR"))</f>
        <v>2.4248016610449814</v>
      </c>
      <c r="R1124" s="94">
        <f>IF('Net zero activities &amp; levers'!$C$14="Off",'Activity data'!AK54*ManureNEF*NtoN2O*kgtoGg,IF('Net zero activities &amp; levers'!$C$14="On",'Net zero Activity data'!AK54*ManureNEF*NtoN2O*kgtoGg,"ERROR"))</f>
        <v>2.3757428620222041</v>
      </c>
      <c r="S1124" s="94">
        <f>IF('Net zero activities &amp; levers'!$C$14="Off",'Activity data'!AL54*ManureNEF*NtoN2O*kgtoGg,IF('Net zero activities &amp; levers'!$C$14="On",'Net zero Activity data'!AL54*ManureNEF*NtoN2O*kgtoGg,"ERROR"))</f>
        <v>2.1246713944072271</v>
      </c>
      <c r="T1124" s="94">
        <f>IF('Net zero activities &amp; levers'!$C$14="Off",'Activity data'!AM54*ManureNEF*NtoN2O*kgtoGg,IF('Net zero activities &amp; levers'!$C$14="On",'Net zero Activity data'!AM54*ManureNEF*NtoN2O*kgtoGg,"ERROR"))</f>
        <v>2.2065285266163999</v>
      </c>
      <c r="U1124" s="94">
        <f>IF('Net zero activities &amp; levers'!$C$14="Off",'Activity data'!AN54*ManureNEF*NtoN2O*kgtoGg,IF('Net zero activities &amp; levers'!$C$14="On",'Net zero Activity data'!AN54*ManureNEF*NtoN2O*kgtoGg,"ERROR"))</f>
        <v>6.9543063423815932</v>
      </c>
      <c r="V1124" s="94">
        <f>IF('Net zero activities &amp; levers'!$C$14="Off",'Activity data'!AO54*ManureNEF*NtoN2O*kgtoGg,IF('Net zero activities &amp; levers'!$C$14="On",'Net zero Activity data'!AO54*ManureNEF*NtoN2O*kgtoGg,"ERROR"))</f>
        <v>6.9878495990695715</v>
      </c>
      <c r="W1124" s="94">
        <f>IF('Net zero activities &amp; levers'!$C$14="Off",'Activity data'!AP54*ManureNEF*NtoN2O*kgtoGg,IF('Net zero activities &amp; levers'!$C$14="On",'Net zero Activity data'!AP54*ManureNEF*NtoN2O*kgtoGg,"ERROR"))</f>
        <v>7.0093172004230366</v>
      </c>
      <c r="X1124" s="94">
        <f>IF('Net zero activities &amp; levers'!$C$14="Off",'Activity data'!AQ54*ManureNEF*NtoN2O*kgtoGg,IF('Net zero activities &amp; levers'!$C$14="On",'Net zero Activity data'!AQ54*ManureNEF*NtoN2O*kgtoGg,"ERROR"))</f>
        <v>7.0187047739037158</v>
      </c>
      <c r="Y1124" s="94">
        <f>IF('Net zero activities &amp; levers'!$C$14="Off",'Activity data'!AR54*ManureNEF*NtoN2O*kgtoGg,IF('Net zero activities &amp; levers'!$C$14="On",'Net zero Activity data'!AR54*ManureNEF*NtoN2O*kgtoGg,"ERROR"))</f>
        <v>7.0162111838157779</v>
      </c>
      <c r="Z1124" s="94">
        <f>IF('Net zero activities &amp; levers'!$C$14="Off",'Activity data'!AS54*ManureNEF*NtoN2O*kgtoGg,IF('Net zero activities &amp; levers'!$C$14="On",'Net zero Activity data'!AS54*ManureNEF*NtoN2O*kgtoGg,"ERROR"))</f>
        <v>7.0017169063140772</v>
      </c>
      <c r="AA1124" s="94">
        <f>IF('Net zero activities &amp; levers'!$C$14="Off",'Activity data'!AT54*ManureNEF*NtoN2O*kgtoGg,IF('Net zero activities &amp; levers'!$C$14="On",'Net zero Activity data'!AT54*ManureNEF*NtoN2O*kgtoGg,"ERROR"))</f>
        <v>6.9751864364623621</v>
      </c>
      <c r="AB1124" s="94">
        <f>IF('Net zero activities &amp; levers'!$C$14="Off",'Activity data'!AU54*ManureNEF*NtoN2O*kgtoGg,IF('Net zero activities &amp; levers'!$C$14="On",'Net zero Activity data'!AU54*ManureNEF*NtoN2O*kgtoGg,"ERROR"))</f>
        <v>6.9366417257611337</v>
      </c>
      <c r="AC1124" s="94">
        <f>IF('Net zero activities &amp; levers'!$C$14="Off",'Activity data'!AV54*ManureNEF*NtoN2O*kgtoGg,IF('Net zero activities &amp; levers'!$C$14="On",'Net zero Activity data'!AV54*ManureNEF*NtoN2O*kgtoGg,"ERROR"))</f>
        <v>6.8861694459309035</v>
      </c>
      <c r="AD1124" s="94">
        <f>IF('Net zero activities &amp; levers'!$C$14="Off",'Activity data'!AW54*ManureNEF*NtoN2O*kgtoGg,IF('Net zero activities &amp; levers'!$C$14="On",'Net zero Activity data'!AW54*ManureNEF*NtoN2O*kgtoGg,"ERROR"))</f>
        <v>6.7665904680738294</v>
      </c>
      <c r="AE1124" s="94">
        <f>IF('Net zero activities &amp; levers'!$C$14="Off",'Activity data'!AX54*ManureNEF*NtoN2O*kgtoGg,IF('Net zero activities &amp; levers'!$C$14="On",'Net zero Activity data'!AX54*ManureNEF*NtoN2O*kgtoGg,"ERROR"))</f>
        <v>6.6357479068551806</v>
      </c>
      <c r="AF1124" s="94">
        <f>IF('Net zero activities &amp; levers'!$C$14="Off",'Activity data'!AY54*ManureNEF*NtoN2O*kgtoGg,IF('Net zero activities &amp; levers'!$C$14="On",'Net zero Activity data'!AY54*ManureNEF*NtoN2O*kgtoGg,"ERROR"))</f>
        <v>6.4942296638758421</v>
      </c>
      <c r="AG1124" s="94">
        <f>IF('Net zero activities &amp; levers'!$C$14="Off",'Activity data'!AZ54*ManureNEF*NtoN2O*kgtoGg,IF('Net zero activities &amp; levers'!$C$14="On",'Net zero Activity data'!AZ54*ManureNEF*NtoN2O*kgtoGg,"ERROR"))</f>
        <v>6.3426904430800271</v>
      </c>
      <c r="AH1124" s="94">
        <f>IF('Net zero activities &amp; levers'!$C$14="Off",'Activity data'!BA54*ManureNEF*NtoN2O*kgtoGg,IF('Net zero activities &amp; levers'!$C$14="On",'Net zero Activity data'!BA54*ManureNEF*NtoN2O*kgtoGg,"ERROR"))</f>
        <v>6.181827232682128</v>
      </c>
      <c r="AI1124" s="94">
        <f>IF('Net zero activities &amp; levers'!$C$14="Off",'Activity data'!BB54*ManureNEF*NtoN2O*kgtoGg,IF('Net zero activities &amp; levers'!$C$14="On",'Net zero Activity data'!BB54*ManureNEF*NtoN2O*kgtoGg,"ERROR"))</f>
        <v>6.0123822253262711</v>
      </c>
      <c r="AJ1124" s="94">
        <f>IF('Net zero activities &amp; levers'!$C$14="Off",'Activity data'!BC54*ManureNEF*NtoN2O*kgtoGg,IF('Net zero activities &amp; levers'!$C$14="On",'Net zero Activity data'!BC54*ManureNEF*NtoN2O*kgtoGg,"ERROR"))</f>
        <v>-0.46423522845416099</v>
      </c>
      <c r="AK1124" s="94">
        <f>IF('Net zero activities &amp; levers'!$C$14="Off",'Activity data'!BD54*ManureNEF*NtoN2O*kgtoGg,IF('Net zero activities &amp; levers'!$C$14="On",'Net zero Activity data'!BD54*ManureNEF*NtoN2O*kgtoGg,"ERROR"))</f>
        <v>-0.45305778569298638</v>
      </c>
      <c r="AL1124" s="94">
        <f>IF('Net zero activities &amp; levers'!$C$14="Off",'Activity data'!BE54*ManureNEF*NtoN2O*kgtoGg,IF('Net zero activities &amp; levers'!$C$14="On",'Net zero Activity data'!BE54*ManureNEF*NtoN2O*kgtoGg,"ERROR"))</f>
        <v>-0.44199663851969367</v>
      </c>
      <c r="AM1124" s="94">
        <f>IF('Net zero activities &amp; levers'!$C$14="Off",'Activity data'!BF54*ManureNEF*NtoN2O*kgtoGg,IF('Net zero activities &amp; levers'!$C$14="On",'Net zero Activity data'!BF54*ManureNEF*NtoN2O*kgtoGg,"ERROR"))</f>
        <v>-0.43105064452180719</v>
      </c>
      <c r="AN1124" s="94">
        <f>IF('Net zero activities &amp; levers'!$C$14="Off",'Activity data'!BG54*ManureNEF*NtoN2O*kgtoGg,IF('Net zero activities &amp; levers'!$C$14="On",'Net zero Activity data'!BG54*ManureNEF*NtoN2O*kgtoGg,"ERROR"))</f>
        <v>-0.42236309821373103</v>
      </c>
      <c r="AO1124" s="94">
        <f>IF('Net zero activities &amp; levers'!$C$14="Off",'Activity data'!BH54*ManureNEF*NtoN2O*kgtoGg,IF('Net zero activities &amp; levers'!$C$14="On",'Net zero Activity data'!BH54*ManureNEF*NtoN2O*kgtoGg,"ERROR"))</f>
        <v>-0.41375796278397442</v>
      </c>
      <c r="AP1124" s="94">
        <f>IF('Net zero activities &amp; levers'!$C$14="Off",'Activity data'!BI54*ManureNEF*NtoN2O*kgtoGg,IF('Net zero activities &amp; levers'!$C$14="On",'Net zero Activity data'!BI54*ManureNEF*NtoN2O*kgtoGg,"ERROR"))</f>
        <v>-0.40522883797411285</v>
      </c>
      <c r="AQ1124" s="94">
        <f>IF('Net zero activities &amp; levers'!$C$14="Off",'Activity data'!BJ54*ManureNEF*NtoN2O*kgtoGg,IF('Net zero activities &amp; levers'!$C$14="On",'Net zero Activity data'!BJ54*ManureNEF*NtoN2O*kgtoGg,"ERROR"))</f>
        <v>-0.3967736110661545</v>
      </c>
      <c r="AR1124" s="94">
        <f>IF('Net zero activities &amp; levers'!$C$14="Off",'Activity data'!BK54*ManureNEF*NtoN2O*kgtoGg,IF('Net zero activities &amp; levers'!$C$14="On",'Net zero Activity data'!BK54*ManureNEF*NtoN2O*kgtoGg,"ERROR"))</f>
        <v>-0.38838610044140948</v>
      </c>
      <c r="AS1124" s="94">
        <f>IF('Net zero activities &amp; levers'!$C$14="Off",'Activity data'!BL54*ManureNEF*NtoN2O*kgtoGg,IF('Net zero activities &amp; levers'!$C$14="On",'Net zero Activity data'!BL54*ManureNEF*NtoN2O*kgtoGg,"ERROR"))</f>
        <v>-0.38006025244339864</v>
      </c>
      <c r="AT1124" s="94">
        <f>IF('Net zero activities &amp; levers'!$C$14="Off",'Activity data'!BM54*ManureNEF*NtoN2O*kgtoGg,IF('Net zero activities &amp; levers'!$C$14="On",'Net zero Activity data'!BM54*ManureNEF*NtoN2O*kgtoGg,"ERROR"))</f>
        <v>-0.37179509481944717</v>
      </c>
      <c r="AU1124" s="94">
        <f>IF('Net zero activities &amp; levers'!$C$14="Off",'Activity data'!BN54*ManureNEF*NtoN2O*kgtoGg,IF('Net zero activities &amp; levers'!$C$14="On",'Net zero Activity data'!BN54*ManureNEF*NtoN2O*kgtoGg,"ERROR"))</f>
        <v>-0.36359113820161632</v>
      </c>
      <c r="AV1124" s="94">
        <f>IF('Net zero activities &amp; levers'!$C$14="Off",'Activity data'!BO54*ManureNEF*NtoN2O*kgtoGg,IF('Net zero activities &amp; levers'!$C$14="On",'Net zero Activity data'!BO54*ManureNEF*NtoN2O*kgtoGg,"ERROR"))</f>
        <v>-0.35544869583572547</v>
      </c>
      <c r="AW1124" s="94">
        <f>IF('Net zero activities &amp; levers'!$C$14="Off",'Activity data'!BP54*ManureNEF*NtoN2O*kgtoGg,IF('Net zero activities &amp; levers'!$C$14="On",'Net zero Activity data'!BP54*ManureNEF*NtoN2O*kgtoGg,"ERROR"))</f>
        <v>-0.34736309101592239</v>
      </c>
      <c r="AY1124" s="79"/>
    </row>
    <row r="1125" spans="1:51" x14ac:dyDescent="0.25">
      <c r="A1125" s="95" t="str">
        <f t="shared" si="374"/>
        <v>CM Organic</v>
      </c>
      <c r="B1125" s="95" t="s">
        <v>1322</v>
      </c>
      <c r="C1125" s="95" t="s">
        <v>1127</v>
      </c>
      <c r="D1125" t="s">
        <v>369</v>
      </c>
      <c r="E1125" t="s">
        <v>55</v>
      </c>
      <c r="F1125" t="s">
        <v>421</v>
      </c>
      <c r="G1125" t="s">
        <v>1162</v>
      </c>
      <c r="H1125" t="s">
        <v>1163</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0.35516571939691516</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0.379170347917821</v>
      </c>
      <c r="O1125" s="94">
        <f>IF('Net zero activities &amp; levers'!$C$14="Off",'Activity data'!AH55*ManureNEF*NtoN2O*kgtoGg,IF('Net zero activities &amp; levers'!$C$14="On",'Net zero Activity data'!AH55*ManureNEF*NtoN2O*kgtoGg,"ERROR"))</f>
        <v>0.38707850955818851</v>
      </c>
      <c r="P1125" s="94">
        <f>IF('Net zero activities &amp; levers'!$C$14="Off",'Activity data'!AI55*ManureNEF*NtoN2O*kgtoGg,IF('Net zero activities &amp; levers'!$C$14="On",'Net zero Activity data'!AI55*ManureNEF*NtoN2O*kgtoGg,"ERROR"))</f>
        <v>0.39252728601928999</v>
      </c>
      <c r="Q1125" s="94">
        <f>IF('Net zero activities &amp; levers'!$C$14="Off",'Activity data'!AJ55*ManureNEF*NtoN2O*kgtoGg,IF('Net zero activities &amp; levers'!$C$14="On",'Net zero Activity data'!AJ55*ManureNEF*NtoN2O*kgtoGg,"ERROR"))</f>
        <v>0.3999671364536494</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0.37941149708510857</v>
      </c>
      <c r="T1125" s="94">
        <f>IF('Net zero activities &amp; levers'!$C$14="Off",'Activity data'!AM55*ManureNEF*NtoN2O*kgtoGg,IF('Net zero activities &amp; levers'!$C$14="On",'Net zero Activity data'!AM55*ManureNEF*NtoN2O*kgtoGg,"ERROR"))</f>
        <v>0.40352229075935825</v>
      </c>
      <c r="U1125" s="94">
        <f>IF('Net zero activities &amp; levers'!$C$14="Off",'Activity data'!AN55*ManureNEF*NtoN2O*kgtoGg,IF('Net zero activities &amp; levers'!$C$14="On",'Net zero Activity data'!AN55*ManureNEF*NtoN2O*kgtoGg,"ERROR"))</f>
        <v>1.3019992837200502</v>
      </c>
      <c r="V1125" s="94">
        <f>IF('Net zero activities &amp; levers'!$C$14="Off",'Activity data'!AO55*ManureNEF*NtoN2O*kgtoGg,IF('Net zero activities &amp; levers'!$C$14="On",'Net zero Activity data'!AO55*ManureNEF*NtoN2O*kgtoGg,"ERROR"))</f>
        <v>1.3389713551242044</v>
      </c>
      <c r="W1125" s="94">
        <f>IF('Net zero activities &amp; levers'!$C$14="Off",'Activity data'!AP55*ManureNEF*NtoN2O*kgtoGg,IF('Net zero activities &amp; levers'!$C$14="On",'Net zero Activity data'!AP55*ManureNEF*NtoN2O*kgtoGg,"ERROR"))</f>
        <v>1.3742225442034364</v>
      </c>
      <c r="X1125" s="94">
        <f>IF('Net zero activities &amp; levers'!$C$14="Off",'Activity data'!AQ55*ManureNEF*NtoN2O*kgtoGg,IF('Net zero activities &amp; levers'!$C$14="On",'Net zero Activity data'!AQ55*ManureNEF*NtoN2O*kgtoGg,"ERROR"))</f>
        <v>1.4076173986220344</v>
      </c>
      <c r="Y1125" s="94">
        <f>IF('Net zero activities &amp; levers'!$C$14="Off",'Activity data'!AR55*ManureNEF*NtoN2O*kgtoGg,IF('Net zero activities &amp; levers'!$C$14="On",'Net zero Activity data'!AR55*ManureNEF*NtoN2O*kgtoGg,"ERROR"))</f>
        <v>1.4390577517114058</v>
      </c>
      <c r="Z1125" s="94">
        <f>IF('Net zero activities &amp; levers'!$C$14="Off",'Activity data'!AS55*ManureNEF*NtoN2O*kgtoGg,IF('Net zero activities &amp; levers'!$C$14="On",'Net zero Activity data'!AS55*ManureNEF*NtoN2O*kgtoGg,"ERROR"))</f>
        <v>1.4683777754211462</v>
      </c>
      <c r="AA1125" s="94">
        <f>IF('Net zero activities &amp; levers'!$C$14="Off",'Activity data'!AT55*ManureNEF*NtoN2O*kgtoGg,IF('Net zero activities &amp; levers'!$C$14="On",'Net zero Activity data'!AT55*ManureNEF*NtoN2O*kgtoGg,"ERROR"))</f>
        <v>1.4954226905831736</v>
      </c>
      <c r="AB1125" s="94">
        <f>IF('Net zero activities &amp; levers'!$C$14="Off",'Activity data'!AU55*ManureNEF*NtoN2O*kgtoGg,IF('Net zero activities &amp; levers'!$C$14="On",'Net zero Activity data'!AU55*ManureNEF*NtoN2O*kgtoGg,"ERROR"))</f>
        <v>1.5200446118078883</v>
      </c>
      <c r="AC1125" s="94">
        <f>IF('Net zero activities &amp; levers'!$C$14="Off",'Activity data'!AV55*ManureNEF*NtoN2O*kgtoGg,IF('Net zero activities &amp; levers'!$C$14="On",'Net zero Activity data'!AV55*ManureNEF*NtoN2O*kgtoGg,"ERROR"))</f>
        <v>1.5421052715646864</v>
      </c>
      <c r="AD1125" s="94">
        <f>IF('Net zero activities &amp; levers'!$C$14="Off",'Activity data'!AW55*ManureNEF*NtoN2O*kgtoGg,IF('Net zero activities &amp; levers'!$C$14="On",'Net zero Activity data'!AW55*ManureNEF*NtoN2O*kgtoGg,"ERROR"))</f>
        <v>1.5655788001500457</v>
      </c>
      <c r="AE1125" s="94">
        <f>IF('Net zero activities &amp; levers'!$C$14="Off",'Activity data'!AX55*ManureNEF*NtoN2O*kgtoGg,IF('Net zero activities &amp; levers'!$C$14="On",'Net zero Activity data'!AX55*ManureNEF*NtoN2O*kgtoGg,"ERROR"))</f>
        <v>1.5863184064827547</v>
      </c>
      <c r="AF1125" s="94">
        <f>IF('Net zero activities &amp; levers'!$C$14="Off",'Activity data'!AY55*ManureNEF*NtoN2O*kgtoGg,IF('Net zero activities &amp; levers'!$C$14="On",'Net zero Activity data'!AY55*ManureNEF*NtoN2O*kgtoGg,"ERROR"))</f>
        <v>1.604202691450189</v>
      </c>
      <c r="AG1125" s="94">
        <f>IF('Net zero activities &amp; levers'!$C$14="Off",'Activity data'!AZ55*ManureNEF*NtoN2O*kgtoGg,IF('Net zero activities &amp; levers'!$C$14="On",'Net zero Activity data'!AZ55*ManureNEF*NtoN2O*kgtoGg,"ERROR"))</f>
        <v>1.6191262740936789</v>
      </c>
      <c r="AH1125" s="94">
        <f>IF('Net zero activities &amp; levers'!$C$14="Off",'Activity data'!BA55*ManureNEF*NtoN2O*kgtoGg,IF('Net zero activities &amp; levers'!$C$14="On",'Net zero Activity data'!BA55*ManureNEF*NtoN2O*kgtoGg,"ERROR"))</f>
        <v>1.6309961254310048</v>
      </c>
      <c r="AI1125" s="94">
        <f>IF('Net zero activities &amp; levers'!$C$14="Off",'Activity data'!BB55*ManureNEF*NtoN2O*kgtoGg,IF('Net zero activities &amp; levers'!$C$14="On",'Net zero Activity data'!BB55*ManureNEF*NtoN2O*kgtoGg,"ERROR"))</f>
        <v>1.6397344068055653</v>
      </c>
      <c r="AJ1125" s="94">
        <f>IF('Net zero activities &amp; levers'!$C$14="Off",'Activity data'!BC55*ManureNEF*NtoN2O*kgtoGg,IF('Net zero activities &amp; levers'!$C$14="On",'Net zero Activity data'!BC55*ManureNEF*NtoN2O*kgtoGg,"ERROR"))</f>
        <v>-0.13089608517240703</v>
      </c>
      <c r="AK1125" s="94">
        <f>IF('Net zero activities &amp; levers'!$C$14="Off",'Activity data'!BD55*ManureNEF*NtoN2O*kgtoGg,IF('Net zero activities &amp; levers'!$C$14="On",'Net zero Activity data'!BD55*ManureNEF*NtoN2O*kgtoGg,"ERROR"))</f>
        <v>-0.13209410170523925</v>
      </c>
      <c r="AL1125" s="94">
        <f>IF('Net zero activities &amp; levers'!$C$14="Off",'Activity data'!BE55*ManureNEF*NtoN2O*kgtoGg,IF('Net zero activities &amp; levers'!$C$14="On",'Net zero Activity data'!BE55*ManureNEF*NtoN2O*kgtoGg,"ERROR"))</f>
        <v>-0.13328419638855493</v>
      </c>
      <c r="AM1125" s="94">
        <f>IF('Net zero activities &amp; levers'!$C$14="Off",'Activity data'!BF55*ManureNEF*NtoN2O*kgtoGg,IF('Net zero activities &amp; levers'!$C$14="On",'Net zero Activity data'!BF55*ManureNEF*NtoN2O*kgtoGg,"ERROR"))</f>
        <v>-0.13446696197747518</v>
      </c>
      <c r="AN1125" s="94">
        <f>IF('Net zero activities &amp; levers'!$C$14="Off",'Activity data'!BG55*ManureNEF*NtoN2O*kgtoGg,IF('Net zero activities &amp; levers'!$C$14="On",'Net zero Activity data'!BG55*ManureNEF*NtoN2O*kgtoGg,"ERROR"))</f>
        <v>-0.13547441854530159</v>
      </c>
      <c r="AO1125" s="94">
        <f>IF('Net zero activities &amp; levers'!$C$14="Off",'Activity data'!BH55*ManureNEF*NtoN2O*kgtoGg,IF('Net zero activities &amp; levers'!$C$14="On",'Net zero Activity data'!BH55*ManureNEF*NtoN2O*kgtoGg,"ERROR"))</f>
        <v>-0.13647180135664599</v>
      </c>
      <c r="AP1125" s="94">
        <f>IF('Net zero activities &amp; levers'!$C$14="Off",'Activity data'!BI55*ManureNEF*NtoN2O*kgtoGg,IF('Net zero activities &amp; levers'!$C$14="On",'Net zero Activity data'!BI55*ManureNEF*NtoN2O*kgtoGg,"ERROR"))</f>
        <v>-0.1374575838778328</v>
      </c>
      <c r="AQ1125" s="94">
        <f>IF('Net zero activities &amp; levers'!$C$14="Off",'Activity data'!BJ55*ManureNEF*NtoN2O*kgtoGg,IF('Net zero activities &amp; levers'!$C$14="On",'Net zero Activity data'!BJ55*ManureNEF*NtoN2O*kgtoGg,"ERROR"))</f>
        <v>-0.13843149499593352</v>
      </c>
      <c r="AR1125" s="94">
        <f>IF('Net zero activities &amp; levers'!$C$14="Off",'Activity data'!BK55*ManureNEF*NtoN2O*kgtoGg,IF('Net zero activities &amp; levers'!$C$14="On",'Net zero Activity data'!BK55*ManureNEF*NtoN2O*kgtoGg,"ERROR"))</f>
        <v>-0.13939171751336263</v>
      </c>
      <c r="AS1125" s="94">
        <f>IF('Net zero activities &amp; levers'!$C$14="Off",'Activity data'!BL55*ManureNEF*NtoN2O*kgtoGg,IF('Net zero activities &amp; levers'!$C$14="On",'Net zero Activity data'!BL55*ManureNEF*NtoN2O*kgtoGg,"ERROR"))</f>
        <v>-0.14033622294950923</v>
      </c>
      <c r="AT1125" s="94">
        <f>IF('Net zero activities &amp; levers'!$C$14="Off",'Activity data'!BM55*ManureNEF*NtoN2O*kgtoGg,IF('Net zero activities &amp; levers'!$C$14="On",'Net zero Activity data'!BM55*ManureNEF*NtoN2O*kgtoGg,"ERROR"))</f>
        <v>-0.14126464078823431</v>
      </c>
      <c r="AU1125" s="94">
        <f>IF('Net zero activities &amp; levers'!$C$14="Off",'Activity data'!BN55*ManureNEF*NtoN2O*kgtoGg,IF('Net zero activities &amp; levers'!$C$14="On",'Net zero Activity data'!BN55*ManureNEF*NtoN2O*kgtoGg,"ERROR"))</f>
        <v>-0.14217711138361663</v>
      </c>
      <c r="AV1125" s="94">
        <f>IF('Net zero activities &amp; levers'!$C$14="Off",'Activity data'!BO55*ManureNEF*NtoN2O*kgtoGg,IF('Net zero activities &amp; levers'!$C$14="On",'Net zero Activity data'!BO55*ManureNEF*NtoN2O*kgtoGg,"ERROR"))</f>
        <v>-0.14307369087756849</v>
      </c>
      <c r="AW1125" s="94">
        <f>IF('Net zero activities &amp; levers'!$C$14="Off",'Activity data'!BP55*ManureNEF*NtoN2O*kgtoGg,IF('Net zero activities &amp; levers'!$C$14="On",'Net zero Activity data'!BP55*ManureNEF*NtoN2O*kgtoGg,"ERROR"))</f>
        <v>-0.14395235507647042</v>
      </c>
      <c r="AY1125" s="79"/>
    </row>
    <row r="1126" spans="1:51" x14ac:dyDescent="0.25">
      <c r="A1126" s="95" t="str">
        <f t="shared" si="374"/>
        <v>CM Organic</v>
      </c>
      <c r="B1126" s="95" t="s">
        <v>1322</v>
      </c>
      <c r="C1126" s="95" t="s">
        <v>1127</v>
      </c>
      <c r="D1126" t="s">
        <v>369</v>
      </c>
      <c r="E1126" t="s">
        <v>55</v>
      </c>
      <c r="F1126" t="s">
        <v>421</v>
      </c>
      <c r="G1126" t="s">
        <v>1164</v>
      </c>
      <c r="H1126" t="s">
        <v>1165</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5.9207171446821721E-2</v>
      </c>
      <c r="T1126" s="94">
        <f>IF('Net zero activities &amp; levers'!$C$14="Off",'Activity data'!AM56*ManureNEF*NtoN2O*kgtoGg,IF('Net zero activities &amp; levers'!$C$14="On",'Net zero Activity data'!AM56*ManureNEF*NtoN2O*kgtoGg,"ERROR"))</f>
        <v>5.9246576334297835E-2</v>
      </c>
      <c r="U1126" s="94">
        <f>IF('Net zero activities &amp; levers'!$C$14="Off",'Activity data'!AN56*ManureNEF*NtoN2O*kgtoGg,IF('Net zero activities &amp; levers'!$C$14="On",'Net zero Activity data'!AN56*ManureNEF*NtoN2O*kgtoGg,"ERROR"))</f>
        <v>6.0018268189792646E-2</v>
      </c>
      <c r="V1126" s="94">
        <f>IF('Net zero activities &amp; levers'!$C$14="Off",'Activity data'!AO56*ManureNEF*NtoN2O*kgtoGg,IF('Net zero activities &amp; levers'!$C$14="On",'Net zero Activity data'!AO56*ManureNEF*NtoN2O*kgtoGg,"ERROR"))</f>
        <v>6.0037093010318184E-2</v>
      </c>
      <c r="W1126" s="94">
        <f>IF('Net zero activities &amp; levers'!$C$14="Off",'Activity data'!AP56*ManureNEF*NtoN2O*kgtoGg,IF('Net zero activities &amp; levers'!$C$14="On",'Net zero Activity data'!AP56*ManureNEF*NtoN2O*kgtoGg,"ERROR"))</f>
        <v>6.0117615700915394E-2</v>
      </c>
      <c r="X1126" s="94">
        <f>IF('Net zero activities &amp; levers'!$C$14="Off",'Activity data'!AQ56*ManureNEF*NtoN2O*kgtoGg,IF('Net zero activities &amp; levers'!$C$14="On",'Net zero Activity data'!AQ56*ManureNEF*NtoN2O*kgtoGg,"ERROR"))</f>
        <v>6.0234013204612538E-2</v>
      </c>
      <c r="Y1126" s="94">
        <f>IF('Net zero activities &amp; levers'!$C$14="Off",'Activity data'!AR56*ManureNEF*NtoN2O*kgtoGg,IF('Net zero activities &amp; levers'!$C$14="On",'Net zero Activity data'!AR56*ManureNEF*NtoN2O*kgtoGg,"ERROR"))</f>
        <v>6.0342142496718161E-2</v>
      </c>
      <c r="Z1126" s="94">
        <f>IF('Net zero activities &amp; levers'!$C$14="Off",'Activity data'!AS56*ManureNEF*NtoN2O*kgtoGg,IF('Net zero activities &amp; levers'!$C$14="On",'Net zero Activity data'!AS56*ManureNEF*NtoN2O*kgtoGg,"ERROR"))</f>
        <v>6.0443342363168437E-2</v>
      </c>
      <c r="AA1126" s="94">
        <f>IF('Net zero activities &amp; levers'!$C$14="Off",'Activity data'!AT56*ManureNEF*NtoN2O*kgtoGg,IF('Net zero activities &amp; levers'!$C$14="On",'Net zero Activity data'!AT56*ManureNEF*NtoN2O*kgtoGg,"ERROR"))</f>
        <v>6.0537073159976813E-2</v>
      </c>
      <c r="AB1126" s="94">
        <f>IF('Net zero activities &amp; levers'!$C$14="Off",'Activity data'!AU56*ManureNEF*NtoN2O*kgtoGg,IF('Net zero activities &amp; levers'!$C$14="On",'Net zero Activity data'!AU56*ManureNEF*NtoN2O*kgtoGg,"ERROR"))</f>
        <v>6.0624179409324928E-2</v>
      </c>
      <c r="AC1126" s="94">
        <f>IF('Net zero activities &amp; levers'!$C$14="Off",'Activity data'!AV56*ManureNEF*NtoN2O*kgtoGg,IF('Net zero activities &amp; levers'!$C$14="On",'Net zero Activity data'!AV56*ManureNEF*NtoN2O*kgtoGg,"ERROR"))</f>
        <v>6.0705982424299358E-2</v>
      </c>
      <c r="AD1126" s="94">
        <f>IF('Net zero activities &amp; levers'!$C$14="Off",'Activity data'!AW56*ManureNEF*NtoN2O*kgtoGg,IF('Net zero activities &amp; levers'!$C$14="On",'Net zero Activity data'!AW56*ManureNEF*NtoN2O*kgtoGg,"ERROR"))</f>
        <v>6.0782405127579278E-2</v>
      </c>
      <c r="AE1126" s="94">
        <f>IF('Net zero activities &amp; levers'!$C$14="Off",'Activity data'!AX56*ManureNEF*NtoN2O*kgtoGg,IF('Net zero activities &amp; levers'!$C$14="On",'Net zero Activity data'!AX56*ManureNEF*NtoN2O*kgtoGg,"ERROR"))</f>
        <v>6.0854669862410914E-2</v>
      </c>
      <c r="AF1126" s="94">
        <f>IF('Net zero activities &amp; levers'!$C$14="Off",'Activity data'!AY56*ManureNEF*NtoN2O*kgtoGg,IF('Net zero activities &amp; levers'!$C$14="On",'Net zero Activity data'!AY56*ManureNEF*NtoN2O*kgtoGg,"ERROR"))</f>
        <v>6.0922951557005132E-2</v>
      </c>
      <c r="AG1126" s="94">
        <f>IF('Net zero activities &amp; levers'!$C$14="Off",'Activity data'!AZ56*ManureNEF*NtoN2O*kgtoGg,IF('Net zero activities &amp; levers'!$C$14="On",'Net zero Activity data'!AZ56*ManureNEF*NtoN2O*kgtoGg,"ERROR"))</f>
        <v>6.0986314332021271E-2</v>
      </c>
      <c r="AH1126" s="94">
        <f>IF('Net zero activities &amp; levers'!$C$14="Off",'Activity data'!BA56*ManureNEF*NtoN2O*kgtoGg,IF('Net zero activities &amp; levers'!$C$14="On",'Net zero Activity data'!BA56*ManureNEF*NtoN2O*kgtoGg,"ERROR"))</f>
        <v>6.1045337815494746E-2</v>
      </c>
      <c r="AI1126" s="94">
        <f>IF('Net zero activities &amp; levers'!$C$14="Off",'Activity data'!BB56*ManureNEF*NtoN2O*kgtoGg,IF('Net zero activities &amp; levers'!$C$14="On",'Net zero Activity data'!BB56*ManureNEF*NtoN2O*kgtoGg,"ERROR"))</f>
        <v>6.1100963630343091E-2</v>
      </c>
      <c r="AJ1126" s="94">
        <f>IF('Net zero activities &amp; levers'!$C$14="Off",'Activity data'!BC56*ManureNEF*NtoN2O*kgtoGg,IF('Net zero activities &amp; levers'!$C$14="On",'Net zero Activity data'!BC56*ManureNEF*NtoN2O*kgtoGg,"ERROR"))</f>
        <v>5.9760031976995184E-2</v>
      </c>
      <c r="AK1126" s="94">
        <f>IF('Net zero activities &amp; levers'!$C$14="Off",'Activity data'!BD56*ManureNEF*NtoN2O*kgtoGg,IF('Net zero activities &amp; levers'!$C$14="On",'Net zero Activity data'!BD56*ManureNEF*NtoN2O*kgtoGg,"ERROR"))</f>
        <v>5.9814986740369232E-2</v>
      </c>
      <c r="AL1126" s="94">
        <f>IF('Net zero activities &amp; levers'!$C$14="Off",'Activity data'!BE56*ManureNEF*NtoN2O*kgtoGg,IF('Net zero activities &amp; levers'!$C$14="On",'Net zero Activity data'!BE56*ManureNEF*NtoN2O*kgtoGg,"ERROR"))</f>
        <v>5.9866245389547455E-2</v>
      </c>
      <c r="AM1126" s="94">
        <f>IF('Net zero activities &amp; levers'!$C$14="Off",'Activity data'!BF56*ManureNEF*NtoN2O*kgtoGg,IF('Net zero activities &amp; levers'!$C$14="On",'Net zero Activity data'!BF56*ManureNEF*NtoN2O*kgtoGg,"ERROR"))</f>
        <v>5.9914121191052938E-2</v>
      </c>
      <c r="AN1126" s="94">
        <f>IF('Net zero activities &amp; levers'!$C$14="Off",'Activity data'!BG56*ManureNEF*NtoN2O*kgtoGg,IF('Net zero activities &amp; levers'!$C$14="On",'Net zero Activity data'!BG56*ManureNEF*NtoN2O*kgtoGg,"ERROR"))</f>
        <v>5.9958994957515464E-2</v>
      </c>
      <c r="AO1126" s="94">
        <f>IF('Net zero activities &amp; levers'!$C$14="Off",'Activity data'!BH56*ManureNEF*NtoN2O*kgtoGg,IF('Net zero activities &amp; levers'!$C$14="On",'Net zero Activity data'!BH56*ManureNEF*NtoN2O*kgtoGg,"ERROR"))</f>
        <v>5.9999686326466663E-2</v>
      </c>
      <c r="AP1126" s="94">
        <f>IF('Net zero activities &amp; levers'!$C$14="Off",'Activity data'!BI56*ManureNEF*NtoN2O*kgtoGg,IF('Net zero activities &amp; levers'!$C$14="On",'Net zero Activity data'!BI56*ManureNEF*NtoN2O*kgtoGg,"ERROR"))</f>
        <v>6.0035407039000573E-2</v>
      </c>
      <c r="AQ1126" s="94">
        <f>IF('Net zero activities &amp; levers'!$C$14="Off",'Activity data'!BJ56*ManureNEF*NtoN2O*kgtoGg,IF('Net zero activities &amp; levers'!$C$14="On",'Net zero Activity data'!BJ56*ManureNEF*NtoN2O*kgtoGg,"ERROR"))</f>
        <v>6.0066041639394212E-2</v>
      </c>
      <c r="AR1126" s="94">
        <f>IF('Net zero activities &amp; levers'!$C$14="Off",'Activity data'!BK56*ManureNEF*NtoN2O*kgtoGg,IF('Net zero activities &amp; levers'!$C$14="On",'Net zero Activity data'!BK56*ManureNEF*NtoN2O*kgtoGg,"ERROR"))</f>
        <v>6.0090693101993796E-2</v>
      </c>
      <c r="AS1126" s="94">
        <f>IF('Net zero activities &amp; levers'!$C$14="Off",'Activity data'!BL56*ManureNEF*NtoN2O*kgtoGg,IF('Net zero activities &amp; levers'!$C$14="On",'Net zero Activity data'!BL56*ManureNEF*NtoN2O*kgtoGg,"ERROR"))</f>
        <v>6.010838638445111E-2</v>
      </c>
      <c r="AT1126" s="94">
        <f>IF('Net zero activities &amp; levers'!$C$14="Off",'Activity data'!BM56*ManureNEF*NtoN2O*kgtoGg,IF('Net zero activities &amp; levers'!$C$14="On",'Net zero Activity data'!BM56*ManureNEF*NtoN2O*kgtoGg,"ERROR"))</f>
        <v>6.0119011530987615E-2</v>
      </c>
      <c r="AU1126" s="94">
        <f>IF('Net zero activities &amp; levers'!$C$14="Off",'Activity data'!BN56*ManureNEF*NtoN2O*kgtoGg,IF('Net zero activities &amp; levers'!$C$14="On",'Net zero Activity data'!BN56*ManureNEF*NtoN2O*kgtoGg,"ERROR"))</f>
        <v>6.0122720098989259E-2</v>
      </c>
      <c r="AV1126" s="94">
        <f>IF('Net zero activities &amp; levers'!$C$14="Off",'Activity data'!BO56*ManureNEF*NtoN2O*kgtoGg,IF('Net zero activities &amp; levers'!$C$14="On",'Net zero Activity data'!BO56*ManureNEF*NtoN2O*kgtoGg,"ERROR"))</f>
        <v>6.0119620565134202E-2</v>
      </c>
      <c r="AW1126" s="94">
        <f>IF('Net zero activities &amp; levers'!$C$14="Off",'Activity data'!BP56*ManureNEF*NtoN2O*kgtoGg,IF('Net zero activities &amp; levers'!$C$14="On",'Net zero Activity data'!BP56*ManureNEF*NtoN2O*kgtoGg,"ERROR"))</f>
        <v>6.0108795193871321E-2</v>
      </c>
      <c r="AY1126" s="79"/>
    </row>
    <row r="1127" spans="1:51" x14ac:dyDescent="0.25">
      <c r="A1127" s="95" t="str">
        <f t="shared" si="374"/>
        <v>CM Organic</v>
      </c>
      <c r="B1127" s="95" t="s">
        <v>1322</v>
      </c>
      <c r="C1127" s="95" t="s">
        <v>1127</v>
      </c>
      <c r="D1127" t="s">
        <v>369</v>
      </c>
      <c r="E1127" t="s">
        <v>55</v>
      </c>
      <c r="F1127" t="s">
        <v>421</v>
      </c>
      <c r="G1127" t="s">
        <v>1166</v>
      </c>
      <c r="H1127" t="s">
        <v>1167</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4.8186589457144935E-2</v>
      </c>
      <c r="T1127" s="94">
        <f>IF('Net zero activities &amp; levers'!$C$14="Off",'Activity data'!AM57*ManureNEF*NtoN2O*kgtoGg,IF('Net zero activities &amp; levers'!$C$14="On",'Net zero Activity data'!AM57*ManureNEF*NtoN2O*kgtoGg,"ERROR"))</f>
        <v>4.8218659679197723E-2</v>
      </c>
      <c r="U1127" s="94">
        <f>IF('Net zero activities &amp; levers'!$C$14="Off",'Activity data'!AN57*ManureNEF*NtoN2O*kgtoGg,IF('Net zero activities &amp; levers'!$C$14="On",'Net zero Activity data'!AN57*ManureNEF*NtoN2O*kgtoGg,"ERROR"))</f>
        <v>4.884671195258742E-2</v>
      </c>
      <c r="V1127" s="94">
        <f>IF('Net zero activities &amp; levers'!$C$14="Off",'Activity data'!AO57*ManureNEF*NtoN2O*kgtoGg,IF('Net zero activities &amp; levers'!$C$14="On",'Net zero Activity data'!AO57*ManureNEF*NtoN2O*kgtoGg,"ERROR"))</f>
        <v>4.8862032797615189E-2</v>
      </c>
      <c r="W1127" s="94">
        <f>IF('Net zero activities &amp; levers'!$C$14="Off",'Activity data'!AP57*ManureNEF*NtoN2O*kgtoGg,IF('Net zero activities &amp; levers'!$C$14="On",'Net zero Activity data'!AP57*ManureNEF*NtoN2O*kgtoGg,"ERROR"))</f>
        <v>4.8927567322217112E-2</v>
      </c>
      <c r="X1127" s="94">
        <f>IF('Net zero activities &amp; levers'!$C$14="Off",'Activity data'!AQ57*ManureNEF*NtoN2O*kgtoGg,IF('Net zero activities &amp; levers'!$C$14="On",'Net zero Activity data'!AQ57*ManureNEF*NtoN2O*kgtoGg,"ERROR"))</f>
        <v>4.9022299068176782E-2</v>
      </c>
      <c r="Y1127" s="94">
        <f>IF('Net zero activities &amp; levers'!$C$14="Off",'Activity data'!AR57*ManureNEF*NtoN2O*kgtoGg,IF('Net zero activities &amp; levers'!$C$14="On",'Net zero Activity data'!AR57*ManureNEF*NtoN2O*kgtoGg,"ERROR"))</f>
        <v>4.9110301613808693E-2</v>
      </c>
      <c r="Z1127" s="94">
        <f>IF('Net zero activities &amp; levers'!$C$14="Off",'Activity data'!AS57*ManureNEF*NtoN2O*kgtoGg,IF('Net zero activities &amp; levers'!$C$14="On",'Net zero Activity data'!AS57*ManureNEF*NtoN2O*kgtoGg,"ERROR"))</f>
        <v>4.9192664548882145E-2</v>
      </c>
      <c r="AA1127" s="94">
        <f>IF('Net zero activities &amp; levers'!$C$14="Off",'Activity data'!AT57*ManureNEF*NtoN2O*kgtoGg,IF('Net zero activities &amp; levers'!$C$14="On",'Net zero Activity data'!AT57*ManureNEF*NtoN2O*kgtoGg,"ERROR"))</f>
        <v>4.9268948676546534E-2</v>
      </c>
      <c r="AB1127" s="94">
        <f>IF('Net zero activities &amp; levers'!$C$14="Off",'Activity data'!AU57*ManureNEF*NtoN2O*kgtoGg,IF('Net zero activities &amp; levers'!$C$14="On",'Net zero Activity data'!AU57*ManureNEF*NtoN2O*kgtoGg,"ERROR"))</f>
        <v>4.9339841323060789E-2</v>
      </c>
      <c r="AC1127" s="94">
        <f>IF('Net zero activities &amp; levers'!$C$14="Off",'Activity data'!AV57*ManureNEF*NtoN2O*kgtoGg,IF('Net zero activities &amp; levers'!$C$14="On",'Net zero Activity data'!AV57*ManureNEF*NtoN2O*kgtoGg,"ERROR"))</f>
        <v>4.9406417857669777E-2</v>
      </c>
      <c r="AD1127" s="94">
        <f>IF('Net zero activities &amp; levers'!$C$14="Off",'Activity data'!AW57*ManureNEF*NtoN2O*kgtoGg,IF('Net zero activities &amp; levers'!$C$14="On",'Net zero Activity data'!AW57*ManureNEF*NtoN2O*kgtoGg,"ERROR"))</f>
        <v>4.9468615549911547E-2</v>
      </c>
      <c r="AE1127" s="94">
        <f>IF('Net zero activities &amp; levers'!$C$14="Off",'Activity data'!AX57*ManureNEF*NtoN2O*kgtoGg,IF('Net zero activities &amp; levers'!$C$14="On",'Net zero Activity data'!AX57*ManureNEF*NtoN2O*kgtoGg,"ERROR"))</f>
        <v>4.9527429221033953E-2</v>
      </c>
      <c r="AF1127" s="94">
        <f>IF('Net zero activities &amp; levers'!$C$14="Off",'Activity data'!AY57*ManureNEF*NtoN2O*kgtoGg,IF('Net zero activities &amp; levers'!$C$14="On",'Net zero Activity data'!AY57*ManureNEF*NtoN2O*kgtoGg,"ERROR"))</f>
        <v>4.9583001238822449E-2</v>
      </c>
      <c r="AG1127" s="94">
        <f>IF('Net zero activities &amp; levers'!$C$14="Off",'Activity data'!AZ57*ManureNEF*NtoN2O*kgtoGg,IF('Net zero activities &amp; levers'!$C$14="On",'Net zero Activity data'!AZ57*ManureNEF*NtoN2O*kgtoGg,"ERROR"))</f>
        <v>4.9634569924708931E-2</v>
      </c>
      <c r="AH1127" s="94">
        <f>IF('Net zero activities &amp; levers'!$C$14="Off",'Activity data'!BA57*ManureNEF*NtoN2O*kgtoGg,IF('Net zero activities &amp; levers'!$C$14="On",'Net zero Activity data'!BA57*ManureNEF*NtoN2O*kgtoGg,"ERROR"))</f>
        <v>4.9682607017124701E-2</v>
      </c>
      <c r="AI1127" s="94">
        <f>IF('Net zero activities &amp; levers'!$C$14="Off",'Activity data'!BB57*ManureNEF*NtoN2O*kgtoGg,IF('Net zero activities &amp; levers'!$C$14="On",'Net zero Activity data'!BB57*ManureNEF*NtoN2O*kgtoGg,"ERROR"))</f>
        <v>4.972787886912871E-2</v>
      </c>
      <c r="AJ1127" s="94">
        <f>IF('Net zero activities &amp; levers'!$C$14="Off",'Activity data'!BC57*ManureNEF*NtoN2O*kgtoGg,IF('Net zero activities &amp; levers'!$C$14="On",'Net zero Activity data'!BC57*ManureNEF*NtoN2O*kgtoGg,"ERROR"))</f>
        <v>4.8636542777722926E-2</v>
      </c>
      <c r="AK1127" s="94">
        <f>IF('Net zero activities &amp; levers'!$C$14="Off",'Activity data'!BD57*ManureNEF*NtoN2O*kgtoGg,IF('Net zero activities &amp; levers'!$C$14="On",'Net zero Activity data'!BD57*ManureNEF*NtoN2O*kgtoGg,"ERROR"))</f>
        <v>4.8681268485043679E-2</v>
      </c>
      <c r="AL1127" s="94">
        <f>IF('Net zero activities &amp; levers'!$C$14="Off",'Activity data'!BE57*ManureNEF*NtoN2O*kgtoGg,IF('Net zero activities &amp; levers'!$C$14="On",'Net zero Activity data'!BE57*ManureNEF*NtoN2O*kgtoGg,"ERROR"))</f>
        <v>4.872298605782617E-2</v>
      </c>
      <c r="AM1127" s="94">
        <f>IF('Net zero activities &amp; levers'!$C$14="Off",'Activity data'!BF57*ManureNEF*NtoN2O*kgtoGg,IF('Net zero activities &amp; levers'!$C$14="On",'Net zero Activity data'!BF57*ManureNEF*NtoN2O*kgtoGg,"ERROR"))</f>
        <v>4.8761950452437537E-2</v>
      </c>
      <c r="AN1127" s="94">
        <f>IF('Net zero activities &amp; levers'!$C$14="Off",'Activity data'!BG57*ManureNEF*NtoN2O*kgtoGg,IF('Net zero activities &amp; levers'!$C$14="On",'Net zero Activity data'!BG57*ManureNEF*NtoN2O*kgtoGg,"ERROR"))</f>
        <v>4.8798471598594094E-2</v>
      </c>
      <c r="AO1127" s="94">
        <f>IF('Net zero activities &amp; levers'!$C$14="Off",'Activity data'!BH57*ManureNEF*NtoN2O*kgtoGg,IF('Net zero activities &amp; levers'!$C$14="On",'Net zero Activity data'!BH57*ManureNEF*NtoN2O*kgtoGg,"ERROR"))</f>
        <v>4.8831588841694647E-2</v>
      </c>
      <c r="AP1127" s="94">
        <f>IF('Net zero activities &amp; levers'!$C$14="Off",'Activity data'!BI57*ManureNEF*NtoN2O*kgtoGg,IF('Net zero activities &amp; levers'!$C$14="On",'Net zero Activity data'!BI57*ManureNEF*NtoN2O*kgtoGg,"ERROR"))</f>
        <v>4.8860660646138712E-2</v>
      </c>
      <c r="AQ1127" s="94">
        <f>IF('Net zero activities &amp; levers'!$C$14="Off",'Activity data'!BJ57*ManureNEF*NtoN2O*kgtoGg,IF('Net zero activities &amp; levers'!$C$14="On",'Net zero Activity data'!BJ57*ManureNEF*NtoN2O*kgtoGg,"ERROR"))</f>
        <v>4.8885593046661804E-2</v>
      </c>
      <c r="AR1127" s="94">
        <f>IF('Net zero activities &amp; levers'!$C$14="Off",'Activity data'!BK57*ManureNEF*NtoN2O*kgtoGg,IF('Net zero activities &amp; levers'!$C$14="On",'Net zero Activity data'!BK57*ManureNEF*NtoN2O*kgtoGg,"ERROR"))</f>
        <v>4.8905655986315542E-2</v>
      </c>
      <c r="AS1127" s="94">
        <f>IF('Net zero activities &amp; levers'!$C$14="Off",'Activity data'!BL57*ManureNEF*NtoN2O*kgtoGg,IF('Net zero activities &amp; levers'!$C$14="On",'Net zero Activity data'!BL57*ManureNEF*NtoN2O*kgtoGg,"ERROR"))</f>
        <v>4.8920055913167046E-2</v>
      </c>
      <c r="AT1127" s="94">
        <f>IF('Net zero activities &amp; levers'!$C$14="Off",'Activity data'!BM57*ManureNEF*NtoN2O*kgtoGg,IF('Net zero activities &amp; levers'!$C$14="On",'Net zero Activity data'!BM57*ManureNEF*NtoN2O*kgtoGg,"ERROR"))</f>
        <v>4.8928703338159067E-2</v>
      </c>
      <c r="AU1127" s="94">
        <f>IF('Net zero activities &amp; levers'!$C$14="Off",'Activity data'!BN57*ManureNEF*NtoN2O*kgtoGg,IF('Net zero activities &amp; levers'!$C$14="On",'Net zero Activity data'!BN57*ManureNEF*NtoN2O*kgtoGg,"ERROR"))</f>
        <v>4.8931721608402395E-2</v>
      </c>
      <c r="AV1127" s="94">
        <f>IF('Net zero activities &amp; levers'!$C$14="Off",'Activity data'!BO57*ManureNEF*NtoN2O*kgtoGg,IF('Net zero activities &amp; levers'!$C$14="On",'Net zero Activity data'!BO57*ManureNEF*NtoN2O*kgtoGg,"ERROR"))</f>
        <v>4.8929199009167666E-2</v>
      </c>
      <c r="AW1127" s="94">
        <f>IF('Net zero activities &amp; levers'!$C$14="Off",'Activity data'!BP57*ManureNEF*NtoN2O*kgtoGg,IF('Net zero activities &amp; levers'!$C$14="On",'Net zero Activity data'!BP57*ManureNEF*NtoN2O*kgtoGg,"ERROR"))</f>
        <v>4.892038862846515E-2</v>
      </c>
      <c r="AY1127" s="79"/>
    </row>
    <row r="1128" spans="1:51" x14ac:dyDescent="0.25">
      <c r="A1128" s="95" t="str">
        <f t="shared" si="374"/>
        <v>CM Organic</v>
      </c>
      <c r="B1128" s="95" t="s">
        <v>1322</v>
      </c>
      <c r="C1128" s="95" t="s">
        <v>1127</v>
      </c>
      <c r="D1128" t="s">
        <v>369</v>
      </c>
      <c r="E1128" t="s">
        <v>55</v>
      </c>
      <c r="F1128" t="s">
        <v>421</v>
      </c>
      <c r="G1128" t="s">
        <v>1168</v>
      </c>
      <c r="H1128" t="s">
        <v>1169</v>
      </c>
      <c r="I1128" t="s">
        <v>139</v>
      </c>
      <c r="J1128" t="s">
        <v>287</v>
      </c>
      <c r="K1128" s="94">
        <f>IF('Net zero activities &amp; levers'!$C$14="Off",'Activity data'!AD58*ManureNEF*NtoN2O*kgtoGg,IF('Net zero activities &amp; levers'!$C$14="On",'Net zero Activity data'!AD58*ManureNEF*NtoN2O*kgtoGg,"ERROR"))</f>
        <v>7.214092738049376E-3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7.4155715935563154E-3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7.4461584032265975E-3</v>
      </c>
      <c r="T1128" s="94">
        <f>IF('Net zero activities &amp; levers'!$C$14="Off",'Activity data'!AM58*ManureNEF*NtoN2O*kgtoGg,IF('Net zero activities &amp; levers'!$C$14="On",'Net zero Activity data'!AM58*ManureNEF*NtoN2O*kgtoGg,"ERROR"))</f>
        <v>7.4583442385416504E-3</v>
      </c>
      <c r="U1128" s="94">
        <f>IF('Net zero activities &amp; levers'!$C$14="Off",'Activity data'!AN58*ManureNEF*NtoN2O*kgtoGg,IF('Net zero activities &amp; levers'!$C$14="On",'Net zero Activity data'!AN58*ManureNEF*NtoN2O*kgtoGg,"ERROR"))</f>
        <v>7.6095641103995637E-3</v>
      </c>
      <c r="V1128" s="94">
        <f>IF('Net zero activities &amp; levers'!$C$14="Off",'Activity data'!AO58*ManureNEF*NtoN2O*kgtoGg,IF('Net zero activities &amp; levers'!$C$14="On",'Net zero Activity data'!AO58*ManureNEF*NtoN2O*kgtoGg,"ERROR"))</f>
        <v>7.616396041581105E-3</v>
      </c>
      <c r="W1128" s="94">
        <f>IF('Net zero activities &amp; levers'!$C$14="Off",'Activity data'!AP58*ManureNEF*NtoN2O*kgtoGg,IF('Net zero activities &amp; levers'!$C$14="On",'Net zero Activity data'!AP58*ManureNEF*NtoN2O*kgtoGg,"ERROR"))</f>
        <v>7.6344836732780402E-3</v>
      </c>
      <c r="X1128" s="94">
        <f>IF('Net zero activities &amp; levers'!$C$14="Off",'Activity data'!AQ58*ManureNEF*NtoN2O*kgtoGg,IF('Net zero activities &amp; levers'!$C$14="On",'Net zero Activity data'!AQ58*ManureNEF*NtoN2O*kgtoGg,"ERROR"))</f>
        <v>7.6588952719713966E-3</v>
      </c>
      <c r="Y1128" s="94">
        <f>IF('Net zero activities &amp; levers'!$C$14="Off",'Activity data'!AR58*ManureNEF*NtoN2O*kgtoGg,IF('Net zero activities &amp; levers'!$C$14="On",'Net zero Activity data'!AR58*ManureNEF*NtoN2O*kgtoGg,"ERROR"))</f>
        <v>7.6812841131364881E-3</v>
      </c>
      <c r="Z1128" s="94">
        <f>IF('Net zero activities &amp; levers'!$C$14="Off",'Activity data'!AS58*ManureNEF*NtoN2O*kgtoGg,IF('Net zero activities &amp; levers'!$C$14="On",'Net zero Activity data'!AS58*ManureNEF*NtoN2O*kgtoGg,"ERROR"))</f>
        <v>7.7019461381660883E-3</v>
      </c>
      <c r="AA1128" s="94">
        <f>IF('Net zero activities &amp; levers'!$C$14="Off",'Activity data'!AT58*ManureNEF*NtoN2O*kgtoGg,IF('Net zero activities &amp; levers'!$C$14="On",'Net zero Activity data'!AT58*ManureNEF*NtoN2O*kgtoGg,"ERROR"))</f>
        <v>7.7208179709042681E-3</v>
      </c>
      <c r="AB1128" s="94">
        <f>IF('Net zero activities &amp; levers'!$C$14="Off",'Activity data'!AU58*ManureNEF*NtoN2O*kgtoGg,IF('Net zero activities &amp; levers'!$C$14="On",'Net zero Activity data'!AU58*ManureNEF*NtoN2O*kgtoGg,"ERROR"))</f>
        <v>7.7380934023290734E-3</v>
      </c>
      <c r="AC1128" s="94">
        <f>IF('Net zero activities &amp; levers'!$C$14="Off",'Activity data'!AV58*ManureNEF*NtoN2O*kgtoGg,IF('Net zero activities &amp; levers'!$C$14="On",'Net zero Activity data'!AV58*ManureNEF*NtoN2O*kgtoGg,"ERROR"))</f>
        <v>7.754051159190669E-3</v>
      </c>
      <c r="AD1128" s="94">
        <f>IF('Net zero activities &amp; levers'!$C$14="Off",'Activity data'!AW58*ManureNEF*NtoN2O*kgtoGg,IF('Net zero activities &amp; levers'!$C$14="On",'Net zero Activity data'!AW58*ManureNEF*NtoN2O*kgtoGg,"ERROR"))</f>
        <v>7.7687040986248812E-3</v>
      </c>
      <c r="AE1128" s="94">
        <f>IF('Net zero activities &amp; levers'!$C$14="Off",'Activity data'!AX58*ManureNEF*NtoN2O*kgtoGg,IF('Net zero activities &amp; levers'!$C$14="On",'Net zero Activity data'!AX58*ManureNEF*NtoN2O*kgtoGg,"ERROR"))</f>
        <v>7.7823052319108766E-3</v>
      </c>
      <c r="AF1128" s="94">
        <f>IF('Net zero activities &amp; levers'!$C$14="Off",'Activity data'!AY58*ManureNEF*NtoN2O*kgtoGg,IF('Net zero activities &amp; levers'!$C$14="On",'Net zero Activity data'!AY58*ManureNEF*NtoN2O*kgtoGg,"ERROR"))</f>
        <v>7.7949088981362474E-3</v>
      </c>
      <c r="AG1128" s="94">
        <f>IF('Net zero activities &amp; levers'!$C$14="Off",'Activity data'!AZ58*ManureNEF*NtoN2O*kgtoGg,IF('Net zero activities &amp; levers'!$C$14="On",'Net zero Activity data'!AZ58*ManureNEF*NtoN2O*kgtoGg,"ERROR"))</f>
        <v>7.8063612121467459E-3</v>
      </c>
      <c r="AH1128" s="94">
        <f>IF('Net zero activities &amp; levers'!$C$14="Off",'Activity data'!BA58*ManureNEF*NtoN2O*kgtoGg,IF('Net zero activities &amp; levers'!$C$14="On",'Net zero Activity data'!BA58*ManureNEF*NtoN2O*kgtoGg,"ERROR"))</f>
        <v>7.8167890041067195E-3</v>
      </c>
      <c r="AI1128" s="94">
        <f>IF('Net zero activities &amp; levers'!$C$14="Off",'Activity data'!BB58*ManureNEF*NtoN2O*kgtoGg,IF('Net zero activities &amp; levers'!$C$14="On",'Net zero Activity data'!BB58*ManureNEF*NtoN2O*kgtoGg,"ERROR"))</f>
        <v>7.8263838677397213E-3</v>
      </c>
      <c r="AJ1128" s="94">
        <f>IF('Net zero activities &amp; levers'!$C$14="Off",'Activity data'!BC58*ManureNEF*NtoN2O*kgtoGg,IF('Net zero activities &amp; levers'!$C$14="On",'Net zero Activity data'!BC58*ManureNEF*NtoN2O*kgtoGg,"ERROR"))</f>
        <v>7.5779321545979533E-3</v>
      </c>
      <c r="AK1128" s="94">
        <f>IF('Net zero activities &amp; levers'!$C$14="Off",'Activity data'!BD58*ManureNEF*NtoN2O*kgtoGg,IF('Net zero activities &amp; levers'!$C$14="On",'Net zero Activity data'!BD58*ManureNEF*NtoN2O*kgtoGg,"ERROR"))</f>
        <v>7.5875086550646472E-3</v>
      </c>
      <c r="AL1128" s="94">
        <f>IF('Net zero activities &amp; levers'!$C$14="Off",'Activity data'!BE58*ManureNEF*NtoN2O*kgtoGg,IF('Net zero activities &amp; levers'!$C$14="On",'Net zero Activity data'!BE58*ManureNEF*NtoN2O*kgtoGg,"ERROR"))</f>
        <v>7.5962279285727895E-3</v>
      </c>
      <c r="AM1128" s="94">
        <f>IF('Net zero activities &amp; levers'!$C$14="Off",'Activity data'!BF58*ManureNEF*NtoN2O*kgtoGg,IF('Net zero activities &amp; levers'!$C$14="On",'Net zero Activity data'!BF58*ManureNEF*NtoN2O*kgtoGg,"ERROR"))</f>
        <v>7.6041605420171859E-3</v>
      </c>
      <c r="AN1128" s="94">
        <f>IF('Net zero activities &amp; levers'!$C$14="Off",'Activity data'!BG58*ManureNEF*NtoN2O*kgtoGg,IF('Net zero activities &amp; levers'!$C$14="On",'Net zero Activity data'!BG58*ManureNEF*NtoN2O*kgtoGg,"ERROR"))</f>
        <v>7.6113882168756348E-3</v>
      </c>
      <c r="AO1128" s="94">
        <f>IF('Net zero activities &amp; levers'!$C$14="Off",'Activity data'!BH58*ManureNEF*NtoN2O*kgtoGg,IF('Net zero activities &amp; levers'!$C$14="On",'Net zero Activity data'!BH58*ManureNEF*NtoN2O*kgtoGg,"ERROR"))</f>
        <v>7.6177057736301935E-3</v>
      </c>
      <c r="AP1128" s="94">
        <f>IF('Net zero activities &amp; levers'!$C$14="Off",'Activity data'!BI58*ManureNEF*NtoN2O*kgtoGg,IF('Net zero activities &amp; levers'!$C$14="On",'Net zero Activity data'!BI58*ManureNEF*NtoN2O*kgtoGg,"ERROR"))</f>
        <v>7.6229804846382823E-3</v>
      </c>
      <c r="AQ1128" s="94">
        <f>IF('Net zero activities &amp; levers'!$C$14="Off",'Activity data'!BJ58*ManureNEF*NtoN2O*kgtoGg,IF('Net zero activities &amp; levers'!$C$14="On",'Net zero Activity data'!BJ58*ManureNEF*NtoN2O*kgtoGg,"ERROR"))</f>
        <v>7.6272026599535862E-3</v>
      </c>
      <c r="AR1128" s="94">
        <f>IF('Net zero activities &amp; levers'!$C$14="Off",'Activity data'!BK58*ManureNEF*NtoN2O*kgtoGg,IF('Net zero activities &amp; levers'!$C$14="On",'Net zero Activity data'!BK58*ManureNEF*NtoN2O*kgtoGg,"ERROR"))</f>
        <v>7.6302198564372984E-3</v>
      </c>
      <c r="AS1128" s="94">
        <f>IF('Net zero activities &amp; levers'!$C$14="Off",'Activity data'!BL58*ManureNEF*NtoN2O*kgtoGg,IF('Net zero activities &amp; levers'!$C$14="On",'Net zero Activity data'!BL58*ManureNEF*NtoN2O*kgtoGg,"ERROR"))</f>
        <v>7.6318659754992515E-3</v>
      </c>
      <c r="AT1128" s="94">
        <f>IF('Net zero activities &amp; levers'!$C$14="Off",'Activity data'!BM58*ManureNEF*NtoN2O*kgtoGg,IF('Net zero activities &amp; levers'!$C$14="On",'Net zero Activity data'!BM58*ManureNEF*NtoN2O*kgtoGg,"ERROR"))</f>
        <v>7.6321325230528187E-3</v>
      </c>
      <c r="AU1128" s="94">
        <f>IF('Net zero activities &amp; levers'!$C$14="Off",'Activity data'!BN58*ManureNEF*NtoN2O*kgtoGg,IF('Net zero activities &amp; levers'!$C$14="On",'Net zero Activity data'!BN58*ManureNEF*NtoN2O*kgtoGg,"ERROR"))</f>
        <v>7.631057996199485E-3</v>
      </c>
      <c r="AV1128" s="94">
        <f>IF('Net zero activities &amp; levers'!$C$14="Off",'Activity data'!BO58*ManureNEF*NtoN2O*kgtoGg,IF('Net zero activities &amp; levers'!$C$14="On",'Net zero Activity data'!BO58*ManureNEF*NtoN2O*kgtoGg,"ERROR"))</f>
        <v>7.6286724448087007E-3</v>
      </c>
      <c r="AW1128" s="94">
        <f>IF('Net zero activities &amp; levers'!$C$14="Off",'Activity data'!BP58*ManureNEF*NtoN2O*kgtoGg,IF('Net zero activities &amp; levers'!$C$14="On",'Net zero Activity data'!BP58*ManureNEF*NtoN2O*kgtoGg,"ERROR"))</f>
        <v>7.6248200266524988E-3</v>
      </c>
      <c r="AY1128" s="79"/>
    </row>
    <row r="1129" spans="1:51" x14ac:dyDescent="0.25">
      <c r="A1129" s="95" t="str">
        <f t="shared" si="374"/>
        <v>CM Organic</v>
      </c>
      <c r="B1129" s="95" t="s">
        <v>1322</v>
      </c>
      <c r="C1129" s="95" t="s">
        <v>1127</v>
      </c>
      <c r="D1129" t="s">
        <v>369</v>
      </c>
      <c r="E1129" t="s">
        <v>55</v>
      </c>
      <c r="F1129" t="s">
        <v>421</v>
      </c>
      <c r="G1129" t="s">
        <v>1170</v>
      </c>
      <c r="H1129" t="s">
        <v>1171</v>
      </c>
      <c r="I1129" t="s">
        <v>139</v>
      </c>
      <c r="J1129" t="s">
        <v>287</v>
      </c>
      <c r="K1129" s="94">
        <f>IF('Net zero activities &amp; levers'!$C$14="Off",'Activity data'!AD59*ManureNEF*NtoN2O*kgtoGg,IF('Net zero activities &amp; levers'!$C$14="On",'Net zero Activity data'!AD59*ManureNEF*NtoN2O*kgtoGg,"ERROR"))</f>
        <v>8.7045671471293537E-2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8.8412215452112072E-2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8.9476727309038592E-2</v>
      </c>
      <c r="R1129" s="94">
        <f>IF('Net zero activities &amp; levers'!$C$14="Off",'Activity data'!AK59*ManureNEF*NtoN2O*kgtoGg,IF('Net zero activities &amp; levers'!$C$14="On",'Net zero Activity data'!AK59*ManureNEF*NtoN2O*kgtoGg,"ERROR"))</f>
        <v>9.0065414259340087E-2</v>
      </c>
      <c r="S1129" s="94">
        <f>IF('Net zero activities &amp; levers'!$C$14="Off",'Activity data'!AL59*ManureNEF*NtoN2O*kgtoGg,IF('Net zero activities &amp; levers'!$C$14="On",'Net zero Activity data'!AL59*ManureNEF*NtoN2O*kgtoGg,"ERROR"))</f>
        <v>8.9845789571278714E-2</v>
      </c>
      <c r="T1129" s="94">
        <f>IF('Net zero activities &amp; levers'!$C$14="Off",'Activity data'!AM59*ManureNEF*NtoN2O*kgtoGg,IF('Net zero activities &amp; levers'!$C$14="On",'Net zero Activity data'!AM59*ManureNEF*NtoN2O*kgtoGg,"ERROR"))</f>
        <v>8.9992824583989703E-2</v>
      </c>
      <c r="U1129" s="94">
        <f>IF('Net zero activities &amp; levers'!$C$14="Off",'Activity data'!AN59*ManureNEF*NtoN2O*kgtoGg,IF('Net zero activities &amp; levers'!$C$14="On",'Net zero Activity data'!AN59*ManureNEF*NtoN2O*kgtoGg,"ERROR"))</f>
        <v>9.1817452539803057E-2</v>
      </c>
      <c r="V1129" s="94">
        <f>IF('Net zero activities &amp; levers'!$C$14="Off",'Activity data'!AO59*ManureNEF*NtoN2O*kgtoGg,IF('Net zero activities &amp; levers'!$C$14="On",'Net zero Activity data'!AO59*ManureNEF*NtoN2O*kgtoGg,"ERROR"))</f>
        <v>9.1899887027234312E-2</v>
      </c>
      <c r="W1129" s="94">
        <f>IF('Net zero activities &amp; levers'!$C$14="Off",'Activity data'!AP59*ManureNEF*NtoN2O*kgtoGg,IF('Net zero activities &amp; levers'!$C$14="On",'Net zero Activity data'!AP59*ManureNEF*NtoN2O*kgtoGg,"ERROR"))</f>
        <v>9.211813346563695E-2</v>
      </c>
      <c r="X1129" s="94">
        <f>IF('Net zero activities &amp; levers'!$C$14="Off",'Activity data'!AQ59*ManureNEF*NtoN2O*kgtoGg,IF('Net zero activities &amp; levers'!$C$14="On",'Net zero Activity data'!AQ59*ManureNEF*NtoN2O*kgtoGg,"ERROR"))</f>
        <v>9.2412685265441663E-2</v>
      </c>
      <c r="Y1129" s="94">
        <f>IF('Net zero activities &amp; levers'!$C$14="Off",'Activity data'!AR59*ManureNEF*NtoN2O*kgtoGg,IF('Net zero activities &amp; levers'!$C$14="On",'Net zero Activity data'!AR59*ManureNEF*NtoN2O*kgtoGg,"ERROR"))</f>
        <v>9.2682830352765116E-2</v>
      </c>
      <c r="Z1129" s="94">
        <f>IF('Net zero activities &amp; levers'!$C$14="Off",'Activity data'!AS59*ManureNEF*NtoN2O*kgtoGg,IF('Net zero activities &amp; levers'!$C$14="On",'Net zero Activity data'!AS59*ManureNEF*NtoN2O*kgtoGg,"ERROR"))</f>
        <v>9.293213957403032E-2</v>
      </c>
      <c r="AA1129" s="94">
        <f>IF('Net zero activities &amp; levers'!$C$14="Off",'Activity data'!AT59*ManureNEF*NtoN2O*kgtoGg,IF('Net zero activities &amp; levers'!$C$14="On",'Net zero Activity data'!AT59*ManureNEF*NtoN2O*kgtoGg,"ERROR"))</f>
        <v>9.3159848228775613E-2</v>
      </c>
      <c r="AB1129" s="94">
        <f>IF('Net zero activities &amp; levers'!$C$14="Off",'Activity data'!AU59*ManureNEF*NtoN2O*kgtoGg,IF('Net zero activities &amp; levers'!$C$14="On",'Net zero Activity data'!AU59*ManureNEF*NtoN2O*kgtoGg,"ERROR"))</f>
        <v>9.3368294610452568E-2</v>
      </c>
      <c r="AC1129" s="94">
        <f>IF('Net zero activities &amp; levers'!$C$14="Off",'Activity data'!AV59*ManureNEF*NtoN2O*kgtoGg,IF('Net zero activities &amp; levers'!$C$14="On",'Net zero Activity data'!AV59*ManureNEF*NtoN2O*kgtoGg,"ERROR"))</f>
        <v>9.356084185258419E-2</v>
      </c>
      <c r="AD1129" s="94">
        <f>IF('Net zero activities &amp; levers'!$C$14="Off",'Activity data'!AW59*ManureNEF*NtoN2O*kgtoGg,IF('Net zero activities &amp; levers'!$C$14="On",'Net zero Activity data'!AW59*ManureNEF*NtoN2O*kgtoGg,"ERROR"))</f>
        <v>9.3737645090135047E-2</v>
      </c>
      <c r="AE1129" s="94">
        <f>IF('Net zero activities &amp; levers'!$C$14="Off",'Activity data'!AX59*ManureNEF*NtoN2O*kgtoGg,IF('Net zero activities &amp; levers'!$C$14="On",'Net zero Activity data'!AX59*ManureNEF*NtoN2O*kgtoGg,"ERROR"))</f>
        <v>9.390175717222761E-2</v>
      </c>
      <c r="AF1129" s="94">
        <f>IF('Net zero activities &amp; levers'!$C$14="Off",'Activity data'!AY59*ManureNEF*NtoN2O*kgtoGg,IF('Net zero activities &amp; levers'!$C$14="On",'Net zero Activity data'!AY59*ManureNEF*NtoN2O*kgtoGg,"ERROR"))</f>
        <v>9.40538337575203E-2</v>
      </c>
      <c r="AG1129" s="94">
        <f>IF('Net zero activities &amp; levers'!$C$14="Off",'Activity data'!AZ59*ManureNEF*NtoN2O*kgtoGg,IF('Net zero activities &amp; levers'!$C$14="On",'Net zero Activity data'!AZ59*ManureNEF*NtoN2O*kgtoGg,"ERROR"))</f>
        <v>9.4192018058601723E-2</v>
      </c>
      <c r="AH1129" s="94">
        <f>IF('Net zero activities &amp; levers'!$C$14="Off",'Activity data'!BA59*ManureNEF*NtoN2O*kgtoGg,IF('Net zero activities &amp; levers'!$C$14="On",'Net zero Activity data'!BA59*ManureNEF*NtoN2O*kgtoGg,"ERROR"))</f>
        <v>9.4317840415768184E-2</v>
      </c>
      <c r="AI1129" s="94">
        <f>IF('Net zero activities &amp; levers'!$C$14="Off",'Activity data'!BB59*ManureNEF*NtoN2O*kgtoGg,IF('Net zero activities &amp; levers'!$C$14="On",'Net zero Activity data'!BB59*ManureNEF*NtoN2O*kgtoGg,"ERROR"))</f>
        <v>9.4433612610268142E-2</v>
      </c>
      <c r="AJ1129" s="94">
        <f>IF('Net zero activities &amp; levers'!$C$14="Off",'Activity data'!BC59*ManureNEF*NtoN2O*kgtoGg,IF('Net zero activities &amp; levers'!$C$14="On",'Net zero Activity data'!BC59*ManureNEF*NtoN2O*kgtoGg,"ERROR"))</f>
        <v>9.1435779482264015E-2</v>
      </c>
      <c r="AK1129" s="94">
        <f>IF('Net zero activities &amp; levers'!$C$14="Off",'Activity data'!BD59*ManureNEF*NtoN2O*kgtoGg,IF('Net zero activities &amp; levers'!$C$14="On",'Net zero Activity data'!BD59*ManureNEF*NtoN2O*kgtoGg,"ERROR"))</f>
        <v>9.1551330105708581E-2</v>
      </c>
      <c r="AL1129" s="94">
        <f>IF('Net zero activities &amp; levers'!$C$14="Off",'Activity data'!BE59*ManureNEF*NtoN2O*kgtoGg,IF('Net zero activities &amp; levers'!$C$14="On",'Net zero Activity data'!BE59*ManureNEF*NtoN2O*kgtoGg,"ERROR"))</f>
        <v>9.1656537377754754E-2</v>
      </c>
      <c r="AM1129" s="94">
        <f>IF('Net zero activities &amp; levers'!$C$14="Off",'Activity data'!BF59*ManureNEF*NtoN2O*kgtoGg,IF('Net zero activities &amp; levers'!$C$14="On",'Net zero Activity data'!BF59*ManureNEF*NtoN2O*kgtoGg,"ERROR"))</f>
        <v>9.175225276274665E-2</v>
      </c>
      <c r="AN1129" s="94">
        <f>IF('Net zero activities &amp; levers'!$C$14="Off",'Activity data'!BG59*ManureNEF*NtoN2O*kgtoGg,IF('Net zero activities &amp; levers'!$C$14="On",'Net zero Activity data'!BG59*ManureNEF*NtoN2O*kgtoGg,"ERROR"))</f>
        <v>9.1839462316889414E-2</v>
      </c>
      <c r="AO1129" s="94">
        <f>IF('Net zero activities &amp; levers'!$C$14="Off",'Activity data'!BH59*ManureNEF*NtoN2O*kgtoGg,IF('Net zero activities &amp; levers'!$C$14="On",'Net zero Activity data'!BH59*ManureNEF*NtoN2O*kgtoGg,"ERROR"))</f>
        <v>9.1915690331932545E-2</v>
      </c>
      <c r="AP1129" s="94">
        <f>IF('Net zero activities &amp; levers'!$C$14="Off",'Activity data'!BI59*ManureNEF*NtoN2O*kgtoGg,IF('Net zero activities &amp; levers'!$C$14="On",'Net zero Activity data'!BI59*ManureNEF*NtoN2O*kgtoGg,"ERROR"))</f>
        <v>9.1979335308257068E-2</v>
      </c>
      <c r="AQ1129" s="94">
        <f>IF('Net zero activities &amp; levers'!$C$14="Off",'Activity data'!BJ59*ManureNEF*NtoN2O*kgtoGg,IF('Net zero activities &amp; levers'!$C$14="On",'Net zero Activity data'!BJ59*ManureNEF*NtoN2O*kgtoGg,"ERROR"))</f>
        <v>9.2030280326395222E-2</v>
      </c>
      <c r="AR1129" s="94">
        <f>IF('Net zero activities &amp; levers'!$C$14="Off",'Activity data'!BK59*ManureNEF*NtoN2O*kgtoGg,IF('Net zero activities &amp; levers'!$C$14="On",'Net zero Activity data'!BK59*ManureNEF*NtoN2O*kgtoGg,"ERROR"))</f>
        <v>9.2066685998379513E-2</v>
      </c>
      <c r="AS1129" s="94">
        <f>IF('Net zero activities &amp; levers'!$C$14="Off",'Activity data'!BL59*ManureNEF*NtoN2O*kgtoGg,IF('Net zero activities &amp; levers'!$C$14="On",'Net zero Activity data'!BL59*ManureNEF*NtoN2O*kgtoGg,"ERROR"))</f>
        <v>9.2086548168755195E-2</v>
      </c>
      <c r="AT1129" s="94">
        <f>IF('Net zero activities &amp; levers'!$C$14="Off",'Activity data'!BM59*ManureNEF*NtoN2O*kgtoGg,IF('Net zero activities &amp; levers'!$C$14="On",'Net zero Activity data'!BM59*ManureNEF*NtoN2O*kgtoGg,"ERROR"))</f>
        <v>9.2089764347368611E-2</v>
      </c>
      <c r="AU1129" s="94">
        <f>IF('Net zero activities &amp; levers'!$C$14="Off",'Activity data'!BN59*ManureNEF*NtoN2O*kgtoGg,IF('Net zero activities &amp; levers'!$C$14="On",'Net zero Activity data'!BN59*ManureNEF*NtoN2O*kgtoGg,"ERROR"))</f>
        <v>9.2076799042532853E-2</v>
      </c>
      <c r="AV1129" s="94">
        <f>IF('Net zero activities &amp; levers'!$C$14="Off",'Activity data'!BO59*ManureNEF*NtoN2O*kgtoGg,IF('Net zero activities &amp; levers'!$C$14="On",'Net zero Activity data'!BO59*ManureNEF*NtoN2O*kgtoGg,"ERROR"))</f>
        <v>9.2048014837757555E-2</v>
      </c>
      <c r="AW1129" s="94">
        <f>IF('Net zero activities &amp; levers'!$C$14="Off",'Activity data'!BP59*ManureNEF*NtoN2O*kgtoGg,IF('Net zero activities &amp; levers'!$C$14="On",'Net zero Activity data'!BP59*ManureNEF*NtoN2O*kgtoGg,"ERROR"))</f>
        <v>9.2001531331463521E-2</v>
      </c>
      <c r="AY1129" s="79"/>
    </row>
    <row r="1130" spans="1:51" x14ac:dyDescent="0.25">
      <c r="A1130" s="95" t="str">
        <f t="shared" si="374"/>
        <v>CM Organic</v>
      </c>
      <c r="B1130" s="95" t="s">
        <v>1322</v>
      </c>
      <c r="C1130" s="95" t="s">
        <v>1127</v>
      </c>
      <c r="D1130" t="s">
        <v>369</v>
      </c>
      <c r="E1130" t="s">
        <v>55</v>
      </c>
      <c r="F1130" t="s">
        <v>421</v>
      </c>
      <c r="G1130" t="s">
        <v>1172</v>
      </c>
      <c r="H1130" t="s">
        <v>1173</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25">
      <c r="A1131" s="95" t="str">
        <f t="shared" si="374"/>
        <v>CM Organic</v>
      </c>
      <c r="B1131" s="95" t="s">
        <v>1322</v>
      </c>
      <c r="C1131" s="95" t="s">
        <v>1127</v>
      </c>
      <c r="D1131" t="s">
        <v>369</v>
      </c>
      <c r="E1131" t="s">
        <v>55</v>
      </c>
      <c r="F1131" t="s">
        <v>421</v>
      </c>
      <c r="G1131" t="s">
        <v>1174</v>
      </c>
      <c r="H1131" t="s">
        <v>1175</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25">
      <c r="A1132" s="95" t="str">
        <f t="shared" si="374"/>
        <v>CM Organic</v>
      </c>
      <c r="B1132" s="95" t="s">
        <v>1322</v>
      </c>
      <c r="C1132" s="95" t="s">
        <v>1127</v>
      </c>
      <c r="D1132" t="s">
        <v>369</v>
      </c>
      <c r="E1132" t="s">
        <v>55</v>
      </c>
      <c r="F1132" t="s">
        <v>421</v>
      </c>
      <c r="G1132" t="s">
        <v>1176</v>
      </c>
      <c r="H1132" t="s">
        <v>1177</v>
      </c>
      <c r="I1132" t="s">
        <v>139</v>
      </c>
      <c r="J1132" t="s">
        <v>287</v>
      </c>
      <c r="K1132" s="94">
        <f>IF('Net zero activities &amp; levers'!$C$14="Off",'Activity data'!AD62*ManureNEF*NtoN2O*kgtoGg,IF('Net zero activities &amp; levers'!$C$14="On",'Net zero Activity data'!AD62*ManureNEF*NtoN2O*kgtoGg,"ERROR"))</f>
        <v>0.12462873299340151</v>
      </c>
      <c r="L1132" s="94">
        <f>IF('Net zero activities &amp; levers'!$C$14="Off",'Activity data'!AE62*ManureNEF*NtoN2O*kgtoGg,IF('Net zero activities &amp; levers'!$C$14="On",'Net zero Activity data'!AE62*ManureNEF*NtoN2O*kgtoGg,"ERROR"))</f>
        <v>0.12395129293471774</v>
      </c>
      <c r="M1132" s="94">
        <f>IF('Net zero activities &amp; levers'!$C$14="Off",'Activity data'!AF62*ManureNEF*NtoN2O*kgtoGg,IF('Net zero activities &amp; levers'!$C$14="On",'Net zero Activity data'!AF62*ManureNEF*NtoN2O*kgtoGg,"ERROR"))</f>
        <v>0.12400689511310994</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0.11845842648899831</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0.10339476754661255</v>
      </c>
      <c r="T1132" s="94">
        <f>IF('Net zero activities &amp; levers'!$C$14="Off",'Activity data'!AM62*ManureNEF*NtoN2O*kgtoGg,IF('Net zero activities &amp; levers'!$C$14="On",'Net zero Activity data'!AM62*ManureNEF*NtoN2O*kgtoGg,"ERROR"))</f>
        <v>0.10708680746691927</v>
      </c>
      <c r="U1132" s="94">
        <f>IF('Net zero activities &amp; levers'!$C$14="Off",'Activity data'!AN62*ManureNEF*NtoN2O*kgtoGg,IF('Net zero activities &amp; levers'!$C$14="On",'Net zero Activity data'!AN62*ManureNEF*NtoN2O*kgtoGg,"ERROR"))</f>
        <v>0.34230494451620991</v>
      </c>
      <c r="V1132" s="94">
        <f>IF('Net zero activities &amp; levers'!$C$14="Off",'Activity data'!AO62*ManureNEF*NtoN2O*kgtoGg,IF('Net zero activities &amp; levers'!$C$14="On",'Net zero Activity data'!AO62*ManureNEF*NtoN2O*kgtoGg,"ERROR"))</f>
        <v>0.34324328716985369</v>
      </c>
      <c r="W1132" s="94">
        <f>IF('Net zero activities &amp; levers'!$C$14="Off",'Activity data'!AP62*ManureNEF*NtoN2O*kgtoGg,IF('Net zero activities &amp; levers'!$C$14="On",'Net zero Activity data'!AP62*ManureNEF*NtoN2O*kgtoGg,"ERROR"))</f>
        <v>0.3435898446352561</v>
      </c>
      <c r="X1132" s="94">
        <f>IF('Net zero activities &amp; levers'!$C$14="Off",'Activity data'!AQ62*ManureNEF*NtoN2O*kgtoGg,IF('Net zero activities &amp; levers'!$C$14="On",'Net zero Activity data'!AQ62*ManureNEF*NtoN2O*kgtoGg,"ERROR"))</f>
        <v>0.34336025373780221</v>
      </c>
      <c r="Y1132" s="94">
        <f>IF('Net zero activities &amp; levers'!$C$14="Off",'Activity data'!AR62*ManureNEF*NtoN2O*kgtoGg,IF('Net zero activities &amp; levers'!$C$14="On",'Net zero Activity data'!AR62*ManureNEF*NtoN2O*kgtoGg,"ERROR"))</f>
        <v>0.34258915131434525</v>
      </c>
      <c r="Z1132" s="94">
        <f>IF('Net zero activities &amp; levers'!$C$14="Off",'Activity data'!AS62*ManureNEF*NtoN2O*kgtoGg,IF('Net zero activities &amp; levers'!$C$14="On",'Net zero Activity data'!AS62*ManureNEF*NtoN2O*kgtoGg,"ERROR"))</f>
        <v>0.34126945430195527</v>
      </c>
      <c r="AA1132" s="94">
        <f>IF('Net zero activities &amp; levers'!$C$14="Off",'Activity data'!AT62*ManureNEF*NtoN2O*kgtoGg,IF('Net zero activities &amp; levers'!$C$14="On",'Net zero Activity data'!AT62*ManureNEF*NtoN2O*kgtoGg,"ERROR"))</f>
        <v>0.3393992662053118</v>
      </c>
      <c r="AB1132" s="94">
        <f>IF('Net zero activities &amp; levers'!$C$14="Off",'Activity data'!AU62*ManureNEF*NtoN2O*kgtoGg,IF('Net zero activities &amp; levers'!$C$14="On",'Net zero Activity data'!AU62*ManureNEF*NtoN2O*kgtoGg,"ERROR"))</f>
        <v>0.33697876239255126</v>
      </c>
      <c r="AC1132" s="94">
        <f>IF('Net zero activities &amp; levers'!$C$14="Off",'Activity data'!AV62*ManureNEF*NtoN2O*kgtoGg,IF('Net zero activities &amp; levers'!$C$14="On",'Net zero Activity data'!AV62*ManureNEF*NtoN2O*kgtoGg,"ERROR"))</f>
        <v>0.3340110473815755</v>
      </c>
      <c r="AD1132" s="94">
        <f>IF('Net zero activities &amp; levers'!$C$14="Off",'Activity data'!AW62*ManureNEF*NtoN2O*kgtoGg,IF('Net zero activities &amp; levers'!$C$14="On",'Net zero Activity data'!AW62*ManureNEF*NtoN2O*kgtoGg,"ERROR"))</f>
        <v>0.33050375948442778</v>
      </c>
      <c r="AE1132" s="94">
        <f>IF('Net zero activities &amp; levers'!$C$14="Off",'Activity data'!AX62*ManureNEF*NtoN2O*kgtoGg,IF('Net zero activities &amp; levers'!$C$14="On",'Net zero Activity data'!AX62*ManureNEF*NtoN2O*kgtoGg,"ERROR"))</f>
        <v>0.32646655874795893</v>
      </c>
      <c r="AF1132" s="94">
        <f>IF('Net zero activities &amp; levers'!$C$14="Off",'Activity data'!AY62*ManureNEF*NtoN2O*kgtoGg,IF('Net zero activities &amp; levers'!$C$14="On",'Net zero Activity data'!AY62*ManureNEF*NtoN2O*kgtoGg,"ERROR"))</f>
        <v>0.32191309563582443</v>
      </c>
      <c r="AG1132" s="94">
        <f>IF('Net zero activities &amp; levers'!$C$14="Off",'Activity data'!AZ62*ManureNEF*NtoN2O*kgtoGg,IF('Net zero activities &amp; levers'!$C$14="On",'Net zero Activity data'!AZ62*ManureNEF*NtoN2O*kgtoGg,"ERROR"))</f>
        <v>0.31686086246920969</v>
      </c>
      <c r="AH1132" s="94">
        <f>IF('Net zero activities &amp; levers'!$C$14="Off",'Activity data'!BA62*ManureNEF*NtoN2O*kgtoGg,IF('Net zero activities &amp; levers'!$C$14="On",'Net zero Activity data'!BA62*ManureNEF*NtoN2O*kgtoGg,"ERROR"))</f>
        <v>0.31132880694281095</v>
      </c>
      <c r="AI1132" s="94">
        <f>IF('Net zero activities &amp; levers'!$C$14="Off",'Activity data'!BB62*ManureNEF*NtoN2O*kgtoGg,IF('Net zero activities &amp; levers'!$C$14="On",'Net zero Activity data'!BB62*ManureNEF*NtoN2O*kgtoGg,"ERROR"))</f>
        <v>0.30533819170490117</v>
      </c>
      <c r="AJ1132" s="94">
        <f>IF('Net zero activities &amp; levers'!$C$14="Off",'Activity data'!BC62*ManureNEF*NtoN2O*kgtoGg,IF('Net zero activities &amp; levers'!$C$14="On",'Net zero Activity data'!BC62*ManureNEF*NtoN2O*kgtoGg,"ERROR"))</f>
        <v>-2.8452110243571058E-2</v>
      </c>
      <c r="AK1132" s="94">
        <f>IF('Net zero activities &amp; levers'!$C$14="Off",'Activity data'!BD62*ManureNEF*NtoN2O*kgtoGg,IF('Net zero activities &amp; levers'!$C$14="On",'Net zero Activity data'!BD62*ManureNEF*NtoN2O*kgtoGg,"ERROR"))</f>
        <v>-2.814409017595957E-2</v>
      </c>
      <c r="AL1132" s="94">
        <f>IF('Net zero activities &amp; levers'!$C$14="Off",'Activity data'!BE62*ManureNEF*NtoN2O*kgtoGg,IF('Net zero activities &amp; levers'!$C$14="On",'Net zero Activity data'!BE62*ManureNEF*NtoN2O*kgtoGg,"ERROR"))</f>
        <v>-2.7834978813803351E-2</v>
      </c>
      <c r="AM1132" s="94">
        <f>IF('Net zero activities &amp; levers'!$C$14="Off",'Activity data'!BF62*ManureNEF*NtoN2O*kgtoGg,IF('Net zero activities &amp; levers'!$C$14="On",'Net zero Activity data'!BF62*ManureNEF*NtoN2O*kgtoGg,"ERROR"))</f>
        <v>-2.7525096845033417E-2</v>
      </c>
      <c r="AN1132" s="94">
        <f>IF('Net zero activities &amp; levers'!$C$14="Off",'Activity data'!BG62*ManureNEF*NtoN2O*kgtoGg,IF('Net zero activities &amp; levers'!$C$14="On",'Net zero Activity data'!BG62*ManureNEF*NtoN2O*kgtoGg,"ERROR"))</f>
        <v>-2.7214798691689582E-2</v>
      </c>
      <c r="AO1132" s="94">
        <f>IF('Net zero activities &amp; levers'!$C$14="Off",'Activity data'!BH62*ManureNEF*NtoN2O*kgtoGg,IF('Net zero activities &amp; levers'!$C$14="On",'Net zero Activity data'!BH62*ManureNEF*NtoN2O*kgtoGg,"ERROR"))</f>
        <v>-2.6903261813323635E-2</v>
      </c>
      <c r="AP1132" s="94">
        <f>IF('Net zero activities &amp; levers'!$C$14="Off",'Activity data'!BI62*ManureNEF*NtoN2O*kgtoGg,IF('Net zero activities &amp; levers'!$C$14="On",'Net zero Activity data'!BI62*ManureNEF*NtoN2O*kgtoGg,"ERROR"))</f>
        <v>-2.659000059935173E-2</v>
      </c>
      <c r="AQ1132" s="94">
        <f>IF('Net zero activities &amp; levers'!$C$14="Off",'Activity data'!BJ62*ManureNEF*NtoN2O*kgtoGg,IF('Net zero activities &amp; levers'!$C$14="On",'Net zero Activity data'!BJ62*ManureNEF*NtoN2O*kgtoGg,"ERROR"))</f>
        <v>-2.6275045310908511E-2</v>
      </c>
      <c r="AR1132" s="94">
        <f>IF('Net zero activities &amp; levers'!$C$14="Off",'Activity data'!BK62*ManureNEF*NtoN2O*kgtoGg,IF('Net zero activities &amp; levers'!$C$14="On",'Net zero Activity data'!BK62*ManureNEF*NtoN2O*kgtoGg,"ERROR"))</f>
        <v>-2.5957874013715753E-2</v>
      </c>
      <c r="AS1132" s="94">
        <f>IF('Net zero activities &amp; levers'!$C$14="Off",'Activity data'!BL62*ManureNEF*NtoN2O*kgtoGg,IF('Net zero activities &amp; levers'!$C$14="On",'Net zero Activity data'!BL62*ManureNEF*NtoN2O*kgtoGg,"ERROR"))</f>
        <v>-2.5637945266726723E-2</v>
      </c>
      <c r="AT1132" s="94">
        <f>IF('Net zero activities &amp; levers'!$C$14="Off",'Activity data'!BM62*ManureNEF*NtoN2O*kgtoGg,IF('Net zero activities &amp; levers'!$C$14="On",'Net zero Activity data'!BM62*ManureNEF*NtoN2O*kgtoGg,"ERROR"))</f>
        <v>-2.5315349871404581E-2</v>
      </c>
      <c r="AU1132" s="94">
        <f>IF('Net zero activities &amp; levers'!$C$14="Off",'Activity data'!BN62*ManureNEF*NtoN2O*kgtoGg,IF('Net zero activities &amp; levers'!$C$14="On",'Net zero Activity data'!BN62*ManureNEF*NtoN2O*kgtoGg,"ERROR"))</f>
        <v>-2.4990356269877063E-2</v>
      </c>
      <c r="AV1132" s="94">
        <f>IF('Net zero activities &amp; levers'!$C$14="Off",'Activity data'!BO62*ManureNEF*NtoN2O*kgtoGg,IF('Net zero activities &amp; levers'!$C$14="On",'Net zero Activity data'!BO62*ManureNEF*NtoN2O*kgtoGg,"ERROR"))</f>
        <v>-2.4663194083915266E-2</v>
      </c>
      <c r="AW1132" s="94">
        <f>IF('Net zero activities &amp; levers'!$C$14="Off",'Activity data'!BP62*ManureNEF*NtoN2O*kgtoGg,IF('Net zero activities &amp; levers'!$C$14="On",'Net zero Activity data'!BP62*ManureNEF*NtoN2O*kgtoGg,"ERROR"))</f>
        <v>-2.433341037395171E-2</v>
      </c>
      <c r="AY1132" s="79"/>
    </row>
    <row r="1133" spans="1:51" x14ac:dyDescent="0.25">
      <c r="A1133" s="95" t="str">
        <f t="shared" si="374"/>
        <v>CM Organic</v>
      </c>
      <c r="B1133" s="95" t="s">
        <v>1322</v>
      </c>
      <c r="C1133" s="95" t="s">
        <v>1127</v>
      </c>
      <c r="D1133" t="s">
        <v>369</v>
      </c>
      <c r="E1133" t="s">
        <v>55</v>
      </c>
      <c r="F1133" t="s">
        <v>421</v>
      </c>
      <c r="G1133" t="s">
        <v>1178</v>
      </c>
      <c r="H1133" t="s">
        <v>1179</v>
      </c>
      <c r="I1133" t="s">
        <v>139</v>
      </c>
      <c r="J1133" t="s">
        <v>287</v>
      </c>
      <c r="K1133" s="94">
        <f>IF('Net zero activities &amp; levers'!$C$14="Off",'Activity data'!AD63*ManureNEF*NtoN2O*kgtoGg,IF('Net zero activities &amp; levers'!$C$14="On",'Net zero Activity data'!AD63*ManureNEF*NtoN2O*kgtoGg,"ERROR"))</f>
        <v>3.1618785484610064E-2</v>
      </c>
      <c r="L1133" s="94">
        <f>IF('Net zero activities &amp; levers'!$C$14="Off",'Activity data'!AE63*ManureNEF*NtoN2O*kgtoGg,IF('Net zero activities &amp; levers'!$C$14="On",'Net zero Activity data'!AE63*ManureNEF*NtoN2O*kgtoGg,"ERROR"))</f>
        <v>3.1446916354757493E-2</v>
      </c>
      <c r="M1133" s="94">
        <f>IF('Net zero activities &amp; levers'!$C$14="Off",'Activity data'!AF63*ManureNEF*NtoN2O*kgtoGg,IF('Net zero activities &amp; levers'!$C$14="On",'Net zero Activity data'!AF63*ManureNEF*NtoN2O*kgtoGg,"ERROR"))</f>
        <v>3.1461022839745618E-2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3.0053355161673637E-2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2.9155206131309674E-2</v>
      </c>
      <c r="S1133" s="94">
        <f>IF('Net zero activities &amp; levers'!$C$14="Off",'Activity data'!AL63*ManureNEF*NtoN2O*kgtoGg,IF('Net zero activities &amp; levers'!$C$14="On",'Net zero Activity data'!AL63*ManureNEF*NtoN2O*kgtoGg,"ERROR"))</f>
        <v>2.6231647363859134E-2</v>
      </c>
      <c r="T1133" s="94">
        <f>IF('Net zero activities &amp; levers'!$C$14="Off",'Activity data'!AM63*ManureNEF*NtoN2O*kgtoGg,IF('Net zero activities &amp; levers'!$C$14="On",'Net zero Activity data'!AM63*ManureNEF*NtoN2O*kgtoGg,"ERROR"))</f>
        <v>2.716833199056537E-2</v>
      </c>
      <c r="U1133" s="94">
        <f>IF('Net zero activities &amp; levers'!$C$14="Off",'Activity data'!AN63*ManureNEF*NtoN2O*kgtoGg,IF('Net zero activities &amp; levers'!$C$14="On",'Net zero Activity data'!AN63*ManureNEF*NtoN2O*kgtoGg,"ERROR"))</f>
        <v>8.684407159585289E-2</v>
      </c>
      <c r="V1133" s="94">
        <f>IF('Net zero activities &amp; levers'!$C$14="Off",'Activity data'!AO63*ManureNEF*NtoN2O*kgtoGg,IF('Net zero activities &amp; levers'!$C$14="On",'Net zero Activity data'!AO63*ManureNEF*NtoN2O*kgtoGg,"ERROR"))</f>
        <v>8.7082132710364829E-2</v>
      </c>
      <c r="W1133" s="94">
        <f>IF('Net zero activities &amp; levers'!$C$14="Off",'Activity data'!AP63*ManureNEF*NtoN2O*kgtoGg,IF('Net zero activities &amp; levers'!$C$14="On",'Net zero Activity data'!AP63*ManureNEF*NtoN2O*kgtoGg,"ERROR"))</f>
        <v>8.7170055662748783E-2</v>
      </c>
      <c r="X1133" s="94">
        <f>IF('Net zero activities &amp; levers'!$C$14="Off",'Activity data'!AQ63*ManureNEF*NtoN2O*kgtoGg,IF('Net zero activities &amp; levers'!$C$14="On",'Net zero Activity data'!AQ63*ManureNEF*NtoN2O*kgtoGg,"ERROR"))</f>
        <v>8.7111807575317793E-2</v>
      </c>
      <c r="Y1133" s="94">
        <f>IF('Net zero activities &amp; levers'!$C$14="Off",'Activity data'!AR63*ManureNEF*NtoN2O*kgtoGg,IF('Net zero activities &amp; levers'!$C$14="On",'Net zero Activity data'!AR63*ManureNEF*NtoN2O*kgtoGg,"ERROR"))</f>
        <v>8.6916175945850438E-2</v>
      </c>
      <c r="Z1133" s="94">
        <f>IF('Net zero activities &amp; levers'!$C$14="Off",'Activity data'!AS63*ManureNEF*NtoN2O*kgtoGg,IF('Net zero activities &amp; levers'!$C$14="On",'Net zero Activity data'!AS63*ManureNEF*NtoN2O*kgtoGg,"ERROR"))</f>
        <v>8.6581363774233103E-2</v>
      </c>
      <c r="AA1133" s="94">
        <f>IF('Net zero activities &amp; levers'!$C$14="Off",'Activity data'!AT63*ManureNEF*NtoN2O*kgtoGg,IF('Net zero activities &amp; levers'!$C$14="On",'Net zero Activity data'!AT63*ManureNEF*NtoN2O*kgtoGg,"ERROR"))</f>
        <v>8.6106889912360693E-2</v>
      </c>
      <c r="AB1133" s="94">
        <f>IF('Net zero activities &amp; levers'!$C$14="Off",'Activity data'!AU63*ManureNEF*NtoN2O*kgtoGg,IF('Net zero activities &amp; levers'!$C$14="On",'Net zero Activity data'!AU63*ManureNEF*NtoN2O*kgtoGg,"ERROR"))</f>
        <v>8.5492798851799182E-2</v>
      </c>
      <c r="AC1133" s="94">
        <f>IF('Net zero activities &amp; levers'!$C$14="Off",'Activity data'!AV63*ManureNEF*NtoN2O*kgtoGg,IF('Net zero activities &amp; levers'!$C$14="On",'Net zero Activity data'!AV63*ManureNEF*NtoN2O*kgtoGg,"ERROR"))</f>
        <v>8.4739878220595588E-2</v>
      </c>
      <c r="AD1133" s="94">
        <f>IF('Net zero activities &amp; levers'!$C$14="Off",'Activity data'!AW63*ManureNEF*NtoN2O*kgtoGg,IF('Net zero activities &amp; levers'!$C$14="On",'Net zero Activity data'!AW63*ManureNEF*NtoN2O*kgtoGg,"ERROR"))</f>
        <v>8.3850065887683914E-2</v>
      </c>
      <c r="AE1133" s="94">
        <f>IF('Net zero activities &amp; levers'!$C$14="Off",'Activity data'!AX63*ManureNEF*NtoN2O*kgtoGg,IF('Net zero activities &amp; levers'!$C$14="On",'Net zero Activity data'!AX63*ManureNEF*NtoN2O*kgtoGg,"ERROR"))</f>
        <v>8.2825812643839453E-2</v>
      </c>
      <c r="AF1133" s="94">
        <f>IF('Net zero activities &amp; levers'!$C$14="Off",'Activity data'!AY63*ManureNEF*NtoN2O*kgtoGg,IF('Net zero activities &amp; levers'!$C$14="On",'Net zero Activity data'!AY63*ManureNEF*NtoN2O*kgtoGg,"ERROR"))</f>
        <v>8.1670581663819047E-2</v>
      </c>
      <c r="AG1133" s="94">
        <f>IF('Net zero activities &amp; levers'!$C$14="Off",'Activity data'!AZ63*ManureNEF*NtoN2O*kgtoGg,IF('Net zero activities &amp; levers'!$C$14="On",'Net zero Activity data'!AZ63*ManureNEF*NtoN2O*kgtoGg,"ERROR"))</f>
        <v>8.0388810816306083E-2</v>
      </c>
      <c r="AH1133" s="94">
        <f>IF('Net zero activities &amp; levers'!$C$14="Off",'Activity data'!BA63*ManureNEF*NtoN2O*kgtoGg,IF('Net zero activities &amp; levers'!$C$14="On",'Net zero Activity data'!BA63*ManureNEF*NtoN2O*kgtoGg,"ERROR"))</f>
        <v>7.8985307203801092E-2</v>
      </c>
      <c r="AI1133" s="94">
        <f>IF('Net zero activities &amp; levers'!$C$14="Off",'Activity data'!BB63*ManureNEF*NtoN2O*kgtoGg,IF('Net zero activities &amp; levers'!$C$14="On",'Net zero Activity data'!BB63*ManureNEF*NtoN2O*kgtoGg,"ERROR"))</f>
        <v>7.7465465241367507E-2</v>
      </c>
      <c r="AJ1133" s="94">
        <f>IF('Net zero activities &amp; levers'!$C$14="Off",'Activity data'!BC63*ManureNEF*NtoN2O*kgtoGg,IF('Net zero activities &amp; levers'!$C$14="On",'Net zero Activity data'!BC63*ManureNEF*NtoN2O*kgtoGg,"ERROR"))</f>
        <v>-7.2184090198813182E-3</v>
      </c>
      <c r="AK1133" s="94">
        <f>IF('Net zero activities &amp; levers'!$C$14="Off",'Activity data'!BD63*ManureNEF*NtoN2O*kgtoGg,IF('Net zero activities &amp; levers'!$C$14="On",'Net zero Activity data'!BD63*ManureNEF*NtoN2O*kgtoGg,"ERROR"))</f>
        <v>-7.1402631524810738E-3</v>
      </c>
      <c r="AL1133" s="94">
        <f>IF('Net zero activities &amp; levers'!$C$14="Off",'Activity data'!BE63*ManureNEF*NtoN2O*kgtoGg,IF('Net zero activities &amp; levers'!$C$14="On",'Net zero Activity data'!BE63*ManureNEF*NtoN2O*kgtoGg,"ERROR"))</f>
        <v>-7.0618404194874671E-3</v>
      </c>
      <c r="AM1133" s="94">
        <f>IF('Net zero activities &amp; levers'!$C$14="Off",'Activity data'!BF63*ManureNEF*NtoN2O*kgtoGg,IF('Net zero activities &amp; levers'!$C$14="On",'Net zero Activity data'!BF63*ManureNEF*NtoN2O*kgtoGg,"ERROR"))</f>
        <v>-6.9832221806532197E-3</v>
      </c>
      <c r="AN1133" s="94">
        <f>IF('Net zero activities &amp; levers'!$C$14="Off",'Activity data'!BG63*ManureNEF*NtoN2O*kgtoGg,IF('Net zero activities &amp; levers'!$C$14="On",'Net zero Activity data'!BG63*ManureNEF*NtoN2O*kgtoGg,"ERROR"))</f>
        <v>-6.9044983542032711E-3</v>
      </c>
      <c r="AO1133" s="94">
        <f>IF('Net zero activities &amp; levers'!$C$14="Off",'Activity data'!BH63*ManureNEF*NtoN2O*kgtoGg,IF('Net zero activities &amp; levers'!$C$14="On",'Net zero Activity data'!BH63*ManureNEF*NtoN2O*kgtoGg,"ERROR"))</f>
        <v>-6.8254602584848501E-3</v>
      </c>
      <c r="AP1133" s="94">
        <f>IF('Net zero activities &amp; levers'!$C$14="Off",'Activity data'!BI63*ManureNEF*NtoN2O*kgtoGg,IF('Net zero activities &amp; levers'!$C$14="On",'Net zero Activity data'!BI63*ManureNEF*NtoN2O*kgtoGg,"ERROR"))</f>
        <v>-6.7459846922384176E-3</v>
      </c>
      <c r="AQ1133" s="94">
        <f>IF('Net zero activities &amp; levers'!$C$14="Off",'Activity data'!BJ63*ManureNEF*NtoN2O*kgtoGg,IF('Net zero activities &amp; levers'!$C$14="On",'Net zero Activity data'!BJ63*ManureNEF*NtoN2O*kgtoGg,"ERROR"))</f>
        <v>-6.66607933282939E-3</v>
      </c>
      <c r="AR1133" s="94">
        <f>IF('Net zero activities &amp; levers'!$C$14="Off",'Activity data'!BK63*ManureNEF*NtoN2O*kgtoGg,IF('Net zero activities &amp; levers'!$C$14="On",'Net zero Activity data'!BK63*ManureNEF*NtoN2O*kgtoGg,"ERROR"))</f>
        <v>-6.5856117635382473E-3</v>
      </c>
      <c r="AS1133" s="94">
        <f>IF('Net zero activities &amp; levers'!$C$14="Off",'Activity data'!BL63*ManureNEF*NtoN2O*kgtoGg,IF('Net zero activities &amp; levers'!$C$14="On",'Net zero Activity data'!BL63*ManureNEF*NtoN2O*kgtoGg,"ERROR"))</f>
        <v>-6.5044446187038276E-3</v>
      </c>
      <c r="AT1133" s="94">
        <f>IF('Net zero activities &amp; levers'!$C$14="Off",'Activity data'!BM63*ManureNEF*NtoN2O*kgtoGg,IF('Net zero activities &amp; levers'!$C$14="On",'Net zero Activity data'!BM63*ManureNEF*NtoN2O*kgtoGg,"ERROR"))</f>
        <v>-6.4226009350040626E-3</v>
      </c>
      <c r="AU1133" s="94">
        <f>IF('Net zero activities &amp; levers'!$C$14="Off",'Activity data'!BN63*ManureNEF*NtoN2O*kgtoGg,IF('Net zero activities &amp; levers'!$C$14="On",'Net zero Activity data'!BN63*ManureNEF*NtoN2O*kgtoGg,"ERROR"))</f>
        <v>-6.3401488172318849E-3</v>
      </c>
      <c r="AV1133" s="94">
        <f>IF('Net zero activities &amp; levers'!$C$14="Off",'Activity data'!BO63*ManureNEF*NtoN2O*kgtoGg,IF('Net zero activities &amp; levers'!$C$14="On",'Net zero Activity data'!BO63*ManureNEF*NtoN2O*kgtoGg,"ERROR"))</f>
        <v>-6.2571465213074788E-3</v>
      </c>
      <c r="AW1133" s="94">
        <f>IF('Net zero activities &amp; levers'!$C$14="Off",'Activity data'!BP63*ManureNEF*NtoN2O*kgtoGg,IF('Net zero activities &amp; levers'!$C$14="On",'Net zero Activity data'!BP63*ManureNEF*NtoN2O*kgtoGg,"ERROR"))</f>
        <v>-6.1734791347329209E-3</v>
      </c>
      <c r="AY1133" s="79"/>
    </row>
    <row r="1134" spans="1:51" x14ac:dyDescent="0.25">
      <c r="A1134" s="95" t="str">
        <f t="shared" si="374"/>
        <v>CM Organic</v>
      </c>
      <c r="B1134" s="95" t="s">
        <v>1322</v>
      </c>
      <c r="C1134" s="95" t="s">
        <v>1127</v>
      </c>
      <c r="D1134" t="s">
        <v>369</v>
      </c>
      <c r="E1134" t="s">
        <v>55</v>
      </c>
      <c r="F1134" t="s">
        <v>421</v>
      </c>
      <c r="G1134" t="s">
        <v>1180</v>
      </c>
      <c r="H1134" t="s">
        <v>1181</v>
      </c>
      <c r="I1134" t="s">
        <v>139</v>
      </c>
      <c r="J1134" t="s">
        <v>287</v>
      </c>
      <c r="K1134" s="94">
        <f>IF('Net zero activities &amp; levers'!$C$14="Off",'Activity data'!AD64*ManureNEF*NtoN2O*kgtoGg,IF('Net zero activities &amp; levers'!$C$14="On",'Net zero Activity data'!AD64*ManureNEF*NtoN2O*kgtoGg,"ERROR"))</f>
        <v>0.15700744358616767</v>
      </c>
      <c r="L1134" s="94">
        <f>IF('Net zero activities &amp; levers'!$C$14="Off",'Activity data'!AE64*ManureNEF*NtoN2O*kgtoGg,IF('Net zero activities &amp; levers'!$C$14="On",'Net zero Activity data'!AE64*ManureNEF*NtoN2O*kgtoGg,"ERROR"))</f>
        <v>0.16019971617730661</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0.17081649742586288</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0.17531753251219057</v>
      </c>
      <c r="S1134" s="94">
        <f>IF('Net zero activities &amp; levers'!$C$14="Off",'Activity data'!AL64*ManureNEF*NtoN2O*kgtoGg,IF('Net zero activities &amp; levers'!$C$14="On",'Net zero Activity data'!AL64*ManureNEF*NtoN2O*kgtoGg,"ERROR"))</f>
        <v>0.16840615861524894</v>
      </c>
      <c r="T1134" s="94">
        <f>IF('Net zero activities &amp; levers'!$C$14="Off",'Activity data'!AM64*ManureNEF*NtoN2O*kgtoGg,IF('Net zero activities &amp; levers'!$C$14="On",'Net zero Activity data'!AM64*ManureNEF*NtoN2O*kgtoGg,"ERROR"))</f>
        <v>0.17458356718938842</v>
      </c>
      <c r="U1134" s="94">
        <f>IF('Net zero activities &amp; levers'!$C$14="Off",'Activity data'!AN64*ManureNEF*NtoN2O*kgtoGg,IF('Net zero activities &amp; levers'!$C$14="On",'Net zero Activity data'!AN64*ManureNEF*NtoN2O*kgtoGg,"ERROR"))</f>
        <v>0.38800090489360167</v>
      </c>
      <c r="V1134" s="94">
        <f>IF('Net zero activities &amp; levers'!$C$14="Off",'Activity data'!AO64*ManureNEF*NtoN2O*kgtoGg,IF('Net zero activities &amp; levers'!$C$14="On",'Net zero Activity data'!AO64*ManureNEF*NtoN2O*kgtoGg,"ERROR"))</f>
        <v>0.39653088130091707</v>
      </c>
      <c r="W1134" s="94">
        <f>IF('Net zero activities &amp; levers'!$C$14="Off",'Activity data'!AP64*ManureNEF*NtoN2O*kgtoGg,IF('Net zero activities &amp; levers'!$C$14="On",'Net zero Activity data'!AP64*ManureNEF*NtoN2O*kgtoGg,"ERROR"))</f>
        <v>0.40471104789547857</v>
      </c>
      <c r="X1134" s="94">
        <f>IF('Net zero activities &amp; levers'!$C$14="Off",'Activity data'!AQ64*ManureNEF*NtoN2O*kgtoGg,IF('Net zero activities &amp; levers'!$C$14="On",'Net zero Activity data'!AQ64*ManureNEF*NtoN2O*kgtoGg,"ERROR"))</f>
        <v>0.41246916129593358</v>
      </c>
      <c r="Y1134" s="94">
        <f>IF('Net zero activities &amp; levers'!$C$14="Off",'Activity data'!AR64*ManureNEF*NtoN2O*kgtoGg,IF('Net zero activities &amp; levers'!$C$14="On",'Net zero Activity data'!AR64*ManureNEF*NtoN2O*kgtoGg,"ERROR"))</f>
        <v>0.41970725517029195</v>
      </c>
      <c r="Z1134" s="94">
        <f>IF('Net zero activities &amp; levers'!$C$14="Off",'Activity data'!AS64*ManureNEF*NtoN2O*kgtoGg,IF('Net zero activities &amp; levers'!$C$14="On",'Net zero Activity data'!AS64*ManureNEF*NtoN2O*kgtoGg,"ERROR"))</f>
        <v>0.42639369577393321</v>
      </c>
      <c r="AA1134" s="94">
        <f>IF('Net zero activities &amp; levers'!$C$14="Off",'Activity data'!AT64*ManureNEF*NtoN2O*kgtoGg,IF('Net zero activities &amp; levers'!$C$14="On",'Net zero Activity data'!AT64*ManureNEF*NtoN2O*kgtoGg,"ERROR"))</f>
        <v>0.43249628984221433</v>
      </c>
      <c r="AB1134" s="94">
        <f>IF('Net zero activities &amp; levers'!$C$14="Off",'Activity data'!AU64*ManureNEF*NtoN2O*kgtoGg,IF('Net zero activities &amp; levers'!$C$14="On",'Net zero Activity data'!AU64*ManureNEF*NtoN2O*kgtoGg,"ERROR"))</f>
        <v>0.4379872665206837</v>
      </c>
      <c r="AC1134" s="94">
        <f>IF('Net zero activities &amp; levers'!$C$14="Off",'Activity data'!AV64*ManureNEF*NtoN2O*kgtoGg,IF('Net zero activities &amp; levers'!$C$14="On",'Net zero Activity data'!AV64*ManureNEF*NtoN2O*kgtoGg,"ERROR"))</f>
        <v>0.44284225594622417</v>
      </c>
      <c r="AD1134" s="94">
        <f>IF('Net zero activities &amp; levers'!$C$14="Off",'Activity data'!AW64*ManureNEF*NtoN2O*kgtoGg,IF('Net zero activities &amp; levers'!$C$14="On",'Net zero Activity data'!AW64*ManureNEF*NtoN2O*kgtoGg,"ERROR"))</f>
        <v>0.44703777917847665</v>
      </c>
      <c r="AE1134" s="94">
        <f>IF('Net zero activities &amp; levers'!$C$14="Off",'Activity data'!AX64*ManureNEF*NtoN2O*kgtoGg,IF('Net zero activities &amp; levers'!$C$14="On",'Net zero Activity data'!AX64*ManureNEF*NtoN2O*kgtoGg,"ERROR"))</f>
        <v>0.4505554182669968</v>
      </c>
      <c r="AF1134" s="94">
        <f>IF('Net zero activities &amp; levers'!$C$14="Off",'Activity data'!AY64*ManureNEF*NtoN2O*kgtoGg,IF('Net zero activities &amp; levers'!$C$14="On",'Net zero Activity data'!AY64*ManureNEF*NtoN2O*kgtoGg,"ERROR"))</f>
        <v>0.45337855769901697</v>
      </c>
      <c r="AG1134" s="94">
        <f>IF('Net zero activities &amp; levers'!$C$14="Off",'Activity data'!AZ64*ManureNEF*NtoN2O*kgtoGg,IF('Net zero activities &amp; levers'!$C$14="On",'Net zero Activity data'!AZ64*ManureNEF*NtoN2O*kgtoGg,"ERROR"))</f>
        <v>0.45549241971080034</v>
      </c>
      <c r="AH1134" s="94">
        <f>IF('Net zero activities &amp; levers'!$C$14="Off",'Activity data'!BA64*ManureNEF*NtoN2O*kgtoGg,IF('Net zero activities &amp; levers'!$C$14="On",'Net zero Activity data'!BA64*ManureNEF*NtoN2O*kgtoGg,"ERROR"))</f>
        <v>0.45688810753700776</v>
      </c>
      <c r="AI1134" s="94">
        <f>IF('Net zero activities &amp; levers'!$C$14="Off",'Activity data'!BB64*ManureNEF*NtoN2O*kgtoGg,IF('Net zero activities &amp; levers'!$C$14="On",'Net zero Activity data'!BB64*ManureNEF*NtoN2O*kgtoGg,"ERROR"))</f>
        <v>0.45756101673458949</v>
      </c>
      <c r="AJ1134" s="94">
        <f>IF('Net zero activities &amp; levers'!$C$14="Off",'Activity data'!BC64*ManureNEF*NtoN2O*kgtoGg,IF('Net zero activities &amp; levers'!$C$14="On",'Net zero Activity data'!BC64*ManureNEF*NtoN2O*kgtoGg,"ERROR"))</f>
        <v>5.9649191888050651E-2</v>
      </c>
      <c r="AK1134" s="94">
        <f>IF('Net zero activities &amp; levers'!$C$14="Off",'Activity data'!BD64*ManureNEF*NtoN2O*kgtoGg,IF('Net zero activities &amp; levers'!$C$14="On",'Net zero Activity data'!BD64*ManureNEF*NtoN2O*kgtoGg,"ERROR"))</f>
        <v>6.0086977867764617E-2</v>
      </c>
      <c r="AL1134" s="94">
        <f>IF('Net zero activities &amp; levers'!$C$14="Off",'Activity data'!BE64*ManureNEF*NtoN2O*kgtoGg,IF('Net zero activities &amp; levers'!$C$14="On",'Net zero Activity data'!BE64*ManureNEF*NtoN2O*kgtoGg,"ERROR"))</f>
        <v>6.051391169747472E-2</v>
      </c>
      <c r="AM1134" s="94">
        <f>IF('Net zero activities &amp; levers'!$C$14="Off",'Activity data'!BF64*ManureNEF*NtoN2O*kgtoGg,IF('Net zero activities &amp; levers'!$C$14="On",'Net zero Activity data'!BF64*ManureNEF*NtoN2O*kgtoGg,"ERROR"))</f>
        <v>6.0930636526454876E-2</v>
      </c>
      <c r="AN1134" s="94">
        <f>IF('Net zero activities &amp; levers'!$C$14="Off",'Activity data'!BG64*ManureNEF*NtoN2O*kgtoGg,IF('Net zero activities &amp; levers'!$C$14="On",'Net zero Activity data'!BG64*ManureNEF*NtoN2O*kgtoGg,"ERROR"))</f>
        <v>6.1337893751701338E-2</v>
      </c>
      <c r="AO1134" s="94">
        <f>IF('Net zero activities &amp; levers'!$C$14="Off",'Activity data'!BH64*ManureNEF*NtoN2O*kgtoGg,IF('Net zero activities &amp; levers'!$C$14="On",'Net zero Activity data'!BH64*ManureNEF*NtoN2O*kgtoGg,"ERROR"))</f>
        <v>6.173401354876637E-2</v>
      </c>
      <c r="AP1134" s="94">
        <f>IF('Net zero activities &amp; levers'!$C$14="Off",'Activity data'!BI64*ManureNEF*NtoN2O*kgtoGg,IF('Net zero activities &amp; levers'!$C$14="On",'Net zero Activity data'!BI64*ManureNEF*NtoN2O*kgtoGg,"ERROR"))</f>
        <v>6.2117896275395594E-2</v>
      </c>
      <c r="AQ1134" s="94">
        <f>IF('Net zero activities &amp; levers'!$C$14="Off",'Activity data'!BJ64*ManureNEF*NtoN2O*kgtoGg,IF('Net zero activities &amp; levers'!$C$14="On",'Net zero Activity data'!BJ64*ManureNEF*NtoN2O*kgtoGg,"ERROR"))</f>
        <v>6.2489460947128449E-2</v>
      </c>
      <c r="AR1134" s="94">
        <f>IF('Net zero activities &amp; levers'!$C$14="Off",'Activity data'!BK64*ManureNEF*NtoN2O*kgtoGg,IF('Net zero activities &amp; levers'!$C$14="On",'Net zero Activity data'!BK64*ManureNEF*NtoN2O*kgtoGg,"ERROR"))</f>
        <v>6.2847397693153853E-2</v>
      </c>
      <c r="AS1134" s="94">
        <f>IF('Net zero activities &amp; levers'!$C$14="Off",'Activity data'!BL64*ManureNEF*NtoN2O*kgtoGg,IF('Net zero activities &amp; levers'!$C$14="On",'Net zero Activity data'!BL64*ManureNEF*NtoN2O*kgtoGg,"ERROR"))</f>
        <v>6.3190248292167767E-2</v>
      </c>
      <c r="AT1134" s="94">
        <f>IF('Net zero activities &amp; levers'!$C$14="Off",'Activity data'!BM64*ManureNEF*NtoN2O*kgtoGg,IF('Net zero activities &amp; levers'!$C$14="On",'Net zero Activity data'!BM64*ManureNEF*NtoN2O*kgtoGg,"ERROR"))</f>
        <v>6.3517885217877365E-2</v>
      </c>
      <c r="AU1134" s="94">
        <f>IF('Net zero activities &amp; levers'!$C$14="Off",'Activity data'!BN64*ManureNEF*NtoN2O*kgtoGg,IF('Net zero activities &amp; levers'!$C$14="On",'Net zero Activity data'!BN64*ManureNEF*NtoN2O*kgtoGg,"ERROR"))</f>
        <v>6.3830584812563373E-2</v>
      </c>
      <c r="AV1134" s="94">
        <f>IF('Net zero activities &amp; levers'!$C$14="Off",'Activity data'!BO64*ManureNEF*NtoN2O*kgtoGg,IF('Net zero activities &amp; levers'!$C$14="On",'Net zero Activity data'!BO64*ManureNEF*NtoN2O*kgtoGg,"ERROR"))</f>
        <v>6.4128553387287249E-2</v>
      </c>
      <c r="AW1134" s="94">
        <f>IF('Net zero activities &amp; levers'!$C$14="Off",'Activity data'!BP64*ManureNEF*NtoN2O*kgtoGg,IF('Net zero activities &amp; levers'!$C$14="On",'Net zero Activity data'!BP64*ManureNEF*NtoN2O*kgtoGg,"ERROR"))</f>
        <v>6.4410368967620674E-2</v>
      </c>
      <c r="AY1134" s="79"/>
    </row>
    <row r="1135" spans="1:51" x14ac:dyDescent="0.25">
      <c r="A1135" s="95" t="str">
        <f t="shared" si="374"/>
        <v>CM Organic</v>
      </c>
      <c r="B1135" s="95" t="s">
        <v>1322</v>
      </c>
      <c r="C1135" s="95" t="s">
        <v>1127</v>
      </c>
      <c r="D1135" t="s">
        <v>369</v>
      </c>
      <c r="E1135" t="s">
        <v>55</v>
      </c>
      <c r="F1135" t="s">
        <v>421</v>
      </c>
      <c r="G1135" t="s">
        <v>1182</v>
      </c>
      <c r="H1135" t="s">
        <v>1183</v>
      </c>
      <c r="I1135" t="s">
        <v>139</v>
      </c>
      <c r="J1135" t="s">
        <v>287</v>
      </c>
      <c r="K1135" s="94">
        <f>IF('Net zero activities &amp; levers'!$C$14="Off",'Activity data'!AD65*ManureNEF*NtoN2O*kgtoGg,IF('Net zero activities &amp; levers'!$C$14="On",'Net zero Activity data'!AD65*ManureNEF*NtoN2O*kgtoGg,"ERROR"))</f>
        <v>0.78620275218739066</v>
      </c>
      <c r="L1135" s="94">
        <f>IF('Net zero activities &amp; levers'!$C$14="Off",'Activity data'!AE65*ManureNEF*NtoN2O*kgtoGg,IF('Net zero activities &amp; levers'!$C$14="On",'Net zero Activity data'!AE65*ManureNEF*NtoN2O*kgtoGg,"ERROR"))</f>
        <v>0.79655563720176403</v>
      </c>
      <c r="M1135" s="94">
        <f>IF('Net zero activities &amp; levers'!$C$14="Off",'Activity data'!AF65*ManureNEF*NtoN2O*kgtoGg,IF('Net zero activities &amp; levers'!$C$14="On",'Net zero Activity data'!AF65*ManureNEF*NtoN2O*kgtoGg,"ERROR"))</f>
        <v>0.81318534024672162</v>
      </c>
      <c r="N1135" s="94">
        <f>IF('Net zero activities &amp; levers'!$C$14="Off",'Activity data'!AG65*ManureNEF*NtoN2O*kgtoGg,IF('Net zero activities &amp; levers'!$C$14="On",'Net zero Activity data'!AG65*ManureNEF*NtoN2O*kgtoGg,"ERROR"))</f>
        <v>0.81796021384654061</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0.80443274266431919</v>
      </c>
      <c r="Q1135" s="94">
        <f>IF('Net zero activities &amp; levers'!$C$14="Off",'Activity data'!AJ65*ManureNEF*NtoN2O*kgtoGg,IF('Net zero activities &amp; levers'!$C$14="On",'Net zero Activity data'!AJ65*ManureNEF*NtoN2O*kgtoGg,"ERROR"))</f>
        <v>0.7999705721751077</v>
      </c>
      <c r="R1135" s="94">
        <f>IF('Net zero activities &amp; levers'!$C$14="Off",'Activity data'!AK65*ManureNEF*NtoN2O*kgtoGg,IF('Net zero activities &amp; levers'!$C$14="On",'Net zero Activity data'!AK65*ManureNEF*NtoN2O*kgtoGg,"ERROR"))</f>
        <v>0.79652072541357855</v>
      </c>
      <c r="S1135" s="94">
        <f>IF('Net zero activities &amp; levers'!$C$14="Off",'Activity data'!AL65*ManureNEF*NtoN2O*kgtoGg,IF('Net zero activities &amp; levers'!$C$14="On",'Net zero Activity data'!AL65*ManureNEF*NtoN2O*kgtoGg,"ERROR"))</f>
        <v>0.69465569137892269</v>
      </c>
      <c r="T1135" s="94">
        <f>IF('Net zero activities &amp; levers'!$C$14="Off",'Activity data'!AM65*ManureNEF*NtoN2O*kgtoGg,IF('Net zero activities &amp; levers'!$C$14="On",'Net zero Activity data'!AM65*ManureNEF*NtoN2O*kgtoGg,"ERROR"))</f>
        <v>0.74722740283446698</v>
      </c>
      <c r="U1135" s="94">
        <f>IF('Net zero activities &amp; levers'!$C$14="Off",'Activity data'!AN65*ManureNEF*NtoN2O*kgtoGg,IF('Net zero activities &amp; levers'!$C$14="On",'Net zero Activity data'!AN65*ManureNEF*NtoN2O*kgtoGg,"ERROR"))</f>
        <v>3.2491319225574986</v>
      </c>
      <c r="V1135" s="94">
        <f>IF('Net zero activities &amp; levers'!$C$14="Off",'Activity data'!AO65*ManureNEF*NtoN2O*kgtoGg,IF('Net zero activities &amp; levers'!$C$14="On",'Net zero Activity data'!AO65*ManureNEF*NtoN2O*kgtoGg,"ERROR"))</f>
        <v>3.3073834646513305</v>
      </c>
      <c r="W1135" s="94">
        <f>IF('Net zero activities &amp; levers'!$C$14="Off",'Activity data'!AP65*ManureNEF*NtoN2O*kgtoGg,IF('Net zero activities &amp; levers'!$C$14="On",'Net zero Activity data'!AP65*ManureNEF*NtoN2O*kgtoGg,"ERROR"))</f>
        <v>3.3591336989468359</v>
      </c>
      <c r="X1135" s="94">
        <f>IF('Net zero activities &amp; levers'!$C$14="Off",'Activity data'!AQ65*ManureNEF*NtoN2O*kgtoGg,IF('Net zero activities &amp; levers'!$C$14="On",'Net zero Activity data'!AQ65*ManureNEF*NtoN2O*kgtoGg,"ERROR"))</f>
        <v>3.4046035940471189</v>
      </c>
      <c r="Y1135" s="94">
        <f>IF('Net zero activities &amp; levers'!$C$14="Off",'Activity data'!AR65*ManureNEF*NtoN2O*kgtoGg,IF('Net zero activities &amp; levers'!$C$14="On",'Net zero Activity data'!AR65*ManureNEF*NtoN2O*kgtoGg,"ERROR"))</f>
        <v>3.4444110933040832</v>
      </c>
      <c r="Z1135" s="94">
        <f>IF('Net zero activities &amp; levers'!$C$14="Off",'Activity data'!AS65*ManureNEF*NtoN2O*kgtoGg,IF('Net zero activities &amp; levers'!$C$14="On",'Net zero Activity data'!AS65*ManureNEF*NtoN2O*kgtoGg,"ERROR"))</f>
        <v>3.4782576037016457</v>
      </c>
      <c r="AA1135" s="94">
        <f>IF('Net zero activities &amp; levers'!$C$14="Off",'Activity data'!AT65*ManureNEF*NtoN2O*kgtoGg,IF('Net zero activities &amp; levers'!$C$14="On",'Net zero Activity data'!AT65*ManureNEF*NtoN2O*kgtoGg,"ERROR"))</f>
        <v>3.505913886515494</v>
      </c>
      <c r="AB1135" s="94">
        <f>IF('Net zero activities &amp; levers'!$C$14="Off",'Activity data'!AU65*ManureNEF*NtoN2O*kgtoGg,IF('Net zero activities &amp; levers'!$C$14="On",'Net zero Activity data'!AU65*ManureNEF*NtoN2O*kgtoGg,"ERROR"))</f>
        <v>3.5271546213039011</v>
      </c>
      <c r="AC1135" s="94">
        <f>IF('Net zero activities &amp; levers'!$C$14="Off",'Activity data'!AV65*ManureNEF*NtoN2O*kgtoGg,IF('Net zero activities &amp; levers'!$C$14="On",'Net zero Activity data'!AV65*ManureNEF*NtoN2O*kgtoGg,"ERROR"))</f>
        <v>3.5417788512464328</v>
      </c>
      <c r="AD1135" s="94">
        <f>IF('Net zero activities &amp; levers'!$C$14="Off",'Activity data'!AW65*ManureNEF*NtoN2O*kgtoGg,IF('Net zero activities &amp; levers'!$C$14="On",'Net zero Activity data'!AW65*ManureNEF*NtoN2O*kgtoGg,"ERROR"))</f>
        <v>3.549649544772171</v>
      </c>
      <c r="AE1135" s="94">
        <f>IF('Net zero activities &amp; levers'!$C$14="Off",'Activity data'!AX65*ManureNEF*NtoN2O*kgtoGg,IF('Net zero activities &amp; levers'!$C$14="On",'Net zero Activity data'!AX65*ManureNEF*NtoN2O*kgtoGg,"ERROR"))</f>
        <v>3.5506396563756342</v>
      </c>
      <c r="AF1135" s="94">
        <f>IF('Net zero activities &amp; levers'!$C$14="Off",'Activity data'!AY65*ManureNEF*NtoN2O*kgtoGg,IF('Net zero activities &amp; levers'!$C$14="On",'Net zero Activity data'!AY65*ManureNEF*NtoN2O*kgtoGg,"ERROR"))</f>
        <v>3.5446807301434013</v>
      </c>
      <c r="AG1135" s="94">
        <f>IF('Net zero activities &amp; levers'!$C$14="Off",'Activity data'!AZ65*ManureNEF*NtoN2O*kgtoGg,IF('Net zero activities &amp; levers'!$C$14="On",'Net zero Activity data'!AZ65*ManureNEF*NtoN2O*kgtoGg,"ERROR"))</f>
        <v>3.5317644478597843</v>
      </c>
      <c r="AH1135" s="94">
        <f>IF('Net zero activities &amp; levers'!$C$14="Off",'Activity data'!BA65*ManureNEF*NtoN2O*kgtoGg,IF('Net zero activities &amp; levers'!$C$14="On",'Net zero Activity data'!BA65*ManureNEF*NtoN2O*kgtoGg,"ERROR"))</f>
        <v>3.5118898029906984</v>
      </c>
      <c r="AI1135" s="94">
        <f>IF('Net zero activities &amp; levers'!$C$14="Off",'Activity data'!BB65*ManureNEF*NtoN2O*kgtoGg,IF('Net zero activities &amp; levers'!$C$14="On",'Net zero Activity data'!BB65*ManureNEF*NtoN2O*kgtoGg,"ERROR"))</f>
        <v>3.4850865665660411</v>
      </c>
      <c r="AJ1135" s="94">
        <f>IF('Net zero activities &amp; levers'!$C$14="Off",'Activity data'!BC65*ManureNEF*NtoN2O*kgtoGg,IF('Net zero activities &amp; levers'!$C$14="On",'Net zero Activity data'!BC65*ManureNEF*NtoN2O*kgtoGg,"ERROR"))</f>
        <v>-0.74420912451247578</v>
      </c>
      <c r="AK1135" s="94">
        <f>IF('Net zero activities &amp; levers'!$C$14="Off",'Activity data'!BD65*ManureNEF*NtoN2O*kgtoGg,IF('Net zero activities &amp; levers'!$C$14="On",'Net zero Activity data'!BD65*ManureNEF*NtoN2O*kgtoGg,"ERROR"))</f>
        <v>-0.74526229962435608</v>
      </c>
      <c r="AL1135" s="94">
        <f>IF('Net zero activities &amp; levers'!$C$14="Off",'Activity data'!BE65*ManureNEF*NtoN2O*kgtoGg,IF('Net zero activities &amp; levers'!$C$14="On",'Net zero Activity data'!BE65*ManureNEF*NtoN2O*kgtoGg,"ERROR"))</f>
        <v>-0.74621593178570578</v>
      </c>
      <c r="AM1135" s="94">
        <f>IF('Net zero activities &amp; levers'!$C$14="Off",'Activity data'!BF65*ManureNEF*NtoN2O*kgtoGg,IF('Net zero activities &amp; levers'!$C$14="On",'Net zero Activity data'!BF65*ManureNEF*NtoN2O*kgtoGg,"ERROR"))</f>
        <v>-0.74707813045846294</v>
      </c>
      <c r="AN1135" s="94">
        <f>IF('Net zero activities &amp; levers'!$C$14="Off",'Activity data'!BG65*ManureNEF*NtoN2O*kgtoGg,IF('Net zero activities &amp; levers'!$C$14="On",'Net zero Activity data'!BG65*ManureNEF*NtoN2O*kgtoGg,"ERROR"))</f>
        <v>-0.74785816697127483</v>
      </c>
      <c r="AO1135" s="94">
        <f>IF('Net zero activities &amp; levers'!$C$14="Off",'Activity data'!BH65*ManureNEF*NtoN2O*kgtoGg,IF('Net zero activities &amp; levers'!$C$14="On",'Net zero Activity data'!BH65*ManureNEF*NtoN2O*kgtoGg,"ERROR"))</f>
        <v>-0.74853427138595596</v>
      </c>
      <c r="AP1135" s="94">
        <f>IF('Net zero activities &amp; levers'!$C$14="Off",'Activity data'!BI65*ManureNEF*NtoN2O*kgtoGg,IF('Net zero activities &amp; levers'!$C$14="On",'Net zero Activity data'!BI65*ManureNEF*NtoN2O*kgtoGg,"ERROR"))</f>
        <v>-0.74909252303654383</v>
      </c>
      <c r="AQ1135" s="94">
        <f>IF('Net zero activities &amp; levers'!$C$14="Off",'Activity data'!BJ65*ManureNEF*NtoN2O*kgtoGg,IF('Net zero activities &amp; levers'!$C$14="On",'Net zero Activity data'!BJ65*ManureNEF*NtoN2O*kgtoGg,"ERROR"))</f>
        <v>-0.74953228992663867</v>
      </c>
      <c r="AR1135" s="94">
        <f>IF('Net zero activities &amp; levers'!$C$14="Off",'Activity data'!BK65*ManureNEF*NtoN2O*kgtoGg,IF('Net zero activities &amp; levers'!$C$14="On",'Net zero Activity data'!BK65*ManureNEF*NtoN2O*kgtoGg,"ERROR"))</f>
        <v>-0.74983752364841638</v>
      </c>
      <c r="AS1135" s="94">
        <f>IF('Net zero activities &amp; levers'!$C$14="Off",'Activity data'!BL65*ManureNEF*NtoN2O*kgtoGg,IF('Net zero activities &amp; levers'!$C$14="On",'Net zero Activity data'!BL65*ManureNEF*NtoN2O*kgtoGg,"ERROR"))</f>
        <v>-0.74999071959333552</v>
      </c>
      <c r="AT1135" s="94">
        <f>IF('Net zero activities &amp; levers'!$C$14="Off",'Activity data'!BM65*ManureNEF*NtoN2O*kgtoGg,IF('Net zero activities &amp; levers'!$C$14="On",'Net zero Activity data'!BM65*ManureNEF*NtoN2O*kgtoGg,"ERROR"))</f>
        <v>-0.74999137614758737</v>
      </c>
      <c r="AU1135" s="94">
        <f>IF('Net zero activities &amp; levers'!$C$14="Off",'Activity data'!BN65*ManureNEF*NtoN2O*kgtoGg,IF('Net zero activities &amp; levers'!$C$14="On",'Net zero Activity data'!BN65*ManureNEF*NtoN2O*kgtoGg,"ERROR"))</f>
        <v>-0.74984403824480428</v>
      </c>
      <c r="AV1135" s="94">
        <f>IF('Net zero activities &amp; levers'!$C$14="Off",'Activity data'!BO65*ManureNEF*NtoN2O*kgtoGg,IF('Net zero activities &amp; levers'!$C$14="On",'Net zero Activity data'!BO65*ManureNEF*NtoN2O*kgtoGg,"ERROR"))</f>
        <v>-0.749552317817198</v>
      </c>
      <c r="AW1135" s="94">
        <f>IF('Net zero activities &amp; levers'!$C$14="Off",'Activity data'!BP65*ManureNEF*NtoN2O*kgtoGg,IF('Net zero activities &amp; levers'!$C$14="On",'Net zero Activity data'!BP65*ManureNEF*NtoN2O*kgtoGg,"ERROR"))</f>
        <v>-0.74909980498727913</v>
      </c>
      <c r="AY1135" s="79"/>
    </row>
    <row r="1136" spans="1:51" x14ac:dyDescent="0.25">
      <c r="A1136" s="95" t="str">
        <f t="shared" si="374"/>
        <v>CM U&amp;D</v>
      </c>
      <c r="B1136" s="95" t="s">
        <v>1322</v>
      </c>
      <c r="C1136" s="95" t="s">
        <v>1336</v>
      </c>
      <c r="D1136" t="s">
        <v>369</v>
      </c>
      <c r="E1136" t="s">
        <v>55</v>
      </c>
      <c r="F1136" t="s">
        <v>422</v>
      </c>
      <c r="G1136" t="s">
        <v>1152</v>
      </c>
      <c r="H1136" t="s">
        <v>1240</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25">
      <c r="A1137" s="95" t="str">
        <f t="shared" si="374"/>
        <v>CM U&amp;D</v>
      </c>
      <c r="B1137" s="95" t="s">
        <v>1322</v>
      </c>
      <c r="C1137" s="95" t="s">
        <v>1336</v>
      </c>
      <c r="D1137" t="s">
        <v>369</v>
      </c>
      <c r="E1137" t="s">
        <v>55</v>
      </c>
      <c r="F1137" t="s">
        <v>422</v>
      </c>
      <c r="G1137" t="s">
        <v>1154</v>
      </c>
      <c r="H1137" t="s">
        <v>1241</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1.0921513426512339</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1.1012937605673541</v>
      </c>
      <c r="P1137" s="94">
        <f>IF('Net zero activities &amp; levers'!$C$14="Off",'Activity data'!AI67*UDCPPEF*NtoN2O*kgtoGg,IF('Net zero activities &amp; levers'!$C$14="On",'Net zero Activity data'!AI67*UDCPPEF*NtoN2O*kgtoGg,"ERROR"))</f>
        <v>1.1030649457277466</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1.1114672588381174</v>
      </c>
      <c r="S1137" s="94">
        <f>IF('Net zero activities &amp; levers'!$C$14="Off",'Activity data'!AL67*UDCPPEF*NtoN2O*kgtoGg,IF('Net zero activities &amp; levers'!$C$14="On",'Net zero Activity data'!AL67*UDCPPEF*NtoN2O*kgtoGg,"ERROR"))</f>
        <v>1.0798853549763567</v>
      </c>
      <c r="T1137" s="94">
        <f>IF('Net zero activities &amp; levers'!$C$14="Off",'Activity data'!AM67*UDCPPEF*NtoN2O*kgtoGg,IF('Net zero activities &amp; levers'!$C$14="On",'Net zero Activity data'!AM67*UDCPPEF*NtoN2O*kgtoGg,"ERROR"))</f>
        <v>1.098466311859537</v>
      </c>
      <c r="U1137" s="94">
        <f>IF('Net zero activities &amp; levers'!$C$14="Off",'Activity data'!AN67*UDCPPEF*NtoN2O*kgtoGg,IF('Net zero activities &amp; levers'!$C$14="On",'Net zero Activity data'!AN67*UDCPPEF*NtoN2O*kgtoGg,"ERROR"))</f>
        <v>1.889999136322517</v>
      </c>
      <c r="V1137" s="94">
        <f>IF('Net zero activities &amp; levers'!$C$14="Off",'Activity data'!AO67*UDCPPEF*NtoN2O*kgtoGg,IF('Net zero activities &amp; levers'!$C$14="On",'Net zero Activity data'!AO67*UDCPPEF*NtoN2O*kgtoGg,"ERROR"))</f>
        <v>1.9127821937491298</v>
      </c>
      <c r="W1137" s="94">
        <f>IF('Net zero activities &amp; levers'!$C$14="Off",'Activity data'!AP67*UDCPPEF*NtoN2O*kgtoGg,IF('Net zero activities &amp; levers'!$C$14="On",'Net zero Activity data'!AP67*UDCPPEF*NtoN2O*kgtoGg,"ERROR"))</f>
        <v>1.9345659305338647</v>
      </c>
      <c r="X1137" s="94">
        <f>IF('Net zero activities &amp; levers'!$C$14="Off",'Activity data'!AQ67*UDCPPEF*NtoN2O*kgtoGg,IF('Net zero activities &amp; levers'!$C$14="On",'Net zero Activity data'!AQ67*UDCPPEF*NtoN2O*kgtoGg,"ERROR"))</f>
        <v>1.9549798101221001</v>
      </c>
      <c r="Y1137" s="94">
        <f>IF('Net zero activities &amp; levers'!$C$14="Off",'Activity data'!AR67*UDCPPEF*NtoN2O*kgtoGg,IF('Net zero activities &amp; levers'!$C$14="On",'Net zero Activity data'!AR67*UDCPPEF*NtoN2O*kgtoGg,"ERROR"))</f>
        <v>1.9734786750778357</v>
      </c>
      <c r="Z1137" s="94">
        <f>IF('Net zero activities &amp; levers'!$C$14="Off",'Activity data'!AS67*UDCPPEF*NtoN2O*kgtoGg,IF('Net zero activities &amp; levers'!$C$14="On",'Net zero Activity data'!AS67*UDCPPEF*NtoN2O*kgtoGg,"ERROR"))</f>
        <v>1.9899761352853818</v>
      </c>
      <c r="AA1137" s="94">
        <f>IF('Net zero activities &amp; levers'!$C$14="Off",'Activity data'!AT67*UDCPPEF*NtoN2O*kgtoGg,IF('Net zero activities &amp; levers'!$C$14="On",'Net zero Activity data'!AT67*UDCPPEF*NtoN2O*kgtoGg,"ERROR"))</f>
        <v>2.0043760843310485</v>
      </c>
      <c r="AB1137" s="94">
        <f>IF('Net zero activities &amp; levers'!$C$14="Off",'Activity data'!AU67*UDCPPEF*NtoN2O*kgtoGg,IF('Net zero activities &amp; levers'!$C$14="On",'Net zero Activity data'!AU67*UDCPPEF*NtoN2O*kgtoGg,"ERROR"))</f>
        <v>2.0166057838413951</v>
      </c>
      <c r="AC1137" s="94">
        <f>IF('Net zero activities &amp; levers'!$C$14="Off",'Activity data'!AV67*UDCPPEF*NtoN2O*kgtoGg,IF('Net zero activities &amp; levers'!$C$14="On",'Net zero Activity data'!AV67*UDCPPEF*NtoN2O*kgtoGg,"ERROR"))</f>
        <v>2.0266075471247365</v>
      </c>
      <c r="AD1137" s="94">
        <f>IF('Net zero activities &amp; levers'!$C$14="Off",'Activity data'!AW67*UDCPPEF*NtoN2O*kgtoGg,IF('Net zero activities &amp; levers'!$C$14="On",'Net zero Activity data'!AW67*UDCPPEF*NtoN2O*kgtoGg,"ERROR"))</f>
        <v>2.0343207325041344</v>
      </c>
      <c r="AE1137" s="94">
        <f>IF('Net zero activities &amp; levers'!$C$14="Off",'Activity data'!AX67*UDCPPEF*NtoN2O*kgtoGg,IF('Net zero activities &amp; levers'!$C$14="On",'Net zero Activity data'!AX67*UDCPPEF*NtoN2O*kgtoGg,"ERROR"))</f>
        <v>2.0397090361762231</v>
      </c>
      <c r="AF1137" s="94">
        <f>IF('Net zero activities &amp; levers'!$C$14="Off",'Activity data'!AY67*UDCPPEF*NtoN2O*kgtoGg,IF('Net zero activities &amp; levers'!$C$14="On",'Net zero Activity data'!AY67*UDCPPEF*NtoN2O*kgtoGg,"ERROR"))</f>
        <v>2.0427376347432897</v>
      </c>
      <c r="AG1137" s="94">
        <f>IF('Net zero activities &amp; levers'!$C$14="Off",'Activity data'!AZ67*UDCPPEF*NtoN2O*kgtoGg,IF('Net zero activities &amp; levers'!$C$14="On",'Net zero Activity data'!AZ67*UDCPPEF*NtoN2O*kgtoGg,"ERROR"))</f>
        <v>2.0433728844876047</v>
      </c>
      <c r="AH1137" s="94">
        <f>IF('Net zero activities &amp; levers'!$C$14="Off",'Activity data'!BA67*UDCPPEF*NtoN2O*kgtoGg,IF('Net zero activities &amp; levers'!$C$14="On",'Net zero Activity data'!BA67*UDCPPEF*NtoN2O*kgtoGg,"ERROR"))</f>
        <v>2.0416086414199954</v>
      </c>
      <c r="AI1137" s="94">
        <f>IF('Net zero activities &amp; levers'!$C$14="Off",'Activity data'!BB67*UDCPPEF*NtoN2O*kgtoGg,IF('Net zero activities &amp; levers'!$C$14="On",'Net zero Activity data'!BB67*UDCPPEF*NtoN2O*kgtoGg,"ERROR"))</f>
        <v>2.0374549495329468</v>
      </c>
      <c r="AJ1137" s="94">
        <f>IF('Net zero activities &amp; levers'!$C$14="Off",'Activity data'!BC67*UDCPPEF*NtoN2O*kgtoGg,IF('Net zero activities &amp; levers'!$C$14="On",'Net zero Activity data'!BC67*UDCPPEF*NtoN2O*kgtoGg,"ERROR"))</f>
        <v>0.64461551353755753</v>
      </c>
      <c r="AK1137" s="94">
        <f>IF('Net zero activities &amp; levers'!$C$14="Off",'Activity data'!BD67*UDCPPEF*NtoN2O*kgtoGg,IF('Net zero activities &amp; levers'!$C$14="On",'Net zero Activity data'!BD67*UDCPPEF*NtoN2O*kgtoGg,"ERROR"))</f>
        <v>0.64508607204460633</v>
      </c>
      <c r="AL1137" s="94">
        <f>IF('Net zero activities &amp; levers'!$C$14="Off",'Activity data'!BE67*UDCPPEF*NtoN2O*kgtoGg,IF('Net zero activities &amp; levers'!$C$14="On",'Net zero Activity data'!BE67*UDCPPEF*NtoN2O*kgtoGg,"ERROR"))</f>
        <v>0.64552275664376835</v>
      </c>
      <c r="AM1137" s="94">
        <f>IF('Net zero activities &amp; levers'!$C$14="Off",'Activity data'!BF67*UDCPPEF*NtoN2O*kgtoGg,IF('Net zero activities &amp; levers'!$C$14="On",'Net zero Activity data'!BF67*UDCPPEF*NtoN2O*kgtoGg,"ERROR"))</f>
        <v>0.64592852135594947</v>
      </c>
      <c r="AN1137" s="94">
        <f>IF('Net zero activities &amp; levers'!$C$14="Off",'Activity data'!BG67*UDCPPEF*NtoN2O*kgtoGg,IF('Net zero activities &amp; levers'!$C$14="On",'Net zero Activity data'!BG67*UDCPPEF*NtoN2O*kgtoGg,"ERROR"))</f>
        <v>0.64630700491581017</v>
      </c>
      <c r="AO1137" s="94">
        <f>IF('Net zero activities &amp; levers'!$C$14="Off",'Activity data'!BH67*UDCPPEF*NtoN2O*kgtoGg,IF('Net zero activities &amp; levers'!$C$14="On",'Net zero Activity data'!BH67*UDCPPEF*NtoN2O*kgtoGg,"ERROR"))</f>
        <v>0.64664632856302828</v>
      </c>
      <c r="AP1137" s="94">
        <f>IF('Net zero activities &amp; levers'!$C$14="Off",'Activity data'!BI67*UDCPPEF*NtoN2O*kgtoGg,IF('Net zero activities &amp; levers'!$C$14="On",'Net zero Activity data'!BI67*UDCPPEF*NtoN2O*kgtoGg,"ERROR"))</f>
        <v>0.64693851525277601</v>
      </c>
      <c r="AQ1137" s="94">
        <f>IF('Net zero activities &amp; levers'!$C$14="Off",'Activity data'!BJ67*UDCPPEF*NtoN2O*kgtoGg,IF('Net zero activities &amp; levers'!$C$14="On",'Net zero Activity data'!BJ67*UDCPPEF*NtoN2O*kgtoGg,"ERROR"))</f>
        <v>0.64718228577189862</v>
      </c>
      <c r="AR1137" s="94">
        <f>IF('Net zero activities &amp; levers'!$C$14="Off",'Activity data'!BK67*UDCPPEF*NtoN2O*kgtoGg,IF('Net zero activities &amp; levers'!$C$14="On",'Net zero Activity data'!BK67*UDCPPEF*NtoN2O*kgtoGg,"ERROR"))</f>
        <v>0.64736858903651606</v>
      </c>
      <c r="AS1137" s="94">
        <f>IF('Net zero activities &amp; levers'!$C$14="Off",'Activity data'!BL67*UDCPPEF*NtoN2O*kgtoGg,IF('Net zero activities &amp; levers'!$C$14="On",'Net zero Activity data'!BL67*UDCPPEF*NtoN2O*kgtoGg,"ERROR"))</f>
        <v>0.64748759839973102</v>
      </c>
      <c r="AT1137" s="94">
        <f>IF('Net zero activities &amp; levers'!$C$14="Off",'Activity data'!BM67*UDCPPEF*NtoN2O*kgtoGg,IF('Net zero activities &amp; levers'!$C$14="On",'Net zero Activity data'!BM67*UDCPPEF*NtoN2O*kgtoGg,"ERROR"))</f>
        <v>0.64753810013359636</v>
      </c>
      <c r="AU1137" s="94">
        <f>IF('Net zero activities &amp; levers'!$C$14="Off",'Activity data'!BN67*UDCPPEF*NtoN2O*kgtoGg,IF('Net zero activities &amp; levers'!$C$14="On",'Net zero Activity data'!BN67*UDCPPEF*NtoN2O*kgtoGg,"ERROR"))</f>
        <v>0.6475214899931051</v>
      </c>
      <c r="AV1137" s="94">
        <f>IF('Net zero activities &amp; levers'!$C$14="Off",'Activity data'!BO67*UDCPPEF*NtoN2O*kgtoGg,IF('Net zero activities &amp; levers'!$C$14="On",'Net zero Activity data'!BO67*UDCPPEF*NtoN2O*kgtoGg,"ERROR"))</f>
        <v>0.6474387413563446</v>
      </c>
      <c r="AW1137" s="94">
        <f>IF('Net zero activities &amp; levers'!$C$14="Off",'Activity data'!BP67*UDCPPEF*NtoN2O*kgtoGg,IF('Net zero activities &amp; levers'!$C$14="On",'Net zero Activity data'!BP67*UDCPPEF*NtoN2O*kgtoGg,"ERROR"))</f>
        <v>0.64728061173527773</v>
      </c>
      <c r="AY1137" s="79"/>
    </row>
    <row r="1138" spans="1:51" x14ac:dyDescent="0.25">
      <c r="A1138" s="95" t="str">
        <f t="shared" si="374"/>
        <v>CM U&amp;D</v>
      </c>
      <c r="B1138" s="95" t="s">
        <v>1322</v>
      </c>
      <c r="C1138" s="95" t="s">
        <v>1336</v>
      </c>
      <c r="D1138" t="s">
        <v>369</v>
      </c>
      <c r="E1138" t="s">
        <v>55</v>
      </c>
      <c r="F1138" t="s">
        <v>422</v>
      </c>
      <c r="G1138" t="s">
        <v>1156</v>
      </c>
      <c r="H1138" t="s">
        <v>1242</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0.74376253694082328</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0.74998858609492669</v>
      </c>
      <c r="P1138" s="94">
        <f>IF('Net zero activities &amp; levers'!$C$14="Off",'Activity data'!AI68*UDCPPEF*NtoN2O*kgtoGg,IF('Net zero activities &amp; levers'!$C$14="On",'Net zero Activity data'!AI68*UDCPPEF*NtoN2O*kgtoGg,"ERROR"))</f>
        <v>0.75119477530775858</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0.75691680802528449</v>
      </c>
      <c r="S1138" s="94">
        <f>IF('Net zero activities &amp; levers'!$C$14="Off",'Activity data'!AL68*UDCPPEF*NtoN2O*kgtoGg,IF('Net zero activities &amp; levers'!$C$14="On",'Net zero Activity data'!AL68*UDCPPEF*NtoN2O*kgtoGg,"ERROR"))</f>
        <v>0.73540931540926791</v>
      </c>
      <c r="T1138" s="94">
        <f>IF('Net zero activities &amp; levers'!$C$14="Off",'Activity data'!AM68*UDCPPEF*NtoN2O*kgtoGg,IF('Net zero activities &amp; levers'!$C$14="On",'Net zero Activity data'!AM68*UDCPPEF*NtoN2O*kgtoGg,"ERROR"))</f>
        <v>0.74806307417925111</v>
      </c>
      <c r="U1138" s="94">
        <f>IF('Net zero activities &amp; levers'!$C$14="Off",'Activity data'!AN68*UDCPPEF*NtoN2O*kgtoGg,IF('Net zero activities &amp; levers'!$C$14="On",'Net zero Activity data'!AN68*UDCPPEF*NtoN2O*kgtoGg,"ERROR"))</f>
        <v>1.2871023433755899</v>
      </c>
      <c r="V1138" s="94">
        <f>IF('Net zero activities &amp; levers'!$C$14="Off",'Activity data'!AO68*UDCPPEF*NtoN2O*kgtoGg,IF('Net zero activities &amp; levers'!$C$14="On",'Net zero Activity data'!AO68*UDCPPEF*NtoN2O*kgtoGg,"ERROR"))</f>
        <v>1.3026177613667917</v>
      </c>
      <c r="W1138" s="94">
        <f>IF('Net zero activities &amp; levers'!$C$14="Off",'Activity data'!AP68*UDCPPEF*NtoN2O*kgtoGg,IF('Net zero activities &amp; levers'!$C$14="On",'Net zero Activity data'!AP68*UDCPPEF*NtoN2O*kgtoGg,"ERROR"))</f>
        <v>1.3174526351634348</v>
      </c>
      <c r="X1138" s="94">
        <f>IF('Net zero activities &amp; levers'!$C$14="Off",'Activity data'!AQ68*UDCPPEF*NtoN2O*kgtoGg,IF('Net zero activities &amp; levers'!$C$14="On",'Net zero Activity data'!AQ68*UDCPPEF*NtoN2O*kgtoGg,"ERROR"))</f>
        <v>1.3313546268365786</v>
      </c>
      <c r="Y1138" s="94">
        <f>IF('Net zero activities &amp; levers'!$C$14="Off",'Activity data'!AR68*UDCPPEF*NtoN2O*kgtoGg,IF('Net zero activities &amp; levers'!$C$14="On",'Net zero Activity data'!AR68*UDCPPEF*NtoN2O*kgtoGg,"ERROR"))</f>
        <v>1.3439524804422922</v>
      </c>
      <c r="Z1138" s="94">
        <f>IF('Net zero activities &amp; levers'!$C$14="Off",'Activity data'!AS68*UDCPPEF*NtoN2O*kgtoGg,IF('Net zero activities &amp; levers'!$C$14="On",'Net zero Activity data'!AS68*UDCPPEF*NtoN2O*kgtoGg,"ERROR"))</f>
        <v>1.3551873637207013</v>
      </c>
      <c r="AA1138" s="94">
        <f>IF('Net zero activities &amp; levers'!$C$14="Off",'Activity data'!AT68*UDCPPEF*NtoN2O*kgtoGg,IF('Net zero activities &amp; levers'!$C$14="On",'Net zero Activity data'!AT68*UDCPPEF*NtoN2O*kgtoGg,"ERROR"))</f>
        <v>1.3649938275465159</v>
      </c>
      <c r="AB1138" s="94">
        <f>IF('Net zero activities &amp; levers'!$C$14="Off",'Activity data'!AU68*UDCPPEF*NtoN2O*kgtoGg,IF('Net zero activities &amp; levers'!$C$14="On",'Net zero Activity data'!AU68*UDCPPEF*NtoN2O*kgtoGg,"ERROR"))</f>
        <v>1.3733223365897391</v>
      </c>
      <c r="AC1138" s="94">
        <f>IF('Net zero activities &amp; levers'!$C$14="Off",'Activity data'!AV68*UDCPPEF*NtoN2O*kgtoGg,IF('Net zero activities &amp; levers'!$C$14="On",'Net zero Activity data'!AV68*UDCPPEF*NtoN2O*kgtoGg,"ERROR"))</f>
        <v>1.3801336058186369</v>
      </c>
      <c r="AD1138" s="94">
        <f>IF('Net zero activities &amp; levers'!$C$14="Off",'Activity data'!AW68*UDCPPEF*NtoN2O*kgtoGg,IF('Net zero activities &amp; levers'!$C$14="On",'Net zero Activity data'!AW68*UDCPPEF*NtoN2O*kgtoGg,"ERROR"))</f>
        <v>1.3853863378362978</v>
      </c>
      <c r="AE1138" s="94">
        <f>IF('Net zero activities &amp; levers'!$C$14="Off",'Activity data'!AX68*UDCPPEF*NtoN2O*kgtoGg,IF('Net zero activities &amp; levers'!$C$14="On",'Net zero Activity data'!AX68*UDCPPEF*NtoN2O*kgtoGg,"ERROR"))</f>
        <v>1.3890558095042369</v>
      </c>
      <c r="AF1138" s="94">
        <f>IF('Net zero activities &amp; levers'!$C$14="Off",'Activity data'!AY68*UDCPPEF*NtoN2O*kgtoGg,IF('Net zero activities &amp; levers'!$C$14="On",'Net zero Activity data'!AY68*UDCPPEF*NtoN2O*kgtoGg,"ERROR"))</f>
        <v>1.3911183058503465</v>
      </c>
      <c r="AG1138" s="94">
        <f>IF('Net zero activities &amp; levers'!$C$14="Off",'Activity data'!AZ68*UDCPPEF*NtoN2O*kgtoGg,IF('Net zero activities &amp; levers'!$C$14="On",'Net zero Activity data'!AZ68*UDCPPEF*NtoN2O*kgtoGg,"ERROR"))</f>
        <v>1.3915509152726599</v>
      </c>
      <c r="AH1138" s="94">
        <f>IF('Net zero activities &amp; levers'!$C$14="Off",'Activity data'!BA68*UDCPPEF*NtoN2O*kgtoGg,IF('Net zero activities &amp; levers'!$C$14="On",'Net zero Activity data'!BA68*UDCPPEF*NtoN2O*kgtoGg,"ERROR"))</f>
        <v>1.3903494536725116</v>
      </c>
      <c r="AI1138" s="94">
        <f>IF('Net zero activities &amp; levers'!$C$14="Off",'Activity data'!BB68*UDCPPEF*NtoN2O*kgtoGg,IF('Net zero activities &amp; levers'!$C$14="On",'Net zero Activity data'!BB68*UDCPPEF*NtoN2O*kgtoGg,"ERROR"))</f>
        <v>1.3875207610775073</v>
      </c>
      <c r="AJ1138" s="94">
        <f>IF('Net zero activities &amp; levers'!$C$14="Off",'Activity data'!BC68*UDCPPEF*NtoN2O*kgtoGg,IF('Net zero activities &amp; levers'!$C$14="On",'Net zero Activity data'!BC68*UDCPPEF*NtoN2O*kgtoGg,"ERROR"))</f>
        <v>0.43898757523499138</v>
      </c>
      <c r="AK1138" s="94">
        <f>IF('Net zero activities &amp; levers'!$C$14="Off",'Activity data'!BD68*UDCPPEF*NtoN2O*kgtoGg,IF('Net zero activities &amp; levers'!$C$14="On",'Net zero Activity data'!BD68*UDCPPEF*NtoN2O*kgtoGg,"ERROR"))</f>
        <v>0.43930802879789405</v>
      </c>
      <c r="AL1138" s="94">
        <f>IF('Net zero activities &amp; levers'!$C$14="Off",'Activity data'!BE68*UDCPPEF*NtoN2O*kgtoGg,IF('Net zero activities &amp; levers'!$C$14="On",'Net zero Activity data'!BE68*UDCPPEF*NtoN2O*kgtoGg,"ERROR"))</f>
        <v>0.43960541399775782</v>
      </c>
      <c r="AM1138" s="94">
        <f>IF('Net zero activities &amp; levers'!$C$14="Off",'Activity data'!BF68*UDCPPEF*NtoN2O*kgtoGg,IF('Net zero activities &amp; levers'!$C$14="On",'Net zero Activity data'!BF68*UDCPPEF*NtoN2O*kgtoGg,"ERROR"))</f>
        <v>0.43988174254303092</v>
      </c>
      <c r="AN1138" s="94">
        <f>IF('Net zero activities &amp; levers'!$C$14="Off",'Activity data'!BG68*UDCPPEF*NtoN2O*kgtoGg,IF('Net zero activities &amp; levers'!$C$14="On",'Net zero Activity data'!BG68*UDCPPEF*NtoN2O*kgtoGg,"ERROR"))</f>
        <v>0.44013949243691386</v>
      </c>
      <c r="AO1138" s="94">
        <f>IF('Net zero activities &amp; levers'!$C$14="Off",'Activity data'!BH68*UDCPPEF*NtoN2O*kgtoGg,IF('Net zero activities &amp; levers'!$C$14="On",'Net zero Activity data'!BH68*UDCPPEF*NtoN2O*kgtoGg,"ERROR"))</f>
        <v>0.44037057416235159</v>
      </c>
      <c r="AP1138" s="94">
        <f>IF('Net zero activities &amp; levers'!$C$14="Off",'Activity data'!BI68*UDCPPEF*NtoN2O*kgtoGg,IF('Net zero activities &amp; levers'!$C$14="On",'Net zero Activity data'!BI68*UDCPPEF*NtoN2O*kgtoGg,"ERROR"))</f>
        <v>0.44056955529723674</v>
      </c>
      <c r="AQ1138" s="94">
        <f>IF('Net zero activities &amp; levers'!$C$14="Off",'Activity data'!BJ68*UDCPPEF*NtoN2O*kgtoGg,IF('Net zero activities &amp; levers'!$C$14="On",'Net zero Activity data'!BJ68*UDCPPEF*NtoN2O*kgtoGg,"ERROR"))</f>
        <v>0.4407355646886586</v>
      </c>
      <c r="AR1138" s="94">
        <f>IF('Net zero activities &amp; levers'!$C$14="Off",'Activity data'!BK68*UDCPPEF*NtoN2O*kgtoGg,IF('Net zero activities &amp; levers'!$C$14="On",'Net zero Activity data'!BK68*UDCPPEF*NtoN2O*kgtoGg,"ERROR"))</f>
        <v>0.44086243848656637</v>
      </c>
      <c r="AS1138" s="94">
        <f>IF('Net zero activities &amp; levers'!$C$14="Off",'Activity data'!BL68*UDCPPEF*NtoN2O*kgtoGg,IF('Net zero activities &amp; levers'!$C$14="On",'Net zero Activity data'!BL68*UDCPPEF*NtoN2O*kgtoGg,"ERROR"))</f>
        <v>0.44094348467718814</v>
      </c>
      <c r="AT1138" s="94">
        <f>IF('Net zero activities &amp; levers'!$C$14="Off",'Activity data'!BM68*UDCPPEF*NtoN2O*kgtoGg,IF('Net zero activities &amp; levers'!$C$14="On",'Net zero Activity data'!BM68*UDCPPEF*NtoN2O*kgtoGg,"ERROR"))</f>
        <v>0.44097787670348765</v>
      </c>
      <c r="AU1138" s="94">
        <f>IF('Net zero activities &amp; levers'!$C$14="Off",'Activity data'!BN68*UDCPPEF*NtoN2O*kgtoGg,IF('Net zero activities &amp; levers'!$C$14="On",'Net zero Activity data'!BN68*UDCPPEF*NtoN2O*kgtoGg,"ERROR"))</f>
        <v>0.44096656508416521</v>
      </c>
      <c r="AV1138" s="94">
        <f>IF('Net zero activities &amp; levers'!$C$14="Off",'Activity data'!BO68*UDCPPEF*NtoN2O*kgtoGg,IF('Net zero activities &amp; levers'!$C$14="On",'Net zero Activity data'!BO68*UDCPPEF*NtoN2O*kgtoGg,"ERROR"))</f>
        <v>0.44091021269635783</v>
      </c>
      <c r="AW1138" s="94">
        <f>IF('Net zero activities &amp; levers'!$C$14="Off",'Activity data'!BP68*UDCPPEF*NtoN2O*kgtoGg,IF('Net zero activities &amp; levers'!$C$14="On",'Net zero Activity data'!BP68*UDCPPEF*NtoN2O*kgtoGg,"ERROR"))</f>
        <v>0.44080252534247472</v>
      </c>
      <c r="AY1138" s="79"/>
    </row>
    <row r="1139" spans="1:51" x14ac:dyDescent="0.25">
      <c r="A1139" s="95" t="str">
        <f t="shared" si="374"/>
        <v>CM U&amp;D</v>
      </c>
      <c r="B1139" s="95" t="s">
        <v>1322</v>
      </c>
      <c r="C1139" s="95" t="s">
        <v>1336</v>
      </c>
      <c r="D1139" t="s">
        <v>369</v>
      </c>
      <c r="E1139" t="s">
        <v>55</v>
      </c>
      <c r="F1139" t="s">
        <v>422</v>
      </c>
      <c r="G1139" t="s">
        <v>1158</v>
      </c>
      <c r="H1139" t="s">
        <v>1243</v>
      </c>
      <c r="I1139" t="s">
        <v>139</v>
      </c>
      <c r="J1139" t="s">
        <v>287</v>
      </c>
      <c r="K1139" s="94">
        <f>IF('Net zero activities &amp; levers'!$C$14="Off",'Activity data'!AD69*UDCPPEF*NtoN2O*kgtoGg,IF('Net zero activities &amp; levers'!$C$14="On",'Net zero Activity data'!AD69*UDCPPEF*NtoN2O*kgtoGg,"ERROR"))</f>
        <v>15.353527292296841</v>
      </c>
      <c r="L1139" s="94">
        <f>IF('Net zero activities &amp; levers'!$C$14="Off",'Activity data'!AE69*UDCPPEF*NtoN2O*kgtoGg,IF('Net zero activities &amp; levers'!$C$14="On",'Net zero Activity data'!AE69*UDCPPEF*NtoN2O*kgtoGg,"ERROR"))</f>
        <v>15.220371053361493</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14.967111251021194</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13.711253827544137</v>
      </c>
      <c r="S1139" s="94">
        <f>IF('Net zero activities &amp; levers'!$C$14="Off",'Activity data'!AL69*UDCPPEF*NtoN2O*kgtoGg,IF('Net zero activities &amp; levers'!$C$14="On",'Net zero Activity data'!AL69*UDCPPEF*NtoN2O*kgtoGg,"ERROR"))</f>
        <v>12.262231428549004</v>
      </c>
      <c r="T1139" s="94">
        <f>IF('Net zero activities &amp; levers'!$C$14="Off",'Activity data'!AM69*UDCPPEF*NtoN2O*kgtoGg,IF('Net zero activities &amp; levers'!$C$14="On",'Net zero Activity data'!AM69*UDCPPEF*NtoN2O*kgtoGg,"ERROR"))</f>
        <v>12.73465794206464</v>
      </c>
      <c r="U1139" s="94">
        <f>IF('Net zero activities &amp; levers'!$C$14="Off",'Activity data'!AN69*UDCPPEF*NtoN2O*kgtoGg,IF('Net zero activities &amp; levers'!$C$14="On",'Net zero Activity data'!AN69*UDCPPEF*NtoN2O*kgtoGg,"ERROR"))</f>
        <v>40.135765944691244</v>
      </c>
      <c r="V1139" s="94">
        <f>IF('Net zero activities &amp; levers'!$C$14="Off",'Activity data'!AO69*UDCPPEF*NtoN2O*kgtoGg,IF('Net zero activities &amp; levers'!$C$14="On",'Net zero Activity data'!AO69*UDCPPEF*NtoN2O*kgtoGg,"ERROR"))</f>
        <v>40.329355964050443</v>
      </c>
      <c r="W1139" s="94">
        <f>IF('Net zero activities &amp; levers'!$C$14="Off",'Activity data'!AP69*UDCPPEF*NtoN2O*kgtoGg,IF('Net zero activities &amp; levers'!$C$14="On",'Net zero Activity data'!AP69*UDCPPEF*NtoN2O*kgtoGg,"ERROR"))</f>
        <v>40.453253097840147</v>
      </c>
      <c r="X1139" s="94">
        <f>IF('Net zero activities &amp; levers'!$C$14="Off",'Activity data'!AQ69*UDCPPEF*NtoN2O*kgtoGg,IF('Net zero activities &amp; levers'!$C$14="On",'Net zero Activity data'!AQ69*UDCPPEF*NtoN2O*kgtoGg,"ERROR"))</f>
        <v>40.507432110592688</v>
      </c>
      <c r="Y1139" s="94">
        <f>IF('Net zero activities &amp; levers'!$C$14="Off",'Activity data'!AR69*UDCPPEF*NtoN2O*kgtoGg,IF('Net zero activities &amp; levers'!$C$14="On",'Net zero Activity data'!AR69*UDCPPEF*NtoN2O*kgtoGg,"ERROR"))</f>
        <v>40.493040718668887</v>
      </c>
      <c r="Z1139" s="94">
        <f>IF('Net zero activities &amp; levers'!$C$14="Off",'Activity data'!AS69*UDCPPEF*NtoN2O*kgtoGg,IF('Net zero activities &amp; levers'!$C$14="On",'Net zero Activity data'!AS69*UDCPPEF*NtoN2O*kgtoGg,"ERROR"))</f>
        <v>40.409389107608789</v>
      </c>
      <c r="AA1139" s="94">
        <f>IF('Net zero activities &amp; levers'!$C$14="Off",'Activity data'!AT69*UDCPPEF*NtoN2O*kgtoGg,IF('Net zero activities &amp; levers'!$C$14="On",'Net zero Activity data'!AT69*UDCPPEF*NtoN2O*kgtoGg,"ERROR"))</f>
        <v>40.256272365845206</v>
      </c>
      <c r="AB1139" s="94">
        <f>IF('Net zero activities &amp; levers'!$C$14="Off",'Activity data'!AU69*UDCPPEF*NtoN2O*kgtoGg,IF('Net zero activities &amp; levers'!$C$14="On",'Net zero Activity data'!AU69*UDCPPEF*NtoN2O*kgtoGg,"ERROR"))</f>
        <v>40.033817183265413</v>
      </c>
      <c r="AC1139" s="94">
        <f>IF('Net zero activities &amp; levers'!$C$14="Off",'Activity data'!AV69*UDCPPEF*NtoN2O*kgtoGg,IF('Net zero activities &amp; levers'!$C$14="On",'Net zero Activity data'!AV69*UDCPPEF*NtoN2O*kgtoGg,"ERROR"))</f>
        <v>39.742523773077906</v>
      </c>
      <c r="AD1139" s="94">
        <f>IF('Net zero activities &amp; levers'!$C$14="Off",'Activity data'!AW69*UDCPPEF*NtoN2O*kgtoGg,IF('Net zero activities &amp; levers'!$C$14="On",'Net zero Activity data'!AW69*UDCPPEF*NtoN2O*kgtoGg,"ERROR"))</f>
        <v>39.052391122761925</v>
      </c>
      <c r="AE1139" s="94">
        <f>IF('Net zero activities &amp; levers'!$C$14="Off",'Activity data'!AX69*UDCPPEF*NtoN2O*kgtoGg,IF('Net zero activities &amp; levers'!$C$14="On",'Net zero Activity data'!AX69*UDCPPEF*NtoN2O*kgtoGg,"ERROR"))</f>
        <v>38.297252341964814</v>
      </c>
      <c r="AF1139" s="94">
        <f>IF('Net zero activities &amp; levers'!$C$14="Off",'Activity data'!AY69*UDCPPEF*NtoN2O*kgtoGg,IF('Net zero activities &amp; levers'!$C$14="On",'Net zero Activity data'!AY69*UDCPPEF*NtoN2O*kgtoGg,"ERROR"))</f>
        <v>37.480500419129982</v>
      </c>
      <c r="AG1139" s="94">
        <f>IF('Net zero activities &amp; levers'!$C$14="Off",'Activity data'!AZ69*UDCPPEF*NtoN2O*kgtoGg,IF('Net zero activities &amp; levers'!$C$14="On",'Net zero Activity data'!AZ69*UDCPPEF*NtoN2O*kgtoGg,"ERROR"))</f>
        <v>36.605913882693514</v>
      </c>
      <c r="AH1139" s="94">
        <f>IF('Net zero activities &amp; levers'!$C$14="Off",'Activity data'!BA69*UDCPPEF*NtoN2O*kgtoGg,IF('Net zero activities &amp; levers'!$C$14="On",'Net zero Activity data'!BA69*UDCPPEF*NtoN2O*kgtoGg,"ERROR"))</f>
        <v>35.67751529859683</v>
      </c>
      <c r="AI1139" s="94">
        <f>IF('Net zero activities &amp; levers'!$C$14="Off",'Activity data'!BB69*UDCPPEF*NtoN2O*kgtoGg,IF('Net zero activities &amp; levers'!$C$14="On",'Net zero Activity data'!BB69*UDCPPEF*NtoN2O*kgtoGg,"ERROR"))</f>
        <v>34.699588123562123</v>
      </c>
      <c r="AJ1139" s="94">
        <f>IF('Net zero activities &amp; levers'!$C$14="Off",'Activity data'!BC69*UDCPPEF*NtoN2O*kgtoGg,IF('Net zero activities &amp; levers'!$C$14="On",'Net zero Activity data'!BC69*UDCPPEF*NtoN2O*kgtoGg,"ERROR"))</f>
        <v>-2.6792659907667447</v>
      </c>
      <c r="AK1139" s="94">
        <f>IF('Net zero activities &amp; levers'!$C$14="Off",'Activity data'!BD69*UDCPPEF*NtoN2O*kgtoGg,IF('Net zero activities &amp; levers'!$C$14="On",'Net zero Activity data'!BD69*UDCPPEF*NtoN2O*kgtoGg,"ERROR"))</f>
        <v>-2.6147570082117628</v>
      </c>
      <c r="AL1139" s="94">
        <f>IF('Net zero activities &amp; levers'!$C$14="Off",'Activity data'!BE69*UDCPPEF*NtoN2O*kgtoGg,IF('Net zero activities &amp; levers'!$C$14="On",'Net zero Activity data'!BE69*UDCPPEF*NtoN2O*kgtoGg,"ERROR"))</f>
        <v>-2.5509192087001833</v>
      </c>
      <c r="AM1139" s="94">
        <f>IF('Net zero activities &amp; levers'!$C$14="Off",'Activity data'!BF69*UDCPPEF*NtoN2O*kgtoGg,IF('Net zero activities &amp; levers'!$C$14="On",'Net zero Activity data'!BF69*UDCPPEF*NtoN2O*kgtoGg,"ERROR"))</f>
        <v>-2.4877459989648312</v>
      </c>
      <c r="AN1139" s="94">
        <f>IF('Net zero activities &amp; levers'!$C$14="Off",'Activity data'!BG69*UDCPPEF*NtoN2O*kgtoGg,IF('Net zero activities &amp; levers'!$C$14="On",'Net zero Activity data'!BG69*UDCPPEF*NtoN2O*kgtoGg,"ERROR"))</f>
        <v>-2.4376070910582812</v>
      </c>
      <c r="AO1139" s="94">
        <f>IF('Net zero activities &amp; levers'!$C$14="Off",'Activity data'!BH69*UDCPPEF*NtoN2O*kgtoGg,IF('Net zero activities &amp; levers'!$C$14="On",'Net zero Activity data'!BH69*UDCPPEF*NtoN2O*kgtoGg,"ERROR"))</f>
        <v>-2.3879438055302513</v>
      </c>
      <c r="AP1139" s="94">
        <f>IF('Net zero activities &amp; levers'!$C$14="Off",'Activity data'!BI69*UDCPPEF*NtoN2O*kgtoGg,IF('Net zero activities &amp; levers'!$C$14="On",'Net zero Activity data'!BI69*UDCPPEF*NtoN2O*kgtoGg,"ERROR"))</f>
        <v>-2.3387192042216429</v>
      </c>
      <c r="AQ1139" s="94">
        <f>IF('Net zero activities &amp; levers'!$C$14="Off",'Activity data'!BJ69*UDCPPEF*NtoN2O*kgtoGg,IF('Net zero activities &amp; levers'!$C$14="On",'Net zero Activity data'!BJ69*UDCPPEF*NtoN2O*kgtoGg,"ERROR"))</f>
        <v>-2.2899210938883474</v>
      </c>
      <c r="AR1139" s="94">
        <f>IF('Net zero activities &amp; levers'!$C$14="Off",'Activity data'!BK69*UDCPPEF*NtoN2O*kgtoGg,IF('Net zero activities &amp; levers'!$C$14="On",'Net zero Activity data'!BK69*UDCPPEF*NtoN2O*kgtoGg,"ERROR"))</f>
        <v>-2.2415137982186422</v>
      </c>
      <c r="AS1139" s="94">
        <f>IF('Net zero activities &amp; levers'!$C$14="Off",'Activity data'!BL69*UDCPPEF*NtoN2O*kgtoGg,IF('Net zero activities &amp; levers'!$C$14="On",'Net zero Activity data'!BL69*UDCPPEF*NtoN2O*kgtoGg,"ERROR"))</f>
        <v>-2.1934623794160584</v>
      </c>
      <c r="AT1139" s="94">
        <f>IF('Net zero activities &amp; levers'!$C$14="Off",'Activity data'!BM69*UDCPPEF*NtoN2O*kgtoGg,IF('Net zero activities &amp; levers'!$C$14="On",'Net zero Activity data'!BM69*UDCPPEF*NtoN2O*kgtoGg,"ERROR"))</f>
        <v>-2.145761226265924</v>
      </c>
      <c r="AU1139" s="94">
        <f>IF('Net zero activities &amp; levers'!$C$14="Off",'Activity data'!BN69*UDCPPEF*NtoN2O*kgtoGg,IF('Net zero activities &amp; levers'!$C$14="On",'Net zero Activity data'!BN69*UDCPPEF*NtoN2O*kgtoGg,"ERROR"))</f>
        <v>-2.0984132858067897</v>
      </c>
      <c r="AV1139" s="94">
        <f>IF('Net zero activities &amp; levers'!$C$14="Off",'Activity data'!BO69*UDCPPEF*NtoN2O*kgtoGg,IF('Net zero activities &amp; levers'!$C$14="On",'Net zero Activity data'!BO69*UDCPPEF*NtoN2O*kgtoGg,"ERROR"))</f>
        <v>-2.0514203658912691</v>
      </c>
      <c r="AW1139" s="94">
        <f>IF('Net zero activities &amp; levers'!$C$14="Off",'Activity data'!BP69*UDCPPEF*NtoN2O*kgtoGg,IF('Net zero activities &amp; levers'!$C$14="On",'Net zero Activity data'!BP69*UDCPPEF*NtoN2O*kgtoGg,"ERROR"))</f>
        <v>-2.0047554755928445</v>
      </c>
      <c r="AY1139" s="79"/>
    </row>
    <row r="1140" spans="1:51" x14ac:dyDescent="0.25">
      <c r="A1140" s="95" t="str">
        <f t="shared" si="374"/>
        <v>CM U&amp;D</v>
      </c>
      <c r="B1140" s="95" t="s">
        <v>1322</v>
      </c>
      <c r="C1140" s="95" t="s">
        <v>1336</v>
      </c>
      <c r="D1140" t="s">
        <v>369</v>
      </c>
      <c r="E1140" t="s">
        <v>55</v>
      </c>
      <c r="F1140" t="s">
        <v>422</v>
      </c>
      <c r="G1140" t="s">
        <v>1160</v>
      </c>
      <c r="H1140" t="s">
        <v>1244</v>
      </c>
      <c r="I1140" t="s">
        <v>139</v>
      </c>
      <c r="J1140" t="s">
        <v>287</v>
      </c>
      <c r="K1140" s="94">
        <f>IF('Net zero activities &amp; levers'!$C$14="Off",'Activity data'!AD70*UDCPPEF*NtoN2O*kgtoGg,IF('Net zero activities &amp; levers'!$C$14="On",'Net zero Activity data'!AD70*UDCPPEF*NtoN2O*kgtoGg,"ERROR"))</f>
        <v>9.6543103644621429</v>
      </c>
      <c r="L1140" s="94">
        <f>IF('Net zero activities &amp; levers'!$C$14="Off",'Activity data'!AE70*UDCPPEF*NtoN2O*kgtoGg,IF('Net zero activities &amp; levers'!$C$14="On",'Net zero Activity data'!AE70*UDCPPEF*NtoN2O*kgtoGg,"ERROR"))</f>
        <v>9.5705816138517683</v>
      </c>
      <c r="M1140" s="94">
        <f>IF('Net zero activities &amp; levers'!$C$14="Off",'Activity data'!AF70*UDCPPEF*NtoN2O*kgtoGg,IF('Net zero activities &amp; levers'!$C$14="On",'Net zero Activity data'!AF70*UDCPPEF*NtoN2O*kgtoGg,"ERROR"))</f>
        <v>9.5387086131772989</v>
      </c>
      <c r="N1140" s="94">
        <f>IF('Net zero activities &amp; levers'!$C$14="Off",'Activity data'!AG70*UDCPPEF*NtoN2O*kgtoGg,IF('Net zero activities &amp; levers'!$C$14="On",'Net zero Activity data'!AG70*UDCPPEF*NtoN2O*kgtoGg,"ERROR"))</f>
        <v>9.4113316455488931</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8.987859527224467</v>
      </c>
      <c r="Q1140" s="94">
        <f>IF('Net zero activities &amp; levers'!$C$14="Off",'Activity data'!AJ70*UDCPPEF*NtoN2O*kgtoGg,IF('Net zero activities &amp; levers'!$C$14="On",'Net zero Activity data'!AJ70*UDCPPEF*NtoN2O*kgtoGg,"ERROR"))</f>
        <v>8.7996834473406569</v>
      </c>
      <c r="R1140" s="94">
        <f>IF('Net zero activities &amp; levers'!$C$14="Off",'Activity data'!AK70*UDCPPEF*NtoN2O*kgtoGg,IF('Net zero activities &amp; levers'!$C$14="On",'Net zero Activity data'!AK70*UDCPPEF*NtoN2O*kgtoGg,"ERROR"))</f>
        <v>8.6216474831450949</v>
      </c>
      <c r="S1140" s="94">
        <f>IF('Net zero activities &amp; levers'!$C$14="Off",'Activity data'!AL70*UDCPPEF*NtoN2O*kgtoGg,IF('Net zero activities &amp; levers'!$C$14="On",'Net zero Activity data'!AL70*UDCPPEF*NtoN2O*kgtoGg,"ERROR"))</f>
        <v>7.7105010280907447</v>
      </c>
      <c r="T1140" s="94">
        <f>IF('Net zero activities &amp; levers'!$C$14="Off",'Activity data'!AM70*UDCPPEF*NtoN2O*kgtoGg,IF('Net zero activities &amp; levers'!$C$14="On",'Net zero Activity data'!AM70*UDCPPEF*NtoN2O*kgtoGg,"ERROR"))</f>
        <v>8.0075632014304841</v>
      </c>
      <c r="U1140" s="94">
        <f>IF('Net zero activities &amp; levers'!$C$14="Off",'Activity data'!AN70*UDCPPEF*NtoN2O*kgtoGg,IF('Net zero activities &amp; levers'!$C$14="On",'Net zero Activity data'!AN70*UDCPPEF*NtoN2O*kgtoGg,"ERROR"))</f>
        <v>25.237402048965457</v>
      </c>
      <c r="V1140" s="94">
        <f>IF('Net zero activities &amp; levers'!$C$14="Off",'Activity data'!AO70*UDCPPEF*NtoN2O*kgtoGg,IF('Net zero activities &amp; levers'!$C$14="On",'Net zero Activity data'!AO70*UDCPPEF*NtoN2O*kgtoGg,"ERROR"))</f>
        <v>25.359131609526678</v>
      </c>
      <c r="W1140" s="94">
        <f>IF('Net zero activities &amp; levers'!$C$14="Off",'Activity data'!AP70*UDCPPEF*NtoN2O*kgtoGg,IF('Net zero activities &amp; levers'!$C$14="On",'Net zero Activity data'!AP70*UDCPPEF*NtoN2O*kgtoGg,"ERROR"))</f>
        <v>25.43703822734167</v>
      </c>
      <c r="X1140" s="94">
        <f>IF('Net zero activities &amp; levers'!$C$14="Off",'Activity data'!AQ70*UDCPPEF*NtoN2O*kgtoGg,IF('Net zero activities &amp; levers'!$C$14="On",'Net zero Activity data'!AQ70*UDCPPEF*NtoN2O*kgtoGg,"ERROR"))</f>
        <v>25.471106034328002</v>
      </c>
      <c r="Y1140" s="94">
        <f>IF('Net zero activities &amp; levers'!$C$14="Off",'Activity data'!AR70*UDCPPEF*NtoN2O*kgtoGg,IF('Net zero activities &amp; levers'!$C$14="On",'Net zero Activity data'!AR70*UDCPPEF*NtoN2O*kgtoGg,"ERROR"))</f>
        <v>25.462056715460484</v>
      </c>
      <c r="Z1140" s="94">
        <f>IF('Net zero activities &amp; levers'!$C$14="Off",'Activity data'!AS70*UDCPPEF*NtoN2O*kgtoGg,IF('Net zero activities &amp; levers'!$C$14="On",'Net zero Activity data'!AS70*UDCPPEF*NtoN2O*kgtoGg,"ERROR"))</f>
        <v>25.40945651484947</v>
      </c>
      <c r="AA1140" s="94">
        <f>IF('Net zero activities &amp; levers'!$C$14="Off",'Activity data'!AT70*UDCPPEF*NtoN2O*kgtoGg,IF('Net zero activities &amp; levers'!$C$14="On",'Net zero Activity data'!AT70*UDCPPEF*NtoN2O*kgtoGg,"ERROR"))</f>
        <v>25.313176583935984</v>
      </c>
      <c r="AB1140" s="94">
        <f>IF('Net zero activities &amp; levers'!$C$14="Off",'Activity data'!AU70*UDCPPEF*NtoN2O*kgtoGg,IF('Net zero activities &amp; levers'!$C$14="On",'Net zero Activity data'!AU70*UDCPPEF*NtoN2O*kgtoGg,"ERROR"))</f>
        <v>25.173296585423468</v>
      </c>
      <c r="AC1140" s="94">
        <f>IF('Net zero activities &amp; levers'!$C$14="Off",'Activity data'!AV70*UDCPPEF*NtoN2O*kgtoGg,IF('Net zero activities &amp; levers'!$C$14="On",'Net zero Activity data'!AV70*UDCPPEF*NtoN2O*kgtoGg,"ERROR"))</f>
        <v>24.9901310537815</v>
      </c>
      <c r="AD1140" s="94">
        <f>IF('Net zero activities &amp; levers'!$C$14="Off",'Activity data'!AW70*UDCPPEF*NtoN2O*kgtoGg,IF('Net zero activities &amp; levers'!$C$14="On",'Net zero Activity data'!AW70*UDCPPEF*NtoN2O*kgtoGg,"ERROR"))</f>
        <v>24.5561750857518</v>
      </c>
      <c r="AE1140" s="94">
        <f>IF('Net zero activities &amp; levers'!$C$14="Off",'Activity data'!AX70*UDCPPEF*NtoN2O*kgtoGg,IF('Net zero activities &amp; levers'!$C$14="On",'Net zero Activity data'!AX70*UDCPPEF*NtoN2O*kgtoGg,"ERROR"))</f>
        <v>24.081343210361542</v>
      </c>
      <c r="AF1140" s="94">
        <f>IF('Net zero activities &amp; levers'!$C$14="Off",'Activity data'!AY70*UDCPPEF*NtoN2O*kgtoGg,IF('Net zero activities &amp; levers'!$C$14="On",'Net zero Activity data'!AY70*UDCPPEF*NtoN2O*kgtoGg,"ERROR"))</f>
        <v>23.567768941484907</v>
      </c>
      <c r="AG1140" s="94">
        <f>IF('Net zero activities &amp; levers'!$C$14="Off",'Activity data'!AZ70*UDCPPEF*NtoN2O*kgtoGg,IF('Net zero activities &amp; levers'!$C$14="On",'Net zero Activity data'!AZ70*UDCPPEF*NtoN2O*kgtoGg,"ERROR"))</f>
        <v>23.017828220854938</v>
      </c>
      <c r="AH1140" s="94">
        <f>IF('Net zero activities &amp; levers'!$C$14="Off",'Activity data'!BA70*UDCPPEF*NtoN2O*kgtoGg,IF('Net zero activities &amp; levers'!$C$14="On",'Net zero Activity data'!BA70*UDCPPEF*NtoN2O*kgtoGg,"ERROR"))</f>
        <v>22.434050441185143</v>
      </c>
      <c r="AI1140" s="94">
        <f>IF('Net zero activities &amp; levers'!$C$14="Off",'Activity data'!BB70*UDCPPEF*NtoN2O*kgtoGg,IF('Net zero activities &amp; levers'!$C$14="On",'Net zero Activity data'!BB70*UDCPPEF*NtoN2O*kgtoGg,"ERROR"))</f>
        <v>21.819129043522761</v>
      </c>
      <c r="AJ1140" s="94">
        <f>IF('Net zero activities &amp; levers'!$C$14="Off",'Activity data'!BC70*UDCPPEF*NtoN2O*kgtoGg,IF('Net zero activities &amp; levers'!$C$14="On",'Net zero Activity data'!BC70*UDCPPEF*NtoN2O*kgtoGg,"ERROR"))</f>
        <v>-1.6847246193901004</v>
      </c>
      <c r="AK1140" s="94">
        <f>IF('Net zero activities &amp; levers'!$C$14="Off",'Activity data'!BD70*UDCPPEF*NtoN2O*kgtoGg,IF('Net zero activities &amp; levers'!$C$14="On",'Net zero Activity data'!BD70*UDCPPEF*NtoN2O*kgtoGg,"ERROR"))</f>
        <v>-1.644161319047128</v>
      </c>
      <c r="AL1140" s="94">
        <f>IF('Net zero activities &amp; levers'!$C$14="Off",'Activity data'!BE70*UDCPPEF*NtoN2O*kgtoGg,IF('Net zero activities &amp; levers'!$C$14="On",'Net zero Activity data'!BE70*UDCPPEF*NtoN2O*kgtoGg,"ERROR"))</f>
        <v>-1.6040200591440494</v>
      </c>
      <c r="AM1140" s="94">
        <f>IF('Net zero activities &amp; levers'!$C$14="Off",'Activity data'!BF70*UDCPPEF*NtoN2O*kgtoGg,IF('Net zero activities &amp; levers'!$C$14="On",'Net zero Activity data'!BF70*UDCPPEF*NtoN2O*kgtoGg,"ERROR"))</f>
        <v>-1.5642966938291387</v>
      </c>
      <c r="AN1140" s="94">
        <f>IF('Net zero activities &amp; levers'!$C$14="Off",'Activity data'!BG70*UDCPPEF*NtoN2O*kgtoGg,IF('Net zero activities &amp; levers'!$C$14="On",'Net zero Activity data'!BG70*UDCPPEF*NtoN2O*kgtoGg,"ERROR"))</f>
        <v>-1.5327693080337013</v>
      </c>
      <c r="AO1140" s="94">
        <f>IF('Net zero activities &amp; levers'!$C$14="Off",'Activity data'!BH70*UDCPPEF*NtoN2O*kgtoGg,IF('Net zero activities &amp; levers'!$C$14="On",'Net zero Activity data'!BH70*UDCPPEF*NtoN2O*kgtoGg,"ERROR"))</f>
        <v>-1.5015409939741007</v>
      </c>
      <c r="AP1140" s="94">
        <f>IF('Net zero activities &amp; levers'!$C$14="Off",'Activity data'!BI70*UDCPPEF*NtoN2O*kgtoGg,IF('Net zero activities &amp; levers'!$C$14="On",'Net zero Activity data'!BI70*UDCPPEF*NtoN2O*kgtoGg,"ERROR"))</f>
        <v>-1.4705885249060549</v>
      </c>
      <c r="AQ1140" s="94">
        <f>IF('Net zero activities &amp; levers'!$C$14="Off",'Activity data'!BJ70*UDCPPEF*NtoN2O*kgtoGg,IF('Net zero activities &amp; levers'!$C$14="On",'Net zero Activity data'!BJ70*UDCPPEF*NtoN2O*kgtoGg,"ERROR"))</f>
        <v>-1.4399042337078187</v>
      </c>
      <c r="AR1140" s="94">
        <f>IF('Net zero activities &amp; levers'!$C$14="Off",'Activity data'!BK70*UDCPPEF*NtoN2O*kgtoGg,IF('Net zero activities &amp; levers'!$C$14="On",'Net zero Activity data'!BK70*UDCPPEF*NtoN2O*kgtoGg,"ERROR"))</f>
        <v>-1.4094656870857605</v>
      </c>
      <c r="AS1140" s="94">
        <f>IF('Net zero activities &amp; levers'!$C$14="Off",'Activity data'!BL70*UDCPPEF*NtoN2O*kgtoGg,IF('Net zero activities &amp; levers'!$C$14="On",'Net zero Activity data'!BL70*UDCPPEF*NtoN2O*kgtoGg,"ERROR"))</f>
        <v>-1.3792509161252371</v>
      </c>
      <c r="AT1140" s="94">
        <f>IF('Net zero activities &amp; levers'!$C$14="Off",'Activity data'!BM70*UDCPPEF*NtoN2O*kgtoGg,IF('Net zero activities &amp; levers'!$C$14="On",'Net zero Activity data'!BM70*UDCPPEF*NtoN2O*kgtoGg,"ERROR"))</f>
        <v>-1.3492563924899292</v>
      </c>
      <c r="AU1140" s="94">
        <f>IF('Net zero activities &amp; levers'!$C$14="Off",'Activity data'!BN70*UDCPPEF*NtoN2O*kgtoGg,IF('Net zero activities &amp; levers'!$C$14="On",'Net zero Activity data'!BN70*UDCPPEF*NtoN2O*kgtoGg,"ERROR"))</f>
        <v>-1.3194839692800588</v>
      </c>
      <c r="AV1140" s="94">
        <f>IF('Net zero activities &amp; levers'!$C$14="Off",'Activity data'!BO70*UDCPPEF*NtoN2O*kgtoGg,IF('Net zero activities &amp; levers'!$C$14="On",'Net zero Activity data'!BO70*UDCPPEF*NtoN2O*kgtoGg,"ERROR"))</f>
        <v>-1.2899347832748098</v>
      </c>
      <c r="AW1140" s="94">
        <f>IF('Net zero activities &amp; levers'!$C$14="Off",'Activity data'!BP70*UDCPPEF*NtoN2O*kgtoGg,IF('Net zero activities &amp; levers'!$C$14="On",'Net zero Activity data'!BP70*UDCPPEF*NtoN2O*kgtoGg,"ERROR"))</f>
        <v>-1.2605918625577832</v>
      </c>
      <c r="AY1140" s="79"/>
    </row>
    <row r="1141" spans="1:51" x14ac:dyDescent="0.25">
      <c r="A1141" s="95" t="str">
        <f t="shared" si="374"/>
        <v>CM U&amp;D</v>
      </c>
      <c r="B1141" s="95" t="s">
        <v>1322</v>
      </c>
      <c r="C1141" s="95" t="s">
        <v>1336</v>
      </c>
      <c r="D1141" t="s">
        <v>369</v>
      </c>
      <c r="E1141" t="s">
        <v>55</v>
      </c>
      <c r="F1141" t="s">
        <v>422</v>
      </c>
      <c r="G1141" t="s">
        <v>1162</v>
      </c>
      <c r="H1141" t="s">
        <v>1245</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25">
      <c r="A1142" s="95" t="str">
        <f t="shared" si="374"/>
        <v>CM U&amp;D</v>
      </c>
      <c r="B1142" s="95" t="s">
        <v>1322</v>
      </c>
      <c r="C1142" s="95" t="s">
        <v>1336</v>
      </c>
      <c r="D1142" t="s">
        <v>369</v>
      </c>
      <c r="E1142" t="s">
        <v>55</v>
      </c>
      <c r="F1142" t="s">
        <v>422</v>
      </c>
      <c r="G1142" t="s">
        <v>1164</v>
      </c>
      <c r="H1142" t="s">
        <v>1246</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5.8850501739310754</v>
      </c>
      <c r="T1142" s="94">
        <f>IF('Net zero activities &amp; levers'!$C$14="Off",'Activity data'!AM72*UDSOEF*NtoN2O*kgtoGg,IF('Net zero activities &amp; levers'!$C$14="On",'Net zero Activity data'!AM72*UDSOEF*NtoN2O*kgtoGg,"ERROR"))</f>
        <v>5.8889669247946657</v>
      </c>
      <c r="U1142" s="94">
        <f>IF('Net zero activities &amp; levers'!$C$14="Off",'Activity data'!AN72*UDSOEF*NtoN2O*kgtoGg,IF('Net zero activities &amp; levers'!$C$14="On",'Net zero Activity data'!AN72*UDSOEF*NtoN2O*kgtoGg,"ERROR"))</f>
        <v>5.9656712357324011</v>
      </c>
      <c r="V1142" s="94">
        <f>IF('Net zero activities &amp; levers'!$C$14="Off",'Activity data'!AO72*UDSOEF*NtoN2O*kgtoGg,IF('Net zero activities &amp; levers'!$C$14="On",'Net zero Activity data'!AO72*UDSOEF*NtoN2O*kgtoGg,"ERROR"))</f>
        <v>5.9675423775316272</v>
      </c>
      <c r="W1142" s="94">
        <f>IF('Net zero activities &amp; levers'!$C$14="Off",'Activity data'!AP72*UDSOEF*NtoN2O*kgtoGg,IF('Net zero activities &amp; levers'!$C$14="On",'Net zero Activity data'!AP72*UDSOEF*NtoN2O*kgtoGg,"ERROR"))</f>
        <v>5.9755461389464104</v>
      </c>
      <c r="X1142" s="94">
        <f>IF('Net zero activities &amp; levers'!$C$14="Off",'Activity data'!AQ72*UDSOEF*NtoN2O*kgtoGg,IF('Net zero activities &amp; levers'!$C$14="On",'Net zero Activity data'!AQ72*UDSOEF*NtoN2O*kgtoGg,"ERROR"))</f>
        <v>5.9871157703379936</v>
      </c>
      <c r="Y1142" s="94">
        <f>IF('Net zero activities &amp; levers'!$C$14="Off",'Activity data'!AR72*UDSOEF*NtoN2O*kgtoGg,IF('Net zero activities &amp; levers'!$C$14="On",'Net zero Activity data'!AR72*UDSOEF*NtoN2O*kgtoGg,"ERROR"))</f>
        <v>5.9978635614207825</v>
      </c>
      <c r="Z1142" s="94">
        <f>IF('Net zero activities &amp; levers'!$C$14="Off",'Activity data'!AS72*UDSOEF*NtoN2O*kgtoGg,IF('Net zero activities &amp; levers'!$C$14="On",'Net zero Activity data'!AS72*UDSOEF*NtoN2O*kgtoGg,"ERROR"))</f>
        <v>6.0079225842908377</v>
      </c>
      <c r="AA1142" s="94">
        <f>IF('Net zero activities &amp; levers'!$C$14="Off",'Activity data'!AT72*UDSOEF*NtoN2O*kgtoGg,IF('Net zero activities &amp; levers'!$C$14="On",'Net zero Activity data'!AT72*UDSOEF*NtoN2O*kgtoGg,"ERROR"))</f>
        <v>6.0172391996362506</v>
      </c>
      <c r="AB1142" s="94">
        <f>IF('Net zero activities &amp; levers'!$C$14="Off",'Activity data'!AU72*UDSOEF*NtoN2O*kgtoGg,IF('Net zero activities &amp; levers'!$C$14="On",'Net zero Activity data'!AU72*UDSOEF*NtoN2O*kgtoGg,"ERROR"))</f>
        <v>6.0258973509268747</v>
      </c>
      <c r="AC1142" s="94">
        <f>IF('Net zero activities &amp; levers'!$C$14="Off",'Activity data'!AV72*UDSOEF*NtoN2O*kgtoGg,IF('Net zero activities &amp; levers'!$C$14="On",'Net zero Activity data'!AV72*UDSOEF*NtoN2O*kgtoGg,"ERROR"))</f>
        <v>6.0340283734996341</v>
      </c>
      <c r="AD1142" s="94">
        <f>IF('Net zero activities &amp; levers'!$C$14="Off",'Activity data'!AW72*UDSOEF*NtoN2O*kgtoGg,IF('Net zero activities &amp; levers'!$C$14="On",'Net zero Activity data'!AW72*UDSOEF*NtoN2O*kgtoGg,"ERROR"))</f>
        <v>6.0416246060545662</v>
      </c>
      <c r="AE1142" s="94">
        <f>IF('Net zero activities &amp; levers'!$C$14="Off",'Activity data'!AX72*UDSOEF*NtoN2O*kgtoGg,IF('Net zero activities &amp; levers'!$C$14="On",'Net zero Activity data'!AX72*UDSOEF*NtoN2O*kgtoGg,"ERROR"))</f>
        <v>6.0488075465649391</v>
      </c>
      <c r="AF1142" s="94">
        <f>IF('Net zero activities &amp; levers'!$C$14="Off",'Activity data'!AY72*UDSOEF*NtoN2O*kgtoGg,IF('Net zero activities &amp; levers'!$C$14="On",'Net zero Activity data'!AY72*UDSOEF*NtoN2O*kgtoGg,"ERROR"))</f>
        <v>6.0555945824734003</v>
      </c>
      <c r="AG1142" s="94">
        <f>IF('Net zero activities &amp; levers'!$C$14="Off",'Activity data'!AZ72*UDSOEF*NtoN2O*kgtoGg,IF('Net zero activities &amp; levers'!$C$14="On",'Net zero Activity data'!AZ72*UDSOEF*NtoN2O*kgtoGg,"ERROR"))</f>
        <v>6.0618926896286194</v>
      </c>
      <c r="AH1142" s="94">
        <f>IF('Net zero activities &amp; levers'!$C$14="Off",'Activity data'!BA72*UDSOEF*NtoN2O*kgtoGg,IF('Net zero activities &amp; levers'!$C$14="On",'Net zero Activity data'!BA72*UDSOEF*NtoN2O*kgtoGg,"ERROR"))</f>
        <v>6.0677594816606231</v>
      </c>
      <c r="AI1142" s="94">
        <f>IF('Net zero activities &amp; levers'!$C$14="Off",'Activity data'!BB72*UDSOEF*NtoN2O*kgtoGg,IF('Net zero activities &amp; levers'!$C$14="On",'Net zero Activity data'!BB72*UDSOEF*NtoN2O*kgtoGg,"ERROR"))</f>
        <v>6.0732885536184407</v>
      </c>
      <c r="AJ1142" s="94">
        <f>IF('Net zero activities &amp; levers'!$C$14="Off",'Activity data'!BC72*UDSOEF*NtoN2O*kgtoGg,IF('Net zero activities &amp; levers'!$C$14="On",'Net zero Activity data'!BC72*UDSOEF*NtoN2O*kgtoGg,"ERROR"))</f>
        <v>5.9400031784362666</v>
      </c>
      <c r="AK1142" s="94">
        <f>IF('Net zero activities &amp; levers'!$C$14="Off",'Activity data'!BD72*UDSOEF*NtoN2O*kgtoGg,IF('Net zero activities &amp; levers'!$C$14="On",'Net zero Activity data'!BD72*UDSOEF*NtoN2O*kgtoGg,"ERROR"))</f>
        <v>5.9454655494945321</v>
      </c>
      <c r="AL1142" s="94">
        <f>IF('Net zero activities &amp; levers'!$C$14="Off",'Activity data'!BE72*UDSOEF*NtoN2O*kgtoGg,IF('Net zero activities &amp; levers'!$C$14="On",'Net zero Activity data'!BE72*UDSOEF*NtoN2O*kgtoGg,"ERROR"))</f>
        <v>5.9505605357080302</v>
      </c>
      <c r="AM1142" s="94">
        <f>IF('Net zero activities &amp; levers'!$C$14="Off",'Activity data'!BF72*UDSOEF*NtoN2O*kgtoGg,IF('Net zero activities &amp; levers'!$C$14="On",'Net zero Activity data'!BF72*UDSOEF*NtoN2O*kgtoGg,"ERROR"))</f>
        <v>5.9553192750142969</v>
      </c>
      <c r="AN1142" s="94">
        <f>IF('Net zero activities &amp; levers'!$C$14="Off",'Activity data'!BG72*UDSOEF*NtoN2O*kgtoGg,IF('Net zero activities &amp; levers'!$C$14="On",'Net zero Activity data'!BG72*UDSOEF*NtoN2O*kgtoGg,"ERROR"))</f>
        <v>5.9597796192711163</v>
      </c>
      <c r="AO1142" s="94">
        <f>IF('Net zero activities &amp; levers'!$C$14="Off",'Activity data'!BH72*UDSOEF*NtoN2O*kgtoGg,IF('Net zero activities &amp; levers'!$C$14="On",'Net zero Activity data'!BH72*UDSOEF*NtoN2O*kgtoGg,"ERROR"))</f>
        <v>5.9638242432933737</v>
      </c>
      <c r="AP1142" s="94">
        <f>IF('Net zero activities &amp; levers'!$C$14="Off",'Activity data'!BI72*UDSOEF*NtoN2O*kgtoGg,IF('Net zero activities &amp; levers'!$C$14="On",'Net zero Activity data'!BI72*UDSOEF*NtoN2O*kgtoGg,"ERROR"))</f>
        <v>5.9673747960452372</v>
      </c>
      <c r="AQ1142" s="94">
        <f>IF('Net zero activities &amp; levers'!$C$14="Off",'Activity data'!BJ72*UDSOEF*NtoN2O*kgtoGg,IF('Net zero activities &amp; levers'!$C$14="On",'Net zero Activity data'!BJ72*UDSOEF*NtoN2O*kgtoGg,"ERROR"))</f>
        <v>5.9704198015060506</v>
      </c>
      <c r="AR1142" s="94">
        <f>IF('Net zero activities &amp; levers'!$C$14="Off",'Activity data'!BK72*UDSOEF*NtoN2O*kgtoGg,IF('Net zero activities &amp; levers'!$C$14="On",'Net zero Activity data'!BK72*UDSOEF*NtoN2O*kgtoGg,"ERROR"))</f>
        <v>5.9728700974873359</v>
      </c>
      <c r="AS1142" s="94">
        <f>IF('Net zero activities &amp; levers'!$C$14="Off",'Activity data'!BL72*UDSOEF*NtoN2O*kgtoGg,IF('Net zero activities &amp; levers'!$C$14="On",'Net zero Activity data'!BL72*UDSOEF*NtoN2O*kgtoGg,"ERROR"))</f>
        <v>5.9746287671291771</v>
      </c>
      <c r="AT1142" s="94">
        <f>IF('Net zero activities &amp; levers'!$C$14="Off",'Activity data'!BM72*UDSOEF*NtoN2O*kgtoGg,IF('Net zero activities &amp; levers'!$C$14="On",'Net zero Activity data'!BM72*UDSOEF*NtoN2O*kgtoGg,"ERROR"))</f>
        <v>5.9756848810921417</v>
      </c>
      <c r="AU1142" s="94">
        <f>IF('Net zero activities &amp; levers'!$C$14="Off",'Activity data'!BN72*UDSOEF*NtoN2O*kgtoGg,IF('Net zero activities &amp; levers'!$C$14="On",'Net zero Activity data'!BN72*UDSOEF*NtoN2O*kgtoGg,"ERROR"))</f>
        <v>5.9760535038151961</v>
      </c>
      <c r="AV1142" s="94">
        <f>IF('Net zero activities &amp; levers'!$C$14="Off",'Activity data'!BO72*UDSOEF*NtoN2O*kgtoGg,IF('Net zero activities &amp; levers'!$C$14="On",'Net zero Activity data'!BO72*UDSOEF*NtoN2O*kgtoGg,"ERROR"))</f>
        <v>5.9757454176187608</v>
      </c>
      <c r="AW1142" s="94">
        <f>IF('Net zero activities &amp; levers'!$C$14="Off",'Activity data'!BP72*UDSOEF*NtoN2O*kgtoGg,IF('Net zero activities &amp; levers'!$C$14="On",'Net zero Activity data'!BP72*UDSOEF*NtoN2O*kgtoGg,"ERROR"))</f>
        <v>5.9746694018004627</v>
      </c>
      <c r="AY1142" s="79"/>
    </row>
    <row r="1143" spans="1:51" x14ac:dyDescent="0.25">
      <c r="A1143" s="95" t="str">
        <f t="shared" si="374"/>
        <v>CM U&amp;D</v>
      </c>
      <c r="B1143" s="95" t="s">
        <v>1322</v>
      </c>
      <c r="C1143" s="95" t="s">
        <v>1336</v>
      </c>
      <c r="D1143" t="s">
        <v>369</v>
      </c>
      <c r="E1143" t="s">
        <v>55</v>
      </c>
      <c r="F1143" t="s">
        <v>422</v>
      </c>
      <c r="G1143" t="s">
        <v>1166</v>
      </c>
      <c r="H1143" t="s">
        <v>1247</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0.65694536678362214</v>
      </c>
      <c r="T1143" s="94">
        <f>IF('Net zero activities &amp; levers'!$C$14="Off",'Activity data'!AM73*UDSOEF*NtoN2O*kgtoGg,IF('Net zero activities &amp; levers'!$C$14="On",'Net zero Activity data'!AM73*UDSOEF*NtoN2O*kgtoGg,"ERROR"))</f>
        <v>0.65738259182956638</v>
      </c>
      <c r="U1143" s="94">
        <f>IF('Net zero activities &amp; levers'!$C$14="Off",'Activity data'!AN73*UDSOEF*NtoN2O*kgtoGg,IF('Net zero activities &amp; levers'!$C$14="On",'Net zero Activity data'!AN73*UDSOEF*NtoN2O*kgtoGg,"ERROR"))</f>
        <v>0.66594505777184321</v>
      </c>
      <c r="V1143" s="94">
        <f>IF('Net zero activities &amp; levers'!$C$14="Off",'Activity data'!AO73*UDSOEF*NtoN2O*kgtoGg,IF('Net zero activities &amp; levers'!$C$14="On",'Net zero Activity data'!AO73*UDSOEF*NtoN2O*kgtoGg,"ERROR"))</f>
        <v>0.66615393244568089</v>
      </c>
      <c r="W1143" s="94">
        <f>IF('Net zero activities &amp; levers'!$C$14="Off",'Activity data'!AP73*UDSOEF*NtoN2O*kgtoGg,IF('Net zero activities &amp; levers'!$C$14="On",'Net zero Activity data'!AP73*UDSOEF*NtoN2O*kgtoGg,"ERROR"))</f>
        <v>0.66704738854594903</v>
      </c>
      <c r="X1143" s="94">
        <f>IF('Net zero activities &amp; levers'!$C$14="Off",'Activity data'!AQ73*UDSOEF*NtoN2O*kgtoGg,IF('Net zero activities &amp; levers'!$C$14="On",'Net zero Activity data'!AQ73*UDSOEF*NtoN2O*kgtoGg,"ERROR"))</f>
        <v>0.66833890102476579</v>
      </c>
      <c r="Y1143" s="94">
        <f>IF('Net zero activities &amp; levers'!$C$14="Off",'Activity data'!AR73*UDSOEF*NtoN2O*kgtoGg,IF('Net zero activities &amp; levers'!$C$14="On",'Net zero Activity data'!AR73*UDSOEF*NtoN2O*kgtoGg,"ERROR"))</f>
        <v>0.66953867185871263</v>
      </c>
      <c r="Z1143" s="94">
        <f>IF('Net zero activities &amp; levers'!$C$14="Off",'Activity data'!AS73*UDSOEF*NtoN2O*kgtoGg,IF('Net zero activities &amp; levers'!$C$14="On",'Net zero Activity data'!AS73*UDSOEF*NtoN2O*kgtoGg,"ERROR"))</f>
        <v>0.67066155582291842</v>
      </c>
      <c r="AA1143" s="94">
        <f>IF('Net zero activities &amp; levers'!$C$14="Off",'Activity data'!AT73*UDSOEF*NtoN2O*kgtoGg,IF('Net zero activities &amp; levers'!$C$14="On",'Net zero Activity data'!AT73*UDSOEF*NtoN2O*kgtoGg,"ERROR"))</f>
        <v>0.67170156518637059</v>
      </c>
      <c r="AB1143" s="94">
        <f>IF('Net zero activities &amp; levers'!$C$14="Off",'Activity data'!AU73*UDSOEF*NtoN2O*kgtoGg,IF('Net zero activities &amp; levers'!$C$14="On",'Net zero Activity data'!AU73*UDSOEF*NtoN2O*kgtoGg,"ERROR"))</f>
        <v>0.67266807051889643</v>
      </c>
      <c r="AC1143" s="94">
        <f>IF('Net zero activities &amp; levers'!$C$14="Off",'Activity data'!AV73*UDSOEF*NtoN2O*kgtoGg,IF('Net zero activities &amp; levers'!$C$14="On",'Net zero Activity data'!AV73*UDSOEF*NtoN2O*kgtoGg,"ERROR"))</f>
        <v>0.67357573272202431</v>
      </c>
      <c r="AD1143" s="94">
        <f>IF('Net zero activities &amp; levers'!$C$14="Off",'Activity data'!AW73*UDSOEF*NtoN2O*kgtoGg,IF('Net zero activities &amp; levers'!$C$14="On",'Net zero Activity data'!AW73*UDSOEF*NtoN2O*kgtoGg,"ERROR"))</f>
        <v>0.67442369656846346</v>
      </c>
      <c r="AE1143" s="94">
        <f>IF('Net zero activities &amp; levers'!$C$14="Off",'Activity data'!AX73*UDSOEF*NtoN2O*kgtoGg,IF('Net zero activities &amp; levers'!$C$14="On",'Net zero Activity data'!AX73*UDSOEF*NtoN2O*kgtoGg,"ERROR"))</f>
        <v>0.67522552481949083</v>
      </c>
      <c r="AF1143" s="94">
        <f>IF('Net zero activities &amp; levers'!$C$14="Off",'Activity data'!AY73*UDSOEF*NtoN2O*kgtoGg,IF('Net zero activities &amp; levers'!$C$14="On",'Net zero Activity data'!AY73*UDSOEF*NtoN2O*kgtoGg,"ERROR"))</f>
        <v>0.67598315842710355</v>
      </c>
      <c r="AG1143" s="94">
        <f>IF('Net zero activities &amp; levers'!$C$14="Off",'Activity data'!AZ73*UDSOEF*NtoN2O*kgtoGg,IF('Net zero activities &amp; levers'!$C$14="On",'Net zero Activity data'!AZ73*UDSOEF*NtoN2O*kgtoGg,"ERROR"))</f>
        <v>0.676686213149297</v>
      </c>
      <c r="AH1143" s="94">
        <f>IF('Net zero activities &amp; levers'!$C$14="Off",'Activity data'!BA73*UDSOEF*NtoN2O*kgtoGg,IF('Net zero activities &amp; levers'!$C$14="On",'Net zero Activity data'!BA73*UDSOEF*NtoN2O*kgtoGg,"ERROR"))</f>
        <v>0.67734112036833483</v>
      </c>
      <c r="AI1143" s="94">
        <f>IF('Net zero activities &amp; levers'!$C$14="Off",'Activity data'!BB73*UDSOEF*NtoN2O*kgtoGg,IF('Net zero activities &amp; levers'!$C$14="On",'Net zero Activity data'!BB73*UDSOEF*NtoN2O*kgtoGg,"ERROR"))</f>
        <v>0.67795832805526179</v>
      </c>
      <c r="AJ1143" s="94">
        <f>IF('Net zero activities &amp; levers'!$C$14="Off",'Activity data'!BC73*UDSOEF*NtoN2O*kgtoGg,IF('Net zero activities &amp; levers'!$C$14="On",'Net zero Activity data'!BC73*UDSOEF*NtoN2O*kgtoGg,"ERROR"))</f>
        <v>0.66307974467906339</v>
      </c>
      <c r="AK1143" s="94">
        <f>IF('Net zero activities &amp; levers'!$C$14="Off",'Activity data'!BD73*UDSOEF*NtoN2O*kgtoGg,IF('Net zero activities &amp; levers'!$C$14="On",'Net zero Activity data'!BD73*UDSOEF*NtoN2O*kgtoGg,"ERROR"))</f>
        <v>0.66368950657612846</v>
      </c>
      <c r="AL1143" s="94">
        <f>IF('Net zero activities &amp; levers'!$C$14="Off",'Activity data'!BE73*UDSOEF*NtoN2O*kgtoGg,IF('Net zero activities &amp; levers'!$C$14="On",'Net zero Activity data'!BE73*UDSOEF*NtoN2O*kgtoGg,"ERROR"))</f>
        <v>0.6642582574767768</v>
      </c>
      <c r="AM1143" s="94">
        <f>IF('Net zero activities &amp; levers'!$C$14="Off",'Activity data'!BF73*UDSOEF*NtoN2O*kgtoGg,IF('Net zero activities &amp; levers'!$C$14="On",'Net zero Activity data'!BF73*UDSOEF*NtoN2O*kgtoGg,"ERROR"))</f>
        <v>0.66478947329424454</v>
      </c>
      <c r="AN1143" s="94">
        <f>IF('Net zero activities &amp; levers'!$C$14="Off",'Activity data'!BG73*UDSOEF*NtoN2O*kgtoGg,IF('Net zero activities &amp; levers'!$C$14="On",'Net zero Activity data'!BG73*UDSOEF*NtoN2O*kgtoGg,"ERROR"))</f>
        <v>0.66528737941350879</v>
      </c>
      <c r="AO1143" s="94">
        <f>IF('Net zero activities &amp; levers'!$C$14="Off",'Activity data'!BH73*UDSOEF*NtoN2O*kgtoGg,IF('Net zero activities &amp; levers'!$C$14="On",'Net zero Activity data'!BH73*UDSOEF*NtoN2O*kgtoGg,"ERROR"))</f>
        <v>0.66573887887965999</v>
      </c>
      <c r="AP1143" s="94">
        <f>IF('Net zero activities &amp; levers'!$C$14="Off",'Activity data'!BI73*UDSOEF*NtoN2O*kgtoGg,IF('Net zero activities &amp; levers'!$C$14="On",'Net zero Activity data'!BI73*UDSOEF*NtoN2O*kgtoGg,"ERROR"))</f>
        <v>0.66613522540363546</v>
      </c>
      <c r="AQ1143" s="94">
        <f>IF('Net zero activities &amp; levers'!$C$14="Off",'Activity data'!BJ73*UDSOEF*NtoN2O*kgtoGg,IF('Net zero activities &amp; levers'!$C$14="On",'Net zero Activity data'!BJ73*UDSOEF*NtoN2O*kgtoGg,"ERROR"))</f>
        <v>0.66647513792267787</v>
      </c>
      <c r="AR1143" s="94">
        <f>IF('Net zero activities &amp; levers'!$C$14="Off",'Activity data'!BK73*UDSOEF*NtoN2O*kgtoGg,IF('Net zero activities &amp; levers'!$C$14="On",'Net zero Activity data'!BK73*UDSOEF*NtoN2O*kgtoGg,"ERROR"))</f>
        <v>0.66674866330386928</v>
      </c>
      <c r="AS1143" s="94">
        <f>IF('Net zero activities &amp; levers'!$C$14="Off",'Activity data'!BL73*UDSOEF*NtoN2O*kgtoGg,IF('Net zero activities &amp; levers'!$C$14="On",'Net zero Activity data'!BL73*UDSOEF*NtoN2O*kgtoGg,"ERROR"))</f>
        <v>0.6669449827639865</v>
      </c>
      <c r="AT1143" s="94">
        <f>IF('Net zero activities &amp; levers'!$C$14="Off",'Activity data'!BM73*UDSOEF*NtoN2O*kgtoGg,IF('Net zero activities &amp; levers'!$C$14="On",'Net zero Activity data'!BM73*UDSOEF*NtoN2O*kgtoGg,"ERROR"))</f>
        <v>0.66706287626604011</v>
      </c>
      <c r="AU1143" s="94">
        <f>IF('Net zero activities &amp; levers'!$C$14="Off",'Activity data'!BN73*UDSOEF*NtoN2O*kgtoGg,IF('Net zero activities &amp; levers'!$C$14="On",'Net zero Activity data'!BN73*UDSOEF*NtoN2O*kgtoGg,"ERROR"))</f>
        <v>0.6671040254462246</v>
      </c>
      <c r="AV1143" s="94">
        <f>IF('Net zero activities &amp; levers'!$C$14="Off",'Activity data'!BO73*UDSOEF*NtoN2O*kgtoGg,IF('Net zero activities &amp; levers'!$C$14="On",'Net zero Activity data'!BO73*UDSOEF*NtoN2O*kgtoGg,"ERROR"))</f>
        <v>0.66706963392986762</v>
      </c>
      <c r="AW1143" s="94">
        <f>IF('Net zero activities &amp; levers'!$C$14="Off",'Activity data'!BP73*UDSOEF*NtoN2O*kgtoGg,IF('Net zero activities &amp; levers'!$C$14="On",'Net zero Activity data'!BP73*UDSOEF*NtoN2O*kgtoGg,"ERROR"))</f>
        <v>0.66694951879311848</v>
      </c>
      <c r="AY1143" s="79"/>
    </row>
    <row r="1144" spans="1:51" x14ac:dyDescent="0.25">
      <c r="A1144" s="95" t="str">
        <f t="shared" si="374"/>
        <v>CM U&amp;D</v>
      </c>
      <c r="B1144" s="95" t="s">
        <v>1322</v>
      </c>
      <c r="C1144" s="95" t="s">
        <v>1336</v>
      </c>
      <c r="D1144" t="s">
        <v>369</v>
      </c>
      <c r="E1144" t="s">
        <v>55</v>
      </c>
      <c r="F1144" t="s">
        <v>422</v>
      </c>
      <c r="G1144" t="s">
        <v>1168</v>
      </c>
      <c r="H1144" t="s">
        <v>1248</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0.73708994755228441</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0.74013020273035457</v>
      </c>
      <c r="T1144" s="94">
        <f>IF('Net zero activities &amp; levers'!$C$14="Off",'Activity data'!AM74*UDSOEF*NtoN2O*kgtoGg,IF('Net zero activities &amp; levers'!$C$14="On",'Net zero Activity data'!AM74*UDSOEF*NtoN2O*kgtoGg,"ERROR"))</f>
        <v>0.74134144539721225</v>
      </c>
      <c r="U1144" s="94">
        <f>IF('Net zero activities &amp; levers'!$C$14="Off",'Activity data'!AN74*UDSOEF*NtoN2O*kgtoGg,IF('Net zero activities &amp; levers'!$C$14="On",'Net zero Activity data'!AN74*UDSOEF*NtoN2O*kgtoGg,"ERROR"))</f>
        <v>0.75637233627465528</v>
      </c>
      <c r="V1144" s="94">
        <f>IF('Net zero activities &amp; levers'!$C$14="Off",'Activity data'!AO74*UDSOEF*NtoN2O*kgtoGg,IF('Net zero activities &amp; levers'!$C$14="On",'Net zero Activity data'!AO74*UDSOEF*NtoN2O*kgtoGg,"ERROR"))</f>
        <v>0.75705141377161567</v>
      </c>
      <c r="W1144" s="94">
        <f>IF('Net zero activities &amp; levers'!$C$14="Off",'Activity data'!AP74*UDSOEF*NtoN2O*kgtoGg,IF('Net zero activities &amp; levers'!$C$14="On",'Net zero Activity data'!AP74*UDSOEF*NtoN2O*kgtoGg,"ERROR"))</f>
        <v>0.7588492807776368</v>
      </c>
      <c r="X1144" s="94">
        <f>IF('Net zero activities &amp; levers'!$C$14="Off",'Activity data'!AQ74*UDSOEF*NtoN2O*kgtoGg,IF('Net zero activities &amp; levers'!$C$14="On",'Net zero Activity data'!AQ74*UDSOEF*NtoN2O*kgtoGg,"ERROR"))</f>
        <v>0.76127573486462674</v>
      </c>
      <c r="Y1144" s="94">
        <f>IF('Net zero activities &amp; levers'!$C$14="Off",'Activity data'!AR74*UDSOEF*NtoN2O*kgtoGg,IF('Net zero activities &amp; levers'!$C$14="On",'Net zero Activity data'!AR74*UDSOEF*NtoN2O*kgtoGg,"ERROR"))</f>
        <v>0.76350113172742184</v>
      </c>
      <c r="Z1144" s="94">
        <f>IF('Net zero activities &amp; levers'!$C$14="Off",'Activity data'!AS74*UDSOEF*NtoN2O*kgtoGg,IF('Net zero activities &amp; levers'!$C$14="On",'Net zero Activity data'!AS74*UDSOEF*NtoN2O*kgtoGg,"ERROR"))</f>
        <v>0.76555488722735199</v>
      </c>
      <c r="AA1144" s="94">
        <f>IF('Net zero activities &amp; levers'!$C$14="Off",'Activity data'!AT74*UDSOEF*NtoN2O*kgtoGg,IF('Net zero activities &amp; levers'!$C$14="On",'Net zero Activity data'!AT74*UDSOEF*NtoN2O*kgtoGg,"ERROR"))</f>
        <v>0.76743070192723151</v>
      </c>
      <c r="AB1144" s="94">
        <f>IF('Net zero activities &amp; levers'!$C$14="Off",'Activity data'!AU74*UDSOEF*NtoN2O*kgtoGg,IF('Net zero activities &amp; levers'!$C$14="On",'Net zero Activity data'!AU74*UDSOEF*NtoN2O*kgtoGg,"ERROR"))</f>
        <v>0.76914783818331145</v>
      </c>
      <c r="AC1144" s="94">
        <f>IF('Net zero activities &amp; levers'!$C$14="Off",'Activity data'!AV74*UDSOEF*NtoN2O*kgtoGg,IF('Net zero activities &amp; levers'!$C$14="On",'Net zero Activity data'!AV74*UDSOEF*NtoN2O*kgtoGg,"ERROR"))</f>
        <v>0.77073400076292786</v>
      </c>
      <c r="AD1144" s="94">
        <f>IF('Net zero activities &amp; levers'!$C$14="Off",'Activity data'!AW74*UDSOEF*NtoN2O*kgtoGg,IF('Net zero activities &amp; levers'!$C$14="On",'Net zero Activity data'!AW74*UDSOEF*NtoN2O*kgtoGg,"ERROR"))</f>
        <v>0.77219046763440091</v>
      </c>
      <c r="AE1144" s="94">
        <f>IF('Net zero activities &amp; levers'!$C$14="Off",'Activity data'!AX74*UDSOEF*NtoN2O*kgtoGg,IF('Net zero activities &amp; levers'!$C$14="On",'Net zero Activity data'!AX74*UDSOEF*NtoN2O*kgtoGg,"ERROR"))</f>
        <v>0.77354238750921345</v>
      </c>
      <c r="AF1144" s="94">
        <f>IF('Net zero activities &amp; levers'!$C$14="Off",'Activity data'!AY74*UDSOEF*NtoN2O*kgtoGg,IF('Net zero activities &amp; levers'!$C$14="On",'Net zero Activity data'!AY74*UDSOEF*NtoN2O*kgtoGg,"ERROR"))</f>
        <v>0.77479516156173556</v>
      </c>
      <c r="AG1144" s="94">
        <f>IF('Net zero activities &amp; levers'!$C$14="Off",'Activity data'!AZ74*UDSOEF*NtoN2O*kgtoGg,IF('Net zero activities &amp; levers'!$C$14="On",'Net zero Activity data'!AZ74*UDSOEF*NtoN2O*kgtoGg,"ERROR"))</f>
        <v>0.77593349397844169</v>
      </c>
      <c r="AH1144" s="94">
        <f>IF('Net zero activities &amp; levers'!$C$14="Off",'Activity data'!BA74*UDSOEF*NtoN2O*kgtoGg,IF('Net zero activities &amp; levers'!$C$14="On",'Net zero Activity data'!BA74*UDSOEF*NtoN2O*kgtoGg,"ERROR"))</f>
        <v>0.77696999137205336</v>
      </c>
      <c r="AI1144" s="94">
        <f>IF('Net zero activities &amp; levers'!$C$14="Off",'Activity data'!BB74*UDSOEF*NtoN2O*kgtoGg,IF('Net zero activities &amp; levers'!$C$14="On",'Net zero Activity data'!BB74*UDSOEF*NtoN2O*kgtoGg,"ERROR"))</f>
        <v>0.77792369769702041</v>
      </c>
      <c r="AJ1144" s="94">
        <f>IF('Net zero activities &amp; levers'!$C$14="Off",'Activity data'!BC74*UDSOEF*NtoN2O*kgtoGg,IF('Net zero activities &amp; levers'!$C$14="On",'Net zero Activity data'!BC74*UDSOEF*NtoN2O*kgtoGg,"ERROR"))</f>
        <v>0.75322819608955549</v>
      </c>
      <c r="AK1144" s="94">
        <f>IF('Net zero activities &amp; levers'!$C$14="Off",'Activity data'!BD74*UDSOEF*NtoN2O*kgtoGg,IF('Net zero activities &amp; levers'!$C$14="On",'Net zero Activity data'!BD74*UDSOEF*NtoN2O*kgtoGg,"ERROR"))</f>
        <v>0.7541800771600401</v>
      </c>
      <c r="AL1144" s="94">
        <f>IF('Net zero activities &amp; levers'!$C$14="Off",'Activity data'!BE74*UDSOEF*NtoN2O*kgtoGg,IF('Net zero activities &amp; levers'!$C$14="On",'Net zero Activity data'!BE74*UDSOEF*NtoN2O*kgtoGg,"ERROR"))</f>
        <v>0.75504675193645199</v>
      </c>
      <c r="AM1144" s="94">
        <f>IF('Net zero activities &amp; levers'!$C$14="Off",'Activity data'!BF74*UDSOEF*NtoN2O*kgtoGg,IF('Net zero activities &amp; levers'!$C$14="On",'Net zero Activity data'!BF74*UDSOEF*NtoN2O*kgtoGg,"ERROR"))</f>
        <v>0.75583523459809387</v>
      </c>
      <c r="AN1144" s="94">
        <f>IF('Net zero activities &amp; levers'!$C$14="Off",'Activity data'!BG74*UDSOEF*NtoN2O*kgtoGg,IF('Net zero activities &amp; levers'!$C$14="On",'Net zero Activity data'!BG74*UDSOEF*NtoN2O*kgtoGg,"ERROR"))</f>
        <v>0.75655364806293945</v>
      </c>
      <c r="AO1144" s="94">
        <f>IF('Net zero activities &amp; levers'!$C$14="Off",'Activity data'!BH74*UDSOEF*NtoN2O*kgtoGg,IF('Net zero activities &amp; levers'!$C$14="On",'Net zero Activity data'!BH74*UDSOEF*NtoN2O*kgtoGg,"ERROR"))</f>
        <v>0.75718159798131446</v>
      </c>
      <c r="AP1144" s="94">
        <f>IF('Net zero activities &amp; levers'!$C$14="Off",'Activity data'!BI74*UDSOEF*NtoN2O*kgtoGg,IF('Net zero activities &amp; levers'!$C$14="On",'Net zero Activity data'!BI74*UDSOEF*NtoN2O*kgtoGg,"ERROR"))</f>
        <v>0.75770589154537149</v>
      </c>
      <c r="AQ1144" s="94">
        <f>IF('Net zero activities &amp; levers'!$C$14="Off",'Activity data'!BJ74*UDSOEF*NtoN2O*kgtoGg,IF('Net zero activities &amp; levers'!$C$14="On",'Net zero Activity data'!BJ74*UDSOEF*NtoN2O*kgtoGg,"ERROR"))</f>
        <v>0.75812556559779631</v>
      </c>
      <c r="AR1144" s="94">
        <f>IF('Net zero activities &amp; levers'!$C$14="Off",'Activity data'!BK74*UDSOEF*NtoN2O*kgtoGg,IF('Net zero activities &amp; levers'!$C$14="On",'Net zero Activity data'!BK74*UDSOEF*NtoN2O*kgtoGg,"ERROR"))</f>
        <v>0.75842546765792429</v>
      </c>
      <c r="AS1144" s="94">
        <f>IF('Net zero activities &amp; levers'!$C$14="Off",'Activity data'!BL74*UDSOEF*NtoN2O*kgtoGg,IF('Net zero activities &amp; levers'!$C$14="On",'Net zero Activity data'!BL74*UDSOEF*NtoN2O*kgtoGg,"ERROR"))</f>
        <v>0.75858908792613033</v>
      </c>
      <c r="AT1144" s="94">
        <f>IF('Net zero activities &amp; levers'!$C$14="Off",'Activity data'!BM74*UDSOEF*NtoN2O*kgtoGg,IF('Net zero activities &amp; levers'!$C$14="On",'Net zero Activity data'!BM74*UDSOEF*NtoN2O*kgtoGg,"ERROR"))</f>
        <v>0.7586155821106717</v>
      </c>
      <c r="AU1144" s="94">
        <f>IF('Net zero activities &amp; levers'!$C$14="Off",'Activity data'!BN74*UDSOEF*NtoN2O*kgtoGg,IF('Net zero activities &amp; levers'!$C$14="On",'Net zero Activity data'!BN74*UDSOEF*NtoN2O*kgtoGg,"ERROR"))</f>
        <v>0.75850877673067174</v>
      </c>
      <c r="AV1144" s="94">
        <f>IF('Net zero activities &amp; levers'!$C$14="Off",'Activity data'!BO74*UDSOEF*NtoN2O*kgtoGg,IF('Net zero activities &amp; levers'!$C$14="On",'Net zero Activity data'!BO74*UDSOEF*NtoN2O*kgtoGg,"ERROR"))</f>
        <v>0.75827165867074431</v>
      </c>
      <c r="AW1144" s="94">
        <f>IF('Net zero activities &amp; levers'!$C$14="Off",'Activity data'!BP74*UDSOEF*NtoN2O*kgtoGg,IF('Net zero activities &amp; levers'!$C$14="On",'Net zero Activity data'!BP74*UDSOEF*NtoN2O*kgtoGg,"ERROR"))</f>
        <v>0.75788873758895325</v>
      </c>
      <c r="AY1144" s="79"/>
    </row>
    <row r="1145" spans="1:51" x14ac:dyDescent="0.25">
      <c r="A1145" s="95" t="str">
        <f t="shared" si="374"/>
        <v>CM U&amp;D</v>
      </c>
      <c r="B1145" s="95" t="s">
        <v>1322</v>
      </c>
      <c r="C1145" s="95" t="s">
        <v>1336</v>
      </c>
      <c r="D1145" t="s">
        <v>369</v>
      </c>
      <c r="E1145" t="s">
        <v>55</v>
      </c>
      <c r="F1145" t="s">
        <v>422</v>
      </c>
      <c r="G1145" t="s">
        <v>1170</v>
      </c>
      <c r="H1145" t="s">
        <v>1249</v>
      </c>
      <c r="I1145" t="s">
        <v>139</v>
      </c>
      <c r="J1145" t="s">
        <v>287</v>
      </c>
      <c r="K1145" s="94">
        <f>IF('Net zero activities &amp; levers'!$C$14="Off",'Activity data'!AD75*UDSOEF*NtoN2O*kgtoGg,IF('Net zero activities &amp; levers'!$C$14="On",'Net zero Activity data'!AD75*UDSOEF*NtoN2O*kgtoGg,"ERROR"))</f>
        <v>1.1867254191644503</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1.2198688909683484</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1.2249004515324955</v>
      </c>
      <c r="T1145" s="94">
        <f>IF('Net zero activities &amp; levers'!$C$14="Off",'Activity data'!AM75*UDSOEF*NtoN2O*kgtoGg,IF('Net zero activities &amp; levers'!$C$14="On",'Net zero Activity data'!AM75*UDSOEF*NtoN2O*kgtoGg,"ERROR"))</f>
        <v>1.2269050335426288</v>
      </c>
      <c r="U1145" s="94">
        <f>IF('Net zero activities &amp; levers'!$C$14="Off",'Activity data'!AN75*UDSOEF*NtoN2O*kgtoGg,IF('Net zero activities &amp; levers'!$C$14="On",'Net zero Activity data'!AN75*UDSOEF*NtoN2O*kgtoGg,"ERROR"))</f>
        <v>1.2517808526279679</v>
      </c>
      <c r="V1145" s="94">
        <f>IF('Net zero activities &amp; levers'!$C$14="Off",'Activity data'!AO75*UDSOEF*NtoN2O*kgtoGg,IF('Net zero activities &amp; levers'!$C$14="On",'Net zero Activity data'!AO75*UDSOEF*NtoN2O*kgtoGg,"ERROR"))</f>
        <v>1.2529047120915915</v>
      </c>
      <c r="W1145" s="94">
        <f>IF('Net zero activities &amp; levers'!$C$14="Off",'Activity data'!AP75*UDSOEF*NtoN2O*kgtoGg,IF('Net zero activities &amp; levers'!$C$14="On",'Net zero Activity data'!AP75*UDSOEF*NtoN2O*kgtoGg,"ERROR"))</f>
        <v>1.2558801454671604</v>
      </c>
      <c r="X1145" s="94">
        <f>IF('Net zero activities &amp; levers'!$C$14="Off",'Activity data'!AQ75*UDSOEF*NtoN2O*kgtoGg,IF('Net zero activities &amp; levers'!$C$14="On",'Net zero Activity data'!AQ75*UDSOEF*NtoN2O*kgtoGg,"ERROR"))</f>
        <v>1.2598958776934803</v>
      </c>
      <c r="Y1145" s="94">
        <f>IF('Net zero activities &amp; levers'!$C$14="Off",'Activity data'!AR75*UDSOEF*NtoN2O*kgtoGg,IF('Net zero activities &amp; levers'!$C$14="On",'Net zero Activity data'!AR75*UDSOEF*NtoN2O*kgtoGg,"ERROR"))</f>
        <v>1.2635788642977572</v>
      </c>
      <c r="Z1145" s="94">
        <f>IF('Net zero activities &amp; levers'!$C$14="Off",'Activity data'!AS75*UDSOEF*NtoN2O*kgtoGg,IF('Net zero activities &amp; levers'!$C$14="On",'Net zero Activity data'!AS75*UDSOEF*NtoN2O*kgtoGg,"ERROR"))</f>
        <v>1.2669777879329793</v>
      </c>
      <c r="AA1145" s="94">
        <f>IF('Net zero activities &amp; levers'!$C$14="Off",'Activity data'!AT75*UDSOEF*NtoN2O*kgtoGg,IF('Net zero activities &amp; levers'!$C$14="On",'Net zero Activity data'!AT75*UDSOEF*NtoN2O*kgtoGg,"ERROR"))</f>
        <v>1.270082223158562</v>
      </c>
      <c r="AB1145" s="94">
        <f>IF('Net zero activities &amp; levers'!$C$14="Off",'Activity data'!AU75*UDSOEF*NtoN2O*kgtoGg,IF('Net zero activities &amp; levers'!$C$14="On",'Net zero Activity data'!AU75*UDSOEF*NtoN2O*kgtoGg,"ERROR"))</f>
        <v>1.2729240487828319</v>
      </c>
      <c r="AC1145" s="94">
        <f>IF('Net zero activities &amp; levers'!$C$14="Off",'Activity data'!AV75*UDSOEF*NtoN2O*kgtoGg,IF('Net zero activities &amp; levers'!$C$14="On",'Net zero Activity data'!AV75*UDSOEF*NtoN2O*kgtoGg,"ERROR"))</f>
        <v>1.2755491156329737</v>
      </c>
      <c r="AD1145" s="94">
        <f>IF('Net zero activities &amp; levers'!$C$14="Off",'Activity data'!AW75*UDSOEF*NtoN2O*kgtoGg,IF('Net zero activities &amp; levers'!$C$14="On",'Net zero Activity data'!AW75*UDSOEF*NtoN2O*kgtoGg,"ERROR"))</f>
        <v>1.2779595387205978</v>
      </c>
      <c r="AE1145" s="94">
        <f>IF('Net zero activities &amp; levers'!$C$14="Off",'Activity data'!AX75*UDSOEF*NtoN2O*kgtoGg,IF('Net zero activities &amp; levers'!$C$14="On",'Net zero Activity data'!AX75*UDSOEF*NtoN2O*kgtoGg,"ERROR"))</f>
        <v>1.2801969386523735</v>
      </c>
      <c r="AF1145" s="94">
        <f>IF('Net zero activities &amp; levers'!$C$14="Off",'Activity data'!AY75*UDSOEF*NtoN2O*kgtoGg,IF('Net zero activities &amp; levers'!$C$14="On",'Net zero Activity data'!AY75*UDSOEF*NtoN2O*kgtoGg,"ERROR"))</f>
        <v>1.2822702542621691</v>
      </c>
      <c r="AG1145" s="94">
        <f>IF('Net zero activities &amp; levers'!$C$14="Off",'Activity data'!AZ75*UDSOEF*NtoN2O*kgtoGg,IF('Net zero activities &amp; levers'!$C$14="On",'Net zero Activity data'!AZ75*UDSOEF*NtoN2O*kgtoGg,"ERROR"))</f>
        <v>1.2841541712892999</v>
      </c>
      <c r="AH1145" s="94">
        <f>IF('Net zero activities &amp; levers'!$C$14="Off",'Activity data'!BA75*UDSOEF*NtoN2O*kgtoGg,IF('Net zero activities &amp; levers'!$C$14="On",'Net zero Activity data'!BA75*UDSOEF*NtoN2O*kgtoGg,"ERROR"))</f>
        <v>1.2858695534217459</v>
      </c>
      <c r="AI1145" s="94">
        <f>IF('Net zero activities &amp; levers'!$C$14="Off",'Activity data'!BB75*UDSOEF*NtoN2O*kgtoGg,IF('Net zero activities &amp; levers'!$C$14="On",'Net zero Activity data'!BB75*UDSOEF*NtoN2O*kgtoGg,"ERROR"))</f>
        <v>1.2874479180172889</v>
      </c>
      <c r="AJ1145" s="94">
        <f>IF('Net zero activities &amp; levers'!$C$14="Off",'Activity data'!BC75*UDSOEF*NtoN2O*kgtoGg,IF('Net zero activities &amp; levers'!$C$14="On",'Net zero Activity data'!BC75*UDSOEF*NtoN2O*kgtoGg,"ERROR"))</f>
        <v>1.2465773644873634</v>
      </c>
      <c r="AK1145" s="94">
        <f>IF('Net zero activities &amp; levers'!$C$14="Off",'Activity data'!BD75*UDSOEF*NtoN2O*kgtoGg,IF('Net zero activities &amp; levers'!$C$14="On",'Net zero Activity data'!BD75*UDSOEF*NtoN2O*kgtoGg,"ERROR"))</f>
        <v>1.2481527083238142</v>
      </c>
      <c r="AL1145" s="94">
        <f>IF('Net zero activities &amp; levers'!$C$14="Off",'Activity data'!BE75*UDSOEF*NtoN2O*kgtoGg,IF('Net zero activities &amp; levers'!$C$14="On",'Net zero Activity data'!BE75*UDSOEF*NtoN2O*kgtoGg,"ERROR"))</f>
        <v>1.249587037474337</v>
      </c>
      <c r="AM1145" s="94">
        <f>IF('Net zero activities &amp; levers'!$C$14="Off",'Activity data'!BF75*UDSOEF*NtoN2O*kgtoGg,IF('Net zero activities &amp; levers'!$C$14="On",'Net zero Activity data'!BF75*UDSOEF*NtoN2O*kgtoGg,"ERROR"))</f>
        <v>1.2508919602632027</v>
      </c>
      <c r="AN1145" s="94">
        <f>IF('Net zero activities &amp; levers'!$C$14="Off",'Activity data'!BG75*UDSOEF*NtoN2O*kgtoGg,IF('Net zero activities &amp; levers'!$C$14="On",'Net zero Activity data'!BG75*UDSOEF*NtoN2O*kgtoGg,"ERROR"))</f>
        <v>1.2520809199546599</v>
      </c>
      <c r="AO1145" s="94">
        <f>IF('Net zero activities &amp; levers'!$C$14="Off",'Activity data'!BH75*UDSOEF*NtoN2O*kgtoGg,IF('Net zero activities &amp; levers'!$C$14="On",'Net zero Activity data'!BH75*UDSOEF*NtoN2O*kgtoGg,"ERROR"))</f>
        <v>1.25312016431426</v>
      </c>
      <c r="AP1145" s="94">
        <f>IF('Net zero activities &amp; levers'!$C$14="Off",'Activity data'!BI75*UDSOEF*NtoN2O*kgtoGg,IF('Net zero activities &amp; levers'!$C$14="On",'Net zero Activity data'!BI75*UDSOEF*NtoN2O*kgtoGg,"ERROR"))</f>
        <v>1.2539878595129963</v>
      </c>
      <c r="AQ1145" s="94">
        <f>IF('Net zero activities &amp; levers'!$C$14="Off",'Activity data'!BJ75*UDSOEF*NtoN2O*kgtoGg,IF('Net zero activities &amp; levers'!$C$14="On",'Net zero Activity data'!BJ75*UDSOEF*NtoN2O*kgtoGg,"ERROR"))</f>
        <v>1.2546824115450788</v>
      </c>
      <c r="AR1145" s="94">
        <f>IF('Net zero activities &amp; levers'!$C$14="Off",'Activity data'!BK75*UDSOEF*NtoN2O*kgtoGg,IF('Net zero activities &amp; levers'!$C$14="On",'Net zero Activity data'!BK75*UDSOEF*NtoN2O*kgtoGg,"ERROR"))</f>
        <v>1.255178743362793</v>
      </c>
      <c r="AS1145" s="94">
        <f>IF('Net zero activities &amp; levers'!$C$14="Off",'Activity data'!BL75*UDSOEF*NtoN2O*kgtoGg,IF('Net zero activities &amp; levers'!$C$14="On",'Net zero Activity data'!BL75*UDSOEF*NtoN2O*kgtoGg,"ERROR"))</f>
        <v>1.2554495315831169</v>
      </c>
      <c r="AT1145" s="94">
        <f>IF('Net zero activities &amp; levers'!$C$14="Off",'Activity data'!BM75*UDSOEF*NtoN2O*kgtoGg,IF('Net zero activities &amp; levers'!$C$14="On",'Net zero Activity data'!BM75*UDSOEF*NtoN2O*kgtoGg,"ERROR"))</f>
        <v>1.2554933789203664</v>
      </c>
      <c r="AU1145" s="94">
        <f>IF('Net zero activities &amp; levers'!$C$14="Off",'Activity data'!BN75*UDSOEF*NtoN2O*kgtoGg,IF('Net zero activities &amp; levers'!$C$14="On",'Net zero Activity data'!BN75*UDSOEF*NtoN2O*kgtoGg,"ERROR"))</f>
        <v>1.2553166181859641</v>
      </c>
      <c r="AV1145" s="94">
        <f>IF('Net zero activities &amp; levers'!$C$14="Off",'Activity data'!BO75*UDSOEF*NtoN2O*kgtoGg,IF('Net zero activities &amp; levers'!$C$14="On",'Net zero Activity data'!BO75*UDSOEF*NtoN2O*kgtoGg,"ERROR"))</f>
        <v>1.2549241926132744</v>
      </c>
      <c r="AW1145" s="94">
        <f>IF('Net zero activities &amp; levers'!$C$14="Off",'Activity data'!BP75*UDSOEF*NtoN2O*kgtoGg,IF('Net zero activities &amp; levers'!$C$14="On",'Net zero Activity data'!BP75*UDSOEF*NtoN2O*kgtoGg,"ERROR"))</f>
        <v>1.2542904660010414</v>
      </c>
      <c r="AY1145" s="79"/>
    </row>
    <row r="1146" spans="1:51" x14ac:dyDescent="0.25">
      <c r="A1146" s="95" t="str">
        <f t="shared" si="374"/>
        <v>CM U&amp;D</v>
      </c>
      <c r="B1146" s="95" t="s">
        <v>1322</v>
      </c>
      <c r="C1146" s="95" t="s">
        <v>1336</v>
      </c>
      <c r="D1146" t="s">
        <v>369</v>
      </c>
      <c r="E1146" t="s">
        <v>55</v>
      </c>
      <c r="F1146" t="s">
        <v>422</v>
      </c>
      <c r="G1146" t="s">
        <v>1172</v>
      </c>
      <c r="H1146" t="s">
        <v>1250</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0.19240499933397137</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0.19411375969056666</v>
      </c>
      <c r="O1146" s="94">
        <f>IF('Net zero activities &amp; levers'!$C$14="Off",'Activity data'!AH76*UDSOEF*NtoN2O*kgtoGg,IF('Net zero activities &amp; levers'!$C$14="On",'Net zero Activity data'!AH76*UDSOEF*NtoN2O*kgtoGg,"ERROR"))</f>
        <v>0.19368291106027899</v>
      </c>
      <c r="P1146" s="94">
        <f>IF('Net zero activities &amp; levers'!$C$14="Off",'Activity data'!AI76*UDSOEF*NtoN2O*kgtoGg,IF('Net zero activities &amp; levers'!$C$14="On",'Net zero Activity data'!AI76*UDSOEF*NtoN2O*kgtoGg,"ERROR"))</f>
        <v>0.19253602379697465</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0.19132863754616411</v>
      </c>
      <c r="S1146" s="94">
        <f>IF('Net zero activities &amp; levers'!$C$14="Off",'Activity data'!AL76*UDSOEF*NtoN2O*kgtoGg,IF('Net zero activities &amp; levers'!$C$14="On",'Net zero Activity data'!AL76*UDSOEF*NtoN2O*kgtoGg,"ERROR"))</f>
        <v>0.18281131471006393</v>
      </c>
      <c r="T1146" s="94">
        <f>IF('Net zero activities &amp; levers'!$C$14="Off",'Activity data'!AM76*UDSOEF*NtoN2O*kgtoGg,IF('Net zero activities &amp; levers'!$C$14="On",'Net zero Activity data'!AM76*UDSOEF*NtoN2O*kgtoGg,"ERROR"))</f>
        <v>0.18736784640695911</v>
      </c>
      <c r="U1146" s="94">
        <f>IF('Net zero activities &amp; levers'!$C$14="Off",'Activity data'!AN76*UDSOEF*NtoN2O*kgtoGg,IF('Net zero activities &amp; levers'!$C$14="On",'Net zero Activity data'!AN76*UDSOEF*NtoN2O*kgtoGg,"ERROR"))</f>
        <v>0.40219801863685228</v>
      </c>
      <c r="V1146" s="94">
        <f>IF('Net zero activities &amp; levers'!$C$14="Off",'Activity data'!AO76*UDSOEF*NtoN2O*kgtoGg,IF('Net zero activities &amp; levers'!$C$14="On",'Net zero Activity data'!AO76*UDSOEF*NtoN2O*kgtoGg,"ERROR"))</f>
        <v>0.40734903420411533</v>
      </c>
      <c r="W1146" s="94">
        <f>IF('Net zero activities &amp; levers'!$C$14="Off",'Activity data'!AP76*UDSOEF*NtoN2O*kgtoGg,IF('Net zero activities &amp; levers'!$C$14="On",'Net zero Activity data'!AP76*UDSOEF*NtoN2O*kgtoGg,"ERROR"))</f>
        <v>0.41149752828946928</v>
      </c>
      <c r="X1146" s="94">
        <f>IF('Net zero activities &amp; levers'!$C$14="Off",'Activity data'!AQ76*UDSOEF*NtoN2O*kgtoGg,IF('Net zero activities &amp; levers'!$C$14="On",'Net zero Activity data'!AQ76*UDSOEF*NtoN2O*kgtoGg,"ERROR"))</f>
        <v>0.41483621581205343</v>
      </c>
      <c r="Y1146" s="94">
        <f>IF('Net zero activities &amp; levers'!$C$14="Off",'Activity data'!AR76*UDSOEF*NtoN2O*kgtoGg,IF('Net zero activities &amp; levers'!$C$14="On",'Net zero Activity data'!AR76*UDSOEF*NtoN2O*kgtoGg,"ERROR"))</f>
        <v>0.41773635782756013</v>
      </c>
      <c r="Z1146" s="94">
        <f>IF('Net zero activities &amp; levers'!$C$14="Off",'Activity data'!AS76*UDSOEF*NtoN2O*kgtoGg,IF('Net zero activities &amp; levers'!$C$14="On",'Net zero Activity data'!AS76*UDSOEF*NtoN2O*kgtoGg,"ERROR"))</f>
        <v>0.42016501076041057</v>
      </c>
      <c r="AA1146" s="94">
        <f>IF('Net zero activities &amp; levers'!$C$14="Off",'Activity data'!AT76*UDSOEF*NtoN2O*kgtoGg,IF('Net zero activities &amp; levers'!$C$14="On",'Net zero Activity data'!AT76*UDSOEF*NtoN2O*kgtoGg,"ERROR"))</f>
        <v>0.42210855342477654</v>
      </c>
      <c r="AB1146" s="94">
        <f>IF('Net zero activities &amp; levers'!$C$14="Off",'Activity data'!AU76*UDSOEF*NtoN2O*kgtoGg,IF('Net zero activities &amp; levers'!$C$14="On",'Net zero Activity data'!AU76*UDSOEF*NtoN2O*kgtoGg,"ERROR"))</f>
        <v>0.42354330417098807</v>
      </c>
      <c r="AC1146" s="94">
        <f>IF('Net zero activities &amp; levers'!$C$14="Off",'Activity data'!AV76*UDSOEF*NtoN2O*kgtoGg,IF('Net zero activities &amp; levers'!$C$14="On",'Net zero Activity data'!AV76*UDSOEF*NtoN2O*kgtoGg,"ERROR"))</f>
        <v>0.42444389710723196</v>
      </c>
      <c r="AD1146" s="94">
        <f>IF('Net zero activities &amp; levers'!$C$14="Off",'Activity data'!AW76*UDSOEF*NtoN2O*kgtoGg,IF('Net zero activities &amp; levers'!$C$14="On",'Net zero Activity data'!AW76*UDSOEF*NtoN2O*kgtoGg,"ERROR"))</f>
        <v>0.42480049297226147</v>
      </c>
      <c r="AE1146" s="94">
        <f>IF('Net zero activities &amp; levers'!$C$14="Off",'Activity data'!AX76*UDSOEF*NtoN2O*kgtoGg,IF('Net zero activities &amp; levers'!$C$14="On",'Net zero Activity data'!AX76*UDSOEF*NtoN2O*kgtoGg,"ERROR"))</f>
        <v>0.42459446865621531</v>
      </c>
      <c r="AF1146" s="94">
        <f>IF('Net zero activities &amp; levers'!$C$14="Off",'Activity data'!AY76*UDSOEF*NtoN2O*kgtoGg,IF('Net zero activities &amp; levers'!$C$14="On",'Net zero Activity data'!AY76*UDSOEF*NtoN2O*kgtoGg,"ERROR"))</f>
        <v>0.42381980556219867</v>
      </c>
      <c r="AG1146" s="94">
        <f>IF('Net zero activities &amp; levers'!$C$14="Off",'Activity data'!AZ76*UDSOEF*NtoN2O*kgtoGg,IF('Net zero activities &amp; levers'!$C$14="On",'Net zero Activity data'!AZ76*UDSOEF*NtoN2O*kgtoGg,"ERROR"))</f>
        <v>0.42248350599041806</v>
      </c>
      <c r="AH1146" s="94">
        <f>IF('Net zero activities &amp; levers'!$C$14="Off",'Activity data'!BA76*UDSOEF*NtoN2O*kgtoGg,IF('Net zero activities &amp; levers'!$C$14="On",'Net zero Activity data'!BA76*UDSOEF*NtoN2O*kgtoGg,"ERROR"))</f>
        <v>0.42058207160696442</v>
      </c>
      <c r="AI1146" s="94">
        <f>IF('Net zero activities &amp; levers'!$C$14="Off",'Activity data'!BB76*UDSOEF*NtoN2O*kgtoGg,IF('Net zero activities &amp; levers'!$C$14="On",'Net zero Activity data'!BB76*UDSOEF*NtoN2O*kgtoGg,"ERROR"))</f>
        <v>0.41811210592034348</v>
      </c>
      <c r="AJ1146" s="94">
        <f>IF('Net zero activities &amp; levers'!$C$14="Off",'Activity data'!BC76*UDSOEF*NtoN2O*kgtoGg,IF('Net zero activities &amp; levers'!$C$14="On",'Net zero Activity data'!BC76*UDSOEF*NtoN2O*kgtoGg,"ERROR"))</f>
        <v>6.1557811520144383E-2</v>
      </c>
      <c r="AK1146" s="94">
        <f>IF('Net zero activities &amp; levers'!$C$14="Off",'Activity data'!BD76*UDSOEF*NtoN2O*kgtoGg,IF('Net zero activities &amp; levers'!$C$14="On",'Net zero Activity data'!BD76*UDSOEF*NtoN2O*kgtoGg,"ERROR"))</f>
        <v>6.1557811520144383E-2</v>
      </c>
      <c r="AL1146" s="94">
        <f>IF('Net zero activities &amp; levers'!$C$14="Off",'Activity data'!BE76*UDSOEF*NtoN2O*kgtoGg,IF('Net zero activities &amp; levers'!$C$14="On",'Net zero Activity data'!BE76*UDSOEF*NtoN2O*kgtoGg,"ERROR"))</f>
        <v>6.1557811520144383E-2</v>
      </c>
      <c r="AM1146" s="94">
        <f>IF('Net zero activities &amp; levers'!$C$14="Off",'Activity data'!BF76*UDSOEF*NtoN2O*kgtoGg,IF('Net zero activities &amp; levers'!$C$14="On",'Net zero Activity data'!BF76*UDSOEF*NtoN2O*kgtoGg,"ERROR"))</f>
        <v>6.1557811520144383E-2</v>
      </c>
      <c r="AN1146" s="94">
        <f>IF('Net zero activities &amp; levers'!$C$14="Off",'Activity data'!BG76*UDSOEF*NtoN2O*kgtoGg,IF('Net zero activities &amp; levers'!$C$14="On",'Net zero Activity data'!BG76*UDSOEF*NtoN2O*kgtoGg,"ERROR"))</f>
        <v>6.1557811520144383E-2</v>
      </c>
      <c r="AO1146" s="94">
        <f>IF('Net zero activities &amp; levers'!$C$14="Off",'Activity data'!BH76*UDSOEF*NtoN2O*kgtoGg,IF('Net zero activities &amp; levers'!$C$14="On",'Net zero Activity data'!BH76*UDSOEF*NtoN2O*kgtoGg,"ERROR"))</f>
        <v>6.1557811520144383E-2</v>
      </c>
      <c r="AP1146" s="94">
        <f>IF('Net zero activities &amp; levers'!$C$14="Off",'Activity data'!BI76*UDSOEF*NtoN2O*kgtoGg,IF('Net zero activities &amp; levers'!$C$14="On",'Net zero Activity data'!BI76*UDSOEF*NtoN2O*kgtoGg,"ERROR"))</f>
        <v>6.1557811520144383E-2</v>
      </c>
      <c r="AQ1146" s="94">
        <f>IF('Net zero activities &amp; levers'!$C$14="Off",'Activity data'!BJ76*UDSOEF*NtoN2O*kgtoGg,IF('Net zero activities &amp; levers'!$C$14="On",'Net zero Activity data'!BJ76*UDSOEF*NtoN2O*kgtoGg,"ERROR"))</f>
        <v>6.1557811520144383E-2</v>
      </c>
      <c r="AR1146" s="94">
        <f>IF('Net zero activities &amp; levers'!$C$14="Off",'Activity data'!BK76*UDSOEF*NtoN2O*kgtoGg,IF('Net zero activities &amp; levers'!$C$14="On",'Net zero Activity data'!BK76*UDSOEF*NtoN2O*kgtoGg,"ERROR"))</f>
        <v>6.1557811520144383E-2</v>
      </c>
      <c r="AS1146" s="94">
        <f>IF('Net zero activities &amp; levers'!$C$14="Off",'Activity data'!BL76*UDSOEF*NtoN2O*kgtoGg,IF('Net zero activities &amp; levers'!$C$14="On",'Net zero Activity data'!BL76*UDSOEF*NtoN2O*kgtoGg,"ERROR"))</f>
        <v>6.1557811520144383E-2</v>
      </c>
      <c r="AT1146" s="94">
        <f>IF('Net zero activities &amp; levers'!$C$14="Off",'Activity data'!BM76*UDSOEF*NtoN2O*kgtoGg,IF('Net zero activities &amp; levers'!$C$14="On",'Net zero Activity data'!BM76*UDSOEF*NtoN2O*kgtoGg,"ERROR"))</f>
        <v>6.1557811520144383E-2</v>
      </c>
      <c r="AU1146" s="94">
        <f>IF('Net zero activities &amp; levers'!$C$14="Off",'Activity data'!BN76*UDSOEF*NtoN2O*kgtoGg,IF('Net zero activities &amp; levers'!$C$14="On",'Net zero Activity data'!BN76*UDSOEF*NtoN2O*kgtoGg,"ERROR"))</f>
        <v>6.1557811520144383E-2</v>
      </c>
      <c r="AV1146" s="94">
        <f>IF('Net zero activities &amp; levers'!$C$14="Off",'Activity data'!BO76*UDSOEF*NtoN2O*kgtoGg,IF('Net zero activities &amp; levers'!$C$14="On",'Net zero Activity data'!BO76*UDSOEF*NtoN2O*kgtoGg,"ERROR"))</f>
        <v>6.1557811520144383E-2</v>
      </c>
      <c r="AW1146" s="94">
        <f>IF('Net zero activities &amp; levers'!$C$14="Off",'Activity data'!BP76*UDSOEF*NtoN2O*kgtoGg,IF('Net zero activities &amp; levers'!$C$14="On",'Net zero Activity data'!BP76*UDSOEF*NtoN2O*kgtoGg,"ERROR"))</f>
        <v>6.1557811520144383E-2</v>
      </c>
      <c r="AY1146" s="79"/>
    </row>
    <row r="1147" spans="1:51" x14ac:dyDescent="0.25">
      <c r="A1147" s="95" t="str">
        <f t="shared" si="374"/>
        <v>CM U&amp;D</v>
      </c>
      <c r="B1147" s="95" t="s">
        <v>1322</v>
      </c>
      <c r="C1147" s="95" t="s">
        <v>1336</v>
      </c>
      <c r="D1147" t="s">
        <v>369</v>
      </c>
      <c r="E1147" t="s">
        <v>55</v>
      </c>
      <c r="F1147" t="s">
        <v>422</v>
      </c>
      <c r="G1147" t="s">
        <v>1174</v>
      </c>
      <c r="H1147" t="s">
        <v>1251</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25">
      <c r="A1148" s="95" t="str">
        <f t="shared" si="374"/>
        <v>CM U&amp;D</v>
      </c>
      <c r="B1148" s="95" t="s">
        <v>1322</v>
      </c>
      <c r="C1148" s="95" t="s">
        <v>1336</v>
      </c>
      <c r="D1148" t="s">
        <v>369</v>
      </c>
      <c r="E1148" t="s">
        <v>55</v>
      </c>
      <c r="F1148" t="s">
        <v>422</v>
      </c>
      <c r="G1148" t="s">
        <v>1176</v>
      </c>
      <c r="H1148" t="s">
        <v>1252</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25">
      <c r="A1149" s="95" t="str">
        <f t="shared" si="374"/>
        <v>CM U&amp;D</v>
      </c>
      <c r="B1149" s="95" t="s">
        <v>1322</v>
      </c>
      <c r="C1149" s="95" t="s">
        <v>1336</v>
      </c>
      <c r="D1149" t="s">
        <v>369</v>
      </c>
      <c r="E1149" t="s">
        <v>55</v>
      </c>
      <c r="F1149" t="s">
        <v>422</v>
      </c>
      <c r="G1149" t="s">
        <v>1178</v>
      </c>
      <c r="H1149" t="s">
        <v>1253</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25">
      <c r="A1150" s="95" t="str">
        <f t="shared" si="374"/>
        <v>CM U&amp;D</v>
      </c>
      <c r="B1150" s="95" t="s">
        <v>1322</v>
      </c>
      <c r="C1150" s="95" t="s">
        <v>1336</v>
      </c>
      <c r="D1150" t="s">
        <v>369</v>
      </c>
      <c r="E1150" t="s">
        <v>55</v>
      </c>
      <c r="F1150" t="s">
        <v>422</v>
      </c>
      <c r="G1150" t="s">
        <v>1180</v>
      </c>
      <c r="H1150" t="s">
        <v>1254</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25">
      <c r="A1151" s="95" t="str">
        <f t="shared" si="374"/>
        <v>CM U&amp;D</v>
      </c>
      <c r="B1151" s="95" t="s">
        <v>1322</v>
      </c>
      <c r="C1151" s="95" t="s">
        <v>1336</v>
      </c>
      <c r="D1151" t="s">
        <v>369</v>
      </c>
      <c r="E1151" t="s">
        <v>55</v>
      </c>
      <c r="F1151" t="s">
        <v>422</v>
      </c>
      <c r="G1151" t="s">
        <v>1182</v>
      </c>
      <c r="H1151" t="s">
        <v>1255</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25">
      <c r="A1152" s="95" t="str">
        <f t="shared" si="374"/>
        <v>CM FSOM</v>
      </c>
      <c r="B1152" s="95" t="s">
        <v>1322</v>
      </c>
      <c r="C1152" s="95" t="s">
        <v>60</v>
      </c>
      <c r="D1152" t="s">
        <v>369</v>
      </c>
      <c r="E1152" t="s">
        <v>55</v>
      </c>
      <c r="F1152" t="s">
        <v>60</v>
      </c>
      <c r="G1152" t="s">
        <v>1266</v>
      </c>
      <c r="H1152" t="s">
        <v>1267</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25">
      <c r="A1153" s="95" t="str">
        <f t="shared" si="374"/>
        <v>CM FSOM</v>
      </c>
      <c r="B1153" s="95" t="s">
        <v>1322</v>
      </c>
      <c r="C1153" s="95" t="s">
        <v>60</v>
      </c>
      <c r="D1153" t="s">
        <v>369</v>
      </c>
      <c r="E1153" t="s">
        <v>55</v>
      </c>
      <c r="F1153" t="s">
        <v>60</v>
      </c>
      <c r="G1153" t="s">
        <v>1268</v>
      </c>
      <c r="H1153" t="s">
        <v>1269</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25">
      <c r="A1154" s="95" t="str">
        <f t="shared" si="374"/>
        <v>CM FSOM</v>
      </c>
      <c r="B1154" s="95" t="s">
        <v>1322</v>
      </c>
      <c r="C1154" s="95" t="s">
        <v>60</v>
      </c>
      <c r="D1154" t="s">
        <v>369</v>
      </c>
      <c r="E1154" t="s">
        <v>55</v>
      </c>
      <c r="F1154" t="s">
        <v>60</v>
      </c>
      <c r="G1154" t="s">
        <v>1270</v>
      </c>
      <c r="H1154" t="s">
        <v>1271</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25">
      <c r="A1155" s="95" t="str">
        <f t="shared" si="374"/>
        <v>CM FSOM</v>
      </c>
      <c r="B1155" s="95" t="s">
        <v>1322</v>
      </c>
      <c r="C1155" s="95" t="s">
        <v>60</v>
      </c>
      <c r="D1155" t="s">
        <v>369</v>
      </c>
      <c r="E1155" t="s">
        <v>55</v>
      </c>
      <c r="F1155" t="s">
        <v>60</v>
      </c>
      <c r="G1155" t="s">
        <v>1272</v>
      </c>
      <c r="H1155" t="s">
        <v>1273</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25">
      <c r="A1156" s="95" t="str">
        <f t="shared" si="374"/>
        <v>CM FSOM</v>
      </c>
      <c r="B1156" s="95" t="s">
        <v>1322</v>
      </c>
      <c r="C1156" s="95" t="s">
        <v>60</v>
      </c>
      <c r="D1156" t="s">
        <v>369</v>
      </c>
      <c r="E1156" t="s">
        <v>55</v>
      </c>
      <c r="F1156" t="s">
        <v>60</v>
      </c>
      <c r="G1156" t="s">
        <v>1274</v>
      </c>
      <c r="H1156" t="s">
        <v>1275</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25">
      <c r="A1157" s="95" t="str">
        <f t="shared" si="374"/>
        <v>CM FSOM</v>
      </c>
      <c r="B1157" s="95" t="s">
        <v>1322</v>
      </c>
      <c r="C1157" s="95" t="s">
        <v>60</v>
      </c>
      <c r="D1157" t="s">
        <v>369</v>
      </c>
      <c r="E1157" t="s">
        <v>55</v>
      </c>
      <c r="F1157" t="s">
        <v>60</v>
      </c>
      <c r="G1157" t="s">
        <v>1276</v>
      </c>
      <c r="H1157" t="s">
        <v>1277</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25">
      <c r="A1158" s="95" t="str">
        <f t="shared" si="374"/>
        <v>CM FSOM</v>
      </c>
      <c r="B1158" s="95" t="s">
        <v>1322</v>
      </c>
      <c r="C1158" s="95" t="s">
        <v>60</v>
      </c>
      <c r="D1158" t="s">
        <v>369</v>
      </c>
      <c r="E1158" t="s">
        <v>55</v>
      </c>
      <c r="F1158" t="s">
        <v>60</v>
      </c>
      <c r="G1158" t="s">
        <v>1278</v>
      </c>
      <c r="H1158" t="s">
        <v>1279</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25">
      <c r="A1159" s="95" t="str">
        <f t="shared" si="374"/>
        <v>CM FSOM</v>
      </c>
      <c r="B1159" s="95" t="s">
        <v>1322</v>
      </c>
      <c r="C1159" s="95" t="s">
        <v>60</v>
      </c>
      <c r="D1159" t="s">
        <v>369</v>
      </c>
      <c r="E1159" t="s">
        <v>55</v>
      </c>
      <c r="F1159" t="s">
        <v>60</v>
      </c>
      <c r="G1159" t="s">
        <v>1280</v>
      </c>
      <c r="H1159" t="s">
        <v>1281</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25">
      <c r="A1160" s="95" t="str">
        <f t="shared" si="374"/>
        <v>CM FSOM</v>
      </c>
      <c r="B1160" s="95" t="s">
        <v>1322</v>
      </c>
      <c r="C1160" s="95" t="s">
        <v>60</v>
      </c>
      <c r="D1160" t="s">
        <v>369</v>
      </c>
      <c r="E1160" t="s">
        <v>55</v>
      </c>
      <c r="F1160" t="s">
        <v>60</v>
      </c>
      <c r="G1160" t="s">
        <v>1282</v>
      </c>
      <c r="H1160" t="s">
        <v>1283</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25">
      <c r="A1161" s="95" t="str">
        <f t="shared" si="374"/>
        <v>CM FSOM</v>
      </c>
      <c r="B1161" s="95" t="s">
        <v>1322</v>
      </c>
      <c r="C1161" s="95" t="s">
        <v>60</v>
      </c>
      <c r="D1161" t="s">
        <v>369</v>
      </c>
      <c r="E1161" t="s">
        <v>55</v>
      </c>
      <c r="F1161" t="s">
        <v>60</v>
      </c>
      <c r="G1161" t="s">
        <v>1284</v>
      </c>
      <c r="H1161" t="s">
        <v>1285</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25">
      <c r="A1162" s="95" t="str">
        <f t="shared" si="374"/>
        <v>CM FSOM</v>
      </c>
      <c r="B1162" s="95" t="s">
        <v>1322</v>
      </c>
      <c r="C1162" s="95" t="s">
        <v>60</v>
      </c>
      <c r="D1162" t="s">
        <v>369</v>
      </c>
      <c r="E1162" t="s">
        <v>55</v>
      </c>
      <c r="F1162" t="s">
        <v>60</v>
      </c>
      <c r="G1162" t="s">
        <v>1286</v>
      </c>
      <c r="H1162" t="s">
        <v>1287</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25">
      <c r="A1163" s="95" t="str">
        <f t="shared" si="374"/>
        <v>CM FSOM</v>
      </c>
      <c r="B1163" s="95" t="s">
        <v>1322</v>
      </c>
      <c r="C1163" s="95" t="s">
        <v>60</v>
      </c>
      <c r="D1163" t="s">
        <v>369</v>
      </c>
      <c r="E1163" t="s">
        <v>55</v>
      </c>
      <c r="F1163" t="s">
        <v>60</v>
      </c>
      <c r="G1163" t="s">
        <v>1288</v>
      </c>
      <c r="H1163" t="s">
        <v>1289</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25">
      <c r="A1164" s="95" t="str">
        <f t="shared" si="374"/>
        <v>CM Volatilisation</v>
      </c>
      <c r="B1164" s="95" t="s">
        <v>1322</v>
      </c>
      <c r="C1164" s="95" t="s">
        <v>62</v>
      </c>
      <c r="D1164" t="s">
        <v>369</v>
      </c>
      <c r="E1164" t="s">
        <v>61</v>
      </c>
      <c r="F1164" t="s">
        <v>62</v>
      </c>
      <c r="G1164" t="s">
        <v>435</v>
      </c>
      <c r="H1164" t="s">
        <v>1184</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0.66035651430821074</v>
      </c>
      <c r="U1164" s="94">
        <f>IF('Net zero activities &amp; levers'!$C$14="Off",'Activity data'!AN47*ttokg*FracGASF*MSVolatEF*NtoN2O*kgtoGg,IF('Net zero activities &amp; levers'!$C$14="On",'Net zero Activity data'!AN47*ttokg*FracGASF*MSVolatEF*NtoN2O*kgtoGg,"ERROR"))</f>
        <v>0.66008394987584207</v>
      </c>
      <c r="V1164" s="94">
        <f>IF('Net zero activities &amp; levers'!$C$14="Off",'Activity data'!AO47*ttokg*FracGASF*MSVolatEF*NtoN2O*kgtoGg,IF('Net zero activities &amp; levers'!$C$14="On",'Net zero Activity data'!AO47*ttokg*FracGASF*MSVolatEF*NtoN2O*kgtoGg,"ERROR"))</f>
        <v>0.65354261970149441</v>
      </c>
      <c r="W1164" s="94">
        <f>IF('Net zero activities &amp; levers'!$C$14="Off",'Activity data'!AP47*ttokg*FracGASF*MSVolatEF*NtoN2O*kgtoGg,IF('Net zero activities &amp; levers'!$C$14="On",'Net zero Activity data'!AP47*ttokg*FracGASF*MSVolatEF*NtoN2O*kgtoGg,"ERROR"))</f>
        <v>0.65337920332710719</v>
      </c>
      <c r="X1164" s="94">
        <f>IF('Net zero activities &amp; levers'!$C$14="Off",'Activity data'!AQ47*ttokg*FracGASF*MSVolatEF*NtoN2O*kgtoGg,IF('Net zero activities &amp; levers'!$C$14="On",'Net zero Activity data'!AQ47*ttokg*FracGASF*MSVolatEF*NtoN2O*kgtoGg,"ERROR"))</f>
        <v>0.65322793572104454</v>
      </c>
      <c r="Y1164" s="94">
        <f>IF('Net zero activities &amp; levers'!$C$14="Off",'Activity data'!AR47*ttokg*FracGASF*MSVolatEF*NtoN2O*kgtoGg,IF('Net zero activities &amp; levers'!$C$14="On",'Net zero Activity data'!AR47*ttokg*FracGASF*MSVolatEF*NtoN2O*kgtoGg,"ERROR"))</f>
        <v>0.65308880056970553</v>
      </c>
      <c r="Z1164" s="94">
        <f>IF('Net zero activities &amp; levers'!$C$14="Off",'Activity data'!AS47*ttokg*FracGASF*MSVolatEF*NtoN2O*kgtoGg,IF('Net zero activities &amp; levers'!$C$14="On",'Net zero Activity data'!AS47*ttokg*FracGASF*MSVolatEF*NtoN2O*kgtoGg,"ERROR"))</f>
        <v>0.65296169227266498</v>
      </c>
      <c r="AA1164" s="94">
        <f>IF('Net zero activities &amp; levers'!$C$14="Off",'Activity data'!AT47*ttokg*FracGASF*MSVolatEF*NtoN2O*kgtoGg,IF('Net zero activities &amp; levers'!$C$14="On",'Net zero Activity data'!AT47*ttokg*FracGASF*MSVolatEF*NtoN2O*kgtoGg,"ERROR"))</f>
        <v>0.65284672118777098</v>
      </c>
      <c r="AB1164" s="94">
        <f>IF('Net zero activities &amp; levers'!$C$14="Off",'Activity data'!AU47*ttokg*FracGASF*MSVolatEF*NtoN2O*kgtoGg,IF('Net zero activities &amp; levers'!$C$14="On",'Net zero Activity data'!AU47*ttokg*FracGASF*MSVolatEF*NtoN2O*kgtoGg,"ERROR"))</f>
        <v>0.65274397960506148</v>
      </c>
      <c r="AC1164" s="94">
        <f>IF('Net zero activities &amp; levers'!$C$14="Off",'Activity data'!AV47*ttokg*FracGASF*MSVolatEF*NtoN2O*kgtoGg,IF('Net zero activities &amp; levers'!$C$14="On",'Net zero Activity data'!AV47*ttokg*FracGASF*MSVolatEF*NtoN2O*kgtoGg,"ERROR"))</f>
        <v>0.65265355793719104</v>
      </c>
      <c r="AD1164" s="94">
        <f>IF('Net zero activities &amp; levers'!$C$14="Off",'Activity data'!AW47*ttokg*FracGASF*MSVolatEF*NtoN2O*kgtoGg,IF('Net zero activities &amp; levers'!$C$14="On",'Net zero Activity data'!AW47*ttokg*FracGASF*MSVolatEF*NtoN2O*kgtoGg,"ERROR"))</f>
        <v>0.65257554079256641</v>
      </c>
      <c r="AE1164" s="94">
        <f>IF('Net zero activities &amp; levers'!$C$14="Off",'Activity data'!AX47*ttokg*FracGASF*MSVolatEF*NtoN2O*kgtoGg,IF('Net zero activities &amp; levers'!$C$14="On",'Net zero Activity data'!AX47*ttokg*FracGASF*MSVolatEF*NtoN2O*kgtoGg,"ERROR"))</f>
        <v>0.65250999875184101</v>
      </c>
      <c r="AF1164" s="94">
        <f>IF('Net zero activities &amp; levers'!$C$14="Off",'Activity data'!AY47*ttokg*FracGASF*MSVolatEF*NtoN2O*kgtoGg,IF('Net zero activities &amp; levers'!$C$14="On",'Net zero Activity data'!AY47*ttokg*FracGASF*MSVolatEF*NtoN2O*kgtoGg,"ERROR"))</f>
        <v>0.65245700134470697</v>
      </c>
      <c r="AG1164" s="94">
        <f>IF('Net zero activities &amp; levers'!$C$14="Off",'Activity data'!AZ47*ttokg*FracGASF*MSVolatEF*NtoN2O*kgtoGg,IF('Net zero activities &amp; levers'!$C$14="On",'Net zero Activity data'!AZ47*ttokg*FracGASF*MSVolatEF*NtoN2O*kgtoGg,"ERROR"))</f>
        <v>0.65241660651071587</v>
      </c>
      <c r="AH1164" s="94">
        <f>IF('Net zero activities &amp; levers'!$C$14="Off",'Activity data'!BA47*ttokg*FracGASF*MSVolatEF*NtoN2O*kgtoGg,IF('Net zero activities &amp; levers'!$C$14="On",'Net zero Activity data'!BA47*ttokg*FracGASF*MSVolatEF*NtoN2O*kgtoGg,"ERROR"))</f>
        <v>0.65238886062718315</v>
      </c>
      <c r="AI1164" s="94">
        <f>IF('Net zero activities &amp; levers'!$C$14="Off",'Activity data'!BB47*ttokg*FracGASF*MSVolatEF*NtoN2O*kgtoGg,IF('Net zero activities &amp; levers'!$C$14="On",'Net zero Activity data'!BB47*ttokg*FracGASF*MSVolatEF*NtoN2O*kgtoGg,"ERROR"))</f>
        <v>0.6523738107982866</v>
      </c>
      <c r="AJ1164" s="94">
        <f>IF('Net zero activities &amp; levers'!$C$14="Off",'Activity data'!BC47*ttokg*FracGASF*MSVolatEF*NtoN2O*kgtoGg,IF('Net zero activities &amp; levers'!$C$14="On",'Net zero Activity data'!BC47*ttokg*FracGASF*MSVolatEF*NtoN2O*kgtoGg,"ERROR"))</f>
        <v>0.65237149971504915</v>
      </c>
      <c r="AK1164" s="94">
        <f>IF('Net zero activities &amp; levers'!$C$14="Off",'Activity data'!BD47*ttokg*FracGASF*MSVolatEF*NtoN2O*kgtoGg,IF('Net zero activities &amp; levers'!$C$14="On",'Net zero Activity data'!BD47*ttokg*FracGASF*MSVolatEF*NtoN2O*kgtoGg,"ERROR"))</f>
        <v>0.6717077011874647</v>
      </c>
      <c r="AL1164" s="94">
        <f>IF('Net zero activities &amp; levers'!$C$14="Off",'Activity data'!BE47*ttokg*FracGASF*MSVolatEF*NtoN2O*kgtoGg,IF('Net zero activities &amp; levers'!$C$14="On",'Net zero Activity data'!BE47*ttokg*FracGASF*MSVolatEF*NtoN2O*kgtoGg,"ERROR"))</f>
        <v>0.67172409254060461</v>
      </c>
      <c r="AM1164" s="94">
        <f>IF('Net zero activities &amp; levers'!$C$14="Off",'Activity data'!BF47*ttokg*FracGASF*MSVolatEF*NtoN2O*kgtoGg,IF('Net zero activities &amp; levers'!$C$14="On",'Net zero Activity data'!BF47*ttokg*FracGASF*MSVolatEF*NtoN2O*kgtoGg,"ERROR"))</f>
        <v>0.67174011054610017</v>
      </c>
      <c r="AN1164" s="94">
        <f>IF('Net zero activities &amp; levers'!$C$14="Off",'Activity data'!BG47*ttokg*FracGASF*MSVolatEF*NtoN2O*kgtoGg,IF('Net zero activities &amp; levers'!$C$14="On",'Net zero Activity data'!BG47*ttokg*FracGASF*MSVolatEF*NtoN2O*kgtoGg,"ERROR"))</f>
        <v>0.67175577706338141</v>
      </c>
      <c r="AO1164" s="94">
        <f>IF('Net zero activities &amp; levers'!$C$14="Off",'Activity data'!BH47*ttokg*FracGASF*MSVolatEF*NtoN2O*kgtoGg,IF('Net zero activities &amp; levers'!$C$14="On",'Net zero Activity data'!BH47*ttokg*FracGASF*MSVolatEF*NtoN2O*kgtoGg,"ERROR"))</f>
        <v>0.67177111790148203</v>
      </c>
      <c r="AP1164" s="94">
        <f>IF('Net zero activities &amp; levers'!$C$14="Off",'Activity data'!BI47*ttokg*FracGASF*MSVolatEF*NtoN2O*kgtoGg,IF('Net zero activities &amp; levers'!$C$14="On",'Net zero Activity data'!BI47*ttokg*FracGASF*MSVolatEF*NtoN2O*kgtoGg,"ERROR"))</f>
        <v>0.67178606782023664</v>
      </c>
      <c r="AQ1164" s="94">
        <f>IF('Net zero activities &amp; levers'!$C$14="Off",'Activity data'!BJ47*ttokg*FracGASF*MSVolatEF*NtoN2O*kgtoGg,IF('Net zero activities &amp; levers'!$C$14="On",'Net zero Activity data'!BJ47*ttokg*FracGASF*MSVolatEF*NtoN2O*kgtoGg,"ERROR"))</f>
        <v>0.67180058277133392</v>
      </c>
      <c r="AR1164" s="94">
        <f>IF('Net zero activities &amp; levers'!$C$14="Off",'Activity data'!BK47*ttokg*FracGASF*MSVolatEF*NtoN2O*kgtoGg,IF('Net zero activities &amp; levers'!$C$14="On",'Net zero Activity data'!BK47*ttokg*FracGASF*MSVolatEF*NtoN2O*kgtoGg,"ERROR"))</f>
        <v>0.67181465717092259</v>
      </c>
      <c r="AS1164" s="94">
        <f>IF('Net zero activities &amp; levers'!$C$14="Off",'Activity data'!BL47*ttokg*FracGASF*MSVolatEF*NtoN2O*kgtoGg,IF('Net zero activities &amp; levers'!$C$14="On",'Net zero Activity data'!BL47*ttokg*FracGASF*MSVolatEF*NtoN2O*kgtoGg,"ERROR"))</f>
        <v>0.67182823869267982</v>
      </c>
      <c r="AT1164" s="94">
        <f>IF('Net zero activities &amp; levers'!$C$14="Off",'Activity data'!BM47*ttokg*FracGASF*MSVolatEF*NtoN2O*kgtoGg,IF('Net zero activities &amp; levers'!$C$14="On",'Net zero Activity data'!BM47*ttokg*FracGASF*MSVolatEF*NtoN2O*kgtoGg,"ERROR"))</f>
        <v>0.67184126908492714</v>
      </c>
      <c r="AU1164" s="94">
        <f>IF('Net zero activities &amp; levers'!$C$14="Off",'Activity data'!BN47*ttokg*FracGASF*MSVolatEF*NtoN2O*kgtoGg,IF('Net zero activities &amp; levers'!$C$14="On",'Net zero Activity data'!BN47*ttokg*FracGASF*MSVolatEF*NtoN2O*kgtoGg,"ERROR"))</f>
        <v>0.67185374065365466</v>
      </c>
      <c r="AV1164" s="94">
        <f>IF('Net zero activities &amp; levers'!$C$14="Off",'Activity data'!BO47*ttokg*FracGASF*MSVolatEF*NtoN2O*kgtoGg,IF('Net zero activities &amp; levers'!$C$14="On",'Net zero Activity data'!BO47*ttokg*FracGASF*MSVolatEF*NtoN2O*kgtoGg,"ERROR"))</f>
        <v>0.67186566123512315</v>
      </c>
      <c r="AW1164" s="94">
        <f>IF('Net zero activities &amp; levers'!$C$14="Off",'Activity data'!BP47*ttokg*FracGASF*MSVolatEF*NtoN2O*kgtoGg,IF('Net zero activities &amp; levers'!$C$14="On",'Net zero Activity data'!BP47*ttokg*FracGASF*MSVolatEF*NtoN2O*kgtoGg,"ERROR"))</f>
        <v>0.67187703615819216</v>
      </c>
      <c r="AY1164" s="79"/>
    </row>
    <row r="1165" spans="1:51" x14ac:dyDescent="0.25">
      <c r="A1165" s="95" t="str">
        <f t="shared" si="374"/>
        <v>CM Volatilisation</v>
      </c>
      <c r="B1165" s="95" t="s">
        <v>1322</v>
      </c>
      <c r="C1165" s="95" t="s">
        <v>62</v>
      </c>
      <c r="D1165" t="s">
        <v>369</v>
      </c>
      <c r="E1165" t="s">
        <v>61</v>
      </c>
      <c r="F1165" t="s">
        <v>62</v>
      </c>
      <c r="G1165" t="s">
        <v>436</v>
      </c>
      <c r="H1165" t="s">
        <v>1185</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8.716705988868383E-3</v>
      </c>
      <c r="U1165" s="94">
        <f>IF('Net zero activities &amp; levers'!$C$14="Off",'Activity data'!AN48*ttokg*FracGASM*MSVolatEF*NtoN2O*kgtoGg,IF('Net zero activities &amp; levers'!$C$14="On",'Net zero Activity data'!AN48*ttokg*FracGASM*MSVolatEF*NtoN2O*kgtoGg,"ERROR"))</f>
        <v>8.7131081383611166E-3</v>
      </c>
      <c r="V1165" s="94">
        <f>IF('Net zero activities &amp; levers'!$C$14="Off",'Activity data'!AO48*ttokg*FracGASM*MSVolatEF*NtoN2O*kgtoGg,IF('Net zero activities &amp; levers'!$C$14="On",'Net zero Activity data'!AO48*ttokg*FracGASM*MSVolatEF*NtoN2O*kgtoGg,"ERROR"))</f>
        <v>8.6267625800597308E-3</v>
      </c>
      <c r="W1165" s="94">
        <f>IF('Net zero activities &amp; levers'!$C$14="Off",'Activity data'!AP48*ttokg*FracGASM*MSVolatEF*NtoN2O*kgtoGg,IF('Net zero activities &amp; levers'!$C$14="On",'Net zero Activity data'!AP48*ttokg*FracGASM*MSVolatEF*NtoN2O*kgtoGg,"ERROR"))</f>
        <v>8.624605483917816E-3</v>
      </c>
      <c r="X1165" s="94">
        <f>IF('Net zero activities &amp; levers'!$C$14="Off",'Activity data'!AQ48*ttokg*FracGASM*MSVolatEF*NtoN2O*kgtoGg,IF('Net zero activities &amp; levers'!$C$14="On",'Net zero Activity data'!AQ48*ttokg*FracGASM*MSVolatEF*NtoN2O*kgtoGg,"ERROR"))</f>
        <v>8.6226087515177911E-3</v>
      </c>
      <c r="Y1165" s="94">
        <f>IF('Net zero activities &amp; levers'!$C$14="Off",'Activity data'!AR48*ttokg*FracGASM*MSVolatEF*NtoN2O*kgtoGg,IF('Net zero activities &amp; levers'!$C$14="On",'Net zero Activity data'!AR48*ttokg*FracGASM*MSVolatEF*NtoN2O*kgtoGg,"ERROR"))</f>
        <v>8.6207721675201129E-3</v>
      </c>
      <c r="Z1165" s="94">
        <f>IF('Net zero activities &amp; levers'!$C$14="Off",'Activity data'!AS48*ttokg*FracGASM*MSVolatEF*NtoN2O*kgtoGg,IF('Net zero activities &amp; levers'!$C$14="On",'Net zero Activity data'!AS48*ttokg*FracGASM*MSVolatEF*NtoN2O*kgtoGg,"ERROR"))</f>
        <v>8.6190943379991763E-3</v>
      </c>
      <c r="AA1165" s="94">
        <f>IF('Net zero activities &amp; levers'!$C$14="Off",'Activity data'!AT48*ttokg*FracGASM*MSVolatEF*NtoN2O*kgtoGg,IF('Net zero activities &amp; levers'!$C$14="On",'Net zero Activity data'!AT48*ttokg*FracGASM*MSVolatEF*NtoN2O*kgtoGg,"ERROR"))</f>
        <v>8.6175767196785755E-3</v>
      </c>
      <c r="AB1165" s="94">
        <f>IF('Net zero activities &amp; levers'!$C$14="Off",'Activity data'!AU48*ttokg*FracGASM*MSVolatEF*NtoN2O*kgtoGg,IF('Net zero activities &amp; levers'!$C$14="On",'Net zero Activity data'!AU48*ttokg*FracGASM*MSVolatEF*NtoN2O*kgtoGg,"ERROR"))</f>
        <v>8.6162205307868112E-3</v>
      </c>
      <c r="AC1165" s="94">
        <f>IF('Net zero activities &amp; levers'!$C$14="Off",'Activity data'!AV48*ttokg*FracGASM*MSVolatEF*NtoN2O*kgtoGg,IF('Net zero activities &amp; levers'!$C$14="On",'Net zero Activity data'!AV48*ttokg*FracGASM*MSVolatEF*NtoN2O*kgtoGg,"ERROR"))</f>
        <v>8.6150269647709242E-3</v>
      </c>
      <c r="AD1165" s="94">
        <f>IF('Net zero activities &amp; levers'!$C$14="Off",'Activity data'!AW48*ttokg*FracGASM*MSVolatEF*NtoN2O*kgtoGg,IF('Net zero activities &amp; levers'!$C$14="On",'Net zero Activity data'!AW48*ttokg*FracGASM*MSVolatEF*NtoN2O*kgtoGg,"ERROR"))</f>
        <v>8.6139971384618756E-3</v>
      </c>
      <c r="AE1165" s="94">
        <f>IF('Net zero activities &amp; levers'!$C$14="Off",'Activity data'!AX48*ttokg*FracGASM*MSVolatEF*NtoN2O*kgtoGg,IF('Net zero activities &amp; levers'!$C$14="On",'Net zero Activity data'!AX48*ttokg*FracGASM*MSVolatEF*NtoN2O*kgtoGg,"ERROR"))</f>
        <v>8.6131319835243015E-3</v>
      </c>
      <c r="AF1165" s="94">
        <f>IF('Net zero activities &amp; levers'!$C$14="Off",'Activity data'!AY48*ttokg*FracGASM*MSVolatEF*NtoN2O*kgtoGg,IF('Net zero activities &amp; levers'!$C$14="On",'Net zero Activity data'!AY48*ttokg*FracGASM*MSVolatEF*NtoN2O*kgtoGg,"ERROR"))</f>
        <v>8.6124324177501328E-3</v>
      </c>
      <c r="AG1165" s="94">
        <f>IF('Net zero activities &amp; levers'!$C$14="Off",'Activity data'!AZ48*ttokg*FracGASM*MSVolatEF*NtoN2O*kgtoGg,IF('Net zero activities &amp; levers'!$C$14="On",'Net zero Activity data'!AZ48*ttokg*FracGASM*MSVolatEF*NtoN2O*kgtoGg,"ERROR"))</f>
        <v>8.6118992059414506E-3</v>
      </c>
      <c r="AH1165" s="94">
        <f>IF('Net zero activities &amp; levers'!$C$14="Off",'Activity data'!BA48*ttokg*FracGASM*MSVolatEF*NtoN2O*kgtoGg,IF('Net zero activities &amp; levers'!$C$14="On",'Net zero Activity data'!BA48*ttokg*FracGASM*MSVolatEF*NtoN2O*kgtoGg,"ERROR"))</f>
        <v>8.6115329602788199E-3</v>
      </c>
      <c r="AI1165" s="94">
        <f>IF('Net zero activities &amp; levers'!$C$14="Off",'Activity data'!BB48*ttokg*FracGASM*MSVolatEF*NtoN2O*kgtoGg,IF('Net zero activities &amp; levers'!$C$14="On",'Net zero Activity data'!BB48*ttokg*FracGASM*MSVolatEF*NtoN2O*kgtoGg,"ERROR"))</f>
        <v>8.611334302537384E-3</v>
      </c>
      <c r="AJ1165" s="94">
        <f>IF('Net zero activities &amp; levers'!$C$14="Off",'Activity data'!BC48*ttokg*FracGASM*MSVolatEF*NtoN2O*kgtoGg,IF('Net zero activities &amp; levers'!$C$14="On",'Net zero Activity data'!BC48*ttokg*FracGASM*MSVolatEF*NtoN2O*kgtoGg,"ERROR"))</f>
        <v>8.6113037962386486E-3</v>
      </c>
      <c r="AK1165" s="94">
        <f>IF('Net zero activities &amp; levers'!$C$14="Off",'Activity data'!BD48*ttokg*FracGASM*MSVolatEF*NtoN2O*kgtoGg,IF('Net zero activities &amp; levers'!$C$14="On",'Net zero Activity data'!BD48*ttokg*FracGASM*MSVolatEF*NtoN2O*kgtoGg,"ERROR"))</f>
        <v>8.8665416556745359E-3</v>
      </c>
      <c r="AL1165" s="94">
        <f>IF('Net zero activities &amp; levers'!$C$14="Off",'Activity data'!BE48*ttokg*FracGASM*MSVolatEF*NtoN2O*kgtoGg,IF('Net zero activities &amp; levers'!$C$14="On",'Net zero Activity data'!BE48*ttokg*FracGASM*MSVolatEF*NtoN2O*kgtoGg,"ERROR"))</f>
        <v>8.8667580215359802E-3</v>
      </c>
      <c r="AM1165" s="94">
        <f>IF('Net zero activities &amp; levers'!$C$14="Off",'Activity data'!BF48*ttokg*FracGASM*MSVolatEF*NtoN2O*kgtoGg,IF('Net zero activities &amp; levers'!$C$14="On",'Net zero Activity data'!BF48*ttokg*FracGASM*MSVolatEF*NtoN2O*kgtoGg,"ERROR"))</f>
        <v>8.8669694592085242E-3</v>
      </c>
      <c r="AN1165" s="94">
        <f>IF('Net zero activities &amp; levers'!$C$14="Off",'Activity data'!BG48*ttokg*FracGASM*MSVolatEF*NtoN2O*kgtoGg,IF('Net zero activities &amp; levers'!$C$14="On",'Net zero Activity data'!BG48*ttokg*FracGASM*MSVolatEF*NtoN2O*kgtoGg,"ERROR"))</f>
        <v>8.8671762572366322E-3</v>
      </c>
      <c r="AO1165" s="94">
        <f>IF('Net zero activities &amp; levers'!$C$14="Off",'Activity data'!BH48*ttokg*FracGASM*MSVolatEF*NtoN2O*kgtoGg,IF('Net zero activities &amp; levers'!$C$14="On",'Net zero Activity data'!BH48*ttokg*FracGASM*MSVolatEF*NtoN2O*kgtoGg,"ERROR"))</f>
        <v>8.8673787562995633E-3</v>
      </c>
      <c r="AP1165" s="94">
        <f>IF('Net zero activities &amp; levers'!$C$14="Off",'Activity data'!BI48*ttokg*FracGASM*MSVolatEF*NtoN2O*kgtoGg,IF('Net zero activities &amp; levers'!$C$14="On",'Net zero Activity data'!BI48*ttokg*FracGASM*MSVolatEF*NtoN2O*kgtoGg,"ERROR"))</f>
        <v>8.8675760952271251E-3</v>
      </c>
      <c r="AQ1165" s="94">
        <f>IF('Net zero activities &amp; levers'!$C$14="Off",'Activity data'!BJ48*ttokg*FracGASM*MSVolatEF*NtoN2O*kgtoGg,IF('Net zero activities &amp; levers'!$C$14="On",'Net zero Activity data'!BJ48*ttokg*FracGASM*MSVolatEF*NtoN2O*kgtoGg,"ERROR"))</f>
        <v>8.8677676925816105E-3</v>
      </c>
      <c r="AR1165" s="94">
        <f>IF('Net zero activities &amp; levers'!$C$14="Off",'Activity data'!BK48*ttokg*FracGASM*MSVolatEF*NtoN2O*kgtoGg,IF('Net zero activities &amp; levers'!$C$14="On",'Net zero Activity data'!BK48*ttokg*FracGASM*MSVolatEF*NtoN2O*kgtoGg,"ERROR"))</f>
        <v>8.867953474656182E-3</v>
      </c>
      <c r="AS1165" s="94">
        <f>IF('Net zero activities &amp; levers'!$C$14="Off",'Activity data'!BL48*ttokg*FracGASM*MSVolatEF*NtoN2O*kgtoGg,IF('Net zero activities &amp; levers'!$C$14="On",'Net zero Activity data'!BL48*ttokg*FracGASM*MSVolatEF*NtoN2O*kgtoGg,"ERROR"))</f>
        <v>8.8681327507433762E-3</v>
      </c>
      <c r="AT1165" s="94">
        <f>IF('Net zero activities &amp; levers'!$C$14="Off",'Activity data'!BM48*ttokg*FracGASM*MSVolatEF*NtoN2O*kgtoGg,IF('Net zero activities &amp; levers'!$C$14="On",'Net zero Activity data'!BM48*ttokg*FracGASM*MSVolatEF*NtoN2O*kgtoGg,"ERROR"))</f>
        <v>8.8683047519210381E-3</v>
      </c>
      <c r="AU1165" s="94">
        <f>IF('Net zero activities &amp; levers'!$C$14="Off",'Activity data'!BN48*ttokg*FracGASM*MSVolatEF*NtoN2O*kgtoGg,IF('Net zero activities &amp; levers'!$C$14="On",'Net zero Activity data'!BN48*ttokg*FracGASM*MSVolatEF*NtoN2O*kgtoGg,"ERROR"))</f>
        <v>8.8684693766282394E-3</v>
      </c>
      <c r="AV1165" s="94">
        <f>IF('Net zero activities &amp; levers'!$C$14="Off",'Activity data'!BO48*ttokg*FracGASM*MSVolatEF*NtoN2O*kgtoGg,IF('Net zero activities &amp; levers'!$C$14="On",'Net zero Activity data'!BO48*ttokg*FracGASM*MSVolatEF*NtoN2O*kgtoGg,"ERROR"))</f>
        <v>8.8686267283036267E-3</v>
      </c>
      <c r="AW1165" s="94">
        <f>IF('Net zero activities &amp; levers'!$C$14="Off",'Activity data'!BP48*ttokg*FracGASM*MSVolatEF*NtoN2O*kgtoGg,IF('Net zero activities &amp; levers'!$C$14="On",'Net zero Activity data'!BP48*ttokg*FracGASM*MSVolatEF*NtoN2O*kgtoGg,"ERROR"))</f>
        <v>8.8687768772881346E-3</v>
      </c>
      <c r="AY1165" s="79"/>
    </row>
    <row r="1166" spans="1:51" x14ac:dyDescent="0.25">
      <c r="A1166" s="95" t="str">
        <f t="shared" si="374"/>
        <v>CM Volatilisation</v>
      </c>
      <c r="B1166" s="95" t="s">
        <v>1322</v>
      </c>
      <c r="C1166" s="95" t="s">
        <v>62</v>
      </c>
      <c r="D1166" t="s">
        <v>369</v>
      </c>
      <c r="E1166" t="s">
        <v>61</v>
      </c>
      <c r="F1166" t="s">
        <v>62</v>
      </c>
      <c r="G1166" t="s">
        <v>437</v>
      </c>
      <c r="H1166" t="s">
        <v>1186</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1.2019035107607596</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1.2055442230548157</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1.1799964998501227</v>
      </c>
      <c r="Q1166" s="94">
        <f>IF('Net zero activities &amp; levers'!$C$14="Off",SUM('Activity data'!AJ50:AJ65)*FracGASM*MSVolatEF*NtoN2O*kgtoGg,IF('Net zero activities &amp; levers'!$C$14="On",SUM('Net zero Activity data'!AJ50:AJ65)*FracGASM*MSVolatEF*NtoN2O*kgtoGg,"ERROR"))</f>
        <v>1.169776622170569</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1.0648906691667142</v>
      </c>
      <c r="T1166" s="94">
        <f>IF('Net zero activities &amp; levers'!$C$14="Off",SUM('Activity data'!AM50:AM65)*FracGASM*MSVolatEF*NtoN2O*kgtoGg,IF('Net zero activities &amp; levers'!$C$14="On",SUM('Net zero Activity data'!AM50:AM65)*FracGASM*MSVolatEF*NtoN2O*kgtoGg,"ERROR"))</f>
        <v>1.1057533797860197</v>
      </c>
      <c r="U1166" s="94">
        <f>IF('Net zero activities &amp; levers'!$C$14="Off",SUM('Activity data'!AN50:AN65)*FracGASM*MSVolatEF*NtoN2O*kgtoGg,IF('Net zero activities &amp; levers'!$C$14="On",SUM('Net zero Activity data'!AN50:AN65)*FracGASM*MSVolatEF*NtoN2O*kgtoGg,"ERROR"))</f>
        <v>3.1715891643578864</v>
      </c>
      <c r="V1166" s="94">
        <f>IF('Net zero activities &amp; levers'!$C$14="Off",SUM('Activity data'!AO50:AO65)*FracGASM*MSVolatEF*NtoN2O*kgtoGg,IF('Net zero activities &amp; levers'!$C$14="On",SUM('Net zero Activity data'!AO50:AO65)*FracGASM*MSVolatEF*NtoN2O*kgtoGg,"ERROR"))</f>
        <v>3.205817503106533</v>
      </c>
      <c r="W1166" s="94">
        <f>IF('Net zero activities &amp; levers'!$C$14="Off",SUM('Activity data'!AP50:AP65)*FracGASM*MSVolatEF*NtoN2O*kgtoGg,IF('Net zero activities &amp; levers'!$C$14="On",SUM('Net zero Activity data'!AP50:AP65)*FracGASM*MSVolatEF*NtoN2O*kgtoGg,"ERROR"))</f>
        <v>3.2352153287252081</v>
      </c>
      <c r="X1166" s="94">
        <f>IF('Net zero activities &amp; levers'!$C$14="Off",SUM('Activity data'!AQ50:AQ65)*FracGASM*MSVolatEF*NtoN2O*kgtoGg,IF('Net zero activities &amp; levers'!$C$14="On",SUM('Net zero Activity data'!AQ50:AQ65)*FracGASM*MSVolatEF*NtoN2O*kgtoGg,"ERROR"))</f>
        <v>3.2596764998420773</v>
      </c>
      <c r="Y1166" s="94">
        <f>IF('Net zero activities &amp; levers'!$C$14="Off",SUM('Activity data'!AR50:AR65)*FracGASM*MSVolatEF*NtoN2O*kgtoGg,IF('Net zero activities &amp; levers'!$C$14="On",SUM('Net zero Activity data'!AR50:AR65)*FracGASM*MSVolatEF*NtoN2O*kgtoGg,"ERROR"))</f>
        <v>3.2791703785538746</v>
      </c>
      <c r="Z1166" s="94">
        <f>IF('Net zero activities &amp; levers'!$C$14="Off",SUM('Activity data'!AS50:AS65)*FracGASM*MSVolatEF*NtoN2O*kgtoGg,IF('Net zero activities &amp; levers'!$C$14="On",SUM('Net zero Activity data'!AS50:AS65)*FracGASM*MSVolatEF*NtoN2O*kgtoGg,"ERROR"))</f>
        <v>3.2935488814957896</v>
      </c>
      <c r="AA1166" s="94">
        <f>IF('Net zero activities &amp; levers'!$C$14="Off",SUM('Activity data'!AT50:AT65)*FracGASM*MSVolatEF*NtoN2O*kgtoGg,IF('Net zero activities &amp; levers'!$C$14="On",SUM('Net zero Activity data'!AT50:AT65)*FracGASM*MSVolatEF*NtoN2O*kgtoGg,"ERROR"))</f>
        <v>3.3026965587676997</v>
      </c>
      <c r="AB1166" s="94">
        <f>IF('Net zero activities &amp; levers'!$C$14="Off",SUM('Activity data'!AU50:AU65)*FracGASM*MSVolatEF*NtoN2O*kgtoGg,IF('Net zero activities &amp; levers'!$C$14="On",SUM('Net zero Activity data'!AU50:AU65)*FracGASM*MSVolatEF*NtoN2O*kgtoGg,"ERROR"))</f>
        <v>3.3065215616671835</v>
      </c>
      <c r="AC1166" s="94">
        <f>IF('Net zero activities &amp; levers'!$C$14="Off",SUM('Activity data'!AV50:AV65)*FracGASM*MSVolatEF*NtoN2O*kgtoGg,IF('Net zero activities &amp; levers'!$C$14="On",SUM('Net zero Activity data'!AV50:AV65)*FracGASM*MSVolatEF*NtoN2O*kgtoGg,"ERROR"))</f>
        <v>3.3049591714491218</v>
      </c>
      <c r="AD1166" s="94">
        <f>IF('Net zero activities &amp; levers'!$C$14="Off",SUM('Activity data'!AW50:AW65)*FracGASM*MSVolatEF*NtoN2O*kgtoGg,IF('Net zero activities &amp; levers'!$C$14="On",SUM('Net zero Activity data'!AW50:AW65)*FracGASM*MSVolatEF*NtoN2O*kgtoGg,"ERROR"))</f>
        <v>3.2856040880514414</v>
      </c>
      <c r="AE1166" s="94">
        <f>IF('Net zero activities &amp; levers'!$C$14="Off",SUM('Activity data'!AX50:AX65)*FracGASM*MSVolatEF*NtoN2O*kgtoGg,IF('Net zero activities &amp; levers'!$C$14="On",SUM('Net zero Activity data'!AX50:AX65)*FracGASM*MSVolatEF*NtoN2O*kgtoGg,"ERROR"))</f>
        <v>3.2609006919876253</v>
      </c>
      <c r="AF1166" s="94">
        <f>IF('Net zero activities &amp; levers'!$C$14="Off",SUM('Activity data'!AY50:AY65)*FracGASM*MSVolatEF*NtoN2O*kgtoGg,IF('Net zero activities &amp; levers'!$C$14="On",SUM('Net zero Activity data'!AY50:AY65)*FracGASM*MSVolatEF*NtoN2O*kgtoGg,"ERROR"))</f>
        <v>3.2309381698250323</v>
      </c>
      <c r="AG1166" s="94">
        <f>IF('Net zero activities &amp; levers'!$C$14="Off",SUM('Activity data'!AZ50:AZ65)*FracGASM*MSVolatEF*NtoN2O*kgtoGg,IF('Net zero activities &amp; levers'!$C$14="On",SUM('Net zero Activity data'!AZ50:AZ65)*FracGASM*MSVolatEF*NtoN2O*kgtoGg,"ERROR"))</f>
        <v>3.1958369771906554</v>
      </c>
      <c r="AH1166" s="94">
        <f>IF('Net zero activities &amp; levers'!$C$14="Off",SUM('Activity data'!BA50:BA65)*FracGASM*MSVolatEF*NtoN2O*kgtoGg,IF('Net zero activities &amp; levers'!$C$14="On",SUM('Net zero Activity data'!BA50:BA65)*FracGASM*MSVolatEF*NtoN2O*kgtoGg,"ERROR"))</f>
        <v>3.1557406943377502</v>
      </c>
      <c r="AI1166" s="94">
        <f>IF('Net zero activities &amp; levers'!$C$14="Off",SUM('Activity data'!BB50:BB65)*FracGASM*MSVolatEF*NtoN2O*kgtoGg,IF('Net zero activities &amp; levers'!$C$14="On",SUM('Net zero Activity data'!BB50:BB65)*FracGASM*MSVolatEF*NtoN2O*kgtoGg,"ERROR"))</f>
        <v>3.1108181429551416</v>
      </c>
      <c r="AJ1166" s="94">
        <f>IF('Net zero activities &amp; levers'!$C$14="Off",SUM('Activity data'!BC50:BC65)*FracGASM*MSVolatEF*NtoN2O*kgtoGg,IF('Net zero activities &amp; levers'!$C$14="On",SUM('Net zero Activity data'!BC50:BC65)*FracGASM*MSVolatEF*NtoN2O*kgtoGg,"ERROR"))</f>
        <v>-7.9927190130914927E-2</v>
      </c>
      <c r="AK1166" s="94">
        <f>IF('Net zero activities &amp; levers'!$C$14="Off",SUM('Activity data'!BD50:BD65)*FracGASM*MSVolatEF*NtoN2O*kgtoGg,IF('Net zero activities &amp; levers'!$C$14="On",SUM('Net zero Activity data'!BD50:BD65)*FracGASM*MSVolatEF*NtoN2O*kgtoGg,"ERROR"))</f>
        <v>-7.7482459717295754E-2</v>
      </c>
      <c r="AL1166" s="94">
        <f>IF('Net zero activities &amp; levers'!$C$14="Off",SUM('Activity data'!BE50:BE65)*FracGASM*MSVolatEF*NtoN2O*kgtoGg,IF('Net zero activities &amp; levers'!$C$14="On",SUM('Net zero Activity data'!BE50:BE65)*FracGASM*MSVolatEF*NtoN2O*kgtoGg,"ERROR"))</f>
        <v>-7.5056648302161827E-2</v>
      </c>
      <c r="AM1166" s="94">
        <f>IF('Net zero activities &amp; levers'!$C$14="Off",SUM('Activity data'!BF50:BF65)*FracGASM*MSVolatEF*NtoN2O*kgtoGg,IF('Net zero activities &amp; levers'!$C$14="On",SUM('Net zero Activity data'!BF50:BF65)*FracGASM*MSVolatEF*NtoN2O*kgtoGg,"ERROR"))</f>
        <v>-7.2650174059267963E-2</v>
      </c>
      <c r="AN1166" s="94">
        <f>IF('Net zero activities &amp; levers'!$C$14="Off",SUM('Activity data'!BG50:BG65)*FracGASM*MSVolatEF*NtoN2O*kgtoGg,IF('Net zero activities &amp; levers'!$C$14="On",SUM('Net zero Activity data'!BG50:BG65)*FracGASM*MSVolatEF*NtoN2O*kgtoGg,"ERROR"))</f>
        <v>-7.0723117301040472E-2</v>
      </c>
      <c r="AO1166" s="94">
        <f>IF('Net zero activities &amp; levers'!$C$14="Off",SUM('Activity data'!BH50:BH65)*FracGASM*MSVolatEF*NtoN2O*kgtoGg,IF('Net zero activities &amp; levers'!$C$14="On",SUM('Net zero Activity data'!BH50:BH65)*FracGASM*MSVolatEF*NtoN2O*kgtoGg,"ERROR"))</f>
        <v>-6.8807486280089009E-2</v>
      </c>
      <c r="AP1166" s="94">
        <f>IF('Net zero activities &amp; levers'!$C$14="Off",SUM('Activity data'!BI50:BI65)*FracGASM*MSVolatEF*NtoN2O*kgtoGg,IF('Net zero activities &amp; levers'!$C$14="On",SUM('Net zero Activity data'!BI50:BI65)*FracGASM*MSVolatEF*NtoN2O*kgtoGg,"ERROR"))</f>
        <v>-6.6901375831276963E-2</v>
      </c>
      <c r="AQ1166" s="94">
        <f>IF('Net zero activities &amp; levers'!$C$14="Off",SUM('Activity data'!BJ50:BJ65)*FracGASM*MSVolatEF*NtoN2O*kgtoGg,IF('Net zero activities &amp; levers'!$C$14="On",SUM('Net zero Activity data'!BJ50:BJ65)*FracGASM*MSVolatEF*NtoN2O*kgtoGg,"ERROR"))</f>
        <v>-6.5004519075055389E-2</v>
      </c>
      <c r="AR1166" s="94">
        <f>IF('Net zero activities &amp; levers'!$C$14="Off",SUM('Activity data'!BK50:BK65)*FracGASM*MSVolatEF*NtoN2O*kgtoGg,IF('Net zero activities &amp; levers'!$C$14="On",SUM('Net zero Activity data'!BK50:BK65)*FracGASM*MSVolatEF*NtoN2O*kgtoGg,"ERROR"))</f>
        <v>-6.3114960679436297E-2</v>
      </c>
      <c r="AS1166" s="94">
        <f>IF('Net zero activities &amp; levers'!$C$14="Off",SUM('Activity data'!BL50:BL65)*FracGASM*MSVolatEF*NtoN2O*kgtoGg,IF('Net zero activities &amp; levers'!$C$14="On",SUM('Net zero Activity data'!BL50:BL65)*FracGASM*MSVolatEF*NtoN2O*kgtoGg,"ERROR"))</f>
        <v>-6.1230717258980515E-2</v>
      </c>
      <c r="AT1166" s="94">
        <f>IF('Net zero activities &amp; levers'!$C$14="Off",SUM('Activity data'!BM50:BM65)*FracGASM*MSVolatEF*NtoN2O*kgtoGg,IF('Net zero activities &amp; levers'!$C$14="On",SUM('Net zero Activity data'!BM50:BM65)*FracGASM*MSVolatEF*NtoN2O*kgtoGg,"ERROR"))</f>
        <v>-5.9351794077464999E-2</v>
      </c>
      <c r="AU1166" s="94">
        <f>IF('Net zero activities &amp; levers'!$C$14="Off",SUM('Activity data'!BN50:BN65)*FracGASM*MSVolatEF*NtoN2O*kgtoGg,IF('Net zero activities &amp; levers'!$C$14="On",SUM('Net zero Activity data'!BN50:BN65)*FracGASM*MSVolatEF*NtoN2O*kgtoGg,"ERROR"))</f>
        <v>-5.7478765169344234E-2</v>
      </c>
      <c r="AV1166" s="94">
        <f>IF('Net zero activities &amp; levers'!$C$14="Off",SUM('Activity data'!BO50:BO65)*FracGASM*MSVolatEF*NtoN2O*kgtoGg,IF('Net zero activities &amp; levers'!$C$14="On",SUM('Net zero Activity data'!BO50:BO65)*FracGASM*MSVolatEF*NtoN2O*kgtoGg,"ERROR"))</f>
        <v>-5.5612099659167281E-2</v>
      </c>
      <c r="AW1166" s="94">
        <f>IF('Net zero activities &amp; levers'!$C$14="Off",SUM('Activity data'!BP50:BP65)*FracGASM*MSVolatEF*NtoN2O*kgtoGg,IF('Net zero activities &amp; levers'!$C$14="On",SUM('Net zero Activity data'!BP50:BP65)*FracGASM*MSVolatEF*NtoN2O*kgtoGg,"ERROR"))</f>
        <v>-5.3750177084754498E-2</v>
      </c>
      <c r="AY1166" s="79"/>
    </row>
    <row r="1167" spans="1:51" x14ac:dyDescent="0.25">
      <c r="A1167" s="95" t="str">
        <f t="shared" si="374"/>
        <v>CM Volatilisation</v>
      </c>
      <c r="B1167" s="95" t="s">
        <v>1322</v>
      </c>
      <c r="C1167" s="95" t="s">
        <v>62</v>
      </c>
      <c r="D1167" t="s">
        <v>369</v>
      </c>
      <c r="E1167" t="s">
        <v>61</v>
      </c>
      <c r="F1167" t="s">
        <v>62</v>
      </c>
      <c r="G1167" t="s">
        <v>438</v>
      </c>
      <c r="H1167" t="s">
        <v>1265</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3.9236983289257736</v>
      </c>
      <c r="T1167" s="94">
        <f>IF('Net zero activities &amp; levers'!$C$14="Off",SUM('Activity data'!AM66:AM81)*FracGASM*MSVolatEF*NtoN2O*kgtoGg,IF('Net zero activities &amp; levers'!$C$14="On",SUM('Net zero Activity data'!AM66:AM81)*FracGASM*MSVolatEF*NtoN2O*kgtoGg,"ERROR"))</f>
        <v>4.0061959356333121</v>
      </c>
      <c r="U1167" s="94">
        <f>IF('Net zero activities &amp; levers'!$C$14="Off",SUM('Activity data'!AN66:AN81)*FracGASM*MSVolatEF*NtoN2O*kgtoGg,IF('Net zero activities &amp; levers'!$C$14="On",SUM('Net zero Activity data'!AN66:AN81)*FracGASM*MSVolatEF*NtoN2O*kgtoGg,"ERROR"))</f>
        <v>8.6703485618299432</v>
      </c>
      <c r="V1167" s="94">
        <f>IF('Net zero activities &amp; levers'!$C$14="Off",SUM('Activity data'!AO66:AO81)*FracGASM*MSVolatEF*NtoN2O*kgtoGg,IF('Net zero activities &amp; levers'!$C$14="On",SUM('Net zero Activity data'!AO66:AO81)*FracGASM*MSVolatEF*NtoN2O*kgtoGg,"ERROR"))</f>
        <v>8.7075171611639437</v>
      </c>
      <c r="W1167" s="94">
        <f>IF('Net zero activities &amp; levers'!$C$14="Off",SUM('Activity data'!AP66:AP81)*FracGASM*MSVolatEF*NtoN2O*kgtoGg,IF('Net zero activities &amp; levers'!$C$14="On",SUM('Net zero Activity data'!AP66:AP81)*FracGASM*MSVolatEF*NtoN2O*kgtoGg,"ERROR"))</f>
        <v>8.7349231997789492</v>
      </c>
      <c r="X1167" s="94">
        <f>IF('Net zero activities &amp; levers'!$C$14="Off",SUM('Activity data'!AQ66:AQ81)*FracGASM*MSVolatEF*NtoN2O*kgtoGg,IF('Net zero activities &amp; levers'!$C$14="On",SUM('Net zero Activity data'!AQ66:AQ81)*FracGASM*MSVolatEF*NtoN2O*kgtoGg,"ERROR"))</f>
        <v>8.7517078724202371</v>
      </c>
      <c r="Y1167" s="94">
        <f>IF('Net zero activities &amp; levers'!$C$14="Off",SUM('Activity data'!AR66:AR81)*FracGASM*MSVolatEF*NtoN2O*kgtoGg,IF('Net zero activities &amp; levers'!$C$14="On",SUM('Net zero Activity data'!AR66:AR81)*FracGASM*MSVolatEF*NtoN2O*kgtoGg,"ERROR"))</f>
        <v>8.7566246906771106</v>
      </c>
      <c r="Z1167" s="94">
        <f>IF('Net zero activities &amp; levers'!$C$14="Off",SUM('Activity data'!AS66:AS81)*FracGASM*MSVolatEF*NtoN2O*kgtoGg,IF('Net zero activities &amp; levers'!$C$14="On",SUM('Net zero Activity data'!AS66:AS81)*FracGASM*MSVolatEF*NtoN2O*kgtoGg,"ERROR"))</f>
        <v>8.749585391639048</v>
      </c>
      <c r="AA1167" s="94">
        <f>IF('Net zero activities &amp; levers'!$C$14="Off",SUM('Activity data'!AT66:AT81)*FracGASM*MSVolatEF*NtoN2O*kgtoGg,IF('Net zero activities &amp; levers'!$C$14="On",SUM('Net zero Activity data'!AT66:AT81)*FracGASM*MSVolatEF*NtoN2O*kgtoGg,"ERROR"))</f>
        <v>8.7305224491182276</v>
      </c>
      <c r="AB1167" s="94">
        <f>IF('Net zero activities &amp; levers'!$C$14="Off",SUM('Activity data'!AU66:AU81)*FracGASM*MSVolatEF*NtoN2O*kgtoGg,IF('Net zero activities &amp; levers'!$C$14="On",SUM('Net zero Activity data'!AU66:AU81)*FracGASM*MSVolatEF*NtoN2O*kgtoGg,"ERROR"))</f>
        <v>8.6994684257142971</v>
      </c>
      <c r="AC1167" s="94">
        <f>IF('Net zero activities &amp; levers'!$C$14="Off",SUM('Activity data'!AV66:AV81)*FracGASM*MSVolatEF*NtoN2O*kgtoGg,IF('Net zero activities &amp; levers'!$C$14="On",SUM('Net zero Activity data'!AV66:AV81)*FracGASM*MSVolatEF*NtoN2O*kgtoGg,"ERROR"))</f>
        <v>8.6565339362109501</v>
      </c>
      <c r="AD1167" s="94">
        <f>IF('Net zero activities &amp; levers'!$C$14="Off",SUM('Activity data'!AW66:AW81)*FracGASM*MSVolatEF*NtoN2O*kgtoGg,IF('Net zero activities &amp; levers'!$C$14="On",SUM('Net zero Activity data'!AW66:AW81)*FracGASM*MSVolatEF*NtoN2O*kgtoGg,"ERROR"))</f>
        <v>8.5479552025611873</v>
      </c>
      <c r="AE1167" s="94">
        <f>IF('Net zero activities &amp; levers'!$C$14="Off",SUM('Activity data'!AX66:AX81)*FracGASM*MSVolatEF*NtoN2O*kgtoGg,IF('Net zero activities &amp; levers'!$C$14="On",SUM('Net zero Activity data'!AX66:AX81)*FracGASM*MSVolatEF*NtoN2O*kgtoGg,"ERROR"))</f>
        <v>8.4281375273268431</v>
      </c>
      <c r="AF1167" s="94">
        <f>IF('Net zero activities &amp; levers'!$C$14="Off",SUM('Activity data'!AY66:AY81)*FracGASM*MSVolatEF*NtoN2O*kgtoGg,IF('Net zero activities &amp; levers'!$C$14="On",SUM('Net zero Activity data'!AY66:AY81)*FracGASM*MSVolatEF*NtoN2O*kgtoGg,"ERROR"))</f>
        <v>8.2976332368638914</v>
      </c>
      <c r="AG1167" s="94">
        <f>IF('Net zero activities &amp; levers'!$C$14="Off",SUM('Activity data'!AZ66:AZ81)*FracGASM*MSVolatEF*NtoN2O*kgtoGg,IF('Net zero activities &amp; levers'!$C$14="On",SUM('Net zero Activity data'!AZ66:AZ81)*FracGASM*MSVolatEF*NtoN2O*kgtoGg,"ERROR"))</f>
        <v>8.1570247194237986</v>
      </c>
      <c r="AH1167" s="94">
        <f>IF('Net zero activities &amp; levers'!$C$14="Off",SUM('Activity data'!BA66:BA81)*FracGASM*MSVolatEF*NtoN2O*kgtoGg,IF('Net zero activities &amp; levers'!$C$14="On",SUM('Net zero Activity data'!BA66:BA81)*FracGASM*MSVolatEF*NtoN2O*kgtoGg,"ERROR"))</f>
        <v>8.0069849414591072</v>
      </c>
      <c r="AI1167" s="94">
        <f>IF('Net zero activities &amp; levers'!$C$14="Off",SUM('Activity data'!BB66:BB81)*FracGASM*MSVolatEF*NtoN2O*kgtoGg,IF('Net zero activities &amp; levers'!$C$14="On",SUM('Net zero Activity data'!BB66:BB81)*FracGASM*MSVolatEF*NtoN2O*kgtoGg,"ERROR"))</f>
        <v>7.8482435227169196</v>
      </c>
      <c r="AJ1167" s="94">
        <f>IF('Net zero activities &amp; levers'!$C$14="Off",SUM('Activity data'!BC66:BC81)*FracGASM*MSVolatEF*NtoN2O*kgtoGg,IF('Net zero activities &amp; levers'!$C$14="On",SUM('Net zero Activity data'!BC66:BC81)*FracGASM*MSVolatEF*NtoN2O*kgtoGg,"ERROR"))</f>
        <v>1.4117786211897634</v>
      </c>
      <c r="AK1167" s="94">
        <f>IF('Net zero activities &amp; levers'!$C$14="Off",SUM('Activity data'!BD66:BD81)*FracGASM*MSVolatEF*NtoN2O*kgtoGg,IF('Net zero activities &amp; levers'!$C$14="On",SUM('Net zero Activity data'!BD66:BD81)*FracGASM*MSVolatEF*NtoN2O*kgtoGg,"ERROR"))</f>
        <v>1.4240848222590068</v>
      </c>
      <c r="AL1167" s="94">
        <f>IF('Net zero activities &amp; levers'!$C$14="Off",SUM('Activity data'!BE66:BE81)*FracGASM*MSVolatEF*NtoN2O*kgtoGg,IF('Net zero activities &amp; levers'!$C$14="On",SUM('Net zero Activity data'!BE66:BE81)*FracGASM*MSVolatEF*NtoN2O*kgtoGg,"ERROR"))</f>
        <v>1.4361490833885919</v>
      </c>
      <c r="AM1167" s="94">
        <f>IF('Net zero activities &amp; levers'!$C$14="Off",SUM('Activity data'!BF66:BF81)*FracGASM*MSVolatEF*NtoN2O*kgtoGg,IF('Net zero activities &amp; levers'!$C$14="On",SUM('Net zero Activity data'!BF66:BF81)*FracGASM*MSVolatEF*NtoN2O*kgtoGg,"ERROR"))</f>
        <v>1.4479836223342117</v>
      </c>
      <c r="AN1167" s="94">
        <f>IF('Net zero activities &amp; levers'!$C$14="Off",SUM('Activity data'!BG66:BG81)*FracGASM*MSVolatEF*NtoN2O*kgtoGg,IF('Net zero activities &amp; levers'!$C$14="On",SUM('Net zero Activity data'!BG66:BG81)*FracGASM*MSVolatEF*NtoN2O*kgtoGg,"ERROR"))</f>
        <v>1.4575869997562623</v>
      </c>
      <c r="AO1167" s="94">
        <f>IF('Net zero activities &amp; levers'!$C$14="Off",SUM('Activity data'!BH66:BH81)*FracGASM*MSVolatEF*NtoN2O*kgtoGg,IF('Net zero activities &amp; levers'!$C$14="On",SUM('Net zero Activity data'!BH66:BH81)*FracGASM*MSVolatEF*NtoN2O*kgtoGg,"ERROR"))</f>
        <v>1.4669658638055674</v>
      </c>
      <c r="AP1167" s="94">
        <f>IF('Net zero activities &amp; levers'!$C$14="Off",SUM('Activity data'!BI66:BI81)*FracGASM*MSVolatEF*NtoN2O*kgtoGg,IF('Net zero activities &amp; levers'!$C$14="On",SUM('Net zero Activity data'!BI66:BI81)*FracGASM*MSVolatEF*NtoN2O*kgtoGg,"ERROR"))</f>
        <v>1.4761004652334226</v>
      </c>
      <c r="AQ1167" s="94">
        <f>IF('Net zero activities &amp; levers'!$C$14="Off",SUM('Activity data'!BJ66:BJ81)*FracGASM*MSVolatEF*NtoN2O*kgtoGg,IF('Net zero activities &amp; levers'!$C$14="On",SUM('Net zero Activity data'!BJ66:BJ81)*FracGASM*MSVolatEF*NtoN2O*kgtoGg,"ERROR"))</f>
        <v>1.4849895121905028</v>
      </c>
      <c r="AR1167" s="94">
        <f>IF('Net zero activities &amp; levers'!$C$14="Off",SUM('Activity data'!BK66:BK81)*FracGASM*MSVolatEF*NtoN2O*kgtoGg,IF('Net zero activities &amp; levers'!$C$14="On",SUM('Net zero Activity data'!BK66:BK81)*FracGASM*MSVolatEF*NtoN2O*kgtoGg,"ERROR"))</f>
        <v>1.4936094251739955</v>
      </c>
      <c r="AS1167" s="94">
        <f>IF('Net zero activities &amp; levers'!$C$14="Off",SUM('Activity data'!BL66:BL81)*FracGASM*MSVolatEF*NtoN2O*kgtoGg,IF('Net zero activities &amp; levers'!$C$14="On",SUM('Net zero Activity data'!BL66:BL81)*FracGASM*MSVolatEF*NtoN2O*kgtoGg,"ERROR"))</f>
        <v>1.5019339292237881</v>
      </c>
      <c r="AT1167" s="94">
        <f>IF('Net zero activities &amp; levers'!$C$14="Off",SUM('Activity data'!BM66:BM81)*FracGASM*MSVolatEF*NtoN2O*kgtoGg,IF('Net zero activities &amp; levers'!$C$14="On",SUM('Net zero Activity data'!BM66:BM81)*FracGASM*MSVolatEF*NtoN2O*kgtoGg,"ERROR"))</f>
        <v>1.5099608560757101</v>
      </c>
      <c r="AU1167" s="94">
        <f>IF('Net zero activities &amp; levers'!$C$14="Off",SUM('Activity data'!BN66:BN81)*FracGASM*MSVolatEF*NtoN2O*kgtoGg,IF('Net zero activities &amp; levers'!$C$14="On",SUM('Net zero Activity data'!BN66:BN81)*FracGASM*MSVolatEF*NtoN2O*kgtoGg,"ERROR"))</f>
        <v>1.5176953414243965</v>
      </c>
      <c r="AV1167" s="94">
        <f>IF('Net zero activities &amp; levers'!$C$14="Off",SUM('Activity data'!BO66:BO81)*FracGASM*MSVolatEF*NtoN2O*kgtoGg,IF('Net zero activities &amp; levers'!$C$14="On",SUM('Net zero Activity data'!BO66:BO81)*FracGASM*MSVolatEF*NtoN2O*kgtoGg,"ERROR"))</f>
        <v>1.5251412376449351</v>
      </c>
      <c r="AW1167" s="94">
        <f>IF('Net zero activities &amp; levers'!$C$14="Off",SUM('Activity data'!BP66:BP81)*FracGASM*MSVolatEF*NtoN2O*kgtoGg,IF('Net zero activities &amp; levers'!$C$14="On",SUM('Net zero Activity data'!BP66:BP81)*FracGASM*MSVolatEF*NtoN2O*kgtoGg,"ERROR"))</f>
        <v>1.5322728813191711</v>
      </c>
      <c r="AY1167" s="79"/>
    </row>
    <row r="1168" spans="1:51" x14ac:dyDescent="0.25">
      <c r="A1168" s="95" t="str">
        <f t="shared" ref="A1168:A1216" si="380">B1168&amp;" "&amp;C1168</f>
        <v>CM Leaching</v>
      </c>
      <c r="B1168" s="95" t="s">
        <v>1322</v>
      </c>
      <c r="C1168" s="95" t="s">
        <v>1190</v>
      </c>
      <c r="D1168" t="s">
        <v>369</v>
      </c>
      <c r="E1168" t="s">
        <v>61</v>
      </c>
      <c r="F1168" t="s">
        <v>63</v>
      </c>
      <c r="G1168" t="s">
        <v>435</v>
      </c>
      <c r="H1168" t="s">
        <v>1187</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2.2782299743633269E-4</v>
      </c>
      <c r="U1168" s="94">
        <f>IF('Net zero activities &amp; levers'!$C$14="Off",'Activity data'!AN47*FracLEACH*MSLeachEF*NtoN2O*kgtoGg,IF('Net zero activities &amp; levers'!$C$14="On",'Net zero Activity data'!AN47*FracLEACH*MSLeachEF*NtoN2O*kgtoGg,"ERROR"))</f>
        <v>2.2772896270716546E-4</v>
      </c>
      <c r="V1168" s="94">
        <f>IF('Net zero activities &amp; levers'!$C$14="Off",'Activity data'!AO47*FracLEACH*MSLeachEF*NtoN2O*kgtoGg,IF('Net zero activities &amp; levers'!$C$14="On",'Net zero Activity data'!AO47*FracLEACH*MSLeachEF*NtoN2O*kgtoGg,"ERROR"))</f>
        <v>2.2547220379701556E-4</v>
      </c>
      <c r="W1168" s="94">
        <f>IF('Net zero activities &amp; levers'!$C$14="Off",'Activity data'!AP47*FracLEACH*MSLeachEF*NtoN2O*kgtoGg,IF('Net zero activities &amp; levers'!$C$14="On",'Net zero Activity data'!AP47*FracLEACH*MSLeachEF*NtoN2O*kgtoGg,"ERROR"))</f>
        <v>2.2541582514785201E-4</v>
      </c>
      <c r="X1168" s="94">
        <f>IF('Net zero activities &amp; levers'!$C$14="Off",'Activity data'!AQ47*FracLEACH*MSLeachEF*NtoN2O*kgtoGg,IF('Net zero activities &amp; levers'!$C$14="On",'Net zero Activity data'!AQ47*FracLEACH*MSLeachEF*NtoN2O*kgtoGg,"ERROR"))</f>
        <v>2.2536363782376035E-4</v>
      </c>
      <c r="Y1168" s="94">
        <f>IF('Net zero activities &amp; levers'!$C$14="Off",'Activity data'!AR47*FracLEACH*MSLeachEF*NtoN2O*kgtoGg,IF('Net zero activities &amp; levers'!$C$14="On",'Net zero Activity data'!AR47*FracLEACH*MSLeachEF*NtoN2O*kgtoGg,"ERROR"))</f>
        <v>2.2531563619654834E-4</v>
      </c>
      <c r="Z1168" s="94">
        <f>IF('Net zero activities &amp; levers'!$C$14="Off",'Activity data'!AS47*FracLEACH*MSLeachEF*NtoN2O*kgtoGg,IF('Net zero activities &amp; levers'!$C$14="On",'Net zero Activity data'!AS47*FracLEACH*MSLeachEF*NtoN2O*kgtoGg,"ERROR"))</f>
        <v>2.252717838340693E-4</v>
      </c>
      <c r="AA1168" s="94">
        <f>IF('Net zero activities &amp; levers'!$C$14="Off",'Activity data'!AT47*FracLEACH*MSLeachEF*NtoN2O*kgtoGg,IF('Net zero activities &amp; levers'!$C$14="On",'Net zero Activity data'!AT47*FracLEACH*MSLeachEF*NtoN2O*kgtoGg,"ERROR"))</f>
        <v>2.2523211880978096E-4</v>
      </c>
      <c r="AB1168" s="94">
        <f>IF('Net zero activities &amp; levers'!$C$14="Off",'Activity data'!AU47*FracLEACH*MSLeachEF*NtoN2O*kgtoGg,IF('Net zero activities &amp; levers'!$C$14="On",'Net zero Activity data'!AU47*FracLEACH*MSLeachEF*NtoN2O*kgtoGg,"ERROR"))</f>
        <v>2.2519667296374613E-4</v>
      </c>
      <c r="AC1168" s="94">
        <f>IF('Net zero activities &amp; levers'!$C$14="Off",'Activity data'!AV47*FracLEACH*MSLeachEF*NtoN2O*kgtoGg,IF('Net zero activities &amp; levers'!$C$14="On",'Net zero Activity data'!AV47*FracLEACH*MSLeachEF*NtoN2O*kgtoGg,"ERROR"))</f>
        <v>2.2516547748833096E-4</v>
      </c>
      <c r="AD1168" s="94">
        <f>IF('Net zero activities &amp; levers'!$C$14="Off",'Activity data'!AW47*FracLEACH*MSLeachEF*NtoN2O*kgtoGg,IF('Net zero activities &amp; levers'!$C$14="On",'Net zero Activity data'!AW47*FracLEACH*MSLeachEF*NtoN2O*kgtoGg,"ERROR"))</f>
        <v>2.2513856157343538E-4</v>
      </c>
      <c r="AE1168" s="94">
        <f>IF('Net zero activities &amp; levers'!$C$14="Off",'Activity data'!AX47*FracLEACH*MSLeachEF*NtoN2O*kgtoGg,IF('Net zero activities &amp; levers'!$C$14="On",'Net zero Activity data'!AX47*FracLEACH*MSLeachEF*NtoN2O*kgtoGg,"ERROR"))</f>
        <v>2.2511594956938508E-4</v>
      </c>
      <c r="AF1168" s="94">
        <f>IF('Net zero activities &amp; levers'!$C$14="Off",'Activity data'!AY47*FracLEACH*MSLeachEF*NtoN2O*kgtoGg,IF('Net zero activities &amp; levers'!$C$14="On",'Net zero Activity data'!AY47*FracLEACH*MSLeachEF*NtoN2O*kgtoGg,"ERROR"))</f>
        <v>2.2509766546392388E-4</v>
      </c>
      <c r="AG1168" s="94">
        <f>IF('Net zero activities &amp; levers'!$C$14="Off",'Activity data'!AZ47*FracLEACH*MSLeachEF*NtoN2O*kgtoGg,IF('Net zero activities &amp; levers'!$C$14="On",'Net zero Activity data'!AZ47*FracLEACH*MSLeachEF*NtoN2O*kgtoGg,"ERROR"))</f>
        <v>2.2508372924619698E-4</v>
      </c>
      <c r="AH1168" s="94">
        <f>IF('Net zero activities &amp; levers'!$C$14="Off",'Activity data'!BA47*FracLEACH*MSLeachEF*NtoN2O*kgtoGg,IF('Net zero activities &amp; levers'!$C$14="On",'Net zero Activity data'!BA47*FracLEACH*MSLeachEF*NtoN2O*kgtoGg,"ERROR"))</f>
        <v>2.2507415691637819E-4</v>
      </c>
      <c r="AI1168" s="94">
        <f>IF('Net zero activities &amp; levers'!$C$14="Off",'Activity data'!BB47*FracLEACH*MSLeachEF*NtoN2O*kgtoGg,IF('Net zero activities &amp; levers'!$C$14="On",'Net zero Activity data'!BB47*FracLEACH*MSLeachEF*NtoN2O*kgtoGg,"ERROR"))</f>
        <v>2.2506896472540883E-4</v>
      </c>
      <c r="AJ1168" s="94">
        <f>IF('Net zero activities &amp; levers'!$C$14="Off",'Activity data'!BC47*FracLEACH*MSLeachEF*NtoN2O*kgtoGg,IF('Net zero activities &amp; levers'!$C$14="On",'Net zero Activity data'!BC47*FracLEACH*MSLeachEF*NtoN2O*kgtoGg,"ERROR"))</f>
        <v>2.2506816740169194E-4</v>
      </c>
      <c r="AK1168" s="94">
        <f>IF('Net zero activities &amp; levers'!$C$14="Off",'Activity data'!BD47*FracLEACH*MSLeachEF*NtoN2O*kgtoGg,IF('Net zero activities &amp; levers'!$C$14="On",'Net zero Activity data'!BD47*FracLEACH*MSLeachEF*NtoN2O*kgtoGg,"ERROR"))</f>
        <v>2.3173915690967529E-4</v>
      </c>
      <c r="AL1168" s="94">
        <f>IF('Net zero activities &amp; levers'!$C$14="Off",'Activity data'!BE47*FracLEACH*MSLeachEF*NtoN2O*kgtoGg,IF('Net zero activities &amp; levers'!$C$14="On",'Net zero Activity data'!BE47*FracLEACH*MSLeachEF*NtoN2O*kgtoGg,"ERROR"))</f>
        <v>2.3174481192650851E-4</v>
      </c>
      <c r="AM1168" s="94">
        <f>IF('Net zero activities &amp; levers'!$C$14="Off",'Activity data'!BF47*FracLEACH*MSLeachEF*NtoN2O*kgtoGg,IF('Net zero activities &amp; levers'!$C$14="On",'Net zero Activity data'!BF47*FracLEACH*MSLeachEF*NtoN2O*kgtoGg,"ERROR"))</f>
        <v>2.3175033813840453E-4</v>
      </c>
      <c r="AN1168" s="94">
        <f>IF('Net zero activities &amp; levers'!$C$14="Off",'Activity data'!BG47*FracLEACH*MSLeachEF*NtoN2O*kgtoGg,IF('Net zero activities &amp; levers'!$C$14="On",'Net zero Activity data'!BG47*FracLEACH*MSLeachEF*NtoN2O*kgtoGg,"ERROR"))</f>
        <v>2.317557430868665E-4</v>
      </c>
      <c r="AO1168" s="94">
        <f>IF('Net zero activities &amp; levers'!$C$14="Off",'Activity data'!BH47*FracLEACH*MSLeachEF*NtoN2O*kgtoGg,IF('Net zero activities &amp; levers'!$C$14="On",'Net zero Activity data'!BH47*FracLEACH*MSLeachEF*NtoN2O*kgtoGg,"ERROR"))</f>
        <v>2.3176103567601125E-4</v>
      </c>
      <c r="AP1168" s="94">
        <f>IF('Net zero activities &amp; levers'!$C$14="Off",'Activity data'!BI47*FracLEACH*MSLeachEF*NtoN2O*kgtoGg,IF('Net zero activities &amp; levers'!$C$14="On",'Net zero Activity data'!BI47*FracLEACH*MSLeachEF*NtoN2O*kgtoGg,"ERROR"))</f>
        <v>2.3176619339798155E-4</v>
      </c>
      <c r="AQ1168" s="94">
        <f>IF('Net zero activities &amp; levers'!$C$14="Off",'Activity data'!BJ47*FracLEACH*MSLeachEF*NtoN2O*kgtoGg,IF('Net zero activities &amp; levers'!$C$14="On",'Net zero Activity data'!BJ47*FracLEACH*MSLeachEF*NtoN2O*kgtoGg,"ERROR"))</f>
        <v>2.3177120105611021E-4</v>
      </c>
      <c r="AR1168" s="94">
        <f>IF('Net zero activities &amp; levers'!$C$14="Off",'Activity data'!BK47*FracLEACH*MSLeachEF*NtoN2O*kgtoGg,IF('Net zero activities &amp; levers'!$C$14="On",'Net zero Activity data'!BK47*FracLEACH*MSLeachEF*NtoN2O*kgtoGg,"ERROR"))</f>
        <v>2.3177605672396827E-4</v>
      </c>
      <c r="AS1168" s="94">
        <f>IF('Net zero activities &amp; levers'!$C$14="Off",'Activity data'!BL47*FracLEACH*MSLeachEF*NtoN2O*kgtoGg,IF('Net zero activities &amp; levers'!$C$14="On",'Net zero Activity data'!BL47*FracLEACH*MSLeachEF*NtoN2O*kgtoGg,"ERROR"))</f>
        <v>2.3178074234897451E-4</v>
      </c>
      <c r="AT1168" s="94">
        <f>IF('Net zero activities &amp; levers'!$C$14="Off",'Activity data'!BM47*FracLEACH*MSLeachEF*NtoN2O*kgtoGg,IF('Net zero activities &amp; levers'!$C$14="On",'Net zero Activity data'!BM47*FracLEACH*MSLeachEF*NtoN2O*kgtoGg,"ERROR"))</f>
        <v>2.3178523783429981E-4</v>
      </c>
      <c r="AU1168" s="94">
        <f>IF('Net zero activities &amp; levers'!$C$14="Off",'Activity data'!BN47*FracLEACH*MSLeachEF*NtoN2O*kgtoGg,IF('Net zero activities &amp; levers'!$C$14="On",'Net zero Activity data'!BN47*FracLEACH*MSLeachEF*NtoN2O*kgtoGg,"ERROR"))</f>
        <v>2.3178954052551076E-4</v>
      </c>
      <c r="AV1168" s="94">
        <f>IF('Net zero activities &amp; levers'!$C$14="Off",'Activity data'!BO47*FracLEACH*MSLeachEF*NtoN2O*kgtoGg,IF('Net zero activities &amp; levers'!$C$14="On",'Net zero Activity data'!BO47*FracLEACH*MSLeachEF*NtoN2O*kgtoGg,"ERROR"))</f>
        <v>2.3179365312611745E-4</v>
      </c>
      <c r="AW1168" s="94">
        <f>IF('Net zero activities &amp; levers'!$C$14="Off",'Activity data'!BP47*FracLEACH*MSLeachEF*NtoN2O*kgtoGg,IF('Net zero activities &amp; levers'!$C$14="On",'Net zero Activity data'!BP47*FracLEACH*MSLeachEF*NtoN2O*kgtoGg,"ERROR"))</f>
        <v>2.3179757747457624E-4</v>
      </c>
      <c r="AY1168" s="79"/>
    </row>
    <row r="1169" spans="1:51" x14ac:dyDescent="0.25">
      <c r="A1169" s="95" t="str">
        <f t="shared" si="380"/>
        <v>CM Leaching</v>
      </c>
      <c r="B1169" s="95" t="s">
        <v>1322</v>
      </c>
      <c r="C1169" s="95" t="s">
        <v>1190</v>
      </c>
      <c r="D1169" t="s">
        <v>369</v>
      </c>
      <c r="E1169" t="s">
        <v>61</v>
      </c>
      <c r="F1169" t="s">
        <v>63</v>
      </c>
      <c r="G1169" t="s">
        <v>436</v>
      </c>
      <c r="H1169" t="s">
        <v>1188</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1.5036317830797959E-6</v>
      </c>
      <c r="U1169" s="94">
        <f>IF('Net zero activities &amp; levers'!$C$14="Off",'Activity data'!AN48*FracLEACH*MSLeachEF*NtoN2O*kgtoGg,IF('Net zero activities &amp; levers'!$C$14="On",'Net zero Activity data'!AN48*FracLEACH*MSLeachEF*NtoN2O*kgtoGg,"ERROR"))</f>
        <v>1.5030111538672925E-6</v>
      </c>
      <c r="V1169" s="94">
        <f>IF('Net zero activities &amp; levers'!$C$14="Off",'Activity data'!AO48*FracLEACH*MSLeachEF*NtoN2O*kgtoGg,IF('Net zero activities &amp; levers'!$C$14="On",'Net zero Activity data'!AO48*FracLEACH*MSLeachEF*NtoN2O*kgtoGg,"ERROR"))</f>
        <v>1.488116545060303E-6</v>
      </c>
      <c r="W1169" s="94">
        <f>IF('Net zero activities &amp; levers'!$C$14="Off",'Activity data'!AP48*FracLEACH*MSLeachEF*NtoN2O*kgtoGg,IF('Net zero activities &amp; levers'!$C$14="On",'Net zero Activity data'!AP48*FracLEACH*MSLeachEF*NtoN2O*kgtoGg,"ERROR"))</f>
        <v>1.487744445975823E-6</v>
      </c>
      <c r="X1169" s="94">
        <f>IF('Net zero activities &amp; levers'!$C$14="Off",'Activity data'!AQ48*FracLEACH*MSLeachEF*NtoN2O*kgtoGg,IF('Net zero activities &amp; levers'!$C$14="On",'Net zero Activity data'!AQ48*FracLEACH*MSLeachEF*NtoN2O*kgtoGg,"ERROR"))</f>
        <v>1.4874000096368187E-6</v>
      </c>
      <c r="Y1169" s="94">
        <f>IF('Net zero activities &amp; levers'!$C$14="Off",'Activity data'!AR48*FracLEACH*MSLeachEF*NtoN2O*kgtoGg,IF('Net zero activities &amp; levers'!$C$14="On",'Net zero Activity data'!AR48*FracLEACH*MSLeachEF*NtoN2O*kgtoGg,"ERROR"))</f>
        <v>1.4870831988972194E-6</v>
      </c>
      <c r="Z1169" s="94">
        <f>IF('Net zero activities &amp; levers'!$C$14="Off",'Activity data'!AS48*FracLEACH*MSLeachEF*NtoN2O*kgtoGg,IF('Net zero activities &amp; levers'!$C$14="On",'Net zero Activity data'!AS48*FracLEACH*MSLeachEF*NtoN2O*kgtoGg,"ERROR"))</f>
        <v>1.4867937733048578E-6</v>
      </c>
      <c r="AA1169" s="94">
        <f>IF('Net zero activities &amp; levers'!$C$14="Off",'Activity data'!AT48*FracLEACH*MSLeachEF*NtoN2O*kgtoGg,IF('Net zero activities &amp; levers'!$C$14="On",'Net zero Activity data'!AT48*FracLEACH*MSLeachEF*NtoN2O*kgtoGg,"ERROR"))</f>
        <v>1.4865319841445543E-6</v>
      </c>
      <c r="AB1169" s="94">
        <f>IF('Net zero activities &amp; levers'!$C$14="Off",'Activity data'!AU48*FracLEACH*MSLeachEF*NtoN2O*kgtoGg,IF('Net zero activities &amp; levers'!$C$14="On",'Net zero Activity data'!AU48*FracLEACH*MSLeachEF*NtoN2O*kgtoGg,"ERROR"))</f>
        <v>1.4862980415607246E-6</v>
      </c>
      <c r="AC1169" s="94">
        <f>IF('Net zero activities &amp; levers'!$C$14="Off",'Activity data'!AV48*FracLEACH*MSLeachEF*NtoN2O*kgtoGg,IF('Net zero activities &amp; levers'!$C$14="On",'Net zero Activity data'!AV48*FracLEACH*MSLeachEF*NtoN2O*kgtoGg,"ERROR"))</f>
        <v>1.4860921514229842E-6</v>
      </c>
      <c r="AD1169" s="94">
        <f>IF('Net zero activities &amp; levers'!$C$14="Off",'Activity data'!AW48*FracLEACH*MSLeachEF*NtoN2O*kgtoGg,IF('Net zero activities &amp; levers'!$C$14="On",'Net zero Activity data'!AW48*FracLEACH*MSLeachEF*NtoN2O*kgtoGg,"ERROR"))</f>
        <v>1.4859145063846736E-6</v>
      </c>
      <c r="AE1169" s="94">
        <f>IF('Net zero activities &amp; levers'!$C$14="Off",'Activity data'!AX48*FracLEACH*MSLeachEF*NtoN2O*kgtoGg,IF('Net zero activities &amp; levers'!$C$14="On",'Net zero Activity data'!AX48*FracLEACH*MSLeachEF*NtoN2O*kgtoGg,"ERROR"))</f>
        <v>1.4857652671579419E-6</v>
      </c>
      <c r="AF1169" s="94">
        <f>IF('Net zero activities &amp; levers'!$C$14="Off",'Activity data'!AY48*FracLEACH*MSLeachEF*NtoN2O*kgtoGg,IF('Net zero activities &amp; levers'!$C$14="On",'Net zero Activity data'!AY48*FracLEACH*MSLeachEF*NtoN2O*kgtoGg,"ERROR"))</f>
        <v>1.4856445920618978E-6</v>
      </c>
      <c r="AG1169" s="94">
        <f>IF('Net zero activities &amp; levers'!$C$14="Off",'Activity data'!AZ48*FracLEACH*MSLeachEF*NtoN2O*kgtoGg,IF('Net zero activities &amp; levers'!$C$14="On",'Net zero Activity data'!AZ48*FracLEACH*MSLeachEF*NtoN2O*kgtoGg,"ERROR"))</f>
        <v>1.4855526130249004E-6</v>
      </c>
      <c r="AH1169" s="94">
        <f>IF('Net zero activities &amp; levers'!$C$14="Off",'Activity data'!BA48*FracLEACH*MSLeachEF*NtoN2O*kgtoGg,IF('Net zero activities &amp; levers'!$C$14="On",'Net zero Activity data'!BA48*FracLEACH*MSLeachEF*NtoN2O*kgtoGg,"ERROR"))</f>
        <v>1.4854894356480966E-6</v>
      </c>
      <c r="AI1169" s="94">
        <f>IF('Net zero activities &amp; levers'!$C$14="Off",'Activity data'!BB48*FracLEACH*MSLeachEF*NtoN2O*kgtoGg,IF('Net zero activities &amp; levers'!$C$14="On",'Net zero Activity data'!BB48*FracLEACH*MSLeachEF*NtoN2O*kgtoGg,"ERROR"))</f>
        <v>1.4854551671876988E-6</v>
      </c>
      <c r="AJ1169" s="94">
        <f>IF('Net zero activities &amp; levers'!$C$14="Off",'Activity data'!BC48*FracLEACH*MSLeachEF*NtoN2O*kgtoGg,IF('Net zero activities &amp; levers'!$C$14="On",'Net zero Activity data'!BC48*FracLEACH*MSLeachEF*NtoN2O*kgtoGg,"ERROR"))</f>
        <v>1.4854499048511669E-6</v>
      </c>
      <c r="AK1169" s="94">
        <f>IF('Net zero activities &amp; levers'!$C$14="Off",'Activity data'!BD48*FracLEACH*MSLeachEF*NtoN2O*kgtoGg,IF('Net zero activities &amp; levers'!$C$14="On",'Net zero Activity data'!BD48*FracLEACH*MSLeachEF*NtoN2O*kgtoGg,"ERROR"))</f>
        <v>1.5294784356038574E-6</v>
      </c>
      <c r="AL1169" s="94">
        <f>IF('Net zero activities &amp; levers'!$C$14="Off",'Activity data'!BE48*FracLEACH*MSLeachEF*NtoN2O*kgtoGg,IF('Net zero activities &amp; levers'!$C$14="On",'Net zero Activity data'!BE48*FracLEACH*MSLeachEF*NtoN2O*kgtoGg,"ERROR"))</f>
        <v>1.5295157587149565E-6</v>
      </c>
      <c r="AM1169" s="94">
        <f>IF('Net zero activities &amp; levers'!$C$14="Off",'Activity data'!BF48*FracLEACH*MSLeachEF*NtoN2O*kgtoGg,IF('Net zero activities &amp; levers'!$C$14="On",'Net zero Activity data'!BF48*FracLEACH*MSLeachEF*NtoN2O*kgtoGg,"ERROR"))</f>
        <v>1.5295522317134702E-6</v>
      </c>
      <c r="AN1169" s="94">
        <f>IF('Net zero activities &amp; levers'!$C$14="Off",'Activity data'!BG48*FracLEACH*MSLeachEF*NtoN2O*kgtoGg,IF('Net zero activities &amp; levers'!$C$14="On",'Net zero Activity data'!BG48*FracLEACH*MSLeachEF*NtoN2O*kgtoGg,"ERROR"))</f>
        <v>1.5295879043733193E-6</v>
      </c>
      <c r="AO1169" s="94">
        <f>IF('Net zero activities &amp; levers'!$C$14="Off",'Activity data'!BH48*FracLEACH*MSLeachEF*NtoN2O*kgtoGg,IF('Net zero activities &amp; levers'!$C$14="On",'Net zero Activity data'!BH48*FracLEACH*MSLeachEF*NtoN2O*kgtoGg,"ERROR"))</f>
        <v>1.5296228354616745E-6</v>
      </c>
      <c r="AP1169" s="94">
        <f>IF('Net zero activities &amp; levers'!$C$14="Off",'Activity data'!BI48*FracLEACH*MSLeachEF*NtoN2O*kgtoGg,IF('Net zero activities &amp; levers'!$C$14="On",'Net zero Activity data'!BI48*FracLEACH*MSLeachEF*NtoN2O*kgtoGg,"ERROR"))</f>
        <v>1.5296568764266789E-6</v>
      </c>
      <c r="AQ1169" s="94">
        <f>IF('Net zero activities &amp; levers'!$C$14="Off",'Activity data'!BJ48*FracLEACH*MSLeachEF*NtoN2O*kgtoGg,IF('Net zero activities &amp; levers'!$C$14="On",'Net zero Activity data'!BJ48*FracLEACH*MSLeachEF*NtoN2O*kgtoGg,"ERROR"))</f>
        <v>1.5296899269703273E-6</v>
      </c>
      <c r="AR1169" s="94">
        <f>IF('Net zero activities &amp; levers'!$C$14="Off",'Activity data'!BK48*FracLEACH*MSLeachEF*NtoN2O*kgtoGg,IF('Net zero activities &amp; levers'!$C$14="On",'Net zero Activity data'!BK48*FracLEACH*MSLeachEF*NtoN2O*kgtoGg,"ERROR"))</f>
        <v>1.5297219743781909E-6</v>
      </c>
      <c r="AS1169" s="94">
        <f>IF('Net zero activities &amp; levers'!$C$14="Off",'Activity data'!BL48*FracLEACH*MSLeachEF*NtoN2O*kgtoGg,IF('Net zero activities &amp; levers'!$C$14="On",'Net zero Activity data'!BL48*FracLEACH*MSLeachEF*NtoN2O*kgtoGg,"ERROR"))</f>
        <v>1.5297528995032323E-6</v>
      </c>
      <c r="AT1169" s="94">
        <f>IF('Net zero activities &amp; levers'!$C$14="Off",'Activity data'!BM48*FracLEACH*MSLeachEF*NtoN2O*kgtoGg,IF('Net zero activities &amp; levers'!$C$14="On",'Net zero Activity data'!BM48*FracLEACH*MSLeachEF*NtoN2O*kgtoGg,"ERROR"))</f>
        <v>1.529782569706379E-6</v>
      </c>
      <c r="AU1169" s="94">
        <f>IF('Net zero activities &amp; levers'!$C$14="Off",'Activity data'!BN48*FracLEACH*MSLeachEF*NtoN2O*kgtoGg,IF('Net zero activities &amp; levers'!$C$14="On",'Net zero Activity data'!BN48*FracLEACH*MSLeachEF*NtoN2O*kgtoGg,"ERROR"))</f>
        <v>1.5298109674683716E-6</v>
      </c>
      <c r="AV1169" s="94">
        <f>IF('Net zero activities &amp; levers'!$C$14="Off",'Activity data'!BO48*FracLEACH*MSLeachEF*NtoN2O*kgtoGg,IF('Net zero activities &amp; levers'!$C$14="On",'Net zero Activity data'!BO48*FracLEACH*MSLeachEF*NtoN2O*kgtoGg,"ERROR"))</f>
        <v>1.5298381106323754E-6</v>
      </c>
      <c r="AW1169" s="94">
        <f>IF('Net zero activities &amp; levers'!$C$14="Off",'Activity data'!BP48*FracLEACH*MSLeachEF*NtoN2O*kgtoGg,IF('Net zero activities &amp; levers'!$C$14="On",'Net zero Activity data'!BP48*FracLEACH*MSLeachEF*NtoN2O*kgtoGg,"ERROR"))</f>
        <v>1.5298640113322035E-6</v>
      </c>
      <c r="AY1169" s="79"/>
    </row>
    <row r="1170" spans="1:51" x14ac:dyDescent="0.25">
      <c r="A1170" s="95" t="str">
        <f t="shared" si="380"/>
        <v>CM Leaching</v>
      </c>
      <c r="B1170" s="95" t="s">
        <v>1322</v>
      </c>
      <c r="C1170" s="95" t="s">
        <v>1190</v>
      </c>
      <c r="D1170" t="s">
        <v>369</v>
      </c>
      <c r="E1170" t="s">
        <v>61</v>
      </c>
      <c r="F1170" t="s">
        <v>63</v>
      </c>
      <c r="G1170" t="s">
        <v>437</v>
      </c>
      <c r="H1170" t="s">
        <v>1189</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0.20732835560623103</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0.20795637847695569</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0.20354939622414611</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0.18369364043125816</v>
      </c>
      <c r="T1170" s="94">
        <f>IF('Net zero activities &amp; levers'!$C$14="Off",SUM('Activity data'!AM50:AM65)*FracLEACH*MSLeachEF*NtoN2O*kgtoGg,IF('Net zero activities &amp; levers'!$C$14="On",SUM('Net zero Activity data'!AM50:AM65)*FracLEACH*MSLeachEF*NtoN2O*kgtoGg,"ERROR"))</f>
        <v>0.19074245801308834</v>
      </c>
      <c r="U1170" s="94">
        <f>IF('Net zero activities &amp; levers'!$C$14="Off",SUM('Activity data'!AN50:AN65)*FracLEACH*MSLeachEF*NtoN2O*kgtoGg,IF('Net zero activities &amp; levers'!$C$14="On",SUM('Net zero Activity data'!AN50:AN65)*FracLEACH*MSLeachEF*NtoN2O*kgtoGg,"ERROR"))</f>
        <v>0.54709913085173534</v>
      </c>
      <c r="V1170" s="94">
        <f>IF('Net zero activities &amp; levers'!$C$14="Off",SUM('Activity data'!AO50:AO65)*FracLEACH*MSLeachEF*NtoN2O*kgtoGg,IF('Net zero activities &amp; levers'!$C$14="On",SUM('Net zero Activity data'!AO50:AO65)*FracLEACH*MSLeachEF*NtoN2O*kgtoGg,"ERROR"))</f>
        <v>0.55300351928587688</v>
      </c>
      <c r="W1170" s="94">
        <f>IF('Net zero activities &amp; levers'!$C$14="Off",SUM('Activity data'!AP50:AP65)*FracLEACH*MSLeachEF*NtoN2O*kgtoGg,IF('Net zero activities &amp; levers'!$C$14="On",SUM('Net zero Activity data'!AP50:AP65)*FracLEACH*MSLeachEF*NtoN2O*kgtoGg,"ERROR"))</f>
        <v>0.55807464420509822</v>
      </c>
      <c r="X1170" s="94">
        <f>IF('Net zero activities &amp; levers'!$C$14="Off",SUM('Activity data'!AQ50:AQ65)*FracLEACH*MSLeachEF*NtoN2O*kgtoGg,IF('Net zero activities &amp; levers'!$C$14="On",SUM('Net zero Activity data'!AQ50:AQ65)*FracLEACH*MSLeachEF*NtoN2O*kgtoGg,"ERROR"))</f>
        <v>0.56229419622275822</v>
      </c>
      <c r="Y1170" s="94">
        <f>IF('Net zero activities &amp; levers'!$C$14="Off",SUM('Activity data'!AR50:AR65)*FracLEACH*MSLeachEF*NtoN2O*kgtoGg,IF('Net zero activities &amp; levers'!$C$14="On",SUM('Net zero Activity data'!AR50:AR65)*FracLEACH*MSLeachEF*NtoN2O*kgtoGg,"ERROR"))</f>
        <v>0.56565689030054322</v>
      </c>
      <c r="Z1170" s="94">
        <f>IF('Net zero activities &amp; levers'!$C$14="Off",SUM('Activity data'!AS50:AS65)*FracLEACH*MSLeachEF*NtoN2O*kgtoGg,IF('Net zero activities &amp; levers'!$C$14="On",SUM('Net zero Activity data'!AS50:AS65)*FracLEACH*MSLeachEF*NtoN2O*kgtoGg,"ERROR"))</f>
        <v>0.56813718205802377</v>
      </c>
      <c r="AA1170" s="94">
        <f>IF('Net zero activities &amp; levers'!$C$14="Off",SUM('Activity data'!AT50:AT65)*FracLEACH*MSLeachEF*NtoN2O*kgtoGg,IF('Net zero activities &amp; levers'!$C$14="On",SUM('Net zero Activity data'!AT50:AT65)*FracLEACH*MSLeachEF*NtoN2O*kgtoGg,"ERROR"))</f>
        <v>0.56971515638742798</v>
      </c>
      <c r="AB1170" s="94">
        <f>IF('Net zero activities &amp; levers'!$C$14="Off",SUM('Activity data'!AU50:AU65)*FracLEACH*MSLeachEF*NtoN2O*kgtoGg,IF('Net zero activities &amp; levers'!$C$14="On",SUM('Net zero Activity data'!AU50:AU65)*FracLEACH*MSLeachEF*NtoN2O*kgtoGg,"ERROR"))</f>
        <v>0.57037496938758903</v>
      </c>
      <c r="AC1170" s="94">
        <f>IF('Net zero activities &amp; levers'!$C$14="Off",SUM('Activity data'!AV50:AV65)*FracLEACH*MSLeachEF*NtoN2O*kgtoGg,IF('Net zero activities &amp; levers'!$C$14="On",SUM('Net zero Activity data'!AV50:AV65)*FracLEACH*MSLeachEF*NtoN2O*kgtoGg,"ERROR"))</f>
        <v>0.57010545707497351</v>
      </c>
      <c r="AD1170" s="94">
        <f>IF('Net zero activities &amp; levers'!$C$14="Off",SUM('Activity data'!AW50:AW65)*FracLEACH*MSLeachEF*NtoN2O*kgtoGg,IF('Net zero activities &amp; levers'!$C$14="On",SUM('Net zero Activity data'!AW50:AW65)*FracLEACH*MSLeachEF*NtoN2O*kgtoGg,"ERROR"))</f>
        <v>0.56676670518887351</v>
      </c>
      <c r="AE1170" s="94">
        <f>IF('Net zero activities &amp; levers'!$C$14="Off",SUM('Activity data'!AX50:AX65)*FracLEACH*MSLeachEF*NtoN2O*kgtoGg,IF('Net zero activities &amp; levers'!$C$14="On",SUM('Net zero Activity data'!AX50:AX65)*FracLEACH*MSLeachEF*NtoN2O*kgtoGg,"ERROR"))</f>
        <v>0.56250536936786533</v>
      </c>
      <c r="AF1170" s="94">
        <f>IF('Net zero activities &amp; levers'!$C$14="Off",SUM('Activity data'!AY50:AY65)*FracLEACH*MSLeachEF*NtoN2O*kgtoGg,IF('Net zero activities &amp; levers'!$C$14="On",SUM('Net zero Activity data'!AY50:AY65)*FracLEACH*MSLeachEF*NtoN2O*kgtoGg,"ERROR"))</f>
        <v>0.55733683429481795</v>
      </c>
      <c r="AG1170" s="94">
        <f>IF('Net zero activities &amp; levers'!$C$14="Off",SUM('Activity data'!AZ50:AZ65)*FracLEACH*MSLeachEF*NtoN2O*kgtoGg,IF('Net zero activities &amp; levers'!$C$14="On",SUM('Net zero Activity data'!AZ50:AZ65)*FracLEACH*MSLeachEF*NtoN2O*kgtoGg,"ERROR"))</f>
        <v>0.55128187856538813</v>
      </c>
      <c r="AH1170" s="94">
        <f>IF('Net zero activities &amp; levers'!$C$14="Off",SUM('Activity data'!BA50:BA65)*FracLEACH*MSLeachEF*NtoN2O*kgtoGg,IF('Net zero activities &amp; levers'!$C$14="On",SUM('Net zero Activity data'!BA50:BA65)*FracLEACH*MSLeachEF*NtoN2O*kgtoGg,"ERROR"))</f>
        <v>0.54436526977326183</v>
      </c>
      <c r="AI1170" s="94">
        <f>IF('Net zero activities &amp; levers'!$C$14="Off",SUM('Activity data'!BB50:BB65)*FracLEACH*MSLeachEF*NtoN2O*kgtoGg,IF('Net zero activities &amp; levers'!$C$14="On",SUM('Net zero Activity data'!BB50:BB65)*FracLEACH*MSLeachEF*NtoN2O*kgtoGg,"ERROR"))</f>
        <v>0.53661612965976202</v>
      </c>
      <c r="AJ1170" s="94">
        <f>IF('Net zero activities &amp; levers'!$C$14="Off",SUM('Activity data'!BC50:BC65)*FracLEACH*MSLeachEF*NtoN2O*kgtoGg,IF('Net zero activities &amp; levers'!$C$14="On",SUM('Net zero Activity data'!BC50:BC65)*FracLEACH*MSLeachEF*NtoN2O*kgtoGg,"ERROR"))</f>
        <v>-1.3787440297582821E-2</v>
      </c>
      <c r="AK1170" s="94">
        <f>IF('Net zero activities &amp; levers'!$C$14="Off",SUM('Activity data'!BD50:BD65)*FracLEACH*MSLeachEF*NtoN2O*kgtoGg,IF('Net zero activities &amp; levers'!$C$14="On",SUM('Net zero Activity data'!BD50:BD65)*FracLEACH*MSLeachEF*NtoN2O*kgtoGg,"ERROR"))</f>
        <v>-1.3365724301233515E-2</v>
      </c>
      <c r="AL1170" s="94">
        <f>IF('Net zero activities &amp; levers'!$C$14="Off",SUM('Activity data'!BE50:BE65)*FracLEACH*MSLeachEF*NtoN2O*kgtoGg,IF('Net zero activities &amp; levers'!$C$14="On",SUM('Net zero Activity data'!BE50:BE65)*FracLEACH*MSLeachEF*NtoN2O*kgtoGg,"ERROR"))</f>
        <v>-1.2947271832122912E-2</v>
      </c>
      <c r="AM1170" s="94">
        <f>IF('Net zero activities &amp; levers'!$C$14="Off",SUM('Activity data'!BF50:BF65)*FracLEACH*MSLeachEF*NtoN2O*kgtoGg,IF('Net zero activities &amp; levers'!$C$14="On",SUM('Net zero Activity data'!BF50:BF65)*FracLEACH*MSLeachEF*NtoN2O*kgtoGg,"ERROR"))</f>
        <v>-1.2532155025223722E-2</v>
      </c>
      <c r="AN1170" s="94">
        <f>IF('Net zero activities &amp; levers'!$C$14="Off",SUM('Activity data'!BG50:BG65)*FracLEACH*MSLeachEF*NtoN2O*kgtoGg,IF('Net zero activities &amp; levers'!$C$14="On",SUM('Net zero Activity data'!BG50:BG65)*FracLEACH*MSLeachEF*NtoN2O*kgtoGg,"ERROR"))</f>
        <v>-1.2199737734429479E-2</v>
      </c>
      <c r="AO1170" s="94">
        <f>IF('Net zero activities &amp; levers'!$C$14="Off",SUM('Activity data'!BH50:BH65)*FracLEACH*MSLeachEF*NtoN2O*kgtoGg,IF('Net zero activities &amp; levers'!$C$14="On",SUM('Net zero Activity data'!BH50:BH65)*FracLEACH*MSLeachEF*NtoN2O*kgtoGg,"ERROR"))</f>
        <v>-1.1869291383315354E-2</v>
      </c>
      <c r="AP1170" s="94">
        <f>IF('Net zero activities &amp; levers'!$C$14="Off",SUM('Activity data'!BI50:BI65)*FracLEACH*MSLeachEF*NtoN2O*kgtoGg,IF('Net zero activities &amp; levers'!$C$14="On",SUM('Net zero Activity data'!BI50:BI65)*FracLEACH*MSLeachEF*NtoN2O*kgtoGg,"ERROR"))</f>
        <v>-1.1540487330895275E-2</v>
      </c>
      <c r="AQ1170" s="94">
        <f>IF('Net zero activities &amp; levers'!$C$14="Off",SUM('Activity data'!BJ50:BJ65)*FracLEACH*MSLeachEF*NtoN2O*kgtoGg,IF('Net zero activities &amp; levers'!$C$14="On",SUM('Net zero Activity data'!BJ50:BJ65)*FracLEACH*MSLeachEF*NtoN2O*kgtoGg,"ERROR"))</f>
        <v>-1.1213279540447051E-2</v>
      </c>
      <c r="AR1170" s="94">
        <f>IF('Net zero activities &amp; levers'!$C$14="Off",SUM('Activity data'!BK50:BK65)*FracLEACH*MSLeachEF*NtoN2O*kgtoGg,IF('Net zero activities &amp; levers'!$C$14="On",SUM('Net zero Activity data'!BK50:BK65)*FracLEACH*MSLeachEF*NtoN2O*kgtoGg,"ERROR"))</f>
        <v>-1.0887330717202761E-2</v>
      </c>
      <c r="AS1170" s="94">
        <f>IF('Net zero activities &amp; levers'!$C$14="Off",SUM('Activity data'!BL50:BL65)*FracLEACH*MSLeachEF*NtoN2O*kgtoGg,IF('Net zero activities &amp; levers'!$C$14="On",SUM('Net zero Activity data'!BL50:BL65)*FracLEACH*MSLeachEF*NtoN2O*kgtoGg,"ERROR"))</f>
        <v>-1.0562298727174138E-2</v>
      </c>
      <c r="AT1170" s="94">
        <f>IF('Net zero activities &amp; levers'!$C$14="Off",SUM('Activity data'!BM50:BM65)*FracLEACH*MSLeachEF*NtoN2O*kgtoGg,IF('Net zero activities &amp; levers'!$C$14="On",SUM('Net zero Activity data'!BM50:BM65)*FracLEACH*MSLeachEF*NtoN2O*kgtoGg,"ERROR"))</f>
        <v>-1.0238184478362713E-2</v>
      </c>
      <c r="AU1170" s="94">
        <f>IF('Net zero activities &amp; levers'!$C$14="Off",SUM('Activity data'!BN50:BN65)*FracLEACH*MSLeachEF*NtoN2O*kgtoGg,IF('Net zero activities &amp; levers'!$C$14="On",SUM('Net zero Activity data'!BN50:BN65)*FracLEACH*MSLeachEF*NtoN2O*kgtoGg,"ERROR"))</f>
        <v>-9.9150869917118811E-3</v>
      </c>
      <c r="AV1170" s="94">
        <f>IF('Net zero activities &amp; levers'!$C$14="Off",SUM('Activity data'!BO50:BO65)*FracLEACH*MSLeachEF*NtoN2O*kgtoGg,IF('Net zero activities &amp; levers'!$C$14="On",SUM('Net zero Activity data'!BO50:BO65)*FracLEACH*MSLeachEF*NtoN2O*kgtoGg,"ERROR"))</f>
        <v>-9.5930871912063547E-3</v>
      </c>
      <c r="AW1170" s="94">
        <f>IF('Net zero activities &amp; levers'!$C$14="Off",SUM('Activity data'!BP50:BP65)*FracLEACH*MSLeachEF*NtoN2O*kgtoGg,IF('Net zero activities &amp; levers'!$C$14="On",SUM('Net zero Activity data'!BP50:BP65)*FracLEACH*MSLeachEF*NtoN2O*kgtoGg,"ERROR"))</f>
        <v>-9.27190554712015E-3</v>
      </c>
      <c r="AY1170" s="79"/>
    </row>
    <row r="1171" spans="1:51" x14ac:dyDescent="0.25">
      <c r="A1171" s="95" t="str">
        <f t="shared" si="380"/>
        <v>CM Leaching</v>
      </c>
      <c r="B1171" s="95" t="s">
        <v>1322</v>
      </c>
      <c r="C1171" s="95" t="s">
        <v>1190</v>
      </c>
      <c r="D1171" t="s">
        <v>369</v>
      </c>
      <c r="E1171" t="s">
        <v>61</v>
      </c>
      <c r="F1171" t="s">
        <v>63</v>
      </c>
      <c r="G1171" t="s">
        <v>438</v>
      </c>
      <c r="H1171" t="s">
        <v>1191</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25">
      <c r="A1172" s="95" t="str">
        <f t="shared" si="380"/>
        <v>CM Leaching</v>
      </c>
      <c r="B1172" s="95" t="s">
        <v>1322</v>
      </c>
      <c r="C1172" s="95" t="s">
        <v>1190</v>
      </c>
      <c r="D1172" t="s">
        <v>369</v>
      </c>
      <c r="E1172" t="s">
        <v>61</v>
      </c>
      <c r="F1172" t="s">
        <v>63</v>
      </c>
      <c r="G1172" t="s">
        <v>439</v>
      </c>
      <c r="H1172" t="s">
        <v>1192</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0.10250223308080923</v>
      </c>
      <c r="U1172" s="22">
        <f t="shared" si="381"/>
        <v>0.10320425755524179</v>
      </c>
      <c r="V1172" s="22">
        <f t="shared" si="381"/>
        <v>0.12005228808448951</v>
      </c>
      <c r="W1172" s="22">
        <f t="shared" si="381"/>
        <v>0.12047318780844027</v>
      </c>
      <c r="X1172" s="22">
        <f t="shared" si="381"/>
        <v>0.12086279682940448</v>
      </c>
      <c r="Y1172" s="22">
        <f t="shared" si="381"/>
        <v>0.12122115716514245</v>
      </c>
      <c r="Z1172" s="22">
        <f t="shared" si="381"/>
        <v>0.12154854080302378</v>
      </c>
      <c r="AA1172" s="22">
        <f t="shared" si="381"/>
        <v>0.12184466350232884</v>
      </c>
      <c r="AB1172" s="22">
        <f t="shared" si="381"/>
        <v>0.1221092875582894</v>
      </c>
      <c r="AC1172" s="22">
        <f t="shared" si="381"/>
        <v>0.12234218010157646</v>
      </c>
      <c r="AD1172" s="22">
        <f t="shared" si="381"/>
        <v>0.12254312321244377</v>
      </c>
      <c r="AE1172" s="22">
        <f t="shared" si="381"/>
        <v>0.12271193510141119</v>
      </c>
      <c r="AF1172" s="22">
        <f t="shared" si="381"/>
        <v>0.12284843668588494</v>
      </c>
      <c r="AG1172" s="22">
        <f t="shared" si="381"/>
        <v>0.12295247873515695</v>
      </c>
      <c r="AH1172" s="22">
        <f t="shared" si="381"/>
        <v>0.12302394179853401</v>
      </c>
      <c r="AI1172" s="22">
        <f t="shared" si="381"/>
        <v>0.12306270455319578</v>
      </c>
      <c r="AJ1172" s="22">
        <f t="shared" si="381"/>
        <v>0.12306865704296534</v>
      </c>
      <c r="AK1172" s="22">
        <f t="shared" si="381"/>
        <v>7.3265802876620559E-2</v>
      </c>
      <c r="AL1172" s="22">
        <f t="shared" si="381"/>
        <v>7.322358485509374E-2</v>
      </c>
      <c r="AM1172" s="22">
        <f t="shared" si="381"/>
        <v>7.3182328438063146E-2</v>
      </c>
      <c r="AN1172" s="22">
        <f t="shared" si="381"/>
        <v>7.3141977323778182E-2</v>
      </c>
      <c r="AO1172" s="22">
        <f t="shared" si="381"/>
        <v>7.3102465037779299E-2</v>
      </c>
      <c r="AP1172" s="22">
        <f t="shared" si="381"/>
        <v>7.3063959614436361E-2</v>
      </c>
      <c r="AQ1172" s="22">
        <f t="shared" si="381"/>
        <v>7.3026574505796304E-2</v>
      </c>
      <c r="AR1172" s="22">
        <f t="shared" si="381"/>
        <v>7.299032409378052E-2</v>
      </c>
      <c r="AS1172" s="22">
        <f t="shared" si="381"/>
        <v>7.2955343151510282E-2</v>
      </c>
      <c r="AT1172" s="22">
        <f t="shared" si="381"/>
        <v>7.2921781713616574E-2</v>
      </c>
      <c r="AU1172" s="22">
        <f t="shared" si="381"/>
        <v>7.2889659597002901E-2</v>
      </c>
      <c r="AV1172" s="22">
        <f t="shared" si="381"/>
        <v>7.2858956618379891E-2</v>
      </c>
      <c r="AW1172" s="22">
        <f t="shared" si="381"/>
        <v>7.282965905259077E-2</v>
      </c>
      <c r="AY1172" s="79"/>
    </row>
    <row r="1173" spans="1:51" x14ac:dyDescent="0.25">
      <c r="A1173" s="95" t="str">
        <f t="shared" si="380"/>
        <v>CM Leaching</v>
      </c>
      <c r="B1173" s="95" t="s">
        <v>1322</v>
      </c>
      <c r="C1173" s="95" t="s">
        <v>1190</v>
      </c>
      <c r="D1173" t="s">
        <v>369</v>
      </c>
      <c r="E1173" t="s">
        <v>61</v>
      </c>
      <c r="F1173" t="s">
        <v>63</v>
      </c>
      <c r="G1173" t="s">
        <v>1193</v>
      </c>
      <c r="H1173" t="s">
        <v>1194</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25">
      <c r="A1174" s="95" t="str">
        <f t="shared" si="380"/>
        <v>CM Leaching</v>
      </c>
      <c r="B1174" s="95" t="s">
        <v>1322</v>
      </c>
      <c r="C1174" s="95" t="s">
        <v>1190</v>
      </c>
      <c r="D1174" t="s">
        <v>369</v>
      </c>
      <c r="E1174" t="s">
        <v>61</v>
      </c>
      <c r="F1174" t="s">
        <v>63</v>
      </c>
      <c r="G1174" t="s">
        <v>1195</v>
      </c>
      <c r="H1174" t="s">
        <v>1196</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25">
      <c r="A1175" s="95" t="str">
        <f t="shared" si="380"/>
        <v>CM Leaching</v>
      </c>
      <c r="B1175" s="95" t="s">
        <v>1322</v>
      </c>
      <c r="C1175" s="95" t="s">
        <v>1190</v>
      </c>
      <c r="D1175" t="s">
        <v>369</v>
      </c>
      <c r="E1175" t="s">
        <v>61</v>
      </c>
      <c r="F1175" t="s">
        <v>63</v>
      </c>
      <c r="G1175" t="s">
        <v>1197</v>
      </c>
      <c r="H1175" t="s">
        <v>1198</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25">
      <c r="A1176" s="95" t="str">
        <f t="shared" si="380"/>
        <v>CM Leaching</v>
      </c>
      <c r="B1176" s="95" t="s">
        <v>1322</v>
      </c>
      <c r="C1176" s="95" t="s">
        <v>1190</v>
      </c>
      <c r="D1176" t="s">
        <v>369</v>
      </c>
      <c r="E1176" t="s">
        <v>61</v>
      </c>
      <c r="F1176" t="s">
        <v>63</v>
      </c>
      <c r="G1176" t="s">
        <v>1199</v>
      </c>
      <c r="H1176" t="s">
        <v>1200</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25">
      <c r="A1177" s="95" t="str">
        <f t="shared" si="380"/>
        <v>CM Leaching</v>
      </c>
      <c r="B1177" s="95" t="s">
        <v>1322</v>
      </c>
      <c r="C1177" s="95" t="s">
        <v>1190</v>
      </c>
      <c r="D1177" t="s">
        <v>369</v>
      </c>
      <c r="E1177" t="s">
        <v>61</v>
      </c>
      <c r="F1177" t="s">
        <v>63</v>
      </c>
      <c r="G1177" t="s">
        <v>1201</v>
      </c>
      <c r="H1177" t="s">
        <v>1202</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25">
      <c r="A1178" s="95" t="str">
        <f t="shared" si="380"/>
        <v>CM Leaching</v>
      </c>
      <c r="B1178" s="95" t="s">
        <v>1322</v>
      </c>
      <c r="C1178" s="95" t="s">
        <v>1190</v>
      </c>
      <c r="D1178" t="s">
        <v>369</v>
      </c>
      <c r="E1178" t="s">
        <v>61</v>
      </c>
      <c r="F1178" t="s">
        <v>63</v>
      </c>
      <c r="G1178" t="s">
        <v>1203</v>
      </c>
      <c r="H1178" t="s">
        <v>1204</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25">
      <c r="A1179" s="95" t="str">
        <f t="shared" si="380"/>
        <v>CM Leaching</v>
      </c>
      <c r="B1179" s="95" t="s">
        <v>1322</v>
      </c>
      <c r="C1179" s="95" t="s">
        <v>1190</v>
      </c>
      <c r="D1179" t="s">
        <v>369</v>
      </c>
      <c r="E1179" t="s">
        <v>61</v>
      </c>
      <c r="F1179" t="s">
        <v>63</v>
      </c>
      <c r="G1179" t="s">
        <v>1205</v>
      </c>
      <c r="H1179" t="s">
        <v>1206</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25">
      <c r="A1180" s="95" t="str">
        <f t="shared" si="380"/>
        <v>CM Leaching</v>
      </c>
      <c r="B1180" s="95" t="s">
        <v>1322</v>
      </c>
      <c r="C1180" s="95" t="s">
        <v>1190</v>
      </c>
      <c r="D1180" t="s">
        <v>369</v>
      </c>
      <c r="E1180" t="s">
        <v>61</v>
      </c>
      <c r="F1180" t="s">
        <v>63</v>
      </c>
      <c r="G1180" t="s">
        <v>1207</v>
      </c>
      <c r="H1180" t="s">
        <v>1208</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25">
      <c r="A1181" s="95" t="str">
        <f t="shared" si="380"/>
        <v>CM Leaching</v>
      </c>
      <c r="B1181" s="95" t="s">
        <v>1322</v>
      </c>
      <c r="C1181" s="95" t="s">
        <v>1190</v>
      </c>
      <c r="D1181" t="s">
        <v>369</v>
      </c>
      <c r="E1181" t="s">
        <v>61</v>
      </c>
      <c r="F1181" t="s">
        <v>63</v>
      </c>
      <c r="G1181" t="s">
        <v>1209</v>
      </c>
      <c r="H1181" t="s">
        <v>1210</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25">
      <c r="A1182" s="95" t="str">
        <f t="shared" si="380"/>
        <v>CM Leaching</v>
      </c>
      <c r="B1182" s="95" t="s">
        <v>1322</v>
      </c>
      <c r="C1182" s="95" t="s">
        <v>1190</v>
      </c>
      <c r="D1182" t="s">
        <v>369</v>
      </c>
      <c r="E1182" t="s">
        <v>61</v>
      </c>
      <c r="F1182" t="s">
        <v>63</v>
      </c>
      <c r="G1182" t="s">
        <v>1211</v>
      </c>
      <c r="H1182" t="s">
        <v>1212</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25">
      <c r="A1183" s="95" t="str">
        <f t="shared" si="380"/>
        <v>CM Leaching</v>
      </c>
      <c r="B1183" s="95" t="s">
        <v>1322</v>
      </c>
      <c r="C1183" s="95" t="s">
        <v>1190</v>
      </c>
      <c r="D1183" t="s">
        <v>369</v>
      </c>
      <c r="E1183" t="s">
        <v>61</v>
      </c>
      <c r="F1183" t="s">
        <v>63</v>
      </c>
      <c r="G1183" t="s">
        <v>1213</v>
      </c>
      <c r="H1183" t="s">
        <v>1214</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25">
      <c r="A1184" s="95" t="str">
        <f t="shared" si="380"/>
        <v xml:space="preserve"> </v>
      </c>
      <c r="B1184" s="95"/>
      <c r="C1184" s="95"/>
      <c r="D1184" t="s">
        <v>369</v>
      </c>
      <c r="E1184" t="s">
        <v>61</v>
      </c>
      <c r="F1184" t="s">
        <v>63</v>
      </c>
      <c r="G1184" t="s">
        <v>1215</v>
      </c>
      <c r="H1184" t="s">
        <v>1216</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25">
      <c r="A1185" s="95" t="str">
        <f t="shared" si="380"/>
        <v>CM MM Volatilisation</v>
      </c>
      <c r="B1185" s="95" t="s">
        <v>1322</v>
      </c>
      <c r="C1185" s="95" t="s">
        <v>1332</v>
      </c>
      <c r="D1185" t="s">
        <v>369</v>
      </c>
      <c r="E1185" t="s">
        <v>64</v>
      </c>
      <c r="F1185" t="s">
        <v>62</v>
      </c>
      <c r="G1185" t="s">
        <v>1152</v>
      </c>
      <c r="H1185" t="s">
        <v>1290</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0.40145358914715529</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0.40481416413578281</v>
      </c>
      <c r="P1185" s="94">
        <f>IF('Net zero activities &amp; levers'!$C$14="Off",Constants!$H63*'Activity data'!AI5*Constants!$H81*EF!$H206*MMVolatEF*NtoN2O*kgtoGg,IF('Net zero activities &amp; levers'!$C$14="On",Constants!$H63*'Net zero Activity data'!AI5*Constants!$H81*EF!$H206*MMVolatEF*NtoN2O*kgtoGg,"ERROR"))</f>
        <v>0.40546521734783819</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0.40855374420631202</v>
      </c>
      <c r="S1185" s="94">
        <f>IF('Net zero activities &amp; levers'!$C$14="Off",Constants!$H63*'Activity data'!AL5*Constants!$H81*EF!$H206*MMVolatEF*NtoN2O*kgtoGg,IF('Net zero activities &amp; levers'!$C$14="On",Constants!$H63*'Net zero Activity data'!AL5*Constants!$H81*EF!$H206*MMVolatEF*NtoN2O*kgtoGg,"ERROR"))</f>
        <v>0.39694485067455443</v>
      </c>
      <c r="T1185" s="94">
        <f>IF('Net zero activities &amp; levers'!$C$14="Off",Constants!$H63*'Activity data'!AM5*Constants!$H81*EF!$H206*MMVolatEF*NtoN2O*kgtoGg,IF('Net zero activities &amp; levers'!$C$14="On",Constants!$H63*'Net zero Activity data'!AM5*Constants!$H81*EF!$H206*MMVolatEF*NtoN2O*kgtoGg,"ERROR"))</f>
        <v>0.40377484899001992</v>
      </c>
      <c r="U1185" s="94">
        <f>IF('Net zero activities &amp; levers'!$C$14="Off",Constants!$H63*'Activity data'!AN5*Constants!$H81*EF!$H206*MMVolatEF*NtoN2O*kgtoGg,IF('Net zero activities &amp; levers'!$C$14="On",Constants!$H63*'Net zero Activity data'!AN5*Constants!$H81*EF!$H206*MMVolatEF*NtoN2O*kgtoGg,"ERROR"))</f>
        <v>0.69472691845052781</v>
      </c>
      <c r="V1185" s="94">
        <f>IF('Net zero activities &amp; levers'!$C$14="Off",Constants!$H63*'Activity data'!AO5*Constants!$H81*EF!$H206*MMVolatEF*NtoN2O*kgtoGg,IF('Net zero activities &amp; levers'!$C$14="On",Constants!$H63*'Net zero Activity data'!AO5*Constants!$H81*EF!$H206*MMVolatEF*NtoN2O*kgtoGg,"ERROR"))</f>
        <v>0.70310152718694741</v>
      </c>
      <c r="W1185" s="94">
        <f>IF('Net zero activities &amp; levers'!$C$14="Off",Constants!$H63*'Activity data'!AP5*Constants!$H81*EF!$H206*MMVolatEF*NtoN2O*kgtoGg,IF('Net zero activities &amp; levers'!$C$14="On",Constants!$H63*'Net zero Activity data'!AP5*Constants!$H81*EF!$H206*MMVolatEF*NtoN2O*kgtoGg,"ERROR"))</f>
        <v>0.71110880509409102</v>
      </c>
      <c r="X1185" s="94">
        <f>IF('Net zero activities &amp; levers'!$C$14="Off",Constants!$H63*'Activity data'!AQ5*Constants!$H81*EF!$H206*MMVolatEF*NtoN2O*kgtoGg,IF('Net zero activities &amp; levers'!$C$14="On",Constants!$H63*'Net zero Activity data'!AQ5*Constants!$H81*EF!$H206*MMVolatEF*NtoN2O*kgtoGg,"ERROR"))</f>
        <v>0.718612550142118</v>
      </c>
      <c r="Y1185" s="94">
        <f>IF('Net zero activities &amp; levers'!$C$14="Off",Constants!$H63*'Activity data'!AR5*Constants!$H81*EF!$H206*MMVolatEF*NtoN2O*kgtoGg,IF('Net zero activities &amp; levers'!$C$14="On",Constants!$H63*'Net zero Activity data'!AR5*Constants!$H81*EF!$H206*MMVolatEF*NtoN2O*kgtoGg,"ERROR"))</f>
        <v>0.7254123730618981</v>
      </c>
      <c r="Z1185" s="94">
        <f>IF('Net zero activities &amp; levers'!$C$14="Off",Constants!$H63*'Activity data'!AS5*Constants!$H81*EF!$H206*MMVolatEF*NtoN2O*kgtoGg,IF('Net zero activities &amp; levers'!$C$14="On",Constants!$H63*'Net zero Activity data'!AS5*Constants!$H81*EF!$H206*MMVolatEF*NtoN2O*kgtoGg,"ERROR"))</f>
        <v>0.73147651852735551</v>
      </c>
      <c r="AA1185" s="94">
        <f>IF('Net zero activities &amp; levers'!$C$14="Off",Constants!$H63*'Activity data'!AT5*Constants!$H81*EF!$H206*MMVolatEF*NtoN2O*kgtoGg,IF('Net zero activities &amp; levers'!$C$14="On",Constants!$H63*'Net zero Activity data'!AT5*Constants!$H81*EF!$H206*MMVolatEF*NtoN2O*kgtoGg,"ERROR"))</f>
        <v>0.73676965969026942</v>
      </c>
      <c r="AB1185" s="94">
        <f>IF('Net zero activities &amp; levers'!$C$14="Off",Constants!$H63*'Activity data'!AU5*Constants!$H81*EF!$H206*MMVolatEF*NtoN2O*kgtoGg,IF('Net zero activities &amp; levers'!$C$14="On",Constants!$H63*'Net zero Activity data'!AU5*Constants!$H81*EF!$H206*MMVolatEF*NtoN2O*kgtoGg,"ERROR"))</f>
        <v>0.74126505933946241</v>
      </c>
      <c r="AC1185" s="94">
        <f>IF('Net zero activities &amp; levers'!$C$14="Off",Constants!$H63*'Activity data'!AV5*Constants!$H81*EF!$H206*MMVolatEF*NtoN2O*kgtoGg,IF('Net zero activities &amp; levers'!$C$14="On",Constants!$H63*'Net zero Activity data'!AV5*Constants!$H81*EF!$H206*MMVolatEF*NtoN2O*kgtoGg,"ERROR"))</f>
        <v>0.74494151296918631</v>
      </c>
      <c r="AD1185" s="94">
        <f>IF('Net zero activities &amp; levers'!$C$14="Off",Constants!$H63*'Activity data'!AW5*Constants!$H81*EF!$H206*MMVolatEF*NtoN2O*kgtoGg,IF('Net zero activities &amp; levers'!$C$14="On",Constants!$H63*'Net zero Activity data'!AW5*Constants!$H81*EF!$H206*MMVolatEF*NtoN2O*kgtoGg,"ERROR"))</f>
        <v>0.74777672987859323</v>
      </c>
      <c r="AE1185" s="94">
        <f>IF('Net zero activities &amp; levers'!$C$14="Off",Constants!$H63*'Activity data'!AX5*Constants!$H81*EF!$H206*MMVolatEF*NtoN2O*kgtoGg,IF('Net zero activities &amp; levers'!$C$14="On",Constants!$H63*'Net zero Activity data'!AX5*Constants!$H81*EF!$H206*MMVolatEF*NtoN2O*kgtoGg,"ERROR"))</f>
        <v>0.7497573654957449</v>
      </c>
      <c r="AF1185" s="94">
        <f>IF('Net zero activities &amp; levers'!$C$14="Off",Constants!$H63*'Activity data'!AY5*Constants!$H81*EF!$H206*MMVolatEF*NtoN2O*kgtoGg,IF('Net zero activities &amp; levers'!$C$14="On",Constants!$H63*'Net zero Activity data'!AY5*Constants!$H81*EF!$H206*MMVolatEF*NtoN2O*kgtoGg,"ERROR"))</f>
        <v>0.75087061941702216</v>
      </c>
      <c r="AG1185" s="94">
        <f>IF('Net zero activities &amp; levers'!$C$14="Off",Constants!$H63*'Activity data'!AZ5*Constants!$H81*EF!$H206*MMVolatEF*NtoN2O*kgtoGg,IF('Net zero activities &amp; levers'!$C$14="On",Constants!$H63*'Net zero Activity data'!AZ5*Constants!$H81*EF!$H206*MMVolatEF*NtoN2O*kgtoGg,"ERROR"))</f>
        <v>0.75110412486622213</v>
      </c>
      <c r="AH1185" s="94">
        <f>IF('Net zero activities &amp; levers'!$C$14="Off",Constants!$H63*'Activity data'!BA5*Constants!$H81*EF!$H206*MMVolatEF*NtoN2O*kgtoGg,IF('Net zero activities &amp; levers'!$C$14="On",Constants!$H63*'Net zero Activity data'!BA5*Constants!$H81*EF!$H206*MMVolatEF*NtoN2O*kgtoGg,"ERROR"))</f>
        <v>0.75045562343243666</v>
      </c>
      <c r="AI1185" s="94">
        <f>IF('Net zero activities &amp; levers'!$C$14="Off",Constants!$H63*'Activity data'!BB5*Constants!$H81*EF!$H206*MMVolatEF*NtoN2O*kgtoGg,IF('Net zero activities &amp; levers'!$C$14="On",Constants!$H63*'Net zero Activity data'!BB5*Constants!$H81*EF!$H206*MMVolatEF*NtoN2O*kgtoGg,"ERROR"))</f>
        <v>0.74892880709192955</v>
      </c>
      <c r="AJ1185" s="94">
        <f>IF('Net zero activities &amp; levers'!$C$14="Off",Constants!$H63*'Activity data'!BC5*Constants!$H81*EF!$H206*MMVolatEF*NtoN2O*kgtoGg,IF('Net zero activities &amp; levers'!$C$14="On",Constants!$H63*'Net zero Activity data'!BC5*Constants!$H81*EF!$H206*MMVolatEF*NtoN2O*kgtoGg,"ERROR"))</f>
        <v>0.2369481237841857</v>
      </c>
      <c r="AK1185" s="94">
        <f>IF('Net zero activities &amp; levers'!$C$14="Off",Constants!$H63*'Activity data'!BD5*Constants!$H81*EF!$H206*MMVolatEF*NtoN2O*kgtoGg,IF('Net zero activities &amp; levers'!$C$14="On",Constants!$H63*'Net zero Activity data'!BD5*Constants!$H81*EF!$H206*MMVolatEF*NtoN2O*kgtoGg,"ERROR"))</f>
        <v>0.23712109193812289</v>
      </c>
      <c r="AL1185" s="94">
        <f>IF('Net zero activities &amp; levers'!$C$14="Off",Constants!$H63*'Activity data'!BE5*Constants!$H81*EF!$H206*MMVolatEF*NtoN2O*kgtoGg,IF('Net zero activities &amp; levers'!$C$14="On",Constants!$H63*'Net zero Activity data'!BE5*Constants!$H81*EF!$H206*MMVolatEF*NtoN2O*kgtoGg,"ERROR"))</f>
        <v>0.23728160870243259</v>
      </c>
      <c r="AM1185" s="94">
        <f>IF('Net zero activities &amp; levers'!$C$14="Off",Constants!$H63*'Activity data'!BF5*Constants!$H81*EF!$H206*MMVolatEF*NtoN2O*kgtoGg,IF('Net zero activities &amp; levers'!$C$14="On",Constants!$H63*'Net zero Activity data'!BF5*Constants!$H81*EF!$H206*MMVolatEF*NtoN2O*kgtoGg,"ERROR"))</f>
        <v>0.2374307599177384</v>
      </c>
      <c r="AN1185" s="94">
        <f>IF('Net zero activities &amp; levers'!$C$14="Off",Constants!$H63*'Activity data'!BG5*Constants!$H81*EF!$H206*MMVolatEF*NtoN2O*kgtoGg,IF('Net zero activities &amp; levers'!$C$14="On",Constants!$H63*'Net zero Activity data'!BG5*Constants!$H81*EF!$H206*MMVolatEF*NtoN2O*kgtoGg,"ERROR"))</f>
        <v>0.2375698831121214</v>
      </c>
      <c r="AO1185" s="94">
        <f>IF('Net zero activities &amp; levers'!$C$14="Off",Constants!$H63*'Activity data'!BH5*Constants!$H81*EF!$H206*MMVolatEF*NtoN2O*kgtoGg,IF('Net zero activities &amp; levers'!$C$14="On",Constants!$H63*'Net zero Activity data'!BH5*Constants!$H81*EF!$H206*MMVolatEF*NtoN2O*kgtoGg,"ERROR"))</f>
        <v>0.23769461188435137</v>
      </c>
      <c r="AP1185" s="94">
        <f>IF('Net zero activities &amp; levers'!$C$14="Off",Constants!$H63*'Activity data'!BI5*Constants!$H81*EF!$H206*MMVolatEF*NtoN2O*kgtoGg,IF('Net zero activities &amp; levers'!$C$14="On",Constants!$H63*'Net zero Activity data'!BI5*Constants!$H81*EF!$H206*MMVolatEF*NtoN2O*kgtoGg,"ERROR"))</f>
        <v>0.2378020140279184</v>
      </c>
      <c r="AQ1185" s="94">
        <f>IF('Net zero activities &amp; levers'!$C$14="Off",Constants!$H63*'Activity data'!BJ5*Constants!$H81*EF!$H206*MMVolatEF*NtoN2O*kgtoGg,IF('Net zero activities &amp; levers'!$C$14="On",Constants!$H63*'Net zero Activity data'!BJ5*Constants!$H81*EF!$H206*MMVolatEF*NtoN2O*kgtoGg,"ERROR"))</f>
        <v>0.23789161932894973</v>
      </c>
      <c r="AR1185" s="94">
        <f>IF('Net zero activities &amp; levers'!$C$14="Off",Constants!$H63*'Activity data'!BK5*Constants!$H81*EF!$H206*MMVolatEF*NtoN2O*kgtoGg,IF('Net zero activities &amp; levers'!$C$14="On",Constants!$H63*'Net zero Activity data'!BK5*Constants!$H81*EF!$H206*MMVolatEF*NtoN2O*kgtoGg,"ERROR"))</f>
        <v>0.23796010078507188</v>
      </c>
      <c r="AS1185" s="94">
        <f>IF('Net zero activities &amp; levers'!$C$14="Off",Constants!$H63*'Activity data'!BL5*Constants!$H81*EF!$H206*MMVolatEF*NtoN2O*kgtoGg,IF('Net zero activities &amp; levers'!$C$14="On",Constants!$H63*'Net zero Activity data'!BL5*Constants!$H81*EF!$H206*MMVolatEF*NtoN2O*kgtoGg,"ERROR"))</f>
        <v>0.2380038463120322</v>
      </c>
      <c r="AT1185" s="94">
        <f>IF('Net zero activities &amp; levers'!$C$14="Off",Constants!$H63*'Activity data'!BM5*Constants!$H81*EF!$H206*MMVolatEF*NtoN2O*kgtoGg,IF('Net zero activities &amp; levers'!$C$14="On",Constants!$H63*'Net zero Activity data'!BM5*Constants!$H81*EF!$H206*MMVolatEF*NtoN2O*kgtoGg,"ERROR"))</f>
        <v>0.23802240976704672</v>
      </c>
      <c r="AU1185" s="94">
        <f>IF('Net zero activities &amp; levers'!$C$14="Off",Constants!$H63*'Activity data'!BN5*Constants!$H81*EF!$H206*MMVolatEF*NtoN2O*kgtoGg,IF('Net zero activities &amp; levers'!$C$14="On",Constants!$H63*'Net zero Activity data'!BN5*Constants!$H81*EF!$H206*MMVolatEF*NtoN2O*kgtoGg,"ERROR"))</f>
        <v>0.23801630420250081</v>
      </c>
      <c r="AV1185" s="94">
        <f>IF('Net zero activities &amp; levers'!$C$14="Off",Constants!$H63*'Activity data'!BO5*Constants!$H81*EF!$H206*MMVolatEF*NtoN2O*kgtoGg,IF('Net zero activities &amp; levers'!$C$14="On",Constants!$H63*'Net zero Activity data'!BO5*Constants!$H81*EF!$H206*MMVolatEF*NtoN2O*kgtoGg,"ERROR"))</f>
        <v>0.23798588741324539</v>
      </c>
      <c r="AW1185" s="94">
        <f>IF('Net zero activities &amp; levers'!$C$14="Off",Constants!$H63*'Activity data'!BP5*Constants!$H81*EF!$H206*MMVolatEF*NtoN2O*kgtoGg,IF('Net zero activities &amp; levers'!$C$14="On",Constants!$H63*'Net zero Activity data'!BP5*Constants!$H81*EF!$H206*MMVolatEF*NtoN2O*kgtoGg,"ERROR"))</f>
        <v>0.23792776204046176</v>
      </c>
      <c r="AY1185" s="79"/>
    </row>
    <row r="1186" spans="1:51" x14ac:dyDescent="0.25">
      <c r="A1186" s="95" t="str">
        <f t="shared" si="380"/>
        <v>CM MM Volatilisation</v>
      </c>
      <c r="B1186" s="95" t="s">
        <v>1322</v>
      </c>
      <c r="C1186" s="95" t="s">
        <v>1332</v>
      </c>
      <c r="D1186" t="s">
        <v>369</v>
      </c>
      <c r="E1186" t="s">
        <v>64</v>
      </c>
      <c r="F1186" t="s">
        <v>62</v>
      </c>
      <c r="G1186" t="s">
        <v>1154</v>
      </c>
      <c r="H1186" t="s">
        <v>1291</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3.1672388936885787E-2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3.1937519056453263E-2</v>
      </c>
      <c r="P1186" s="94">
        <f>IF('Net zero activities &amp; levers'!$C$14="Off",Constants!$H64*'Activity data'!AI6*Constants!$H82*EF!$H207*MMVolatEF*NtoN2O*kgtoGg,IF('Net zero activities &amp; levers'!$C$14="On",Constants!$H64*'Net zero Activity data'!AI6*Constants!$H82*EF!$H207*MMVolatEF*NtoN2O*kgtoGg,"ERROR"))</f>
        <v>3.1988883426104654E-2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3.2232550506305399E-2</v>
      </c>
      <c r="S1186" s="94">
        <f>IF('Net zero activities &amp; levers'!$C$14="Off",Constants!$H64*'Activity data'!AL6*Constants!$H82*EF!$H207*MMVolatEF*NtoN2O*kgtoGg,IF('Net zero activities &amp; levers'!$C$14="On",Constants!$H64*'Net zero Activity data'!AL6*Constants!$H82*EF!$H207*MMVolatEF*NtoN2O*kgtoGg,"ERROR"))</f>
        <v>3.1316675294314346E-2</v>
      </c>
      <c r="T1186" s="94">
        <f>IF('Net zero activities &amp; levers'!$C$14="Off",Constants!$H64*'Activity data'!AM6*Constants!$H82*EF!$H207*MMVolatEF*NtoN2O*kgtoGg,IF('Net zero activities &amp; levers'!$C$14="On",Constants!$H64*'Net zero Activity data'!AM6*Constants!$H82*EF!$H207*MMVolatEF*NtoN2O*kgtoGg,"ERROR"))</f>
        <v>3.1855523043926581E-2</v>
      </c>
      <c r="U1186" s="94">
        <f>IF('Net zero activities &amp; levers'!$C$14="Off",Constants!$H64*'Activity data'!AN6*Constants!$H82*EF!$H207*MMVolatEF*NtoN2O*kgtoGg,IF('Net zero activities &amp; levers'!$C$14="On",Constants!$H64*'Net zero Activity data'!AN6*Constants!$H82*EF!$H207*MMVolatEF*NtoN2O*kgtoGg,"ERROR"))</f>
        <v>5.4809974953353012E-2</v>
      </c>
      <c r="V1186" s="94">
        <f>IF('Net zero activities &amp; levers'!$C$14="Off",Constants!$H64*'Activity data'!AO6*Constants!$H82*EF!$H207*MMVolatEF*NtoN2O*kgtoGg,IF('Net zero activities &amp; levers'!$C$14="On",Constants!$H64*'Net zero Activity data'!AO6*Constants!$H82*EF!$H207*MMVolatEF*NtoN2O*kgtoGg,"ERROR"))</f>
        <v>5.547068361872478E-2</v>
      </c>
      <c r="W1186" s="94">
        <f>IF('Net zero activities &amp; levers'!$C$14="Off",Constants!$H64*'Activity data'!AP6*Constants!$H82*EF!$H207*MMVolatEF*NtoN2O*kgtoGg,IF('Net zero activities &amp; levers'!$C$14="On",Constants!$H64*'Net zero Activity data'!AP6*Constants!$H82*EF!$H207*MMVolatEF*NtoN2O*kgtoGg,"ERROR"))</f>
        <v>5.6102411985482069E-2</v>
      </c>
      <c r="X1186" s="94">
        <f>IF('Net zero activities &amp; levers'!$C$14="Off",Constants!$H64*'Activity data'!AQ6*Constants!$H82*EF!$H207*MMVolatEF*NtoN2O*kgtoGg,IF('Net zero activities &amp; levers'!$C$14="On",Constants!$H64*'Net zero Activity data'!AQ6*Constants!$H82*EF!$H207*MMVolatEF*NtoN2O*kgtoGg,"ERROR"))</f>
        <v>5.6694414493540908E-2</v>
      </c>
      <c r="Y1186" s="94">
        <f>IF('Net zero activities &amp; levers'!$C$14="Off",Constants!$H64*'Activity data'!AR6*Constants!$H82*EF!$H207*MMVolatEF*NtoN2O*kgtoGg,IF('Net zero activities &amp; levers'!$C$14="On",Constants!$H64*'Net zero Activity data'!AR6*Constants!$H82*EF!$H207*MMVolatEF*NtoN2O*kgtoGg,"ERROR"))</f>
        <v>5.7230881577257239E-2</v>
      </c>
      <c r="Z1186" s="94">
        <f>IF('Net zero activities &amp; levers'!$C$14="Off",Constants!$H64*'Activity data'!AS6*Constants!$H82*EF!$H207*MMVolatEF*NtoN2O*kgtoGg,IF('Net zero activities &amp; levers'!$C$14="On",Constants!$H64*'Net zero Activity data'!AS6*Constants!$H82*EF!$H207*MMVolatEF*NtoN2O*kgtoGg,"ERROR"))</f>
        <v>5.7709307923276061E-2</v>
      </c>
      <c r="AA1186" s="94">
        <f>IF('Net zero activities &amp; levers'!$C$14="Off",Constants!$H64*'Activity data'!AT6*Constants!$H82*EF!$H207*MMVolatEF*NtoN2O*kgtoGg,IF('Net zero activities &amp; levers'!$C$14="On",Constants!$H64*'Net zero Activity data'!AT6*Constants!$H82*EF!$H207*MMVolatEF*NtoN2O*kgtoGg,"ERROR"))</f>
        <v>5.812690644560041E-2</v>
      </c>
      <c r="AB1186" s="94">
        <f>IF('Net zero activities &amp; levers'!$C$14="Off",Constants!$H64*'Activity data'!AU6*Constants!$H82*EF!$H207*MMVolatEF*NtoN2O*kgtoGg,IF('Net zero activities &amp; levers'!$C$14="On",Constants!$H64*'Net zero Activity data'!AU6*Constants!$H82*EF!$H207*MMVolatEF*NtoN2O*kgtoGg,"ERROR"))</f>
        <v>5.8481567731400452E-2</v>
      </c>
      <c r="AC1186" s="94">
        <f>IF('Net zero activities &amp; levers'!$C$14="Off",Constants!$H64*'Activity data'!AV6*Constants!$H82*EF!$H207*MMVolatEF*NtoN2O*kgtoGg,IF('Net zero activities &amp; levers'!$C$14="On",Constants!$H64*'Net zero Activity data'!AV6*Constants!$H82*EF!$H207*MMVolatEF*NtoN2O*kgtoGg,"ERROR"))</f>
        <v>5.8771618866617373E-2</v>
      </c>
      <c r="AD1186" s="94">
        <f>IF('Net zero activities &amp; levers'!$C$14="Off",Constants!$H64*'Activity data'!AW6*Constants!$H82*EF!$H207*MMVolatEF*NtoN2O*kgtoGg,IF('Net zero activities &amp; levers'!$C$14="On",Constants!$H64*'Net zero Activity data'!AW6*Constants!$H82*EF!$H207*MMVolatEF*NtoN2O*kgtoGg,"ERROR"))</f>
        <v>5.8995301242619896E-2</v>
      </c>
      <c r="AE1186" s="94">
        <f>IF('Net zero activities &amp; levers'!$C$14="Off",Constants!$H64*'Activity data'!AX6*Constants!$H82*EF!$H207*MMVolatEF*NtoN2O*kgtoGg,IF('Net zero activities &amp; levers'!$C$14="On",Constants!$H64*'Net zero Activity data'!AX6*Constants!$H82*EF!$H207*MMVolatEF*NtoN2O*kgtoGg,"ERROR"))</f>
        <v>5.9151562049110484E-2</v>
      </c>
      <c r="AF1186" s="94">
        <f>IF('Net zero activities &amp; levers'!$C$14="Off",Constants!$H64*'Activity data'!AY6*Constants!$H82*EF!$H207*MMVolatEF*NtoN2O*kgtoGg,IF('Net zero activities &amp; levers'!$C$14="On",Constants!$H64*'Net zero Activity data'!AY6*Constants!$H82*EF!$H207*MMVolatEF*NtoN2O*kgtoGg,"ERROR"))</f>
        <v>5.9239391407555408E-2</v>
      </c>
      <c r="AG1186" s="94">
        <f>IF('Net zero activities &amp; levers'!$C$14="Off",Constants!$H64*'Activity data'!AZ6*Constants!$H82*EF!$H207*MMVolatEF*NtoN2O*kgtoGg,IF('Net zero activities &amp; levers'!$C$14="On",Constants!$H64*'Net zero Activity data'!AZ6*Constants!$H82*EF!$H207*MMVolatEF*NtoN2O*kgtoGg,"ERROR"))</f>
        <v>5.9257813650140552E-2</v>
      </c>
      <c r="AH1186" s="94">
        <f>IF('Net zero activities &amp; levers'!$C$14="Off",Constants!$H64*'Activity data'!BA6*Constants!$H82*EF!$H207*MMVolatEF*NtoN2O*kgtoGg,IF('Net zero activities &amp; levers'!$C$14="On",Constants!$H64*'Net zero Activity data'!BA6*Constants!$H82*EF!$H207*MMVolatEF*NtoN2O*kgtoGg,"ERROR"))</f>
        <v>5.9206650601179869E-2</v>
      </c>
      <c r="AI1186" s="94">
        <f>IF('Net zero activities &amp; levers'!$C$14="Off",Constants!$H64*'Activity data'!BB6*Constants!$H82*EF!$H207*MMVolatEF*NtoN2O*kgtoGg,IF('Net zero activities &amp; levers'!$C$14="On",Constants!$H64*'Net zero Activity data'!BB6*Constants!$H82*EF!$H207*MMVolatEF*NtoN2O*kgtoGg,"ERROR"))</f>
        <v>5.9086193536455466E-2</v>
      </c>
      <c r="AJ1186" s="94">
        <f>IF('Net zero activities &amp; levers'!$C$14="Off",Constants!$H64*'Activity data'!BC6*Constants!$H82*EF!$H207*MMVolatEF*NtoN2O*kgtoGg,IF('Net zero activities &amp; levers'!$C$14="On",Constants!$H64*'Net zero Activity data'!BC6*Constants!$H82*EF!$H207*MMVolatEF*NtoN2O*kgtoGg,"ERROR"))</f>
        <v>1.8693849892589171E-2</v>
      </c>
      <c r="AK1186" s="94">
        <f>IF('Net zero activities &amp; levers'!$C$14="Off",Constants!$H64*'Activity data'!BD6*Constants!$H82*EF!$H207*MMVolatEF*NtoN2O*kgtoGg,IF('Net zero activities &amp; levers'!$C$14="On",Constants!$H64*'Net zero Activity data'!BD6*Constants!$H82*EF!$H207*MMVolatEF*NtoN2O*kgtoGg,"ERROR"))</f>
        <v>1.870749608929358E-2</v>
      </c>
      <c r="AL1186" s="94">
        <f>IF('Net zero activities &amp; levers'!$C$14="Off",Constants!$H64*'Activity data'!BE6*Constants!$H82*EF!$H207*MMVolatEF*NtoN2O*kgtoGg,IF('Net zero activities &amp; levers'!$C$14="On",Constants!$H64*'Net zero Activity data'!BE6*Constants!$H82*EF!$H207*MMVolatEF*NtoN2O*kgtoGg,"ERROR"))</f>
        <v>1.8720159942669283E-2</v>
      </c>
      <c r="AM1186" s="94">
        <f>IF('Net zero activities &amp; levers'!$C$14="Off",Constants!$H64*'Activity data'!BF6*Constants!$H82*EF!$H207*MMVolatEF*NtoN2O*kgtoGg,IF('Net zero activities &amp; levers'!$C$14="On",Constants!$H64*'Net zero Activity data'!BF6*Constants!$H82*EF!$H207*MMVolatEF*NtoN2O*kgtoGg,"ERROR"))</f>
        <v>1.873192711932253E-2</v>
      </c>
      <c r="AN1186" s="94">
        <f>IF('Net zero activities &amp; levers'!$C$14="Off",Constants!$H64*'Activity data'!BG6*Constants!$H82*EF!$H207*MMVolatEF*NtoN2O*kgtoGg,IF('Net zero activities &amp; levers'!$C$14="On",Constants!$H64*'Net zero Activity data'!BG6*Constants!$H82*EF!$H207*MMVolatEF*NtoN2O*kgtoGg,"ERROR"))</f>
        <v>1.8742903142558495E-2</v>
      </c>
      <c r="AO1186" s="94">
        <f>IF('Net zero activities &amp; levers'!$C$14="Off",Constants!$H64*'Activity data'!BH6*Constants!$H82*EF!$H207*MMVolatEF*NtoN2O*kgtoGg,IF('Net zero activities &amp; levers'!$C$14="On",Constants!$H64*'Net zero Activity data'!BH6*Constants!$H82*EF!$H207*MMVolatEF*NtoN2O*kgtoGg,"ERROR"))</f>
        <v>1.8752743528327825E-2</v>
      </c>
      <c r="AP1186" s="94">
        <f>IF('Net zero activities &amp; levers'!$C$14="Off",Constants!$H64*'Activity data'!BI6*Constants!$H82*EF!$H207*MMVolatEF*NtoN2O*kgtoGg,IF('Net zero activities &amp; levers'!$C$14="On",Constants!$H64*'Net zero Activity data'!BI6*Constants!$H82*EF!$H207*MMVolatEF*NtoN2O*kgtoGg,"ERROR"))</f>
        <v>1.8761216942330506E-2</v>
      </c>
      <c r="AQ1186" s="94">
        <f>IF('Net zero activities &amp; levers'!$C$14="Off",Constants!$H64*'Activity data'!BJ6*Constants!$H82*EF!$H207*MMVolatEF*NtoN2O*kgtoGg,IF('Net zero activities &amp; levers'!$C$14="On",Constants!$H64*'Net zero Activity data'!BJ6*Constants!$H82*EF!$H207*MMVolatEF*NtoN2O*kgtoGg,"ERROR"))</f>
        <v>1.8768286287385059E-2</v>
      </c>
      <c r="AR1186" s="94">
        <f>IF('Net zero activities &amp; levers'!$C$14="Off",Constants!$H64*'Activity data'!BK6*Constants!$H82*EF!$H207*MMVolatEF*NtoN2O*kgtoGg,IF('Net zero activities &amp; levers'!$C$14="On",Constants!$H64*'Net zero Activity data'!BK6*Constants!$H82*EF!$H207*MMVolatEF*NtoN2O*kgtoGg,"ERROR"))</f>
        <v>1.8773689082058967E-2</v>
      </c>
      <c r="AS1186" s="94">
        <f>IF('Net zero activities &amp; levers'!$C$14="Off",Constants!$H64*'Activity data'!BL6*Constants!$H82*EF!$H207*MMVolatEF*NtoN2O*kgtoGg,IF('Net zero activities &amp; levers'!$C$14="On",Constants!$H64*'Net zero Activity data'!BL6*Constants!$H82*EF!$H207*MMVolatEF*NtoN2O*kgtoGg,"ERROR"))</f>
        <v>1.8777140353592202E-2</v>
      </c>
      <c r="AT1186" s="94">
        <f>IF('Net zero activities &amp; levers'!$C$14="Off",Constants!$H64*'Activity data'!BM6*Constants!$H82*EF!$H207*MMVolatEF*NtoN2O*kgtoGg,IF('Net zero activities &amp; levers'!$C$14="On",Constants!$H64*'Net zero Activity data'!BM6*Constants!$H82*EF!$H207*MMVolatEF*NtoN2O*kgtoGg,"ERROR"))</f>
        <v>1.8778604903874292E-2</v>
      </c>
      <c r="AU1186" s="94">
        <f>IF('Net zero activities &amp; levers'!$C$14="Off",Constants!$H64*'Activity data'!BN6*Constants!$H82*EF!$H207*MMVolatEF*NtoN2O*kgtoGg,IF('Net zero activities &amp; levers'!$C$14="On",Constants!$H64*'Net zero Activity data'!BN6*Constants!$H82*EF!$H207*MMVolatEF*NtoN2O*kgtoGg,"ERROR"))</f>
        <v>1.877812320980005E-2</v>
      </c>
      <c r="AV1186" s="94">
        <f>IF('Net zero activities &amp; levers'!$C$14="Off",Constants!$H64*'Activity data'!BO6*Constants!$H82*EF!$H207*MMVolatEF*NtoN2O*kgtoGg,IF('Net zero activities &amp; levers'!$C$14="On",Constants!$H64*'Net zero Activity data'!BO6*Constants!$H82*EF!$H207*MMVolatEF*NtoN2O*kgtoGg,"ERROR"))</f>
        <v>1.8775723499333995E-2</v>
      </c>
      <c r="AW1186" s="94">
        <f>IF('Net zero activities &amp; levers'!$C$14="Off",Constants!$H64*'Activity data'!BP6*Constants!$H82*EF!$H207*MMVolatEF*NtoN2O*kgtoGg,IF('Net zero activities &amp; levers'!$C$14="On",Constants!$H64*'Net zero Activity data'!BP6*Constants!$H82*EF!$H207*MMVolatEF*NtoN2O*kgtoGg,"ERROR"))</f>
        <v>1.8771137740323057E-2</v>
      </c>
      <c r="AY1186" s="79"/>
    </row>
    <row r="1187" spans="1:51" x14ac:dyDescent="0.25">
      <c r="A1187" s="95" t="str">
        <f t="shared" si="380"/>
        <v>CM MM Volatilisation</v>
      </c>
      <c r="B1187" s="95" t="s">
        <v>1322</v>
      </c>
      <c r="C1187" s="95" t="s">
        <v>1332</v>
      </c>
      <c r="D1187" t="s">
        <v>369</v>
      </c>
      <c r="E1187" t="s">
        <v>64</v>
      </c>
      <c r="F1187" t="s">
        <v>62</v>
      </c>
      <c r="G1187" t="s">
        <v>1156</v>
      </c>
      <c r="H1187" t="s">
        <v>1292</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2.9359047510821973E-4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2.960481260901027E-4</v>
      </c>
      <c r="P1187" s="94">
        <f>IF('Net zero activities &amp; levers'!$C$14="Off",Constants!$H65*'Activity data'!AI7*Constants!$H83*EF!$H208*MMVolatEF*NtoN2O*kgtoGg,IF('Net zero activities &amp; levers'!$C$14="On",Constants!$H65*'Net zero Activity data'!AI7*Constants!$H83*EF!$H208*MMVolatEF*NtoN2O*kgtoGg,"ERROR"))</f>
        <v>2.9652425341095731E-4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2.9878295053629658E-4</v>
      </c>
      <c r="S1187" s="94">
        <f>IF('Net zero activities &amp; levers'!$C$14="Off",Constants!$H65*'Activity data'!AL7*Constants!$H83*EF!$H208*MMVolatEF*NtoN2O*kgtoGg,IF('Net zero activities &amp; levers'!$C$14="On",Constants!$H65*'Net zero Activity data'!AL7*Constants!$H83*EF!$H208*MMVolatEF*NtoN2O*kgtoGg,"ERROR"))</f>
        <v>2.9029315081944787E-4</v>
      </c>
      <c r="T1187" s="94">
        <f>IF('Net zero activities &amp; levers'!$C$14="Off",Constants!$H65*'Activity data'!AM7*Constants!$H83*EF!$H208*MMVolatEF*NtoN2O*kgtoGg,IF('Net zero activities &amp; levers'!$C$14="On",Constants!$H65*'Net zero Activity data'!AM7*Constants!$H83*EF!$H208*MMVolatEF*NtoN2O*kgtoGg,"ERROR"))</f>
        <v>2.9528805559707279E-4</v>
      </c>
      <c r="U1187" s="94">
        <f>IF('Net zero activities &amp; levers'!$C$14="Off",Constants!$H65*'Activity data'!AN7*Constants!$H83*EF!$H208*MMVolatEF*NtoN2O*kgtoGg,IF('Net zero activities &amp; levers'!$C$14="On",Constants!$H65*'Net zero Activity data'!AN7*Constants!$H83*EF!$H208*MMVolatEF*NtoN2O*kgtoGg,"ERROR"))</f>
        <v>5.0806671449036449E-4</v>
      </c>
      <c r="V1187" s="94">
        <f>IF('Net zero activities &amp; levers'!$C$14="Off",Constants!$H65*'Activity data'!AO7*Constants!$H83*EF!$H208*MMVolatEF*NtoN2O*kgtoGg,IF('Net zero activities &amp; levers'!$C$14="On",Constants!$H65*'Net zero Activity data'!AO7*Constants!$H83*EF!$H208*MMVolatEF*NtoN2O*kgtoGg,"ERROR"))</f>
        <v>5.1419122159215467E-4</v>
      </c>
      <c r="W1187" s="94">
        <f>IF('Net zero activities &amp; levers'!$C$14="Off",Constants!$H65*'Activity data'!AP7*Constants!$H83*EF!$H208*MMVolatEF*NtoN2O*kgtoGg,IF('Net zero activities &amp; levers'!$C$14="On",Constants!$H65*'Net zero Activity data'!AP7*Constants!$H83*EF!$H208*MMVolatEF*NtoN2O*kgtoGg,"ERROR"))</f>
        <v>5.200470928276717E-4</v>
      </c>
      <c r="X1187" s="94">
        <f>IF('Net zero activities &amp; levers'!$C$14="Off",Constants!$H65*'Activity data'!AQ7*Constants!$H83*EF!$H208*MMVolatEF*NtoN2O*kgtoGg,IF('Net zero activities &amp; levers'!$C$14="On",Constants!$H65*'Net zero Activity data'!AQ7*Constants!$H83*EF!$H208*MMVolatEF*NtoN2O*kgtoGg,"ERROR"))</f>
        <v>5.2553472111970217E-4</v>
      </c>
      <c r="Y1187" s="94">
        <f>IF('Net zero activities &amp; levers'!$C$14="Off",Constants!$H65*'Activity data'!AR7*Constants!$H83*EF!$H208*MMVolatEF*NtoN2O*kgtoGg,IF('Net zero activities &amp; levers'!$C$14="On",Constants!$H65*'Net zero Activity data'!AR7*Constants!$H83*EF!$H208*MMVolatEF*NtoN2O*kgtoGg,"ERROR"))</f>
        <v>5.3050755806932593E-4</v>
      </c>
      <c r="Z1187" s="94">
        <f>IF('Net zero activities &amp; levers'!$C$14="Off",Constants!$H65*'Activity data'!AS7*Constants!$H83*EF!$H208*MMVolatEF*NtoN2O*kgtoGg,IF('Net zero activities &amp; levers'!$C$14="On",Constants!$H65*'Net zero Activity data'!AS7*Constants!$H83*EF!$H208*MMVolatEF*NtoN2O*kgtoGg,"ERROR"))</f>
        <v>5.3494238041606622E-4</v>
      </c>
      <c r="AA1187" s="94">
        <f>IF('Net zero activities &amp; levers'!$C$14="Off",Constants!$H65*'Activity data'!AT7*Constants!$H83*EF!$H208*MMVolatEF*NtoN2O*kgtoGg,IF('Net zero activities &amp; levers'!$C$14="On",Constants!$H65*'Net zero Activity data'!AT7*Constants!$H83*EF!$H208*MMVolatEF*NtoN2O*kgtoGg,"ERROR"))</f>
        <v>5.3881335297888784E-4</v>
      </c>
      <c r="AB1187" s="94">
        <f>IF('Net zero activities &amp; levers'!$C$14="Off",Constants!$H65*'Activity data'!AU7*Constants!$H83*EF!$H208*MMVolatEF*NtoN2O*kgtoGg,IF('Net zero activities &amp; levers'!$C$14="On",Constants!$H65*'Net zero Activity data'!AU7*Constants!$H83*EF!$H208*MMVolatEF*NtoN2O*kgtoGg,"ERROR"))</f>
        <v>5.42100922338055E-4</v>
      </c>
      <c r="AC1187" s="94">
        <f>IF('Net zero activities &amp; levers'!$C$14="Off",Constants!$H65*'Activity data'!AV7*Constants!$H83*EF!$H208*MMVolatEF*NtoN2O*kgtoGg,IF('Net zero activities &amp; levers'!$C$14="On",Constants!$H65*'Net zero Activity data'!AV7*Constants!$H83*EF!$H208*MMVolatEF*NtoN2O*kgtoGg,"ERROR"))</f>
        <v>5.4478958124419888E-4</v>
      </c>
      <c r="AD1187" s="94">
        <f>IF('Net zero activities &amp; levers'!$C$14="Off",Constants!$H65*'Activity data'!AW7*Constants!$H83*EF!$H208*MMVolatEF*NtoN2O*kgtoGg,IF('Net zero activities &amp; levers'!$C$14="On",Constants!$H65*'Net zero Activity data'!AW7*Constants!$H83*EF!$H208*MMVolatEF*NtoN2O*kgtoGg,"ERROR"))</f>
        <v>5.4686302809327551E-4</v>
      </c>
      <c r="AE1187" s="94">
        <f>IF('Net zero activities &amp; levers'!$C$14="Off",Constants!$H65*'Activity data'!AX7*Constants!$H83*EF!$H208*MMVolatEF*NtoN2O*kgtoGg,IF('Net zero activities &amp; levers'!$C$14="On",Constants!$H65*'Net zero Activity data'!AX7*Constants!$H83*EF!$H208*MMVolatEF*NtoN2O*kgtoGg,"ERROR"))</f>
        <v>5.4831150375167243E-4</v>
      </c>
      <c r="AF1187" s="94">
        <f>IF('Net zero activities &amp; levers'!$C$14="Off",Constants!$H65*'Activity data'!AY7*Constants!$H83*EF!$H208*MMVolatEF*NtoN2O*kgtoGg,IF('Net zero activities &amp; levers'!$C$14="On",Constants!$H65*'Net zero Activity data'!AY7*Constants!$H83*EF!$H208*MMVolatEF*NtoN2O*kgtoGg,"ERROR"))</f>
        <v>5.4912564704618944E-4</v>
      </c>
      <c r="AG1187" s="94">
        <f>IF('Net zero activities &amp; levers'!$C$14="Off",Constants!$H65*'Activity data'!AZ7*Constants!$H83*EF!$H208*MMVolatEF*NtoN2O*kgtoGg,IF('Net zero activities &amp; levers'!$C$14="On",Constants!$H65*'Net zero Activity data'!AZ7*Constants!$H83*EF!$H208*MMVolatEF*NtoN2O*kgtoGg,"ERROR"))</f>
        <v>5.4929641392341823E-4</v>
      </c>
      <c r="AH1187" s="94">
        <f>IF('Net zero activities &amp; levers'!$C$14="Off",Constants!$H65*'Activity data'!BA7*Constants!$H83*EF!$H208*MMVolatEF*NtoN2O*kgtoGg,IF('Net zero activities &amp; levers'!$C$14="On",Constants!$H65*'Net zero Activity data'!BA7*Constants!$H83*EF!$H208*MMVolatEF*NtoN2O*kgtoGg,"ERROR"))</f>
        <v>5.4882215276546513E-4</v>
      </c>
      <c r="AI1187" s="94">
        <f>IF('Net zero activities &amp; levers'!$C$14="Off",Constants!$H65*'Activity data'!BB7*Constants!$H83*EF!$H208*MMVolatEF*NtoN2O*kgtoGg,IF('Net zero activities &amp; levers'!$C$14="On",Constants!$H65*'Net zero Activity data'!BB7*Constants!$H83*EF!$H208*MMVolatEF*NtoN2O*kgtoGg,"ERROR"))</f>
        <v>5.4770556358322664E-4</v>
      </c>
      <c r="AJ1187" s="94">
        <f>IF('Net zero activities &amp; levers'!$C$14="Off",Constants!$H65*'Activity data'!BC7*Constants!$H83*EF!$H208*MMVolatEF*NtoN2O*kgtoGg,IF('Net zero activities &amp; levers'!$C$14="On",Constants!$H65*'Net zero Activity data'!BC7*Constants!$H83*EF!$H208*MMVolatEF*NtoN2O*kgtoGg,"ERROR"))</f>
        <v>1.7328456917170714E-4</v>
      </c>
      <c r="AK1187" s="94">
        <f>IF('Net zero activities &amp; levers'!$C$14="Off",Constants!$H65*'Activity data'!BD7*Constants!$H83*EF!$H208*MMVolatEF*NtoN2O*kgtoGg,IF('Net zero activities &amp; levers'!$C$14="On",Constants!$H65*'Net zero Activity data'!BD7*Constants!$H83*EF!$H208*MMVolatEF*NtoN2O*kgtoGg,"ERROR"))</f>
        <v>1.7341106399916873E-4</v>
      </c>
      <c r="AL1187" s="94">
        <f>IF('Net zero activities &amp; levers'!$C$14="Off",Constants!$H65*'Activity data'!BE7*Constants!$H83*EF!$H208*MMVolatEF*NtoN2O*kgtoGg,IF('Net zero activities &amp; levers'!$C$14="On",Constants!$H65*'Net zero Activity data'!BE7*Constants!$H83*EF!$H208*MMVolatEF*NtoN2O*kgtoGg,"ERROR"))</f>
        <v>1.7352845289385181E-4</v>
      </c>
      <c r="AM1187" s="94">
        <f>IF('Net zero activities &amp; levers'!$C$14="Off",Constants!$H65*'Activity data'!BF7*Constants!$H83*EF!$H208*MMVolatEF*NtoN2O*kgtoGg,IF('Net zero activities &amp; levers'!$C$14="On",Constants!$H65*'Net zero Activity data'!BF7*Constants!$H83*EF!$H208*MMVolatEF*NtoN2O*kgtoGg,"ERROR"))</f>
        <v>1.7363752995119643E-4</v>
      </c>
      <c r="AN1187" s="94">
        <f>IF('Net zero activities &amp; levers'!$C$14="Off",Constants!$H65*'Activity data'!BG7*Constants!$H83*EF!$H208*MMVolatEF*NtoN2O*kgtoGg,IF('Net zero activities &amp; levers'!$C$14="On",Constants!$H65*'Net zero Activity data'!BG7*Constants!$H83*EF!$H208*MMVolatEF*NtoN2O*kgtoGg,"ERROR"))</f>
        <v>1.7373927333036077E-4</v>
      </c>
      <c r="AO1187" s="94">
        <f>IF('Net zero activities &amp; levers'!$C$14="Off",Constants!$H65*'Activity data'!BH7*Constants!$H83*EF!$H208*MMVolatEF*NtoN2O*kgtoGg,IF('Net zero activities &amp; levers'!$C$14="On",Constants!$H65*'Net zero Activity data'!BH7*Constants!$H83*EF!$H208*MMVolatEF*NtoN2O*kgtoGg,"ERROR"))</f>
        <v>1.7383048980092826E-4</v>
      </c>
      <c r="AP1187" s="94">
        <f>IF('Net zero activities &amp; levers'!$C$14="Off",Constants!$H65*'Activity data'!BI7*Constants!$H83*EF!$H208*MMVolatEF*NtoN2O*kgtoGg,IF('Net zero activities &amp; levers'!$C$14="On",Constants!$H65*'Net zero Activity data'!BI7*Constants!$H83*EF!$H208*MMVolatEF*NtoN2O*kgtoGg,"ERROR"))</f>
        <v>1.7390903498575136E-4</v>
      </c>
      <c r="AQ1187" s="94">
        <f>IF('Net zero activities &amp; levers'!$C$14="Off",Constants!$H65*'Activity data'!BJ7*Constants!$H83*EF!$H208*MMVolatEF*NtoN2O*kgtoGg,IF('Net zero activities &amp; levers'!$C$14="On",Constants!$H65*'Net zero Activity data'!BJ7*Constants!$H83*EF!$H208*MMVolatEF*NtoN2O*kgtoGg,"ERROR"))</f>
        <v>1.7397456500868103E-4</v>
      </c>
      <c r="AR1187" s="94">
        <f>IF('Net zero activities &amp; levers'!$C$14="Off",Constants!$H65*'Activity data'!BK7*Constants!$H83*EF!$H208*MMVolatEF*NtoN2O*kgtoGg,IF('Net zero activities &amp; levers'!$C$14="On",Constants!$H65*'Net zero Activity data'!BK7*Constants!$H83*EF!$H208*MMVolatEF*NtoN2O*kgtoGg,"ERROR"))</f>
        <v>1.7402464677101302E-4</v>
      </c>
      <c r="AS1187" s="94">
        <f>IF('Net zero activities &amp; levers'!$C$14="Off",Constants!$H65*'Activity data'!BL7*Constants!$H83*EF!$H208*MMVolatEF*NtoN2O*kgtoGg,IF('Net zero activities &amp; levers'!$C$14="On",Constants!$H65*'Net zero Activity data'!BL7*Constants!$H83*EF!$H208*MMVolatEF*NtoN2O*kgtoGg,"ERROR"))</f>
        <v>1.7405663868836374E-4</v>
      </c>
      <c r="AT1187" s="94">
        <f>IF('Net zero activities &amp; levers'!$C$14="Off",Constants!$H65*'Activity data'!BM7*Constants!$H83*EF!$H208*MMVolatEF*NtoN2O*kgtoGg,IF('Net zero activities &amp; levers'!$C$14="On",Constants!$H65*'Net zero Activity data'!BM7*Constants!$H83*EF!$H208*MMVolatEF*NtoN2O*kgtoGg,"ERROR"))</f>
        <v>1.7407021448821884E-4</v>
      </c>
      <c r="AU1187" s="94">
        <f>IF('Net zero activities &amp; levers'!$C$14="Off",Constants!$H65*'Activity data'!BN7*Constants!$H83*EF!$H208*MMVolatEF*NtoN2O*kgtoGg,IF('Net zero activities &amp; levers'!$C$14="On",Constants!$H65*'Net zero Activity data'!BN7*Constants!$H83*EF!$H208*MMVolatEF*NtoN2O*kgtoGg,"ERROR"))</f>
        <v>1.7406574937532841E-4</v>
      </c>
      <c r="AV1187" s="94">
        <f>IF('Net zero activities &amp; levers'!$C$14="Off",Constants!$H65*'Activity data'!BO7*Constants!$H83*EF!$H208*MMVolatEF*NtoN2O*kgtoGg,IF('Net zero activities &amp; levers'!$C$14="On",Constants!$H65*'Net zero Activity data'!BO7*Constants!$H83*EF!$H208*MMVolatEF*NtoN2O*kgtoGg,"ERROR"))</f>
        <v>1.7404350501172027E-4</v>
      </c>
      <c r="AW1187" s="94">
        <f>IF('Net zero activities &amp; levers'!$C$14="Off",Constants!$H65*'Activity data'!BP7*Constants!$H83*EF!$H208*MMVolatEF*NtoN2O*kgtoGg,IF('Net zero activities &amp; levers'!$C$14="On",Constants!$H65*'Net zero Activity data'!BP7*Constants!$H83*EF!$H208*MMVolatEF*NtoN2O*kgtoGg,"ERROR"))</f>
        <v>1.740009968457137E-4</v>
      </c>
      <c r="AY1187" s="79"/>
    </row>
    <row r="1188" spans="1:51" x14ac:dyDescent="0.25">
      <c r="A1188" s="95" t="str">
        <f t="shared" si="380"/>
        <v>CM MM Volatilisation</v>
      </c>
      <c r="B1188" s="95" t="s">
        <v>1322</v>
      </c>
      <c r="C1188" s="95" t="s">
        <v>1332</v>
      </c>
      <c r="D1188" t="s">
        <v>369</v>
      </c>
      <c r="E1188" t="s">
        <v>64</v>
      </c>
      <c r="F1188" t="s">
        <v>62</v>
      </c>
      <c r="G1188" t="s">
        <v>1158</v>
      </c>
      <c r="H1188" t="s">
        <v>1293</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3.2323215352203878E-3</v>
      </c>
      <c r="L1188" s="94">
        <f>IF('Net zero activities &amp; levers'!$C$14="Off",Constants!$H66*'Activity data'!AE8*Constants!$H84*EF!$H209*MMVolatEF*NtoN2O*kgtoGg,IF('Net zero activities &amp; levers'!$C$14="On",Constants!$H66*'Net zero Activity data'!AE8*Constants!$H84*EF!$H209*MMVolatEF*NtoN2O*kgtoGg,"ERROR"))</f>
        <v>3.2042886428129457E-3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3.1509707896886733E-3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3.0091897617382946E-3</v>
      </c>
      <c r="Q1188" s="94">
        <f>IF('Net zero activities &amp; levers'!$C$14="Off",Constants!$H66*'Activity data'!AJ8*Constants!$H84*EF!$H209*MMVolatEF*NtoN2O*kgtoGg,IF('Net zero activities &amp; levers'!$C$14="On",Constants!$H66*'Net zero Activity data'!AJ8*Constants!$H84*EF!$H209*MMVolatEF*NtoN2O*kgtoGg,"ERROR"))</f>
        <v>2.9461872714039491E-3</v>
      </c>
      <c r="R1188" s="94">
        <f>IF('Net zero activities &amp; levers'!$C$14="Off",Constants!$H66*'Activity data'!AK8*Constants!$H84*EF!$H209*MMVolatEF*NtoN2O*kgtoGg,IF('Net zero activities &amp; levers'!$C$14="On",Constants!$H66*'Net zero Activity data'!AK8*Constants!$H84*EF!$H209*MMVolatEF*NtoN2O*kgtoGg,"ERROR"))</f>
        <v>2.8865797531671873E-3</v>
      </c>
      <c r="S1188" s="94">
        <f>IF('Net zero activities &amp; levers'!$C$14="Off",Constants!$H66*'Activity data'!AL8*Constants!$H84*EF!$H209*MMVolatEF*NtoN2O*kgtoGg,IF('Net zero activities &amp; levers'!$C$14="On",Constants!$H66*'Net zero Activity data'!AL8*Constants!$H84*EF!$H209*MMVolatEF*NtoN2O*kgtoGg,"ERROR"))</f>
        <v>2.5815224060103171E-3</v>
      </c>
      <c r="T1188" s="94">
        <f>IF('Net zero activities &amp; levers'!$C$14="Off",Constants!$H66*'Activity data'!AM8*Constants!$H84*EF!$H209*MMVolatEF*NtoN2O*kgtoGg,IF('Net zero activities &amp; levers'!$C$14="On",Constants!$H66*'Net zero Activity data'!AM8*Constants!$H84*EF!$H209*MMVolatEF*NtoN2O*kgtoGg,"ERROR"))</f>
        <v>2.6809806193820299E-3</v>
      </c>
      <c r="U1188" s="94">
        <f>IF('Net zero activities &amp; levers'!$C$14="Off",Constants!$H66*'Activity data'!AN8*Constants!$H84*EF!$H209*MMVolatEF*NtoN2O*kgtoGg,IF('Net zero activities &amp; levers'!$C$14="On",Constants!$H66*'Net zero Activity data'!AN8*Constants!$H84*EF!$H209*MMVolatEF*NtoN2O*kgtoGg,"ERROR"))</f>
        <v>8.4496349357244746E-3</v>
      </c>
      <c r="V1188" s="94">
        <f>IF('Net zero activities &amp; levers'!$C$14="Off",Constants!$H66*'Activity data'!AO8*Constants!$H84*EF!$H209*MMVolatEF*NtoN2O*kgtoGg,IF('Net zero activities &amp; levers'!$C$14="On",Constants!$H66*'Net zero Activity data'!AO8*Constants!$H84*EF!$H209*MMVolatEF*NtoN2O*kgtoGg,"ERROR"))</f>
        <v>8.490390729273779E-3</v>
      </c>
      <c r="W1188" s="94">
        <f>IF('Net zero activities &amp; levers'!$C$14="Off",Constants!$H66*'Activity data'!AP8*Constants!$H84*EF!$H209*MMVolatEF*NtoN2O*kgtoGg,IF('Net zero activities &amp; levers'!$C$14="On",Constants!$H66*'Net zero Activity data'!AP8*Constants!$H84*EF!$H209*MMVolatEF*NtoN2O*kgtoGg,"ERROR"))</f>
        <v>8.5164743363873984E-3</v>
      </c>
      <c r="X1188" s="94">
        <f>IF('Net zero activities &amp; levers'!$C$14="Off",Constants!$H66*'Activity data'!AQ8*Constants!$H84*EF!$H209*MMVolatEF*NtoN2O*kgtoGg,IF('Net zero activities &amp; levers'!$C$14="On",Constants!$H66*'Net zero Activity data'!AQ8*Constants!$H84*EF!$H209*MMVolatEF*NtoN2O*kgtoGg,"ERROR"))</f>
        <v>8.5278804443353062E-3</v>
      </c>
      <c r="Y1188" s="94">
        <f>IF('Net zero activities &amp; levers'!$C$14="Off",Constants!$H66*'Activity data'!AR8*Constants!$H84*EF!$H209*MMVolatEF*NtoN2O*kgtoGg,IF('Net zero activities &amp; levers'!$C$14="On",Constants!$H66*'Net zero Activity data'!AR8*Constants!$H84*EF!$H209*MMVolatEF*NtoN2O*kgtoGg,"ERROR"))</f>
        <v>8.5248506776145015E-3</v>
      </c>
      <c r="Z1188" s="94">
        <f>IF('Net zero activities &amp; levers'!$C$14="Off",Constants!$H66*'Activity data'!AS8*Constants!$H84*EF!$H209*MMVolatEF*NtoN2O*kgtoGg,IF('Net zero activities &amp; levers'!$C$14="On",Constants!$H66*'Net zero Activity data'!AS8*Constants!$H84*EF!$H209*MMVolatEF*NtoN2O*kgtoGg,"ERROR"))</f>
        <v>8.5072398121281648E-3</v>
      </c>
      <c r="AA1188" s="94">
        <f>IF('Net zero activities &amp; levers'!$C$14="Off",Constants!$H66*'Activity data'!AT8*Constants!$H84*EF!$H209*MMVolatEF*NtoN2O*kgtoGg,IF('Net zero activities &amp; levers'!$C$14="On",Constants!$H66*'Net zero Activity data'!AT8*Constants!$H84*EF!$H209*MMVolatEF*NtoN2O*kgtoGg,"ERROR"))</f>
        <v>8.4750047085989932E-3</v>
      </c>
      <c r="AB1188" s="94">
        <f>IF('Net zero activities &amp; levers'!$C$14="Off",Constants!$H66*'Activity data'!AU8*Constants!$H84*EF!$H209*MMVolatEF*NtoN2O*kgtoGg,IF('Net zero activities &amp; levers'!$C$14="On",Constants!$H66*'Net zero Activity data'!AU8*Constants!$H84*EF!$H209*MMVolatEF*NtoN2O*kgtoGg,"ERROR"))</f>
        <v>8.4281720385821924E-3</v>
      </c>
      <c r="AC1188" s="94">
        <f>IF('Net zero activities &amp; levers'!$C$14="Off",Constants!$H66*'Activity data'!AV8*Constants!$H84*EF!$H209*MMVolatEF*NtoN2O*kgtoGg,IF('Net zero activities &amp; levers'!$C$14="On",Constants!$H66*'Net zero Activity data'!AV8*Constants!$H84*EF!$H209*MMVolatEF*NtoN2O*kgtoGg,"ERROR"))</f>
        <v>8.3668471101216637E-3</v>
      </c>
      <c r="AD1188" s="94">
        <f>IF('Net zero activities &amp; levers'!$C$14="Off",Constants!$H66*'Activity data'!AW8*Constants!$H84*EF!$H209*MMVolatEF*NtoN2O*kgtoGg,IF('Net zero activities &amp; levers'!$C$14="On",Constants!$H66*'Net zero Activity data'!AW8*Constants!$H84*EF!$H209*MMVolatEF*NtoN2O*kgtoGg,"ERROR"))</f>
        <v>8.2215560258446178E-3</v>
      </c>
      <c r="AE1188" s="94">
        <f>IF('Net zero activities &amp; levers'!$C$14="Off",Constants!$H66*'Activity data'!AX8*Constants!$H84*EF!$H209*MMVolatEF*NtoN2O*kgtoGg,IF('Net zero activities &amp; levers'!$C$14="On",Constants!$H66*'Net zero Activity data'!AX8*Constants!$H84*EF!$H209*MMVolatEF*NtoN2O*kgtoGg,"ERROR"))</f>
        <v>8.0625794404136485E-3</v>
      </c>
      <c r="AF1188" s="94">
        <f>IF('Net zero activities &amp; levers'!$C$14="Off",Constants!$H66*'Activity data'!AY8*Constants!$H84*EF!$H209*MMVolatEF*NtoN2O*kgtoGg,IF('Net zero activities &amp; levers'!$C$14="On",Constants!$H66*'Net zero Activity data'!AY8*Constants!$H84*EF!$H209*MMVolatEF*NtoN2O*kgtoGg,"ERROR"))</f>
        <v>7.8906316671852623E-3</v>
      </c>
      <c r="AG1188" s="94">
        <f>IF('Net zero activities &amp; levers'!$C$14="Off",Constants!$H66*'Activity data'!AZ8*Constants!$H84*EF!$H209*MMVolatEF*NtoN2O*kgtoGg,IF('Net zero activities &amp; levers'!$C$14="On",Constants!$H66*'Net zero Activity data'!AZ8*Constants!$H84*EF!$H209*MMVolatEF*NtoN2O*kgtoGg,"ERROR"))</f>
        <v>7.7065081858302149E-3</v>
      </c>
      <c r="AH1188" s="94">
        <f>IF('Net zero activities &amp; levers'!$C$14="Off",Constants!$H66*'Activity data'!BA8*Constants!$H84*EF!$H209*MMVolatEF*NtoN2O*kgtoGg,IF('Net zero activities &amp; levers'!$C$14="On",Constants!$H66*'Net zero Activity data'!BA8*Constants!$H84*EF!$H209*MMVolatEF*NtoN2O*kgtoGg,"ERROR"))</f>
        <v>7.5110558523361756E-3</v>
      </c>
      <c r="AI1188" s="94">
        <f>IF('Net zero activities &amp; levers'!$C$14="Off",Constants!$H66*'Activity data'!BB8*Constants!$H84*EF!$H209*MMVolatEF*NtoN2O*kgtoGg,IF('Net zero activities &amp; levers'!$C$14="On",Constants!$H66*'Net zero Activity data'!BB8*Constants!$H84*EF!$H209*MMVolatEF*NtoN2O*kgtoGg,"ERROR"))</f>
        <v>7.3051764470657117E-3</v>
      </c>
      <c r="AJ1188" s="94">
        <f>IF('Net zero activities &amp; levers'!$C$14="Off",Constants!$H66*'Activity data'!BC8*Constants!$H84*EF!$H209*MMVolatEF*NtoN2O*kgtoGg,IF('Net zero activities &amp; levers'!$C$14="On",Constants!$H66*'Net zero Activity data'!BC8*Constants!$H84*EF!$H209*MMVolatEF*NtoN2O*kgtoGg,"ERROR"))</f>
        <v>-5.6405599805615676E-4</v>
      </c>
      <c r="AK1188" s="94">
        <f>IF('Net zero activities &amp; levers'!$C$14="Off",Constants!$H66*'Activity data'!BD8*Constants!$H84*EF!$H209*MMVolatEF*NtoN2O*kgtoGg,IF('Net zero activities &amp; levers'!$C$14="On",Constants!$H66*'Net zero Activity data'!BD8*Constants!$H84*EF!$H209*MMVolatEF*NtoN2O*kgtoGg,"ERROR"))</f>
        <v>-5.5047515962352916E-4</v>
      </c>
      <c r="AL1188" s="94">
        <f>IF('Net zero activities &amp; levers'!$C$14="Off",Constants!$H66*'Activity data'!BE8*Constants!$H84*EF!$H209*MMVolatEF*NtoN2O*kgtoGg,IF('Net zero activities &amp; levers'!$C$14="On",Constants!$H66*'Net zero Activity data'!BE8*Constants!$H84*EF!$H209*MMVolatEF*NtoN2O*kgtoGg,"ERROR"))</f>
        <v>-5.3703562288424922E-4</v>
      </c>
      <c r="AM1188" s="94">
        <f>IF('Net zero activities &amp; levers'!$C$14="Off",Constants!$H66*'Activity data'!BF8*Constants!$H84*EF!$H209*MMVolatEF*NtoN2O*kgtoGg,IF('Net zero activities &amp; levers'!$C$14="On",Constants!$H66*'Net zero Activity data'!BF8*Constants!$H84*EF!$H209*MMVolatEF*NtoN2O*kgtoGg,"ERROR"))</f>
        <v>-5.2373599978206974E-4</v>
      </c>
      <c r="AN1188" s="94">
        <f>IF('Net zero activities &amp; levers'!$C$14="Off",Constants!$H66*'Activity data'!BG8*Constants!$H84*EF!$H209*MMVolatEF*NtoN2O*kgtoGg,IF('Net zero activities &amp; levers'!$C$14="On",Constants!$H66*'Net zero Activity data'!BG8*Constants!$H84*EF!$H209*MMVolatEF*NtoN2O*kgtoGg,"ERROR"))</f>
        <v>-5.1318044022279606E-4</v>
      </c>
      <c r="AO1188" s="94">
        <f>IF('Net zero activities &amp; levers'!$C$14="Off",Constants!$H66*'Activity data'!BH8*Constants!$H84*EF!$H209*MMVolatEF*NtoN2O*kgtoGg,IF('Net zero activities &amp; levers'!$C$14="On",Constants!$H66*'Net zero Activity data'!BH8*Constants!$H84*EF!$H209*MMVolatEF*NtoN2O*kgtoGg,"ERROR"))</f>
        <v>-5.0272501169057937E-4</v>
      </c>
      <c r="AP1188" s="94">
        <f>IF('Net zero activities &amp; levers'!$C$14="Off",Constants!$H66*'Activity data'!BI8*Constants!$H84*EF!$H209*MMVolatEF*NtoN2O*kgtoGg,IF('Net zero activities &amp; levers'!$C$14="On",Constants!$H66*'Net zero Activity data'!BI8*Constants!$H84*EF!$H209*MMVolatEF*NtoN2O*kgtoGg,"ERROR"))</f>
        <v>-4.9236193773087231E-4</v>
      </c>
      <c r="AQ1188" s="94">
        <f>IF('Net zero activities &amp; levers'!$C$14="Off",Constants!$H66*'Activity data'!BJ8*Constants!$H84*EF!$H209*MMVolatEF*NtoN2O*kgtoGg,IF('Net zero activities &amp; levers'!$C$14="On",Constants!$H66*'Net zero Activity data'!BJ8*Constants!$H84*EF!$H209*MMVolatEF*NtoN2O*kgtoGg,"ERROR"))</f>
        <v>-4.8208865134491532E-4</v>
      </c>
      <c r="AR1188" s="94">
        <f>IF('Net zero activities &amp; levers'!$C$14="Off",Constants!$H66*'Activity data'!BK8*Constants!$H84*EF!$H209*MMVolatEF*NtoN2O*kgtoGg,IF('Net zero activities &amp; levers'!$C$14="On",Constants!$H66*'Net zero Activity data'!BK8*Constants!$H84*EF!$H209*MMVolatEF*NtoN2O*kgtoGg,"ERROR"))</f>
        <v>-4.7189764173024049E-4</v>
      </c>
      <c r="AS1188" s="94">
        <f>IF('Net zero activities &amp; levers'!$C$14="Off",Constants!$H66*'Activity data'!BL8*Constants!$H84*EF!$H209*MMVolatEF*NtoN2O*kgtoGg,IF('Net zero activities &amp; levers'!$C$14="On",Constants!$H66*'Net zero Activity data'!BL8*Constants!$H84*EF!$H209*MMVolatEF*NtoN2O*kgtoGg,"ERROR"))</f>
        <v>-4.6178155356127546E-4</v>
      </c>
      <c r="AT1188" s="94">
        <f>IF('Net zero activities &amp; levers'!$C$14="Off",Constants!$H66*'Activity data'!BM8*Constants!$H84*EF!$H209*MMVolatEF*NtoN2O*kgtoGg,IF('Net zero activities &amp; levers'!$C$14="On",Constants!$H66*'Net zero Activity data'!BM8*Constants!$H84*EF!$H209*MMVolatEF*NtoN2O*kgtoGg,"ERROR"))</f>
        <v>-4.5173920552966836E-4</v>
      </c>
      <c r="AU1188" s="94">
        <f>IF('Net zero activities &amp; levers'!$C$14="Off",Constants!$H66*'Activity data'!BN8*Constants!$H84*EF!$H209*MMVolatEF*NtoN2O*kgtoGg,IF('Net zero activities &amp; levers'!$C$14="On",Constants!$H66*'Net zero Activity data'!BN8*Constants!$H84*EF!$H209*MMVolatEF*NtoN2O*kgtoGg,"ERROR"))</f>
        <v>-4.4177121806458731E-4</v>
      </c>
      <c r="AV1188" s="94">
        <f>IF('Net zero activities &amp; levers'!$C$14="Off",Constants!$H66*'Activity data'!BO8*Constants!$H84*EF!$H209*MMVolatEF*NtoN2O*kgtoGg,IF('Net zero activities &amp; levers'!$C$14="On",Constants!$H66*'Net zero Activity data'!BO8*Constants!$H84*EF!$H209*MMVolatEF*NtoN2O*kgtoGg,"ERROR"))</f>
        <v>-4.31877971766583E-4</v>
      </c>
      <c r="AW1188" s="94">
        <f>IF('Net zero activities &amp; levers'!$C$14="Off",Constants!$H66*'Activity data'!BP8*Constants!$H84*EF!$H209*MMVolatEF*NtoN2O*kgtoGg,IF('Net zero activities &amp; levers'!$C$14="On",Constants!$H66*'Net zero Activity data'!BP8*Constants!$H84*EF!$H209*MMVolatEF*NtoN2O*kgtoGg,"ERROR"))</f>
        <v>-4.220537843353357E-4</v>
      </c>
      <c r="AY1188" s="79"/>
    </row>
    <row r="1189" spans="1:51" x14ac:dyDescent="0.25">
      <c r="A1189" s="95" t="str">
        <f t="shared" si="380"/>
        <v>CM MM Volatilisation</v>
      </c>
      <c r="B1189" s="95" t="s">
        <v>1322</v>
      </c>
      <c r="C1189" s="95" t="s">
        <v>1332</v>
      </c>
      <c r="D1189" t="s">
        <v>369</v>
      </c>
      <c r="E1189" t="s">
        <v>64</v>
      </c>
      <c r="F1189" t="s">
        <v>62</v>
      </c>
      <c r="G1189" t="s">
        <v>1160</v>
      </c>
      <c r="H1189" t="s">
        <v>1294</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1.6090517274103568E-2</v>
      </c>
      <c r="L1189" s="94">
        <f>IF('Net zero activities &amp; levers'!$C$14="Off",Constants!$H67*'Activity data'!AE9*Constants!$H85*EF!$H210*MMVolatEF*NtoN2O*kgtoGg,IF('Net zero activities &amp; levers'!$C$14="On",Constants!$H67*'Net zero Activity data'!AE9*Constants!$H85*EF!$H210*MMVolatEF*NtoN2O*kgtoGg,"ERROR"))</f>
        <v>1.5950969356419611E-2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1.5685552742581491E-2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1.4979765878707448E-2</v>
      </c>
      <c r="Q1189" s="94">
        <f>IF('Net zero activities &amp; levers'!$C$14="Off",Constants!$H67*'Activity data'!AJ9*Constants!$H85*EF!$H210*MMVolatEF*NtoN2O*kgtoGg,IF('Net zero activities &amp; levers'!$C$14="On",Constants!$H67*'Net zero Activity data'!AJ9*Constants!$H85*EF!$H210*MMVolatEF*NtoN2O*kgtoGg,"ERROR"))</f>
        <v>1.4666139078901096E-2</v>
      </c>
      <c r="R1189" s="94">
        <f>IF('Net zero activities &amp; levers'!$C$14="Off",Constants!$H67*'Activity data'!AK9*Constants!$H85*EF!$H210*MMVolatEF*NtoN2O*kgtoGg,IF('Net zero activities &amp; levers'!$C$14="On",Constants!$H67*'Net zero Activity data'!AK9*Constants!$H85*EF!$H210*MMVolatEF*NtoN2O*kgtoGg,"ERROR"))</f>
        <v>1.4369412471908493E-2</v>
      </c>
      <c r="S1189" s="94">
        <f>IF('Net zero activities &amp; levers'!$C$14="Off",Constants!$H67*'Activity data'!AL9*Constants!$H85*EF!$H210*MMVolatEF*NtoN2O*kgtoGg,IF('Net zero activities &amp; levers'!$C$14="On",Constants!$H67*'Net zero Activity data'!AL9*Constants!$H85*EF!$H210*MMVolatEF*NtoN2O*kgtoGg,"ERROR"))</f>
        <v>1.2850835046817909E-2</v>
      </c>
      <c r="T1189" s="94">
        <f>IF('Net zero activities &amp; levers'!$C$14="Off",Constants!$H67*'Activity data'!AM9*Constants!$H85*EF!$H210*MMVolatEF*NtoN2O*kgtoGg,IF('Net zero activities &amp; levers'!$C$14="On",Constants!$H67*'Net zero Activity data'!AM9*Constants!$H85*EF!$H210*MMVolatEF*NtoN2O*kgtoGg,"ERROR"))</f>
        <v>1.3345938669050808E-2</v>
      </c>
      <c r="U1189" s="94">
        <f>IF('Net zero activities &amp; levers'!$C$14="Off",Constants!$H67*'Activity data'!AN9*Constants!$H85*EF!$H210*MMVolatEF*NtoN2O*kgtoGg,IF('Net zero activities &amp; levers'!$C$14="On",Constants!$H67*'Net zero Activity data'!AN9*Constants!$H85*EF!$H210*MMVolatEF*NtoN2O*kgtoGg,"ERROR"))</f>
        <v>4.2062336748275767E-2</v>
      </c>
      <c r="V1189" s="94">
        <f>IF('Net zero activities &amp; levers'!$C$14="Off",Constants!$H67*'Activity data'!AO9*Constants!$H85*EF!$H210*MMVolatEF*NtoN2O*kgtoGg,IF('Net zero activities &amp; levers'!$C$14="On",Constants!$H67*'Net zero Activity data'!AO9*Constants!$H85*EF!$H210*MMVolatEF*NtoN2O*kgtoGg,"ERROR"))</f>
        <v>4.2265219349211125E-2</v>
      </c>
      <c r="W1189" s="94">
        <f>IF('Net zero activities &amp; levers'!$C$14="Off",Constants!$H67*'Activity data'!AP9*Constants!$H85*EF!$H210*MMVolatEF*NtoN2O*kgtoGg,IF('Net zero activities &amp; levers'!$C$14="On",Constants!$H67*'Net zero Activity data'!AP9*Constants!$H85*EF!$H210*MMVolatEF*NtoN2O*kgtoGg,"ERROR"))</f>
        <v>4.2395063712236107E-2</v>
      </c>
      <c r="X1189" s="94">
        <f>IF('Net zero activities &amp; levers'!$C$14="Off",Constants!$H67*'Activity data'!AQ9*Constants!$H85*EF!$H210*MMVolatEF*NtoN2O*kgtoGg,IF('Net zero activities &amp; levers'!$C$14="On",Constants!$H67*'Net zero Activity data'!AQ9*Constants!$H85*EF!$H210*MMVolatEF*NtoN2O*kgtoGg,"ERROR"))</f>
        <v>4.2451843390546674E-2</v>
      </c>
      <c r="Y1189" s="94">
        <f>IF('Net zero activities &amp; levers'!$C$14="Off",Constants!$H67*'Activity data'!AR9*Constants!$H85*EF!$H210*MMVolatEF*NtoN2O*kgtoGg,IF('Net zero activities &amp; levers'!$C$14="On",Constants!$H67*'Net zero Activity data'!AR9*Constants!$H85*EF!$H210*MMVolatEF*NtoN2O*kgtoGg,"ERROR"))</f>
        <v>4.2436761192434141E-2</v>
      </c>
      <c r="Z1189" s="94">
        <f>IF('Net zero activities &amp; levers'!$C$14="Off",Constants!$H67*'Activity data'!AS9*Constants!$H85*EF!$H210*MMVolatEF*NtoN2O*kgtoGg,IF('Net zero activities &amp; levers'!$C$14="On",Constants!$H67*'Net zero Activity data'!AS9*Constants!$H85*EF!$H210*MMVolatEF*NtoN2O*kgtoGg,"ERROR"))</f>
        <v>4.234909419141579E-2</v>
      </c>
      <c r="AA1189" s="94">
        <f>IF('Net zero activities &amp; levers'!$C$14="Off",Constants!$H67*'Activity data'!AT9*Constants!$H85*EF!$H210*MMVolatEF*NtoN2O*kgtoGg,IF('Net zero activities &amp; levers'!$C$14="On",Constants!$H67*'Net zero Activity data'!AT9*Constants!$H85*EF!$H210*MMVolatEF*NtoN2O*kgtoGg,"ERROR"))</f>
        <v>4.2188627639893318E-2</v>
      </c>
      <c r="AB1189" s="94">
        <f>IF('Net zero activities &amp; levers'!$C$14="Off",Constants!$H67*'Activity data'!AU9*Constants!$H85*EF!$H210*MMVolatEF*NtoN2O*kgtoGg,IF('Net zero activities &amp; levers'!$C$14="On",Constants!$H67*'Net zero Activity data'!AU9*Constants!$H85*EF!$H210*MMVolatEF*NtoN2O*kgtoGg,"ERROR"))</f>
        <v>4.195549430903911E-2</v>
      </c>
      <c r="AC1189" s="94">
        <f>IF('Net zero activities &amp; levers'!$C$14="Off",Constants!$H67*'Activity data'!AV9*Constants!$H85*EF!$H210*MMVolatEF*NtoN2O*kgtoGg,IF('Net zero activities &amp; levers'!$C$14="On",Constants!$H67*'Net zero Activity data'!AV9*Constants!$H85*EF!$H210*MMVolatEF*NtoN2O*kgtoGg,"ERROR"))</f>
        <v>4.1650218422969176E-2</v>
      </c>
      <c r="AD1189" s="94">
        <f>IF('Net zero activities &amp; levers'!$C$14="Off",Constants!$H67*'Activity data'!AW9*Constants!$H85*EF!$H210*MMVolatEF*NtoN2O*kgtoGg,IF('Net zero activities &amp; levers'!$C$14="On",Constants!$H67*'Net zero Activity data'!AW9*Constants!$H85*EF!$H210*MMVolatEF*NtoN2O*kgtoGg,"ERROR"))</f>
        <v>4.0926958476252988E-2</v>
      </c>
      <c r="AE1189" s="94">
        <f>IF('Net zero activities &amp; levers'!$C$14="Off",Constants!$H67*'Activity data'!AX9*Constants!$H85*EF!$H210*MMVolatEF*NtoN2O*kgtoGg,IF('Net zero activities &amp; levers'!$C$14="On",Constants!$H67*'Net zero Activity data'!AX9*Constants!$H85*EF!$H210*MMVolatEF*NtoN2O*kgtoGg,"ERROR"))</f>
        <v>4.0135572017269229E-2</v>
      </c>
      <c r="AF1189" s="94">
        <f>IF('Net zero activities &amp; levers'!$C$14="Off",Constants!$H67*'Activity data'!AY9*Constants!$H85*EF!$H210*MMVolatEF*NtoN2O*kgtoGg,IF('Net zero activities &amp; levers'!$C$14="On",Constants!$H67*'Net zero Activity data'!AY9*Constants!$H85*EF!$H210*MMVolatEF*NtoN2O*kgtoGg,"ERROR"))</f>
        <v>3.9279614902474849E-2</v>
      </c>
      <c r="AG1189" s="94">
        <f>IF('Net zero activities &amp; levers'!$C$14="Off",Constants!$H67*'Activity data'!AZ9*Constants!$H85*EF!$H210*MMVolatEF*NtoN2O*kgtoGg,IF('Net zero activities &amp; levers'!$C$14="On",Constants!$H67*'Net zero Activity data'!AZ9*Constants!$H85*EF!$H210*MMVolatEF*NtoN2O*kgtoGg,"ERROR"))</f>
        <v>3.8363047034758228E-2</v>
      </c>
      <c r="AH1189" s="94">
        <f>IF('Net zero activities &amp; levers'!$C$14="Off",Constants!$H67*'Activity data'!BA9*Constants!$H85*EF!$H210*MMVolatEF*NtoN2O*kgtoGg,IF('Net zero activities &amp; levers'!$C$14="On",Constants!$H67*'Net zero Activity data'!BA9*Constants!$H85*EF!$H210*MMVolatEF*NtoN2O*kgtoGg,"ERROR"))</f>
        <v>3.7390084068641902E-2</v>
      </c>
      <c r="AI1189" s="94">
        <f>IF('Net zero activities &amp; levers'!$C$14="Off",Constants!$H67*'Activity data'!BB9*Constants!$H85*EF!$H210*MMVolatEF*NtoN2O*kgtoGg,IF('Net zero activities &amp; levers'!$C$14="On",Constants!$H67*'Net zero Activity data'!BB9*Constants!$H85*EF!$H210*MMVolatEF*NtoN2O*kgtoGg,"ERROR"))</f>
        <v>3.6365215072537933E-2</v>
      </c>
      <c r="AJ1189" s="94">
        <f>IF('Net zero activities &amp; levers'!$C$14="Off",Constants!$H67*'Activity data'!BC9*Constants!$H85*EF!$H210*MMVolatEF*NtoN2O*kgtoGg,IF('Net zero activities &amp; levers'!$C$14="On",Constants!$H67*'Net zero Activity data'!BC9*Constants!$H85*EF!$H210*MMVolatEF*NtoN2O*kgtoGg,"ERROR"))</f>
        <v>-2.8078743656501674E-3</v>
      </c>
      <c r="AK1189" s="94">
        <f>IF('Net zero activities &amp; levers'!$C$14="Off",Constants!$H67*'Activity data'!BD9*Constants!$H85*EF!$H210*MMVolatEF*NtoN2O*kgtoGg,IF('Net zero activities &amp; levers'!$C$14="On",Constants!$H67*'Net zero Activity data'!BD9*Constants!$H85*EF!$H210*MMVolatEF*NtoN2O*kgtoGg,"ERROR"))</f>
        <v>-2.7402688650785463E-3</v>
      </c>
      <c r="AL1189" s="94">
        <f>IF('Net zero activities &amp; levers'!$C$14="Off",Constants!$H67*'Activity data'!BE9*Constants!$H85*EF!$H210*MMVolatEF*NtoN2O*kgtoGg,IF('Net zero activities &amp; levers'!$C$14="On",Constants!$H67*'Net zero Activity data'!BE9*Constants!$H85*EF!$H210*MMVolatEF*NtoN2O*kgtoGg,"ERROR"))</f>
        <v>-2.6733667652400826E-3</v>
      </c>
      <c r="AM1189" s="94">
        <f>IF('Net zero activities &amp; levers'!$C$14="Off",Constants!$H67*'Activity data'!BF9*Constants!$H85*EF!$H210*MMVolatEF*NtoN2O*kgtoGg,IF('Net zero activities &amp; levers'!$C$14="On",Constants!$H67*'Net zero Activity data'!BF9*Constants!$H85*EF!$H210*MMVolatEF*NtoN2O*kgtoGg,"ERROR"))</f>
        <v>-2.6071611563818981E-3</v>
      </c>
      <c r="AN1189" s="94">
        <f>IF('Net zero activities &amp; levers'!$C$14="Off",Constants!$H67*'Activity data'!BG9*Constants!$H85*EF!$H210*MMVolatEF*NtoN2O*kgtoGg,IF('Net zero activities &amp; levers'!$C$14="On",Constants!$H67*'Net zero Activity data'!BG9*Constants!$H85*EF!$H210*MMVolatEF*NtoN2O*kgtoGg,"ERROR"))</f>
        <v>-2.554615513389502E-3</v>
      </c>
      <c r="AO1189" s="94">
        <f>IF('Net zero activities &amp; levers'!$C$14="Off",Constants!$H67*'Activity data'!BH9*Constants!$H85*EF!$H210*MMVolatEF*NtoN2O*kgtoGg,IF('Net zero activities &amp; levers'!$C$14="On",Constants!$H67*'Net zero Activity data'!BH9*Constants!$H85*EF!$H210*MMVolatEF*NtoN2O*kgtoGg,"ERROR"))</f>
        <v>-2.5025683232901678E-3</v>
      </c>
      <c r="AP1189" s="94">
        <f>IF('Net zero activities &amp; levers'!$C$14="Off",Constants!$H67*'Activity data'!BI9*Constants!$H85*EF!$H210*MMVolatEF*NtoN2O*kgtoGg,IF('Net zero activities &amp; levers'!$C$14="On",Constants!$H67*'Net zero Activity data'!BI9*Constants!$H85*EF!$H210*MMVolatEF*NtoN2O*kgtoGg,"ERROR"))</f>
        <v>-2.4509808748434249E-3</v>
      </c>
      <c r="AQ1189" s="94">
        <f>IF('Net zero activities &amp; levers'!$C$14="Off",Constants!$H67*'Activity data'!BJ9*Constants!$H85*EF!$H210*MMVolatEF*NtoN2O*kgtoGg,IF('Net zero activities &amp; levers'!$C$14="On",Constants!$H67*'Net zero Activity data'!BJ9*Constants!$H85*EF!$H210*MMVolatEF*NtoN2O*kgtoGg,"ERROR"))</f>
        <v>-2.3998403895130306E-3</v>
      </c>
      <c r="AR1189" s="94">
        <f>IF('Net zero activities &amp; levers'!$C$14="Off",Constants!$H67*'Activity data'!BK9*Constants!$H85*EF!$H210*MMVolatEF*NtoN2O*kgtoGg,IF('Net zero activities &amp; levers'!$C$14="On",Constants!$H67*'Net zero Activity data'!BK9*Constants!$H85*EF!$H210*MMVolatEF*NtoN2O*kgtoGg,"ERROR"))</f>
        <v>-2.3491094784762676E-3</v>
      </c>
      <c r="AS1189" s="94">
        <f>IF('Net zero activities &amp; levers'!$C$14="Off",Constants!$H67*'Activity data'!BL9*Constants!$H85*EF!$H210*MMVolatEF*NtoN2O*kgtoGg,IF('Net zero activities &amp; levers'!$C$14="On",Constants!$H67*'Net zero Activity data'!BL9*Constants!$H85*EF!$H210*MMVolatEF*NtoN2O*kgtoGg,"ERROR"))</f>
        <v>-2.2987515268753948E-3</v>
      </c>
      <c r="AT1189" s="94">
        <f>IF('Net zero activities &amp; levers'!$C$14="Off",Constants!$H67*'Activity data'!BM9*Constants!$H85*EF!$H210*MMVolatEF*NtoN2O*kgtoGg,IF('Net zero activities &amp; levers'!$C$14="On",Constants!$H67*'Net zero Activity data'!BM9*Constants!$H85*EF!$H210*MMVolatEF*NtoN2O*kgtoGg,"ERROR"))</f>
        <v>-2.2487606541498821E-3</v>
      </c>
      <c r="AU1189" s="94">
        <f>IF('Net zero activities &amp; levers'!$C$14="Off",Constants!$H67*'Activity data'!BN9*Constants!$H85*EF!$H210*MMVolatEF*NtoN2O*kgtoGg,IF('Net zero activities &amp; levers'!$C$14="On",Constants!$H67*'Net zero Activity data'!BN9*Constants!$H85*EF!$H210*MMVolatEF*NtoN2O*kgtoGg,"ERROR"))</f>
        <v>-2.1991399488000989E-3</v>
      </c>
      <c r="AV1189" s="94">
        <f>IF('Net zero activities &amp; levers'!$C$14="Off",Constants!$H67*'Activity data'!BO9*Constants!$H85*EF!$H210*MMVolatEF*NtoN2O*kgtoGg,IF('Net zero activities &amp; levers'!$C$14="On",Constants!$H67*'Net zero Activity data'!BO9*Constants!$H85*EF!$H210*MMVolatEF*NtoN2O*kgtoGg,"ERROR"))</f>
        <v>-2.1498913054580166E-3</v>
      </c>
      <c r="AW1189" s="94">
        <f>IF('Net zero activities &amp; levers'!$C$14="Off",Constants!$H67*'Activity data'!BP9*Constants!$H85*EF!$H210*MMVolatEF*NtoN2O*kgtoGg,IF('Net zero activities &amp; levers'!$C$14="On",Constants!$H67*'Net zero Activity data'!BP9*Constants!$H85*EF!$H210*MMVolatEF*NtoN2O*kgtoGg,"ERROR"))</f>
        <v>-2.1009864375963051E-3</v>
      </c>
      <c r="AY1189" s="79"/>
    </row>
    <row r="1190" spans="1:51" x14ac:dyDescent="0.25">
      <c r="A1190" s="95" t="str">
        <f t="shared" si="380"/>
        <v>CM MM Volatilisation</v>
      </c>
      <c r="B1190" s="95" t="s">
        <v>1322</v>
      </c>
      <c r="C1190" s="95" t="s">
        <v>1332</v>
      </c>
      <c r="D1190" t="s">
        <v>369</v>
      </c>
      <c r="E1190" t="s">
        <v>64</v>
      </c>
      <c r="F1190" t="s">
        <v>62</v>
      </c>
      <c r="G1190" t="s">
        <v>1162</v>
      </c>
      <c r="H1190" t="s">
        <v>1295</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0.16370016056893644</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0.17476418316081979</v>
      </c>
      <c r="O1190" s="94">
        <f>IF('Net zero activities &amp; levers'!$C$14="Off",Constants!$H68*'Activity data'!AH10*Constants!$H86*EF!$H211*MMVolatEF*NtoN2O*kgtoGg,IF('Net zero activities &amp; levers'!$C$14="On",Constants!$H68*'Net zero Activity data'!AH10*Constants!$H86*EF!$H211*MMVolatEF*NtoN2O*kgtoGg,"ERROR"))</f>
        <v>0.1784091501709566</v>
      </c>
      <c r="P1190" s="94">
        <f>IF('Net zero activities &amp; levers'!$C$14="Off",Constants!$H68*'Activity data'!AI10*Constants!$H86*EF!$H211*MMVolatEF*NtoN2O*kgtoGg,IF('Net zero activities &amp; levers'!$C$14="On",Constants!$H68*'Net zero Activity data'!AI10*Constants!$H86*EF!$H211*MMVolatEF*NtoN2O*kgtoGg,"ERROR"))</f>
        <v>0.18092055691117109</v>
      </c>
      <c r="Q1190" s="94">
        <f>IF('Net zero activities &amp; levers'!$C$14="Off",Constants!$H68*'Activity data'!AJ10*Constants!$H86*EF!$H211*MMVolatEF*NtoN2O*kgtoGg,IF('Net zero activities &amp; levers'!$C$14="On",Constants!$H68*'Net zero Activity data'!AJ10*Constants!$H86*EF!$H211*MMVolatEF*NtoN2O*kgtoGg,"ERROR"))</f>
        <v>0.18434967364231722</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0.17487533171838066</v>
      </c>
      <c r="T1190" s="94">
        <f>IF('Net zero activities &amp; levers'!$C$14="Off",Constants!$H68*'Activity data'!AM10*Constants!$H86*EF!$H211*MMVolatEF*NtoN2O*kgtoGg,IF('Net zero activities &amp; levers'!$C$14="On",Constants!$H68*'Net zero Activity data'!AM10*Constants!$H86*EF!$H211*MMVolatEF*NtoN2O*kgtoGg,"ERROR"))</f>
        <v>0.18598828710895501</v>
      </c>
      <c r="U1190" s="94">
        <f>IF('Net zero activities &amp; levers'!$C$14="Off",Constants!$H68*'Activity data'!AN10*Constants!$H86*EF!$H211*MMVolatEF*NtoN2O*kgtoGg,IF('Net zero activities &amp; levers'!$C$14="On",Constants!$H68*'Net zero Activity data'!AN10*Constants!$H86*EF!$H211*MMVolatEF*NtoN2O*kgtoGg,"ERROR"))</f>
        <v>0.60010716171461598</v>
      </c>
      <c r="V1190" s="94">
        <f>IF('Net zero activities &amp; levers'!$C$14="Off",Constants!$H68*'Activity data'!AO10*Constants!$H86*EF!$H211*MMVolatEF*NtoN2O*kgtoGg,IF('Net zero activities &amp; levers'!$C$14="On",Constants!$H68*'Net zero Activity data'!AO10*Constants!$H86*EF!$H211*MMVolatEF*NtoN2O*kgtoGg,"ERROR"))</f>
        <v>0.61714803501653059</v>
      </c>
      <c r="W1190" s="94">
        <f>IF('Net zero activities &amp; levers'!$C$14="Off",Constants!$H68*'Activity data'!AP10*Constants!$H86*EF!$H211*MMVolatEF*NtoN2O*kgtoGg,IF('Net zero activities &amp; levers'!$C$14="On",Constants!$H68*'Net zero Activity data'!AP10*Constants!$H86*EF!$H211*MMVolatEF*NtoN2O*kgtoGg,"ERROR"))</f>
        <v>0.63339573291461304</v>
      </c>
      <c r="X1190" s="94">
        <f>IF('Net zero activities &amp; levers'!$C$14="Off",Constants!$H68*'Activity data'!AQ10*Constants!$H86*EF!$H211*MMVolatEF*NtoN2O*kgtoGg,IF('Net zero activities &amp; levers'!$C$14="On",Constants!$H68*'Net zero Activity data'!AQ10*Constants!$H86*EF!$H211*MMVolatEF*NtoN2O*kgtoGg,"ERROR"))</f>
        <v>0.64878782379484634</v>
      </c>
      <c r="Y1190" s="94">
        <f>IF('Net zero activities &amp; levers'!$C$14="Off",Constants!$H68*'Activity data'!AR10*Constants!$H86*EF!$H211*MMVolatEF*NtoN2O*kgtoGg,IF('Net zero activities &amp; levers'!$C$14="On",Constants!$H68*'Net zero Activity data'!AR10*Constants!$H86*EF!$H211*MMVolatEF*NtoN2O*kgtoGg,"ERROR"))</f>
        <v>0.6632790614565599</v>
      </c>
      <c r="Z1190" s="94">
        <f>IF('Net zero activities &amp; levers'!$C$14="Off",Constants!$H68*'Activity data'!AS10*Constants!$H86*EF!$H211*MMVolatEF*NtoN2O*kgtoGg,IF('Net zero activities &amp; levers'!$C$14="On",Constants!$H68*'Net zero Activity data'!AS10*Constants!$H86*EF!$H211*MMVolatEF*NtoN2O*kgtoGg,"ERROR"))</f>
        <v>0.67679301375274348</v>
      </c>
      <c r="AA1190" s="94">
        <f>IF('Net zero activities &amp; levers'!$C$14="Off",Constants!$H68*'Activity data'!AT10*Constants!$H86*EF!$H211*MMVolatEF*NtoN2O*kgtoGg,IF('Net zero activities &amp; levers'!$C$14="On",Constants!$H68*'Net zero Activity data'!AT10*Constants!$H86*EF!$H211*MMVolatEF*NtoN2O*kgtoGg,"ERROR"))</f>
        <v>0.68925834109941053</v>
      </c>
      <c r="AB1190" s="94">
        <f>IF('Net zero activities &amp; levers'!$C$14="Off",Constants!$H68*'Activity data'!AU10*Constants!$H86*EF!$H211*MMVolatEF*NtoN2O*kgtoGg,IF('Net zero activities &amp; levers'!$C$14="On",Constants!$H68*'Net zero Activity data'!AU10*Constants!$H86*EF!$H211*MMVolatEF*NtoN2O*kgtoGg,"ERROR"))</f>
        <v>0.70060688133816351</v>
      </c>
      <c r="AC1190" s="94">
        <f>IF('Net zero activities &amp; levers'!$C$14="Off",Constants!$H68*'Activity data'!AV10*Constants!$H86*EF!$H211*MMVolatEF*NtoN2O*kgtoGg,IF('Net zero activities &amp; levers'!$C$14="On",Constants!$H68*'Net zero Activity data'!AV10*Constants!$H86*EF!$H211*MMVolatEF*NtoN2O*kgtoGg,"ERROR"))</f>
        <v>0.71077490529773002</v>
      </c>
      <c r="AD1190" s="94">
        <f>IF('Net zero activities &amp; levers'!$C$14="Off",Constants!$H68*'Activity data'!AW10*Constants!$H86*EF!$H211*MMVolatEF*NtoN2O*kgtoGg,IF('Net zero activities &amp; levers'!$C$14="On",Constants!$H68*'Net zero Activity data'!AW10*Constants!$H86*EF!$H211*MMVolatEF*NtoN2O*kgtoGg,"ERROR"))</f>
        <v>0.72159413752844115</v>
      </c>
      <c r="AE1190" s="94">
        <f>IF('Net zero activities &amp; levers'!$C$14="Off",Constants!$H68*'Activity data'!AX10*Constants!$H86*EF!$H211*MMVolatEF*NtoN2O*kgtoGg,IF('Net zero activities &amp; levers'!$C$14="On",Constants!$H68*'Net zero Activity data'!AX10*Constants!$H86*EF!$H211*MMVolatEF*NtoN2O*kgtoGg,"ERROR"))</f>
        <v>0.73115327204335434</v>
      </c>
      <c r="AF1190" s="94">
        <f>IF('Net zero activities &amp; levers'!$C$14="Off",Constants!$H68*'Activity data'!AY10*Constants!$H86*EF!$H211*MMVolatEF*NtoN2O*kgtoGg,IF('Net zero activities &amp; levers'!$C$14="On",Constants!$H68*'Net zero Activity data'!AY10*Constants!$H86*EF!$H211*MMVolatEF*NtoN2O*kgtoGg,"ERROR"))</f>
        <v>0.7393963545283444</v>
      </c>
      <c r="AG1190" s="94">
        <f>IF('Net zero activities &amp; levers'!$C$14="Off",Constants!$H68*'Activity data'!AZ10*Constants!$H86*EF!$H211*MMVolatEF*NtoN2O*kgtoGg,IF('Net zero activities &amp; levers'!$C$14="On",Constants!$H68*'Net zero Activity data'!AZ10*Constants!$H86*EF!$H211*MMVolatEF*NtoN2O*kgtoGg,"ERROR"))</f>
        <v>0.74627481362949688</v>
      </c>
      <c r="AH1190" s="94">
        <f>IF('Net zero activities &amp; levers'!$C$14="Off",Constants!$H68*'Activity data'!BA10*Constants!$H86*EF!$H211*MMVolatEF*NtoN2O*kgtoGg,IF('Net zero activities &amp; levers'!$C$14="On",Constants!$H68*'Net zero Activity data'!BA10*Constants!$H86*EF!$H211*MMVolatEF*NtoN2O*kgtoGg,"ERROR"))</f>
        <v>0.75174577116771069</v>
      </c>
      <c r="AI1190" s="94">
        <f>IF('Net zero activities &amp; levers'!$C$14="Off",Constants!$H68*'Activity data'!BB10*Constants!$H86*EF!$H211*MMVolatEF*NtoN2O*kgtoGg,IF('Net zero activities &amp; levers'!$C$14="On",Constants!$H68*'Net zero Activity data'!BB10*Constants!$H86*EF!$H211*MMVolatEF*NtoN2O*kgtoGg,"ERROR"))</f>
        <v>0.75577335036803739</v>
      </c>
      <c r="AJ1190" s="94">
        <f>IF('Net zero activities &amp; levers'!$C$14="Off",Constants!$H68*'Activity data'!BC10*Constants!$H86*EF!$H211*MMVolatEF*NtoN2O*kgtoGg,IF('Net zero activities &amp; levers'!$C$14="On",Constants!$H68*'Net zero Activity data'!BC10*Constants!$H86*EF!$H211*MMVolatEF*NtoN2O*kgtoGg,"ERROR"))</f>
        <v>-6.0331583230930269E-2</v>
      </c>
      <c r="AK1190" s="94">
        <f>IF('Net zero activities &amp; levers'!$C$14="Off",Constants!$H68*'Activity data'!BD10*Constants!$H86*EF!$H211*MMVolatEF*NtoN2O*kgtoGg,IF('Net zero activities &amp; levers'!$C$14="On",Constants!$H68*'Net zero Activity data'!BD10*Constants!$H86*EF!$H211*MMVolatEF*NtoN2O*kgtoGg,"ERROR"))</f>
        <v>-6.0883763489548361E-2</v>
      </c>
      <c r="AL1190" s="94">
        <f>IF('Net zero activities &amp; levers'!$C$14="Off",Constants!$H68*'Activity data'!BE10*Constants!$H86*EF!$H211*MMVolatEF*NtoN2O*kgtoGg,IF('Net zero activities &amp; levers'!$C$14="On",Constants!$H68*'Net zero Activity data'!BE10*Constants!$H86*EF!$H211*MMVolatEF*NtoN2O*kgtoGg,"ERROR"))</f>
        <v>-6.1432292472249253E-2</v>
      </c>
      <c r="AM1190" s="94">
        <f>IF('Net zero activities &amp; levers'!$C$14="Off",Constants!$H68*'Activity data'!BF10*Constants!$H86*EF!$H211*MMVolatEF*NtoN2O*kgtoGg,IF('Net zero activities &amp; levers'!$C$14="On",Constants!$H68*'Net zero Activity data'!BF10*Constants!$H86*EF!$H211*MMVolatEF*NtoN2O*kgtoGg,"ERROR"))</f>
        <v>-6.1977443387012172E-2</v>
      </c>
      <c r="AN1190" s="94">
        <f>IF('Net zero activities &amp; levers'!$C$14="Off",Constants!$H68*'Activity data'!BG10*Constants!$H86*EF!$H211*MMVolatEF*NtoN2O*kgtoGg,IF('Net zero activities &amp; levers'!$C$14="On",Constants!$H68*'Net zero Activity data'!BG10*Constants!$H86*EF!$H211*MMVolatEF*NtoN2O*kgtoGg,"ERROR"))</f>
        <v>-6.2441792261108069E-2</v>
      </c>
      <c r="AO1190" s="94">
        <f>IF('Net zero activities &amp; levers'!$C$14="Off",Constants!$H68*'Activity data'!BH10*Constants!$H86*EF!$H211*MMVolatEF*NtoN2O*kgtoGg,IF('Net zero activities &amp; levers'!$C$14="On",Constants!$H68*'Net zero Activity data'!BH10*Constants!$H86*EF!$H211*MMVolatEF*NtoN2O*kgtoGg,"ERROR"))</f>
        <v>-6.2901498019431304E-2</v>
      </c>
      <c r="AP1190" s="94">
        <f>IF('Net zero activities &amp; levers'!$C$14="Off",Constants!$H68*'Activity data'!BI10*Constants!$H86*EF!$H211*MMVolatEF*NtoN2O*kgtoGg,IF('Net zero activities &amp; levers'!$C$14="On",Constants!$H68*'Net zero Activity data'!BI10*Constants!$H86*EF!$H211*MMVolatEF*NtoN2O*kgtoGg,"ERROR"))</f>
        <v>-6.3355857064212845E-2</v>
      </c>
      <c r="AQ1190" s="94">
        <f>IF('Net zero activities &amp; levers'!$C$14="Off",Constants!$H68*'Activity data'!BJ10*Constants!$H86*EF!$H211*MMVolatEF*NtoN2O*kgtoGg,IF('Net zero activities &amp; levers'!$C$14="On",Constants!$H68*'Net zero Activity data'!BJ10*Constants!$H86*EF!$H211*MMVolatEF*NtoN2O*kgtoGg,"ERROR"))</f>
        <v>-6.3804744436236446E-2</v>
      </c>
      <c r="AR1190" s="94">
        <f>IF('Net zero activities &amp; levers'!$C$14="Off",Constants!$H68*'Activity data'!BK10*Constants!$H86*EF!$H211*MMVolatEF*NtoN2O*kgtoGg,IF('Net zero activities &amp; levers'!$C$14="On",Constants!$H68*'Net zero Activity data'!BK10*Constants!$H86*EF!$H211*MMVolatEF*NtoN2O*kgtoGg,"ERROR"))</f>
        <v>-6.4247322567233908E-2</v>
      </c>
      <c r="AS1190" s="94">
        <f>IF('Net zero activities &amp; levers'!$C$14="Off",Constants!$H68*'Activity data'!BL10*Constants!$H86*EF!$H211*MMVolatEF*NtoN2O*kgtoGg,IF('Net zero activities &amp; levers'!$C$14="On",Constants!$H68*'Net zero Activity data'!BL10*Constants!$H86*EF!$H211*MMVolatEF*NtoN2O*kgtoGg,"ERROR"))</f>
        <v>-6.4682656506044156E-2</v>
      </c>
      <c r="AT1190" s="94">
        <f>IF('Net zero activities &amp; levers'!$C$14="Off",Constants!$H68*'Activity data'!BM10*Constants!$H86*EF!$H211*MMVolatEF*NtoN2O*kgtoGg,IF('Net zero activities &amp; levers'!$C$14="On",Constants!$H68*'Net zero Activity data'!BM10*Constants!$H86*EF!$H211*MMVolatEF*NtoN2O*kgtoGg,"ERROR"))</f>
        <v>-6.5110575477313207E-2</v>
      </c>
      <c r="AU1190" s="94">
        <f>IF('Net zero activities &amp; levers'!$C$14="Off",Constants!$H68*'Activity data'!BN10*Constants!$H86*EF!$H211*MMVolatEF*NtoN2O*kgtoGg,IF('Net zero activities &amp; levers'!$C$14="On",Constants!$H68*'Net zero Activity data'!BN10*Constants!$H86*EF!$H211*MMVolatEF*NtoN2O*kgtoGg,"ERROR"))</f>
        <v>-6.5531144171927541E-2</v>
      </c>
      <c r="AV1190" s="94">
        <f>IF('Net zero activities &amp; levers'!$C$14="Off",Constants!$H68*'Activity data'!BO10*Constants!$H86*EF!$H211*MMVolatEF*NtoN2O*kgtoGg,IF('Net zero activities &amp; levers'!$C$14="On",Constants!$H68*'Net zero Activity data'!BO10*Constants!$H86*EF!$H211*MMVolatEF*NtoN2O*kgtoGg,"ERROR"))</f>
        <v>-6.5944388466371143E-2</v>
      </c>
      <c r="AW1190" s="94">
        <f>IF('Net zero activities &amp; levers'!$C$14="Off",Constants!$H68*'Activity data'!BP10*Constants!$H86*EF!$H211*MMVolatEF*NtoN2O*kgtoGg,IF('Net zero activities &amp; levers'!$C$14="On",Constants!$H68*'Net zero Activity data'!BP10*Constants!$H86*EF!$H211*MMVolatEF*NtoN2O*kgtoGg,"ERROR"))</f>
        <v>-6.6349375385408998E-2</v>
      </c>
      <c r="AY1190" s="79"/>
    </row>
    <row r="1191" spans="1:51" x14ac:dyDescent="0.25">
      <c r="A1191" s="95" t="str">
        <f t="shared" si="380"/>
        <v>CM MM Volatilisation</v>
      </c>
      <c r="B1191" s="95" t="s">
        <v>1322</v>
      </c>
      <c r="C1191" s="95" t="s">
        <v>1332</v>
      </c>
      <c r="D1191" t="s">
        <v>369</v>
      </c>
      <c r="E1191" t="s">
        <v>64</v>
      </c>
      <c r="F1191" t="s">
        <v>62</v>
      </c>
      <c r="G1191" t="s">
        <v>1164</v>
      </c>
      <c r="H1191" t="s">
        <v>1296</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1.188899025036581E-4</v>
      </c>
      <c r="T1191" s="94">
        <f>IF('Net zero activities &amp; levers'!$C$14="Off",Constants!$H69*'Activity data'!AM11*Constants!$H87*EF!$H212*MMVolatEF*NtoN2O*kgtoGg,IF('Net zero activities &amp; levers'!$C$14="On",Constants!$H69*'Net zero Activity data'!AM11*Constants!$H87*EF!$H212*MMVolatEF*NtoN2O*kgtoGg,"ERROR"))</f>
        <v>1.189690287837306E-4</v>
      </c>
      <c r="U1191" s="94">
        <f>IF('Net zero activities &amp; levers'!$C$14="Off",Constants!$H69*'Activity data'!AN11*Constants!$H87*EF!$H212*MMVolatEF*NtoN2O*kgtoGg,IF('Net zero activities &amp; levers'!$C$14="On",Constants!$H69*'Net zero Activity data'!AN11*Constants!$H87*EF!$H212*MMVolatEF*NtoN2O*kgtoGg,"ERROR"))</f>
        <v>1.205186108228768E-4</v>
      </c>
      <c r="V1191" s="94">
        <f>IF('Net zero activities &amp; levers'!$C$14="Off",Constants!$H69*'Activity data'!AO11*Constants!$H87*EF!$H212*MMVolatEF*NtoN2O*kgtoGg,IF('Net zero activities &amp; levers'!$C$14="On",Constants!$H69*'Net zero Activity data'!AO11*Constants!$H87*EF!$H212*MMVolatEF*NtoN2O*kgtoGg,"ERROR"))</f>
        <v>1.2055641166730559E-4</v>
      </c>
      <c r="W1191" s="94">
        <f>IF('Net zero activities &amp; levers'!$C$14="Off",Constants!$H69*'Activity data'!AP11*Constants!$H87*EF!$H212*MMVolatEF*NtoN2O*kgtoGg,IF('Net zero activities &amp; levers'!$C$14="On",Constants!$H69*'Net zero Activity data'!AP11*Constants!$H87*EF!$H212*MMVolatEF*NtoN2O*kgtoGg,"ERROR"))</f>
        <v>1.2071810381709918E-4</v>
      </c>
      <c r="X1191" s="94">
        <f>IF('Net zero activities &amp; levers'!$C$14="Off",Constants!$H69*'Activity data'!AQ11*Constants!$H87*EF!$H212*MMVolatEF*NtoN2O*kgtoGg,IF('Net zero activities &amp; levers'!$C$14="On",Constants!$H69*'Net zero Activity data'!AQ11*Constants!$H87*EF!$H212*MMVolatEF*NtoN2O*kgtoGg,"ERROR"))</f>
        <v>1.2095183374420191E-4</v>
      </c>
      <c r="Y1191" s="94">
        <f>IF('Net zero activities &amp; levers'!$C$14="Off",Constants!$H69*'Activity data'!AR11*Constants!$H87*EF!$H212*MMVolatEF*NtoN2O*kgtoGg,IF('Net zero activities &amp; levers'!$C$14="On",Constants!$H69*'Net zero Activity data'!AR11*Constants!$H87*EF!$H212*MMVolatEF*NtoN2O*kgtoGg,"ERROR"))</f>
        <v>1.2116896083678348E-4</v>
      </c>
      <c r="Z1191" s="94">
        <f>IF('Net zero activities &amp; levers'!$C$14="Off",Constants!$H69*'Activity data'!AS11*Constants!$H87*EF!$H212*MMVolatEF*NtoN2O*kgtoGg,IF('Net zero activities &amp; levers'!$C$14="On",Constants!$H69*'Net zero Activity data'!AS11*Constants!$H87*EF!$H212*MMVolatEF*NtoN2O*kgtoGg,"ERROR"))</f>
        <v>1.2137217342001694E-4</v>
      </c>
      <c r="AA1191" s="94">
        <f>IF('Net zero activities &amp; levers'!$C$14="Off",Constants!$H69*'Activity data'!AT11*Constants!$H87*EF!$H212*MMVolatEF*NtoN2O*kgtoGg,IF('Net zero activities &amp; levers'!$C$14="On",Constants!$H69*'Net zero Activity data'!AT11*Constants!$H87*EF!$H212*MMVolatEF*NtoN2O*kgtoGg,"ERROR"))</f>
        <v>1.2156038787143942E-4</v>
      </c>
      <c r="AB1191" s="94">
        <f>IF('Net zero activities &amp; levers'!$C$14="Off",Constants!$H69*'Activity data'!AU11*Constants!$H87*EF!$H212*MMVolatEF*NtoN2O*kgtoGg,IF('Net zero activities &amp; levers'!$C$14="On",Constants!$H69*'Net zero Activity data'!AU11*Constants!$H87*EF!$H212*MMVolatEF*NtoN2O*kgtoGg,"ERROR"))</f>
        <v>1.2173530001872475E-4</v>
      </c>
      <c r="AC1191" s="94">
        <f>IF('Net zero activities &amp; levers'!$C$14="Off",Constants!$H69*'Activity data'!AV11*Constants!$H87*EF!$H212*MMVolatEF*NtoN2O*kgtoGg,IF('Net zero activities &amp; levers'!$C$14="On",Constants!$H69*'Net zero Activity data'!AV11*Constants!$H87*EF!$H212*MMVolatEF*NtoN2O*kgtoGg,"ERROR"))</f>
        <v>1.2189956310100272E-4</v>
      </c>
      <c r="AD1191" s="94">
        <f>IF('Net zero activities &amp; levers'!$C$14="Off",Constants!$H69*'Activity data'!AW11*Constants!$H87*EF!$H212*MMVolatEF*NtoN2O*kgtoGg,IF('Net zero activities &amp; levers'!$C$14="On",Constants!$H69*'Net zero Activity data'!AW11*Constants!$H87*EF!$H212*MMVolatEF*NtoN2O*kgtoGg,"ERROR"))</f>
        <v>1.2205302234453671E-4</v>
      </c>
      <c r="AE1191" s="94">
        <f>IF('Net zero activities &amp; levers'!$C$14="Off",Constants!$H69*'Activity data'!AX11*Constants!$H87*EF!$H212*MMVolatEF*NtoN2O*kgtoGg,IF('Net zero activities &amp; levers'!$C$14="On",Constants!$H69*'Net zero Activity data'!AX11*Constants!$H87*EF!$H212*MMVolatEF*NtoN2O*kgtoGg,"ERROR"))</f>
        <v>1.2219813225383718E-4</v>
      </c>
      <c r="AF1191" s="94">
        <f>IF('Net zero activities &amp; levers'!$C$14="Off",Constants!$H69*'Activity data'!AY11*Constants!$H87*EF!$H212*MMVolatEF*NtoN2O*kgtoGg,IF('Net zero activities &amp; levers'!$C$14="On",Constants!$H69*'Net zero Activity data'!AY11*Constants!$H87*EF!$H212*MMVolatEF*NtoN2O*kgtoGg,"ERROR"))</f>
        <v>1.2233524409037175E-4</v>
      </c>
      <c r="AG1191" s="94">
        <f>IF('Net zero activities &amp; levers'!$C$14="Off",Constants!$H69*'Activity data'!AZ11*Constants!$H87*EF!$H212*MMVolatEF*NtoN2O*kgtoGg,IF('Net zero activities &amp; levers'!$C$14="On",Constants!$H69*'Net zero Activity data'!AZ11*Constants!$H87*EF!$H212*MMVolatEF*NtoN2O*kgtoGg,"ERROR"))</f>
        <v>1.2246247857835598E-4</v>
      </c>
      <c r="AH1191" s="94">
        <f>IF('Net zero activities &amp; levers'!$C$14="Off",Constants!$H69*'Activity data'!BA11*Constants!$H87*EF!$H212*MMVolatEF*NtoN2O*kgtoGg,IF('Net zero activities &amp; levers'!$C$14="On",Constants!$H69*'Net zero Activity data'!BA11*Constants!$H87*EF!$H212*MMVolatEF*NtoN2O*kgtoGg,"ERROR"))</f>
        <v>1.2258099962950754E-4</v>
      </c>
      <c r="AI1191" s="94">
        <f>IF('Net zero activities &amp; levers'!$C$14="Off",Constants!$H69*'Activity data'!BB11*Constants!$H87*EF!$H212*MMVolatEF*NtoN2O*kgtoGg,IF('Net zero activities &amp; levers'!$C$14="On",Constants!$H69*'Net zero Activity data'!BB11*Constants!$H87*EF!$H212*MMVolatEF*NtoN2O*kgtoGg,"ERROR"))</f>
        <v>1.226926980528978E-4</v>
      </c>
      <c r="AJ1191" s="94">
        <f>IF('Net zero activities &amp; levers'!$C$14="Off",Constants!$H69*'Activity data'!BC11*Constants!$H87*EF!$H212*MMVolatEF*NtoN2O*kgtoGg,IF('Net zero activities &amp; levers'!$C$14="On",Constants!$H69*'Net zero Activity data'!BC11*Constants!$H87*EF!$H212*MMVolatEF*NtoN2O*kgtoGg,"ERROR"))</f>
        <v>1.2000006421083369E-4</v>
      </c>
      <c r="AK1191" s="94">
        <f>IF('Net zero activities &amp; levers'!$C$14="Off",Constants!$H69*'Activity data'!BD11*Constants!$H87*EF!$H212*MMVolatEF*NtoN2O*kgtoGg,IF('Net zero activities &amp; levers'!$C$14="On",Constants!$H69*'Net zero Activity data'!BD11*Constants!$H87*EF!$H212*MMVolatEF*NtoN2O*kgtoGg,"ERROR"))</f>
        <v>1.2011041514130369E-4</v>
      </c>
      <c r="AL1191" s="94">
        <f>IF('Net zero activities &amp; levers'!$C$14="Off",Constants!$H69*'Activity data'!BE11*Constants!$H87*EF!$H212*MMVolatEF*NtoN2O*kgtoGg,IF('Net zero activities &amp; levers'!$C$14="On",Constants!$H69*'Net zero Activity data'!BE11*Constants!$H87*EF!$H212*MMVolatEF*NtoN2O*kgtoGg,"ERROR"))</f>
        <v>1.2021334415571778E-4</v>
      </c>
      <c r="AM1191" s="94">
        <f>IF('Net zero activities &amp; levers'!$C$14="Off",Constants!$H69*'Activity data'!BF11*Constants!$H87*EF!$H212*MMVolatEF*NtoN2O*kgtoGg,IF('Net zero activities &amp; levers'!$C$14="On",Constants!$H69*'Net zero Activity data'!BF11*Constants!$H87*EF!$H212*MMVolatEF*NtoN2O*kgtoGg,"ERROR"))</f>
        <v>1.2030948030331916E-4</v>
      </c>
      <c r="AN1191" s="94">
        <f>IF('Net zero activities &amp; levers'!$C$14="Off",Constants!$H69*'Activity data'!BG11*Constants!$H87*EF!$H212*MMVolatEF*NtoN2O*kgtoGg,IF('Net zero activities &amp; levers'!$C$14="On",Constants!$H69*'Net zero Activity data'!BG11*Constants!$H87*EF!$H212*MMVolatEF*NtoN2O*kgtoGg,"ERROR"))</f>
        <v>1.2039958826810335E-4</v>
      </c>
      <c r="AO1191" s="94">
        <f>IF('Net zero activities &amp; levers'!$C$14="Off",Constants!$H69*'Activity data'!BH11*Constants!$H87*EF!$H212*MMVolatEF*NtoN2O*kgtoGg,IF('Net zero activities &amp; levers'!$C$14="On",Constants!$H69*'Net zero Activity data'!BH11*Constants!$H87*EF!$H212*MMVolatEF*NtoN2O*kgtoGg,"ERROR"))</f>
        <v>1.2048129784431056E-4</v>
      </c>
      <c r="AP1191" s="94">
        <f>IF('Net zero activities &amp; levers'!$C$14="Off",Constants!$H69*'Activity data'!BI11*Constants!$H87*EF!$H212*MMVolatEF*NtoN2O*kgtoGg,IF('Net zero activities &amp; levers'!$C$14="On",Constants!$H69*'Net zero Activity data'!BI11*Constants!$H87*EF!$H212*MMVolatEF*NtoN2O*kgtoGg,"ERROR"))</f>
        <v>1.2055302618273209E-4</v>
      </c>
      <c r="AQ1191" s="94">
        <f>IF('Net zero activities &amp; levers'!$C$14="Off",Constants!$H69*'Activity data'!BJ11*Constants!$H87*EF!$H212*MMVolatEF*NtoN2O*kgtoGg,IF('Net zero activities &amp; levers'!$C$14="On",Constants!$H69*'Net zero Activity data'!BJ11*Constants!$H87*EF!$H212*MMVolatEF*NtoN2O*kgtoGg,"ERROR"))</f>
        <v>1.2061454144456668E-4</v>
      </c>
      <c r="AR1191" s="94">
        <f>IF('Net zero activities &amp; levers'!$C$14="Off",Constants!$H69*'Activity data'!BK11*Constants!$H87*EF!$H212*MMVolatEF*NtoN2O*kgtoGg,IF('Net zero activities &amp; levers'!$C$14="On",Constants!$H69*'Net zero Activity data'!BK11*Constants!$H87*EF!$H212*MMVolatEF*NtoN2O*kgtoGg,"ERROR"))</f>
        <v>1.2066404237348151E-4</v>
      </c>
      <c r="AS1191" s="94">
        <f>IF('Net zero activities &amp; levers'!$C$14="Off",Constants!$H69*'Activity data'!BL11*Constants!$H87*EF!$H212*MMVolatEF*NtoN2O*kgtoGg,IF('Net zero activities &amp; levers'!$C$14="On",Constants!$H69*'Net zero Activity data'!BL11*Constants!$H87*EF!$H212*MMVolatEF*NtoN2O*kgtoGg,"ERROR"))</f>
        <v>1.206995710531147E-4</v>
      </c>
      <c r="AT1191" s="94">
        <f>IF('Net zero activities &amp; levers'!$C$14="Off",Constants!$H69*'Activity data'!BM11*Constants!$H87*EF!$H212*MMVolatEF*NtoN2O*kgtoGg,IF('Net zero activities &amp; levers'!$C$14="On",Constants!$H69*'Net zero Activity data'!BM11*Constants!$H87*EF!$H212*MMVolatEF*NtoN2O*kgtoGg,"ERROR"))</f>
        <v>1.2072090668873017E-4</v>
      </c>
      <c r="AU1191" s="94">
        <f>IF('Net zero activities &amp; levers'!$C$14="Off",Constants!$H69*'Activity data'!BN11*Constants!$H87*EF!$H212*MMVolatEF*NtoN2O*kgtoGg,IF('Net zero activities &amp; levers'!$C$14="On",Constants!$H69*'Net zero Activity data'!BN11*Constants!$H87*EF!$H212*MMVolatEF*NtoN2O*kgtoGg,"ERROR"))</f>
        <v>1.2072835361242823E-4</v>
      </c>
      <c r="AV1191" s="94">
        <f>IF('Net zero activities &amp; levers'!$C$14="Off",Constants!$H69*'Activity data'!BO11*Constants!$H87*EF!$H212*MMVolatEF*NtoN2O*kgtoGg,IF('Net zero activities &amp; levers'!$C$14="On",Constants!$H69*'Net zero Activity data'!BO11*Constants!$H87*EF!$H212*MMVolatEF*NtoN2O*kgtoGg,"ERROR"))</f>
        <v>1.2072212964886386E-4</v>
      </c>
      <c r="AW1191" s="94">
        <f>IF('Net zero activities &amp; levers'!$C$14="Off",Constants!$H69*'Activity data'!BP11*Constants!$H87*EF!$H212*MMVolatEF*NtoN2O*kgtoGg,IF('Net zero activities &amp; levers'!$C$14="On",Constants!$H69*'Net zero Activity data'!BP11*Constants!$H87*EF!$H212*MMVolatEF*NtoN2O*kgtoGg,"ERROR"))</f>
        <v>1.2070039195556491E-4</v>
      </c>
      <c r="AY1191" s="79"/>
    </row>
    <row r="1192" spans="1:51" x14ac:dyDescent="0.25">
      <c r="A1192" s="95" t="str">
        <f t="shared" si="380"/>
        <v>CM MM Volatilisation</v>
      </c>
      <c r="B1192" s="95" t="s">
        <v>1322</v>
      </c>
      <c r="C1192" s="95" t="s">
        <v>1332</v>
      </c>
      <c r="D1192" t="s">
        <v>369</v>
      </c>
      <c r="E1192" t="s">
        <v>64</v>
      </c>
      <c r="F1192" t="s">
        <v>62</v>
      </c>
      <c r="G1192" t="s">
        <v>1166</v>
      </c>
      <c r="H1192" t="s">
        <v>1297</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8.1588376197320827E-4</v>
      </c>
      <c r="T1192" s="94">
        <f>IF('Net zero activities &amp; levers'!$C$14="Off",Constants!$H70*'Activity data'!AM12*Constants!$H88*EF!$H213*MMVolatEF*NtoN2O*kgtoGg,IF('Net zero activities &amp; levers'!$C$14="On",Constants!$H70*'Net zero Activity data'!AM12*Constants!$H88*EF!$H213*MMVolatEF*NtoN2O*kgtoGg,"ERROR"))</f>
        <v>8.1642676727220354E-4</v>
      </c>
      <c r="U1192" s="94">
        <f>IF('Net zero activities &amp; levers'!$C$14="Off",Constants!$H70*'Activity data'!AN12*Constants!$H88*EF!$H213*MMVolatEF*NtoN2O*kgtoGg,IF('Net zero activities &amp; levers'!$C$14="On",Constants!$H70*'Net zero Activity data'!AN12*Constants!$H88*EF!$H213*MMVolatEF*NtoN2O*kgtoGg,"ERROR"))</f>
        <v>8.2706079755535391E-4</v>
      </c>
      <c r="V1192" s="94">
        <f>IF('Net zero activities &amp; levers'!$C$14="Off",Constants!$H70*'Activity data'!AO12*Constants!$H88*EF!$H213*MMVolatEF*NtoN2O*kgtoGg,IF('Net zero activities &amp; levers'!$C$14="On",Constants!$H70*'Net zero Activity data'!AO12*Constants!$H88*EF!$H213*MMVolatEF*NtoN2O*kgtoGg,"ERROR"))</f>
        <v>8.2732020642447472E-4</v>
      </c>
      <c r="W1192" s="94">
        <f>IF('Net zero activities &amp; levers'!$C$14="Off",Constants!$H70*'Activity data'!AP12*Constants!$H88*EF!$H213*MMVolatEF*NtoN2O*kgtoGg,IF('Net zero activities &amp; levers'!$C$14="On",Constants!$H70*'Net zero Activity data'!AP12*Constants!$H88*EF!$H213*MMVolatEF*NtoN2O*kgtoGg,"ERROR"))</f>
        <v>8.2842982125867857E-4</v>
      </c>
      <c r="X1192" s="94">
        <f>IF('Net zero activities &amp; levers'!$C$14="Off",Constants!$H70*'Activity data'!AQ12*Constants!$H88*EF!$H213*MMVolatEF*NtoN2O*kgtoGg,IF('Net zero activities &amp; levers'!$C$14="On",Constants!$H70*'Net zero Activity data'!AQ12*Constants!$H88*EF!$H213*MMVolatEF*NtoN2O*kgtoGg,"ERROR"))</f>
        <v>8.3003379643398353E-4</v>
      </c>
      <c r="Y1192" s="94">
        <f>IF('Net zero activities &amp; levers'!$C$14="Off",Constants!$H70*'Activity data'!AR12*Constants!$H88*EF!$H213*MMVolatEF*NtoN2O*kgtoGg,IF('Net zero activities &amp; levers'!$C$14="On",Constants!$H70*'Net zero Activity data'!AR12*Constants!$H88*EF!$H213*MMVolatEF*NtoN2O*kgtoGg,"ERROR"))</f>
        <v>8.3152383440517541E-4</v>
      </c>
      <c r="Z1192" s="94">
        <f>IF('Net zero activities &amp; levers'!$C$14="Off",Constants!$H70*'Activity data'!AS12*Constants!$H88*EF!$H213*MMVolatEF*NtoN2O*kgtoGg,IF('Net zero activities &amp; levers'!$C$14="On",Constants!$H70*'Net zero Activity data'!AS12*Constants!$H88*EF!$H213*MMVolatEF*NtoN2O*kgtoGg,"ERROR"))</f>
        <v>8.3291838384459249E-4</v>
      </c>
      <c r="AA1192" s="94">
        <f>IF('Net zero activities &amp; levers'!$C$14="Off",Constants!$H70*'Activity data'!AT12*Constants!$H88*EF!$H213*MMVolatEF*NtoN2O*kgtoGg,IF('Net zero activities &amp; levers'!$C$14="On",Constants!$H70*'Net zero Activity data'!AT12*Constants!$H88*EF!$H213*MMVolatEF*NtoN2O*kgtoGg,"ERROR"))</f>
        <v>8.342100083766216E-4</v>
      </c>
      <c r="AB1192" s="94">
        <f>IF('Net zero activities &amp; levers'!$C$14="Off",Constants!$H70*'Activity data'!AU12*Constants!$H88*EF!$H213*MMVolatEF*NtoN2O*kgtoGg,IF('Net zero activities &amp; levers'!$C$14="On",Constants!$H70*'Net zero Activity data'!AU12*Constants!$H88*EF!$H213*MMVolatEF*NtoN2O*kgtoGg,"ERROR"))</f>
        <v>8.3541034564443633E-4</v>
      </c>
      <c r="AC1192" s="94">
        <f>IF('Net zero activities &amp; levers'!$C$14="Off",Constants!$H70*'Activity data'!AV12*Constants!$H88*EF!$H213*MMVolatEF*NtoN2O*kgtoGg,IF('Net zero activities &amp; levers'!$C$14="On",Constants!$H70*'Net zero Activity data'!AV12*Constants!$H88*EF!$H213*MMVolatEF*NtoN2O*kgtoGg,"ERROR"))</f>
        <v>8.3653760354186898E-4</v>
      </c>
      <c r="AD1192" s="94">
        <f>IF('Net zero activities &amp; levers'!$C$14="Off",Constants!$H70*'Activity data'!AW12*Constants!$H88*EF!$H213*MMVolatEF*NtoN2O*kgtoGg,IF('Net zero activities &amp; levers'!$C$14="On",Constants!$H70*'Net zero Activity data'!AW12*Constants!$H88*EF!$H213*MMVolatEF*NtoN2O*kgtoGg,"ERROR"))</f>
        <v>8.3759071993180138E-4</v>
      </c>
      <c r="AE1192" s="94">
        <f>IF('Net zero activities &amp; levers'!$C$14="Off",Constants!$H70*'Activity data'!AX12*Constants!$H88*EF!$H213*MMVolatEF*NtoN2O*kgtoGg,IF('Net zero activities &amp; levers'!$C$14="On",Constants!$H70*'Net zero Activity data'!AX12*Constants!$H88*EF!$H213*MMVolatEF*NtoN2O*kgtoGg,"ERROR"))</f>
        <v>8.385865388887226E-4</v>
      </c>
      <c r="AF1192" s="94">
        <f>IF('Net zero activities &amp; levers'!$C$14="Off",Constants!$H70*'Activity data'!AY12*Constants!$H88*EF!$H213*MMVolatEF*NtoN2O*kgtoGg,IF('Net zero activities &amp; levers'!$C$14="On",Constants!$H70*'Net zero Activity data'!AY12*Constants!$H88*EF!$H213*MMVolatEF*NtoN2O*kgtoGg,"ERROR"))</f>
        <v>8.3952747094978998E-4</v>
      </c>
      <c r="AG1192" s="94">
        <f>IF('Net zero activities &amp; levers'!$C$14="Off",Constants!$H70*'Activity data'!AZ12*Constants!$H88*EF!$H213*MMVolatEF*NtoN2O*kgtoGg,IF('Net zero activities &amp; levers'!$C$14="On",Constants!$H70*'Net zero Activity data'!AZ12*Constants!$H88*EF!$H213*MMVolatEF*NtoN2O*kgtoGg,"ERROR"))</f>
        <v>8.404006195563853E-4</v>
      </c>
      <c r="AH1192" s="94">
        <f>IF('Net zero activities &amp; levers'!$C$14="Off",Constants!$H70*'Activity data'!BA12*Constants!$H88*EF!$H213*MMVolatEF*NtoN2O*kgtoGg,IF('Net zero activities &amp; levers'!$C$14="On",Constants!$H70*'Net zero Activity data'!BA12*Constants!$H88*EF!$H213*MMVolatEF*NtoN2O*kgtoGg,"ERROR"))</f>
        <v>8.4121397207035167E-4</v>
      </c>
      <c r="AI1192" s="94">
        <f>IF('Net zero activities &amp; levers'!$C$14="Off",Constants!$H70*'Activity data'!BB12*Constants!$H88*EF!$H213*MMVolatEF*NtoN2O*kgtoGg,IF('Net zero activities &amp; levers'!$C$14="On",Constants!$H70*'Net zero Activity data'!BB12*Constants!$H88*EF!$H213*MMVolatEF*NtoN2O*kgtoGg,"ERROR"))</f>
        <v>8.4198050419766407E-4</v>
      </c>
      <c r="AJ1192" s="94">
        <f>IF('Net zero activities &amp; levers'!$C$14="Off",Constants!$H70*'Activity data'!BC12*Constants!$H88*EF!$H213*MMVolatEF*NtoN2O*kgtoGg,IF('Net zero activities &amp; levers'!$C$14="On",Constants!$H70*'Net zero Activity data'!BC12*Constants!$H88*EF!$H213*MMVolatEF*NtoN2O*kgtoGg,"ERROR"))</f>
        <v>8.2350226355303057E-4</v>
      </c>
      <c r="AK1192" s="94">
        <f>IF('Net zero activities &amp; levers'!$C$14="Off",Constants!$H70*'Activity data'!BD12*Constants!$H88*EF!$H213*MMVolatEF*NtoN2O*kgtoGg,IF('Net zero activities &amp; levers'!$C$14="On",Constants!$H70*'Net zero Activity data'!BD12*Constants!$H88*EF!$H213*MMVolatEF*NtoN2O*kgtoGg,"ERROR"))</f>
        <v>8.2425954848970833E-4</v>
      </c>
      <c r="AL1192" s="94">
        <f>IF('Net zero activities &amp; levers'!$C$14="Off",Constants!$H70*'Activity data'!BE12*Constants!$H88*EF!$H213*MMVolatEF*NtoN2O*kgtoGg,IF('Net zero activities &amp; levers'!$C$14="On",Constants!$H70*'Net zero Activity data'!BE12*Constants!$H88*EF!$H213*MMVolatEF*NtoN2O*kgtoGg,"ERROR"))</f>
        <v>8.2496590041470697E-4</v>
      </c>
      <c r="AM1192" s="94">
        <f>IF('Net zero activities &amp; levers'!$C$14="Off",Constants!$H70*'Activity data'!BF12*Constants!$H88*EF!$H213*MMVolatEF*NtoN2O*kgtoGg,IF('Net zero activities &amp; levers'!$C$14="On",Constants!$H70*'Net zero Activity data'!BF12*Constants!$H88*EF!$H213*MMVolatEF*NtoN2O*kgtoGg,"ERROR"))</f>
        <v>8.256256361880137E-4</v>
      </c>
      <c r="AN1192" s="94">
        <f>IF('Net zero activities &amp; levers'!$C$14="Off",Constants!$H70*'Activity data'!BG12*Constants!$H88*EF!$H213*MMVolatEF*NtoN2O*kgtoGg,IF('Net zero activities &amp; levers'!$C$14="On",Constants!$H70*'Net zero Activity data'!BG12*Constants!$H88*EF!$H213*MMVolatEF*NtoN2O*kgtoGg,"ERROR"))</f>
        <v>8.2624400346516431E-4</v>
      </c>
      <c r="AO1192" s="94">
        <f>IF('Net zero activities &amp; levers'!$C$14="Off",Constants!$H70*'Activity data'!BH12*Constants!$H88*EF!$H213*MMVolatEF*NtoN2O*kgtoGg,IF('Net zero activities &amp; levers'!$C$14="On",Constants!$H70*'Net zero Activity data'!BH12*Constants!$H88*EF!$H213*MMVolatEF*NtoN2O*kgtoGg,"ERROR"))</f>
        <v>8.2680473667312636E-4</v>
      </c>
      <c r="AP1192" s="94">
        <f>IF('Net zero activities &amp; levers'!$C$14="Off",Constants!$H70*'Activity data'!BI12*Constants!$H88*EF!$H213*MMVolatEF*NtoN2O*kgtoGg,IF('Net zero activities &amp; levers'!$C$14="On",Constants!$H70*'Net zero Activity data'!BI12*Constants!$H88*EF!$H213*MMVolatEF*NtoN2O*kgtoGg,"ERROR"))</f>
        <v>8.2729697348516047E-4</v>
      </c>
      <c r="AQ1192" s="94">
        <f>IF('Net zero activities &amp; levers'!$C$14="Off",Constants!$H70*'Activity data'!BJ12*Constants!$H88*EF!$H213*MMVolatEF*NtoN2O*kgtoGg,IF('Net zero activities &amp; levers'!$C$14="On",Constants!$H70*'Net zero Activity data'!BJ12*Constants!$H88*EF!$H213*MMVolatEF*NtoN2O*kgtoGg,"ERROR"))</f>
        <v>8.2771912290397116E-4</v>
      </c>
      <c r="AR1192" s="94">
        <f>IF('Net zero activities &amp; levers'!$C$14="Off",Constants!$H70*'Activity data'!BK12*Constants!$H88*EF!$H213*MMVolatEF*NtoN2O*kgtoGg,IF('Net zero activities &amp; levers'!$C$14="On",Constants!$H70*'Net zero Activity data'!BK12*Constants!$H88*EF!$H213*MMVolatEF*NtoN2O*kgtoGg,"ERROR"))</f>
        <v>8.2805882378061209E-4</v>
      </c>
      <c r="AS1192" s="94">
        <f>IF('Net zero activities &amp; levers'!$C$14="Off",Constants!$H70*'Activity data'!BL12*Constants!$H88*EF!$H213*MMVolatEF*NtoN2O*kgtoGg,IF('Net zero activities &amp; levers'!$C$14="On",Constants!$H70*'Net zero Activity data'!BL12*Constants!$H88*EF!$H213*MMVolatEF*NtoN2O*kgtoGg,"ERROR"))</f>
        <v>8.2830263988430608E-4</v>
      </c>
      <c r="AT1192" s="94">
        <f>IF('Net zero activities &amp; levers'!$C$14="Off",Constants!$H70*'Activity data'!BM12*Constants!$H88*EF!$H213*MMVolatEF*NtoN2O*kgtoGg,IF('Net zero activities &amp; levers'!$C$14="On",Constants!$H70*'Net zero Activity data'!BM12*Constants!$H88*EF!$H213*MMVolatEF*NtoN2O*kgtoGg,"ERROR"))</f>
        <v>8.2844905600782401E-4</v>
      </c>
      <c r="AU1192" s="94">
        <f>IF('Net zero activities &amp; levers'!$C$14="Off",Constants!$H70*'Activity data'!BN12*Constants!$H88*EF!$H213*MMVolatEF*NtoN2O*kgtoGg,IF('Net zero activities &amp; levers'!$C$14="On",Constants!$H70*'Net zero Activity data'!BN12*Constants!$H88*EF!$H213*MMVolatEF*NtoN2O*kgtoGg,"ERROR"))</f>
        <v>8.2850016063482762E-4</v>
      </c>
      <c r="AV1192" s="94">
        <f>IF('Net zero activities &amp; levers'!$C$14="Off",Constants!$H70*'Activity data'!BO12*Constants!$H88*EF!$H213*MMVolatEF*NtoN2O*kgtoGg,IF('Net zero activities &amp; levers'!$C$14="On",Constants!$H70*'Net zero Activity data'!BO12*Constants!$H88*EF!$H213*MMVolatEF*NtoN2O*kgtoGg,"ERROR"))</f>
        <v>8.2845744859031962E-4</v>
      </c>
      <c r="AW1192" s="94">
        <f>IF('Net zero activities &amp; levers'!$C$14="Off",Constants!$H70*'Activity data'!BP12*Constants!$H88*EF!$H213*MMVolatEF*NtoN2O*kgtoGg,IF('Net zero activities &amp; levers'!$C$14="On",Constants!$H70*'Net zero Activity data'!BP12*Constants!$H88*EF!$H213*MMVolatEF*NtoN2O*kgtoGg,"ERROR"))</f>
        <v>8.2830827333984093E-4</v>
      </c>
      <c r="AY1192" s="79"/>
    </row>
    <row r="1193" spans="1:51" x14ac:dyDescent="0.25">
      <c r="A1193" s="95" t="str">
        <f t="shared" si="380"/>
        <v>CM MM Volatilisation</v>
      </c>
      <c r="B1193" s="95" t="s">
        <v>1322</v>
      </c>
      <c r="C1193" s="95" t="s">
        <v>1332</v>
      </c>
      <c r="D1193" t="s">
        <v>369</v>
      </c>
      <c r="E1193" t="s">
        <v>64</v>
      </c>
      <c r="F1193" t="s">
        <v>62</v>
      </c>
      <c r="G1193" t="s">
        <v>1168</v>
      </c>
      <c r="H1193" t="s">
        <v>1298</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1.4486129996083085E-5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1.489070601115726E-5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1.4952125307683929E-5</v>
      </c>
      <c r="T1193" s="94">
        <f>IF('Net zero activities &amp; levers'!$C$14="Off",Constants!$H71*'Activity data'!AM13*Constants!$H89*EF!$H214*MMVolatEF*NtoN2O*kgtoGg,IF('Net zero activities &amp; levers'!$C$14="On",Constants!$H71*'Net zero Activity data'!AM13*Constants!$H89*EF!$H214*MMVolatEF*NtoN2O*kgtoGg,"ERROR"))</f>
        <v>1.497659485650934E-5</v>
      </c>
      <c r="U1193" s="94">
        <f>IF('Net zero activities &amp; levers'!$C$14="Off",Constants!$H71*'Activity data'!AN13*Constants!$H89*EF!$H214*MMVolatEF*NtoN2O*kgtoGg,IF('Net zero activities &amp; levers'!$C$14="On",Constants!$H71*'Net zero Activity data'!AN13*Constants!$H89*EF!$H214*MMVolatEF*NtoN2O*kgtoGg,"ERROR"))</f>
        <v>1.5280249217669806E-5</v>
      </c>
      <c r="V1193" s="94">
        <f>IF('Net zero activities &amp; levers'!$C$14="Off",Constants!$H71*'Activity data'!AO13*Constants!$H89*EF!$H214*MMVolatEF*NtoN2O*kgtoGg,IF('Net zero activities &amp; levers'!$C$14="On",Constants!$H71*'Net zero Activity data'!AO13*Constants!$H89*EF!$H214*MMVolatEF*NtoN2O*kgtoGg,"ERROR"))</f>
        <v>1.5293967954982136E-5</v>
      </c>
      <c r="W1193" s="94">
        <f>IF('Net zero activities &amp; levers'!$C$14="Off",Constants!$H71*'Activity data'!AP13*Constants!$H89*EF!$H214*MMVolatEF*NtoN2O*kgtoGg,IF('Net zero activities &amp; levers'!$C$14="On",Constants!$H71*'Net zero Activity data'!AP13*Constants!$H89*EF!$H214*MMVolatEF*NtoN2O*kgtoGg,"ERROR"))</f>
        <v>1.5330288500558316E-5</v>
      </c>
      <c r="X1193" s="94">
        <f>IF('Net zero activities &amp; levers'!$C$14="Off",Constants!$H71*'Activity data'!AQ13*Constants!$H89*EF!$H214*MMVolatEF*NtoN2O*kgtoGg,IF('Net zero activities &amp; levers'!$C$14="On",Constants!$H71*'Net zero Activity data'!AQ13*Constants!$H89*EF!$H214*MMVolatEF*NtoN2O*kgtoGg,"ERROR"))</f>
        <v>1.5379307775042966E-5</v>
      </c>
      <c r="Y1193" s="94">
        <f>IF('Net zero activities &amp; levers'!$C$14="Off",Constants!$H71*'Activity data'!AR13*Constants!$H89*EF!$H214*MMVolatEF*NtoN2O*kgtoGg,IF('Net zero activities &amp; levers'!$C$14="On",Constants!$H71*'Net zero Activity data'!AR13*Constants!$H89*EF!$H214*MMVolatEF*NtoN2O*kgtoGg,"ERROR"))</f>
        <v>1.5424265287422665E-5</v>
      </c>
      <c r="Z1193" s="94">
        <f>IF('Net zero activities &amp; levers'!$C$14="Off",Constants!$H71*'Activity data'!AS13*Constants!$H89*EF!$H214*MMVolatEF*NtoN2O*kgtoGg,IF('Net zero activities &amp; levers'!$C$14="On",Constants!$H71*'Net zero Activity data'!AS13*Constants!$H89*EF!$H214*MMVolatEF*NtoN2O*kgtoGg,"ERROR"))</f>
        <v>1.5465755297522265E-5</v>
      </c>
      <c r="AA1193" s="94">
        <f>IF('Net zero activities &amp; levers'!$C$14="Off",Constants!$H71*'Activity data'!AT13*Constants!$H89*EF!$H214*MMVolatEF*NtoN2O*kgtoGg,IF('Net zero activities &amp; levers'!$C$14="On",Constants!$H71*'Net zero Activity data'!AT13*Constants!$H89*EF!$H214*MMVolatEF*NtoN2O*kgtoGg,"ERROR"))</f>
        <v>1.5503650543984476E-5</v>
      </c>
      <c r="AB1193" s="94">
        <f>IF('Net zero activities &amp; levers'!$C$14="Off",Constants!$H71*'Activity data'!AU13*Constants!$H89*EF!$H214*MMVolatEF*NtoN2O*kgtoGg,IF('Net zero activities &amp; levers'!$C$14="On",Constants!$H71*'Net zero Activity data'!AU13*Constants!$H89*EF!$H214*MMVolatEF*NtoN2O*kgtoGg,"ERROR"))</f>
        <v>1.5538340165319424E-5</v>
      </c>
      <c r="AC1193" s="94">
        <f>IF('Net zero activities &amp; levers'!$C$14="Off",Constants!$H71*'Activity data'!AV13*Constants!$H89*EF!$H214*MMVolatEF*NtoN2O*kgtoGg,IF('Net zero activities &amp; levers'!$C$14="On",Constants!$H71*'Net zero Activity data'!AV13*Constants!$H89*EF!$H214*MMVolatEF*NtoN2O*kgtoGg,"ERROR"))</f>
        <v>1.5570383853796525E-5</v>
      </c>
      <c r="AD1193" s="94">
        <f>IF('Net zero activities &amp; levers'!$C$14="Off",Constants!$H71*'Activity data'!AW13*Constants!$H89*EF!$H214*MMVolatEF*NtoN2O*kgtoGg,IF('Net zero activities &amp; levers'!$C$14="On",Constants!$H71*'Net zero Activity data'!AW13*Constants!$H89*EF!$H214*MMVolatEF*NtoN2O*kgtoGg,"ERROR"))</f>
        <v>1.5599807426957594E-5</v>
      </c>
      <c r="AE1193" s="94">
        <f>IF('Net zero activities &amp; levers'!$C$14="Off",Constants!$H71*'Activity data'!AX13*Constants!$H89*EF!$H214*MMVolatEF*NtoN2O*kgtoGg,IF('Net zero activities &amp; levers'!$C$14="On",Constants!$H71*'Net zero Activity data'!AX13*Constants!$H89*EF!$H214*MMVolatEF*NtoN2O*kgtoGg,"ERROR"))</f>
        <v>1.5627118939580073E-5</v>
      </c>
      <c r="AF1193" s="94">
        <f>IF('Net zero activities &amp; levers'!$C$14="Off",Constants!$H71*'Activity data'!AY13*Constants!$H89*EF!$H214*MMVolatEF*NtoN2O*kgtoGg,IF('Net zero activities &amp; levers'!$C$14="On",Constants!$H71*'Net zero Activity data'!AY13*Constants!$H89*EF!$H214*MMVolatEF*NtoN2O*kgtoGg,"ERROR"))</f>
        <v>1.5652427506297688E-5</v>
      </c>
      <c r="AG1193" s="94">
        <f>IF('Net zero activities &amp; levers'!$C$14="Off",Constants!$H71*'Activity data'!AZ13*Constants!$H89*EF!$H214*MMVolatEF*NtoN2O*kgtoGg,IF('Net zero activities &amp; levers'!$C$14="On",Constants!$H71*'Net zero Activity data'!AZ13*Constants!$H89*EF!$H214*MMVolatEF*NtoN2O*kgtoGg,"ERROR"))</f>
        <v>1.56754241207766E-5</v>
      </c>
      <c r="AH1193" s="94">
        <f>IF('Net zero activities &amp; levers'!$C$14="Off",Constants!$H71*'Activity data'!BA13*Constants!$H89*EF!$H214*MMVolatEF*NtoN2O*kgtoGg,IF('Net zero activities &amp; levers'!$C$14="On",Constants!$H71*'Net zero Activity data'!BA13*Constants!$H89*EF!$H214*MMVolatEF*NtoN2O*kgtoGg,"ERROR"))</f>
        <v>1.5696363462061687E-5</v>
      </c>
      <c r="AI1193" s="94">
        <f>IF('Net zero activities &amp; levers'!$C$14="Off",Constants!$H71*'Activity data'!BB13*Constants!$H89*EF!$H214*MMVolatEF*NtoN2O*kgtoGg,IF('Net zero activities &amp; levers'!$C$14="On",Constants!$H71*'Net zero Activity data'!BB13*Constants!$H89*EF!$H214*MMVolatEF*NtoN2O*kgtoGg,"ERROR"))</f>
        <v>1.5715630256505464E-5</v>
      </c>
      <c r="AJ1193" s="94">
        <f>IF('Net zero activities &amp; levers'!$C$14="Off",Constants!$H71*'Activity data'!BC13*Constants!$H89*EF!$H214*MMVolatEF*NtoN2O*kgtoGg,IF('Net zero activities &amp; levers'!$C$14="On",Constants!$H71*'Net zero Activity data'!BC13*Constants!$H89*EF!$H214*MMVolatEF*NtoN2O*kgtoGg,"ERROR"))</f>
        <v>1.5216731234132435E-5</v>
      </c>
      <c r="AK1193" s="94">
        <f>IF('Net zero activities &amp; levers'!$C$14="Off",Constants!$H71*'Activity data'!BD13*Constants!$H89*EF!$H214*MMVolatEF*NtoN2O*kgtoGg,IF('Net zero activities &amp; levers'!$C$14="On",Constants!$H71*'Net zero Activity data'!BD13*Constants!$H89*EF!$H214*MMVolatEF*NtoN2O*kgtoGg,"ERROR"))</f>
        <v>1.5235961154748287E-5</v>
      </c>
      <c r="AL1193" s="94">
        <f>IF('Net zero activities &amp; levers'!$C$14="Off",Constants!$H71*'Activity data'!BE13*Constants!$H89*EF!$H214*MMVolatEF*NtoN2O*kgtoGg,IF('Net zero activities &amp; levers'!$C$14="On",Constants!$H71*'Net zero Activity data'!BE13*Constants!$H89*EF!$H214*MMVolatEF*NtoN2O*kgtoGg,"ERROR"))</f>
        <v>1.525346973608994E-5</v>
      </c>
      <c r="AM1193" s="94">
        <f>IF('Net zero activities &amp; levers'!$C$14="Off",Constants!$H71*'Activity data'!BF13*Constants!$H89*EF!$H214*MMVolatEF*NtoN2O*kgtoGg,IF('Net zero activities &amp; levers'!$C$14="On",Constants!$H71*'Net zero Activity data'!BF13*Constants!$H89*EF!$H214*MMVolatEF*NtoN2O*kgtoGg,"ERROR"))</f>
        <v>1.5269398678749372E-5</v>
      </c>
      <c r="AN1193" s="94">
        <f>IF('Net zero activities &amp; levers'!$C$14="Off",Constants!$H71*'Activity data'!BG13*Constants!$H89*EF!$H214*MMVolatEF*NtoN2O*kgtoGg,IF('Net zero activities &amp; levers'!$C$14="On",Constants!$H71*'Net zero Activity data'!BG13*Constants!$H89*EF!$H214*MMVolatEF*NtoN2O*kgtoGg,"ERROR"))</f>
        <v>1.528391208207959E-5</v>
      </c>
      <c r="AO1193" s="94">
        <f>IF('Net zero activities &amp; levers'!$C$14="Off",Constants!$H71*'Activity data'!BH13*Constants!$H89*EF!$H214*MMVolatEF*NtoN2O*kgtoGg,IF('Net zero activities &amp; levers'!$C$14="On",Constants!$H71*'Net zero Activity data'!BH13*Constants!$H89*EF!$H214*MMVolatEF*NtoN2O*kgtoGg,"ERROR"))</f>
        <v>1.5296597939016457E-5</v>
      </c>
      <c r="AP1193" s="94">
        <f>IF('Net zero activities &amp; levers'!$C$14="Off",Constants!$H71*'Activity data'!BI13*Constants!$H89*EF!$H214*MMVolatEF*NtoN2O*kgtoGg,IF('Net zero activities &amp; levers'!$C$14="On",Constants!$H71*'Net zero Activity data'!BI13*Constants!$H89*EF!$H214*MMVolatEF*NtoN2O*kgtoGg,"ERROR"))</f>
        <v>1.5307189728189323E-5</v>
      </c>
      <c r="AQ1193" s="94">
        <f>IF('Net zero activities &amp; levers'!$C$14="Off",Constants!$H71*'Activity data'!BJ13*Constants!$H89*EF!$H214*MMVolatEF*NtoN2O*kgtoGg,IF('Net zero activities &amp; levers'!$C$14="On",Constants!$H71*'Net zero Activity data'!BJ13*Constants!$H89*EF!$H214*MMVolatEF*NtoN2O*kgtoGg,"ERROR"))</f>
        <v>1.5315667991874673E-5</v>
      </c>
      <c r="AR1193" s="94">
        <f>IF('Net zero activities &amp; levers'!$C$14="Off",Constants!$H71*'Activity data'!BK13*Constants!$H89*EF!$H214*MMVolatEF*NtoN2O*kgtoGg,IF('Net zero activities &amp; levers'!$C$14="On",Constants!$H71*'Net zero Activity data'!BK13*Constants!$H89*EF!$H214*MMVolatEF*NtoN2O*kgtoGg,"ERROR"))</f>
        <v>1.5321726619352006E-5</v>
      </c>
      <c r="AS1193" s="94">
        <f>IF('Net zero activities &amp; levers'!$C$14="Off",Constants!$H71*'Activity data'!BL13*Constants!$H89*EF!$H214*MMVolatEF*NtoN2O*kgtoGg,IF('Net zero activities &amp; levers'!$C$14="On",Constants!$H71*'Net zero Activity data'!BL13*Constants!$H89*EF!$H214*MMVolatEF*NtoN2O*kgtoGg,"ERROR"))</f>
        <v>1.5325032079315766E-5</v>
      </c>
      <c r="AT1193" s="94">
        <f>IF('Net zero activities &amp; levers'!$C$14="Off",Constants!$H71*'Activity data'!BM13*Constants!$H89*EF!$H214*MMVolatEF*NtoN2O*kgtoGg,IF('Net zero activities &amp; levers'!$C$14="On",Constants!$H71*'Net zero Activity data'!BM13*Constants!$H89*EF!$H214*MMVolatEF*NtoN2O*kgtoGg,"ERROR"))</f>
        <v>1.5325567315367108E-5</v>
      </c>
      <c r="AU1193" s="94">
        <f>IF('Net zero activities &amp; levers'!$C$14="Off",Constants!$H71*'Activity data'!BN13*Constants!$H89*EF!$H214*MMVolatEF*NtoN2O*kgtoGg,IF('Net zero activities &amp; levers'!$C$14="On",Constants!$H71*'Net zero Activity data'!BN13*Constants!$H89*EF!$H214*MMVolatEF*NtoN2O*kgtoGg,"ERROR"))</f>
        <v>1.532340963092266E-5</v>
      </c>
      <c r="AV1193" s="94">
        <f>IF('Net zero activities &amp; levers'!$C$14="Off",Constants!$H71*'Activity data'!BO13*Constants!$H89*EF!$H214*MMVolatEF*NtoN2O*kgtoGg,IF('Net zero activities &amp; levers'!$C$14="On",Constants!$H71*'Net zero Activity data'!BO13*Constants!$H89*EF!$H214*MMVolatEF*NtoN2O*kgtoGg,"ERROR"))</f>
        <v>1.5318619367085747E-5</v>
      </c>
      <c r="AW1193" s="94">
        <f>IF('Net zero activities &amp; levers'!$C$14="Off",Constants!$H71*'Activity data'!BP13*Constants!$H89*EF!$H214*MMVolatEF*NtoN2O*kgtoGg,IF('Net zero activities &amp; levers'!$C$14="On",Constants!$H71*'Net zero Activity data'!BP13*Constants!$H89*EF!$H214*MMVolatEF*NtoN2O*kgtoGg,"ERROR"))</f>
        <v>1.5310883587655619E-5</v>
      </c>
      <c r="AY1193" s="79"/>
    </row>
    <row r="1194" spans="1:51" x14ac:dyDescent="0.25">
      <c r="A1194" s="95" t="str">
        <f t="shared" si="380"/>
        <v>CM MM Volatilisation</v>
      </c>
      <c r="B1194" s="95" t="s">
        <v>1322</v>
      </c>
      <c r="C1194" s="95" t="s">
        <v>1332</v>
      </c>
      <c r="D1194" t="s">
        <v>369</v>
      </c>
      <c r="E1194" t="s">
        <v>64</v>
      </c>
      <c r="F1194" t="s">
        <v>62</v>
      </c>
      <c r="G1194" t="s">
        <v>1170</v>
      </c>
      <c r="H1194" t="s">
        <v>1299</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1.4738364076719787E-3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1.5149984613639169E-3</v>
      </c>
      <c r="R1194" s="94">
        <f>IF('Net zero activities &amp; levers'!$C$14="Off",Constants!$H72*'Activity data'!AK14*Constants!$H90*EF!$H215*MMVolatEF*NtoN2O*kgtoGg,IF('Net zero activities &amp; levers'!$C$14="On",Constants!$H72*'Net zero Activity data'!AK14*Constants!$H90*EF!$H215*MMVolatEF*NtoN2O*kgtoGg,"ERROR"))</f>
        <v>1.5249659674490626E-3</v>
      </c>
      <c r="S1194" s="94">
        <f>IF('Net zero activities &amp; levers'!$C$14="Off",Constants!$H72*'Activity data'!AL14*Constants!$H90*EF!$H215*MMVolatEF*NtoN2O*kgtoGg,IF('Net zero activities &amp; levers'!$C$14="On",Constants!$H72*'Net zero Activity data'!AL14*Constants!$H90*EF!$H215*MMVolatEF*NtoN2O*kgtoGg,"ERROR"))</f>
        <v>1.5212473349677769E-3</v>
      </c>
      <c r="T1194" s="94">
        <f>IF('Net zero activities &amp; levers'!$C$14="Off",Constants!$H72*'Activity data'!AM14*Constants!$H90*EF!$H215*MMVolatEF*NtoN2O*kgtoGg,IF('Net zero activities &amp; levers'!$C$14="On",Constants!$H72*'Net zero Activity data'!AM14*Constants!$H90*EF!$H215*MMVolatEF*NtoN2O*kgtoGg,"ERROR"))</f>
        <v>1.5237368964964909E-3</v>
      </c>
      <c r="U1194" s="94">
        <f>IF('Net zero activities &amp; levers'!$C$14="Off",Constants!$H72*'Activity data'!AN14*Constants!$H90*EF!$H215*MMVolatEF*NtoN2O*kgtoGg,IF('Net zero activities &amp; levers'!$C$14="On",Constants!$H72*'Net zero Activity data'!AN14*Constants!$H90*EF!$H215*MMVolatEF*NtoN2O*kgtoGg,"ERROR"))</f>
        <v>1.5546310589089282E-3</v>
      </c>
      <c r="V1194" s="94">
        <f>IF('Net zero activities &amp; levers'!$C$14="Off",Constants!$H72*'Activity data'!AO14*Constants!$H90*EF!$H215*MMVolatEF*NtoN2O*kgtoGg,IF('Net zero activities &amp; levers'!$C$14="On",Constants!$H72*'Net zero Activity data'!AO14*Constants!$H90*EF!$H215*MMVolatEF*NtoN2O*kgtoGg,"ERROR"))</f>
        <v>1.5560268198556864E-3</v>
      </c>
      <c r="W1194" s="94">
        <f>IF('Net zero activities &amp; levers'!$C$14="Off",Constants!$H72*'Activity data'!AP14*Constants!$H90*EF!$H215*MMVolatEF*NtoN2O*kgtoGg,IF('Net zero activities &amp; levers'!$C$14="On",Constants!$H72*'Net zero Activity data'!AP14*Constants!$H90*EF!$H215*MMVolatEF*NtoN2O*kgtoGg,"ERROR"))</f>
        <v>1.5597221161446995E-3</v>
      </c>
      <c r="X1194" s="94">
        <f>IF('Net zero activities &amp; levers'!$C$14="Off",Constants!$H72*'Activity data'!AQ14*Constants!$H90*EF!$H215*MMVolatEF*NtoN2O*kgtoGg,IF('Net zero activities &amp; levers'!$C$14="On",Constants!$H72*'Net zero Activity data'!AQ14*Constants!$H90*EF!$H215*MMVolatEF*NtoN2O*kgtoGg,"ERROR"))</f>
        <v>1.5647093964902903E-3</v>
      </c>
      <c r="Y1194" s="94">
        <f>IF('Net zero activities &amp; levers'!$C$14="Off",Constants!$H72*'Activity data'!AR14*Constants!$H90*EF!$H215*MMVolatEF*NtoN2O*kgtoGg,IF('Net zero activities &amp; levers'!$C$14="On",Constants!$H72*'Net zero Activity data'!AR14*Constants!$H90*EF!$H215*MMVolatEF*NtoN2O*kgtoGg,"ERROR"))</f>
        <v>1.5692834282407637E-3</v>
      </c>
      <c r="Z1194" s="94">
        <f>IF('Net zero activities &amp; levers'!$C$14="Off",Constants!$H72*'Activity data'!AS14*Constants!$H90*EF!$H215*MMVolatEF*NtoN2O*kgtoGg,IF('Net zero activities &amp; levers'!$C$14="On",Constants!$H72*'Net zero Activity data'!AS14*Constants!$H90*EF!$H215*MMVolatEF*NtoN2O*kgtoGg,"ERROR"))</f>
        <v>1.5735046721103132E-3</v>
      </c>
      <c r="AA1194" s="94">
        <f>IF('Net zero activities &amp; levers'!$C$14="Off",Constants!$H72*'Activity data'!AT14*Constants!$H90*EF!$H215*MMVolatEF*NtoN2O*kgtoGg,IF('Net zero activities &amp; levers'!$C$14="On",Constants!$H72*'Net zero Activity data'!AT14*Constants!$H90*EF!$H215*MMVolatEF*NtoN2O*kgtoGg,"ERROR"))</f>
        <v>1.5773601803743434E-3</v>
      </c>
      <c r="AB1194" s="94">
        <f>IF('Net zero activities &amp; levers'!$C$14="Off",Constants!$H72*'Activity data'!AU14*Constants!$H90*EF!$H215*MMVolatEF*NtoN2O*kgtoGg,IF('Net zero activities &amp; levers'!$C$14="On",Constants!$H72*'Net zero Activity data'!AU14*Constants!$H90*EF!$H215*MMVolatEF*NtoN2O*kgtoGg,"ERROR"))</f>
        <v>1.5808895444560981E-3</v>
      </c>
      <c r="AC1194" s="94">
        <f>IF('Net zero activities &amp; levers'!$C$14="Off",Constants!$H72*'Activity data'!AV14*Constants!$H90*EF!$H215*MMVolatEF*NtoN2O*kgtoGg,IF('Net zero activities &amp; levers'!$C$14="On",Constants!$H72*'Net zero Activity data'!AV14*Constants!$H90*EF!$H215*MMVolatEF*NtoN2O*kgtoGg,"ERROR"))</f>
        <v>1.5841497081248222E-3</v>
      </c>
      <c r="AD1194" s="94">
        <f>IF('Net zero activities &amp; levers'!$C$14="Off",Constants!$H72*'Activity data'!AW14*Constants!$H90*EF!$H215*MMVolatEF*NtoN2O*kgtoGg,IF('Net zero activities &amp; levers'!$C$14="On",Constants!$H72*'Net zero Activity data'!AW14*Constants!$H90*EF!$H215*MMVolatEF*NtoN2O*kgtoGg,"ERROR"))</f>
        <v>1.5871432980884847E-3</v>
      </c>
      <c r="AE1194" s="94">
        <f>IF('Net zero activities &amp; levers'!$C$14="Off",Constants!$H72*'Activity data'!AX14*Constants!$H90*EF!$H215*MMVolatEF*NtoN2O*kgtoGg,IF('Net zero activities &amp; levers'!$C$14="On",Constants!$H72*'Net zero Activity data'!AX14*Constants!$H90*EF!$H215*MMVolatEF*NtoN2O*kgtoGg,"ERROR"))</f>
        <v>1.5899220044553674E-3</v>
      </c>
      <c r="AF1194" s="94">
        <f>IF('Net zero activities &amp; levers'!$C$14="Off",Constants!$H72*'Activity data'!AY14*Constants!$H90*EF!$H215*MMVolatEF*NtoN2O*kgtoGg,IF('Net zero activities &amp; levers'!$C$14="On",Constants!$H72*'Net zero Activity data'!AY14*Constants!$H90*EF!$H215*MMVolatEF*NtoN2O*kgtoGg,"ERROR"))</f>
        <v>1.5924969286804358E-3</v>
      </c>
      <c r="AG1194" s="94">
        <f>IF('Net zero activities &amp; levers'!$C$14="Off",Constants!$H72*'Activity data'!AZ14*Constants!$H90*EF!$H215*MMVolatEF*NtoN2O*kgtoGg,IF('Net zero activities &amp; levers'!$C$14="On",Constants!$H72*'Net zero Activity data'!AZ14*Constants!$H90*EF!$H215*MMVolatEF*NtoN2O*kgtoGg,"ERROR"))</f>
        <v>1.5948366320850983E-3</v>
      </c>
      <c r="AH1194" s="94">
        <f>IF('Net zero activities &amp; levers'!$C$14="Off",Constants!$H72*'Activity data'!BA14*Constants!$H90*EF!$H215*MMVolatEF*NtoN2O*kgtoGg,IF('Net zero activities &amp; levers'!$C$14="On",Constants!$H72*'Net zero Activity data'!BA14*Constants!$H90*EF!$H215*MMVolatEF*NtoN2O*kgtoGg,"ERROR"))</f>
        <v>1.5969670260237814E-3</v>
      </c>
      <c r="AI1194" s="94">
        <f>IF('Net zero activities &amp; levers'!$C$14="Off",Constants!$H72*'Activity data'!BB14*Constants!$H90*EF!$H215*MMVolatEF*NtoN2O*kgtoGg,IF('Net zero activities &amp; levers'!$C$14="On",Constants!$H72*'Net zero Activity data'!BB14*Constants!$H90*EF!$H215*MMVolatEF*NtoN2O*kgtoGg,"ERROR"))</f>
        <v>1.5989272530214718E-3</v>
      </c>
      <c r="AJ1194" s="94">
        <f>IF('Net zero activities &amp; levers'!$C$14="Off",Constants!$H72*'Activity data'!BC14*Constants!$H90*EF!$H215*MMVolatEF*NtoN2O*kgtoGg,IF('Net zero activities &amp; levers'!$C$14="On",Constants!$H72*'Net zero Activity data'!BC14*Constants!$H90*EF!$H215*MMVolatEF*NtoN2O*kgtoGg,"ERROR"))</f>
        <v>1.54816866234721E-3</v>
      </c>
      <c r="AK1194" s="94">
        <f>IF('Net zero activities &amp; levers'!$C$14="Off",Constants!$H72*'Activity data'!BD14*Constants!$H90*EF!$H215*MMVolatEF*NtoN2O*kgtoGg,IF('Net zero activities &amp; levers'!$C$14="On",Constants!$H72*'Net zero Activity data'!BD14*Constants!$H90*EF!$H215*MMVolatEF*NtoN2O*kgtoGg,"ERROR"))</f>
        <v>1.5501251377569953E-3</v>
      </c>
      <c r="AL1194" s="94">
        <f>IF('Net zero activities &amp; levers'!$C$14="Off",Constants!$H72*'Activity data'!BE14*Constants!$H90*EF!$H215*MMVolatEF*NtoN2O*kgtoGg,IF('Net zero activities &amp; levers'!$C$14="On",Constants!$H72*'Net zero Activity data'!BE14*Constants!$H90*EF!$H215*MMVolatEF*NtoN2O*kgtoGg,"ERROR"))</f>
        <v>1.5519064820245804E-3</v>
      </c>
      <c r="AM1194" s="94">
        <f>IF('Net zero activities &amp; levers'!$C$14="Off",Constants!$H72*'Activity data'!BF14*Constants!$H90*EF!$H215*MMVolatEF*NtoN2O*kgtoGg,IF('Net zero activities &amp; levers'!$C$14="On",Constants!$H72*'Net zero Activity data'!BF14*Constants!$H90*EF!$H215*MMVolatEF*NtoN2O*kgtoGg,"ERROR"))</f>
        <v>1.5535271119397841E-3</v>
      </c>
      <c r="AN1194" s="94">
        <f>IF('Net zero activities &amp; levers'!$C$14="Off",Constants!$H72*'Activity data'!BG14*Constants!$H90*EF!$H215*MMVolatEF*NtoN2O*kgtoGg,IF('Net zero activities &amp; levers'!$C$14="On",Constants!$H72*'Net zero Activity data'!BG14*Constants!$H90*EF!$H215*MMVolatEF*NtoN2O*kgtoGg,"ERROR"))</f>
        <v>1.5550037231694973E-3</v>
      </c>
      <c r="AO1194" s="94">
        <f>IF('Net zero activities &amp; levers'!$C$14="Off",Constants!$H72*'Activity data'!BH14*Constants!$H90*EF!$H215*MMVolatEF*NtoN2O*kgtoGg,IF('Net zero activities &amp; levers'!$C$14="On",Constants!$H72*'Net zero Activity data'!BH14*Constants!$H90*EF!$H215*MMVolatEF*NtoN2O*kgtoGg,"ERROR"))</f>
        <v>1.5562943976160978E-3</v>
      </c>
      <c r="AP1194" s="94">
        <f>IF('Net zero activities &amp; levers'!$C$14="Off",Constants!$H72*'Activity data'!BI14*Constants!$H90*EF!$H215*MMVolatEF*NtoN2O*kgtoGg,IF('Net zero activities &amp; levers'!$C$14="On",Constants!$H72*'Net zero Activity data'!BI14*Constants!$H90*EF!$H215*MMVolatEF*NtoN2O*kgtoGg,"ERROR"))</f>
        <v>1.5573720190725925E-3</v>
      </c>
      <c r="AQ1194" s="94">
        <f>IF('Net zero activities &amp; levers'!$C$14="Off",Constants!$H72*'Activity data'!BJ14*Constants!$H90*EF!$H215*MMVolatEF*NtoN2O*kgtoGg,IF('Net zero activities &amp; levers'!$C$14="On",Constants!$H72*'Net zero Activity data'!BJ14*Constants!$H90*EF!$H215*MMVolatEF*NtoN2O*kgtoGg,"ERROR"))</f>
        <v>1.5582346078866301E-3</v>
      </c>
      <c r="AR1194" s="94">
        <f>IF('Net zero activities &amp; levers'!$C$14="Off",Constants!$H72*'Activity data'!BK14*Constants!$H90*EF!$H215*MMVolatEF*NtoN2O*kgtoGg,IF('Net zero activities &amp; levers'!$C$14="On",Constants!$H72*'Net zero Activity data'!BK14*Constants!$H90*EF!$H215*MMVolatEF*NtoN2O*kgtoGg,"ERROR"))</f>
        <v>1.5588510199828238E-3</v>
      </c>
      <c r="AS1194" s="94">
        <f>IF('Net zero activities &amp; levers'!$C$14="Off",Constants!$H72*'Activity data'!BL14*Constants!$H90*EF!$H215*MMVolatEF*NtoN2O*kgtoGg,IF('Net zero activities &amp; levers'!$C$14="On",Constants!$H72*'Net zero Activity data'!BL14*Constants!$H90*EF!$H215*MMVolatEF*NtoN2O*kgtoGg,"ERROR"))</f>
        <v>1.5591873214822584E-3</v>
      </c>
      <c r="AT1194" s="94">
        <f>IF('Net zero activities &amp; levers'!$C$14="Off",Constants!$H72*'Activity data'!BM14*Constants!$H90*EF!$H215*MMVolatEF*NtoN2O*kgtoGg,IF('Net zero activities &amp; levers'!$C$14="On",Constants!$H72*'Net zero Activity data'!BM14*Constants!$H90*EF!$H215*MMVolatEF*NtoN2O*kgtoGg,"ERROR"))</f>
        <v>1.5592417770462618E-3</v>
      </c>
      <c r="AU1194" s="94">
        <f>IF('Net zero activities &amp; levers'!$C$14="Off",Constants!$H72*'Activity data'!BN14*Constants!$H90*EF!$H215*MMVolatEF*NtoN2O*kgtoGg,IF('Net zero activities &amp; levers'!$C$14="On",Constants!$H72*'Net zero Activity data'!BN14*Constants!$H90*EF!$H215*MMVolatEF*NtoN2O*kgtoGg,"ERROR"))</f>
        <v>1.5590222516180525E-3</v>
      </c>
      <c r="AV1194" s="94">
        <f>IF('Net zero activities &amp; levers'!$C$14="Off",Constants!$H72*'Activity data'!BO14*Constants!$H90*EF!$H215*MMVolatEF*NtoN2O*kgtoGg,IF('Net zero activities &amp; levers'!$C$14="On",Constants!$H72*'Net zero Activity data'!BO14*Constants!$H90*EF!$H215*MMVolatEF*NtoN2O*kgtoGg,"ERROR"))</f>
        <v>1.5585348843745505E-3</v>
      </c>
      <c r="AW1194" s="94">
        <f>IF('Net zero activities &amp; levers'!$C$14="Off",Constants!$H72*'Activity data'!BP14*Constants!$H90*EF!$H215*MMVolatEF*NtoN2O*kgtoGg,IF('Net zero activities &amp; levers'!$C$14="On",Constants!$H72*'Net zero Activity data'!BP14*Constants!$H90*EF!$H215*MMVolatEF*NtoN2O*kgtoGg,"ERROR"))</f>
        <v>1.5577478368077457E-3</v>
      </c>
      <c r="AY1194" s="79"/>
    </row>
    <row r="1195" spans="1:51" x14ac:dyDescent="0.25">
      <c r="A1195" s="95" t="str">
        <f t="shared" si="380"/>
        <v>CM MM Volatilisation</v>
      </c>
      <c r="B1195" s="95" t="s">
        <v>1322</v>
      </c>
      <c r="C1195" s="95" t="s">
        <v>1332</v>
      </c>
      <c r="D1195" t="s">
        <v>369</v>
      </c>
      <c r="E1195" t="s">
        <v>64</v>
      </c>
      <c r="F1195" t="s">
        <v>62</v>
      </c>
      <c r="G1195" t="s">
        <v>1172</v>
      </c>
      <c r="H1195" t="s">
        <v>1300</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25">
      <c r="A1196" s="95" t="str">
        <f t="shared" si="380"/>
        <v>CM MM Volatilisation</v>
      </c>
      <c r="B1196" s="95" t="s">
        <v>1322</v>
      </c>
      <c r="C1196" s="95" t="s">
        <v>1332</v>
      </c>
      <c r="D1196" t="s">
        <v>369</v>
      </c>
      <c r="E1196" t="s">
        <v>64</v>
      </c>
      <c r="F1196" t="s">
        <v>62</v>
      </c>
      <c r="G1196" t="s">
        <v>1174</v>
      </c>
      <c r="H1196" t="s">
        <v>1301</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25">
      <c r="A1197" s="95" t="str">
        <f t="shared" si="380"/>
        <v>CM MM Volatilisation</v>
      </c>
      <c r="B1197" s="95" t="s">
        <v>1322</v>
      </c>
      <c r="C1197" s="95" t="s">
        <v>1332</v>
      </c>
      <c r="D1197" t="s">
        <v>369</v>
      </c>
      <c r="E1197" t="s">
        <v>64</v>
      </c>
      <c r="F1197" t="s">
        <v>62</v>
      </c>
      <c r="G1197" t="s">
        <v>1176</v>
      </c>
      <c r="H1197" t="s">
        <v>1302</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0.13004550543955865</v>
      </c>
      <c r="M1197" s="94">
        <f>IF('Net zero activities &amp; levers'!$C$14="Off",Constants!$H75*'Activity data'!AF17*Constants!$H93*EF!$H218*MMVolatEF*NtoN2O*kgtoGg,IF('Net zero activities &amp; levers'!$C$14="On",Constants!$H75*'Net zero Activity data'!AF17*Constants!$H93*EF!$H218*MMVolatEF*NtoN2O*kgtoGg,"ERROR"))</f>
        <v>0.13010384136507711</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0.1205683722616282</v>
      </c>
      <c r="S1197" s="94">
        <f>IF('Net zero activities &amp; levers'!$C$14="Off",Constants!$H75*'Activity data'!AL17*Constants!$H93*EF!$H218*MMVolatEF*NtoN2O*kgtoGg,IF('Net zero activities &amp; levers'!$C$14="On",Constants!$H75*'Net zero Activity data'!AL17*Constants!$H93*EF!$H218*MMVolatEF*NtoN2O*kgtoGg,"ERROR"))</f>
        <v>0.10847829407061217</v>
      </c>
      <c r="T1197" s="94">
        <f>IF('Net zero activities &amp; levers'!$C$14="Off",Constants!$H75*'Activity data'!AM17*Constants!$H93*EF!$H218*MMVolatEF*NtoN2O*kgtoGg,IF('Net zero activities &amp; levers'!$C$14="On",Constants!$H75*'Net zero Activity data'!AM17*Constants!$H93*EF!$H218*MMVolatEF*NtoN2O*kgtoGg,"ERROR"))</f>
        <v>0.1123518575177655</v>
      </c>
      <c r="U1197" s="94">
        <f>IF('Net zero activities &amp; levers'!$C$14="Off",Constants!$H75*'Activity data'!AN17*Constants!$H93*EF!$H218*MMVolatEF*NtoN2O*kgtoGg,IF('Net zero activities &amp; levers'!$C$14="On",Constants!$H75*'Net zero Activity data'!AN17*Constants!$H93*EF!$H218*MMVolatEF*NtoN2O*kgtoGg,"ERROR"))</f>
        <v>0.35913477358816853</v>
      </c>
      <c r="V1197" s="94">
        <f>IF('Net zero activities &amp; levers'!$C$14="Off",Constants!$H75*'Activity data'!AO17*Constants!$H93*EF!$H218*MMVolatEF*NtoN2O*kgtoGg,IF('Net zero activities &amp; levers'!$C$14="On",Constants!$H75*'Net zero Activity data'!AO17*Constants!$H93*EF!$H218*MMVolatEF*NtoN2O*kgtoGg,"ERROR"))</f>
        <v>0.36011925097262676</v>
      </c>
      <c r="W1197" s="94">
        <f>IF('Net zero activities &amp; levers'!$C$14="Off",Constants!$H75*'Activity data'!AP17*Constants!$H93*EF!$H218*MMVolatEF*NtoN2O*kgtoGg,IF('Net zero activities &amp; levers'!$C$14="On",Constants!$H75*'Net zero Activity data'!AP17*Constants!$H93*EF!$H218*MMVolatEF*NtoN2O*kgtoGg,"ERROR"))</f>
        <v>0.36048284734734032</v>
      </c>
      <c r="X1197" s="94">
        <f>IF('Net zero activities &amp; levers'!$C$14="Off",Constants!$H75*'Activity data'!AQ17*Constants!$H93*EF!$H218*MMVolatEF*NtoN2O*kgtoGg,IF('Net zero activities &amp; levers'!$C$14="On",Constants!$H75*'Net zero Activity data'!AQ17*Constants!$H93*EF!$H218*MMVolatEF*NtoN2O*kgtoGg,"ERROR"))</f>
        <v>0.36024196834078215</v>
      </c>
      <c r="Y1197" s="94">
        <f>IF('Net zero activities &amp; levers'!$C$14="Off",Constants!$H75*'Activity data'!AR17*Constants!$H93*EF!$H218*MMVolatEF*NtoN2O*kgtoGg,IF('Net zero activities &amp; levers'!$C$14="On",Constants!$H75*'Net zero Activity data'!AR17*Constants!$H93*EF!$H218*MMVolatEF*NtoN2O*kgtoGg,"ERROR"))</f>
        <v>0.35943295375101947</v>
      </c>
      <c r="Z1197" s="94">
        <f>IF('Net zero activities &amp; levers'!$C$14="Off",Constants!$H75*'Activity data'!AS17*Constants!$H93*EF!$H218*MMVolatEF*NtoN2O*kgtoGg,IF('Net zero activities &amp; levers'!$C$14="On",Constants!$H75*'Net zero Activity data'!AS17*Constants!$H93*EF!$H218*MMVolatEF*NtoN2O*kgtoGg,"ERROR"))</f>
        <v>0.35804837226792258</v>
      </c>
      <c r="AA1197" s="94">
        <f>IF('Net zero activities &amp; levers'!$C$14="Off",Constants!$H75*'Activity data'!AT17*Constants!$H93*EF!$H218*MMVolatEF*NtoN2O*kgtoGg,IF('Net zero activities &amp; levers'!$C$14="On",Constants!$H75*'Net zero Activity data'!AT17*Constants!$H93*EF!$H218*MMVolatEF*NtoN2O*kgtoGg,"ERROR"))</f>
        <v>0.35608623415272644</v>
      </c>
      <c r="AB1197" s="94">
        <f>IF('Net zero activities &amp; levers'!$C$14="Off",Constants!$H75*'Activity data'!AU17*Constants!$H93*EF!$H218*MMVolatEF*NtoN2O*kgtoGg,IF('Net zero activities &amp; levers'!$C$14="On",Constants!$H75*'Net zero Activity data'!AU17*Constants!$H93*EF!$H218*MMVolatEF*NtoN2O*kgtoGg,"ERROR"))</f>
        <v>0.35354672339575033</v>
      </c>
      <c r="AC1197" s="94">
        <f>IF('Net zero activities &amp; levers'!$C$14="Off",Constants!$H75*'Activity data'!AV17*Constants!$H93*EF!$H218*MMVolatEF*NtoN2O*kgtoGg,IF('Net zero activities &amp; levers'!$C$14="On",Constants!$H75*'Net zero Activity data'!AV17*Constants!$H93*EF!$H218*MMVolatEF*NtoN2O*kgtoGg,"ERROR"))</f>
        <v>0.350433097152205</v>
      </c>
      <c r="AD1197" s="94">
        <f>IF('Net zero activities &amp; levers'!$C$14="Off",Constants!$H75*'Activity data'!AW17*Constants!$H93*EF!$H218*MMVolatEF*NtoN2O*kgtoGg,IF('Net zero activities &amp; levers'!$C$14="On",Constants!$H75*'Net zero Activity data'!AW17*Constants!$H93*EF!$H218*MMVolatEF*NtoN2O*kgtoGg,"ERROR"))</f>
        <v>0.34675336928081568</v>
      </c>
      <c r="AE1197" s="94">
        <f>IF('Net zero activities &amp; levers'!$C$14="Off",Constants!$H75*'Activity data'!AX17*Constants!$H93*EF!$H218*MMVolatEF*NtoN2O*kgtoGg,IF('Net zero activities &amp; levers'!$C$14="On",Constants!$H75*'Net zero Activity data'!AX17*Constants!$H93*EF!$H218*MMVolatEF*NtoN2O*kgtoGg,"ERROR"))</f>
        <v>0.34251767477610762</v>
      </c>
      <c r="AF1197" s="94">
        <f>IF('Net zero activities &amp; levers'!$C$14="Off",Constants!$H75*'Activity data'!AY17*Constants!$H93*EF!$H218*MMVolatEF*NtoN2O*kgtoGg,IF('Net zero activities &amp; levers'!$C$14="On",Constants!$H75*'Net zero Activity data'!AY17*Constants!$H93*EF!$H218*MMVolatEF*NtoN2O*kgtoGg,"ERROR"))</f>
        <v>0.33774033524299119</v>
      </c>
      <c r="AG1197" s="94">
        <f>IF('Net zero activities &amp; levers'!$C$14="Off",Constants!$H75*'Activity data'!AZ17*Constants!$H93*EF!$H218*MMVolatEF*NtoN2O*kgtoGg,IF('Net zero activities &amp; levers'!$C$14="On",Constants!$H75*'Net zero Activity data'!AZ17*Constants!$H93*EF!$H218*MMVolatEF*NtoN2O*kgtoGg,"ERROR"))</f>
        <v>0.33243970303339465</v>
      </c>
      <c r="AH1197" s="94">
        <f>IF('Net zero activities &amp; levers'!$C$14="Off",Constants!$H75*'Activity data'!BA17*Constants!$H93*EF!$H218*MMVolatEF*NtoN2O*kgtoGg,IF('Net zero activities &amp; levers'!$C$14="On",Constants!$H75*'Net zero Activity data'!BA17*Constants!$H93*EF!$H218*MMVolatEF*NtoN2O*kgtoGg,"ERROR"))</f>
        <v>0.32663565742792322</v>
      </c>
      <c r="AI1197" s="94">
        <f>IF('Net zero activities &amp; levers'!$C$14="Off",Constants!$H75*'Activity data'!BB17*Constants!$H93*EF!$H218*MMVolatEF*NtoN2O*kgtoGg,IF('Net zero activities &amp; levers'!$C$14="On",Constants!$H75*'Net zero Activity data'!BB17*Constants!$H93*EF!$H218*MMVolatEF*NtoN2O*kgtoGg,"ERROR"))</f>
        <v>0.32035050647820129</v>
      </c>
      <c r="AJ1197" s="94">
        <f>IF('Net zero activities &amp; levers'!$C$14="Off",Constants!$H75*'Activity data'!BC17*Constants!$H93*EF!$H218*MMVolatEF*NtoN2O*kgtoGg,IF('Net zero activities &amp; levers'!$C$14="On",Constants!$H75*'Net zero Activity data'!BC17*Constants!$H93*EF!$H218*MMVolatEF*NtoN2O*kgtoGg,"ERROR"))</f>
        <v>-2.9850992029554574E-2</v>
      </c>
      <c r="AK1197" s="94">
        <f>IF('Net zero activities &amp; levers'!$C$14="Off",Constants!$H75*'Activity data'!BD17*Constants!$H93*EF!$H218*MMVolatEF*NtoN2O*kgtoGg,IF('Net zero activities &amp; levers'!$C$14="On",Constants!$H75*'Net zero Activity data'!BD17*Constants!$H93*EF!$H218*MMVolatEF*NtoN2O*kgtoGg,"ERROR"))</f>
        <v>-2.9527827789556205E-2</v>
      </c>
      <c r="AL1197" s="94">
        <f>IF('Net zero activities &amp; levers'!$C$14="Off",Constants!$H75*'Activity data'!BE17*Constants!$H93*EF!$H218*MMVolatEF*NtoN2O*kgtoGg,IF('Net zero activities &amp; levers'!$C$14="On",Constants!$H75*'Net zero Activity data'!BE17*Constants!$H93*EF!$H218*MMVolatEF*NtoN2O*kgtoGg,"ERROR"))</f>
        <v>-2.9203518600220937E-2</v>
      </c>
      <c r="AM1197" s="94">
        <f>IF('Net zero activities &amp; levers'!$C$14="Off",Constants!$H75*'Activity data'!BF17*Constants!$H93*EF!$H218*MMVolatEF*NtoN2O*kgtoGg,IF('Net zero activities &amp; levers'!$C$14="On",Constants!$H75*'Net zero Activity data'!BF17*Constants!$H93*EF!$H218*MMVolatEF*NtoN2O*kgtoGg,"ERROR"))</f>
        <v>-2.8878400916482732E-2</v>
      </c>
      <c r="AN1197" s="94">
        <f>IF('Net zero activities &amp; levers'!$C$14="Off",Constants!$H75*'Activity data'!BG17*Constants!$H93*EF!$H218*MMVolatEF*NtoN2O*kgtoGg,IF('Net zero activities &amp; levers'!$C$14="On",Constants!$H75*'Net zero Activity data'!BG17*Constants!$H93*EF!$H218*MMVolatEF*NtoN2O*kgtoGg,"ERROR"))</f>
        <v>-2.8552846585961845E-2</v>
      </c>
      <c r="AO1197" s="94">
        <f>IF('Net zero activities &amp; levers'!$C$14="Off",Constants!$H75*'Activity data'!BH17*Constants!$H93*EF!$H218*MMVolatEF*NtoN2O*kgtoGg,IF('Net zero activities &amp; levers'!$C$14="On",Constants!$H75*'Net zero Activity data'!BH17*Constants!$H93*EF!$H218*MMVolatEF*NtoN2O*kgtoGg,"ERROR"))</f>
        <v>-2.8225992627032188E-2</v>
      </c>
      <c r="AP1197" s="94">
        <f>IF('Net zero activities &amp; levers'!$C$14="Off",Constants!$H75*'Activity data'!BI17*Constants!$H93*EF!$H218*MMVolatEF*NtoN2O*kgtoGg,IF('Net zero activities &amp; levers'!$C$14="On",Constants!$H75*'Net zero Activity data'!BI17*Constants!$H93*EF!$H218*MMVolatEF*NtoN2O*kgtoGg,"ERROR"))</f>
        <v>-2.7897329553488923E-2</v>
      </c>
      <c r="AQ1197" s="94">
        <f>IF('Net zero activities &amp; levers'!$C$14="Off",Constants!$H75*'Activity data'!BJ17*Constants!$H93*EF!$H218*MMVolatEF*NtoN2O*kgtoGg,IF('Net zero activities &amp; levers'!$C$14="On",Constants!$H75*'Net zero Activity data'!BJ17*Constants!$H93*EF!$H218*MMVolatEF*NtoN2O*kgtoGg,"ERROR"))</f>
        <v>-2.756688911429131E-2</v>
      </c>
      <c r="AR1197" s="94">
        <f>IF('Net zero activities &amp; levers'!$C$14="Off",Constants!$H75*'Activity data'!BK17*Constants!$H93*EF!$H218*MMVolatEF*NtoN2O*kgtoGg,IF('Net zero activities &amp; levers'!$C$14="On",Constants!$H75*'Net zero Activity data'!BK17*Constants!$H93*EF!$H218*MMVolatEF*NtoN2O*kgtoGg,"ERROR"))</f>
        <v>-2.7234123713642547E-2</v>
      </c>
      <c r="AS1197" s="94">
        <f>IF('Net zero activities &amp; levers'!$C$14="Off",Constants!$H75*'Activity data'!BL17*Constants!$H93*EF!$H218*MMVolatEF*NtoN2O*kgtoGg,IF('Net zero activities &amp; levers'!$C$14="On",Constants!$H75*'Net zero Activity data'!BL17*Constants!$H93*EF!$H218*MMVolatEF*NtoN2O*kgtoGg,"ERROR"))</f>
        <v>-2.6898465289903917E-2</v>
      </c>
      <c r="AT1197" s="94">
        <f>IF('Net zero activities &amp; levers'!$C$14="Off",Constants!$H75*'Activity data'!BM17*Constants!$H93*EF!$H218*MMVolatEF*NtoN2O*kgtoGg,IF('Net zero activities &amp; levers'!$C$14="On",Constants!$H75*'Net zero Activity data'!BM17*Constants!$H93*EF!$H218*MMVolatEF*NtoN2O*kgtoGg,"ERROR"))</f>
        <v>-2.6560009108900318E-2</v>
      </c>
      <c r="AU1197" s="94">
        <f>IF('Net zero activities &amp; levers'!$C$14="Off",Constants!$H75*'Activity data'!BN17*Constants!$H93*EF!$H218*MMVolatEF*NtoN2O*kgtoGg,IF('Net zero activities &amp; levers'!$C$14="On",Constants!$H75*'Net zero Activity data'!BN17*Constants!$H93*EF!$H218*MMVolatEF*NtoN2O*kgtoGg,"ERROR"))</f>
        <v>-2.6219036811035483E-2</v>
      </c>
      <c r="AV1197" s="94">
        <f>IF('Net zero activities &amp; levers'!$C$14="Off",Constants!$H75*'Activity data'!BO17*Constants!$H93*EF!$H218*MMVolatEF*NtoN2O*kgtoGg,IF('Net zero activities &amp; levers'!$C$14="On",Constants!$H75*'Net zero Activity data'!BO17*Constants!$H93*EF!$H218*MMVolatEF*NtoN2O*kgtoGg,"ERROR"))</f>
        <v>-2.5875789307707536E-2</v>
      </c>
      <c r="AW1197" s="94">
        <f>IF('Net zero activities &amp; levers'!$C$14="Off",Constants!$H75*'Activity data'!BP17*Constants!$H93*EF!$H218*MMVolatEF*NtoN2O*kgtoGg,IF('Net zero activities &amp; levers'!$C$14="On",Constants!$H75*'Net zero Activity data'!BP17*Constants!$H93*EF!$H218*MMVolatEF*NtoN2O*kgtoGg,"ERROR"))</f>
        <v>-2.5529791390037318E-2</v>
      </c>
      <c r="AY1197" s="79"/>
    </row>
    <row r="1198" spans="1:51" x14ac:dyDescent="0.25">
      <c r="A1198" s="95" t="str">
        <f t="shared" si="380"/>
        <v>CM MM Volatilisation</v>
      </c>
      <c r="B1198" s="95" t="s">
        <v>1322</v>
      </c>
      <c r="C1198" s="95" t="s">
        <v>1332</v>
      </c>
      <c r="D1198" t="s">
        <v>369</v>
      </c>
      <c r="E1198" t="s">
        <v>64</v>
      </c>
      <c r="F1198" t="s">
        <v>62</v>
      </c>
      <c r="G1198" t="s">
        <v>1178</v>
      </c>
      <c r="H1198" t="s">
        <v>1303</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1.2655466337890211E-2</v>
      </c>
      <c r="M1198" s="94">
        <f>IF('Net zero activities &amp; levers'!$C$14="Off",Constants!$H76*'Activity data'!AF18*Constants!$H94*EF!$H219*MMVolatEF*NtoN2O*kgtoGg,IF('Net zero activities &amp; levers'!$C$14="On",Constants!$H76*'Net zero Activity data'!AF18*Constants!$H94*EF!$H219*MMVolatEF*NtoN2O*kgtoGg,"ERROR"))</f>
        <v>1.2661143337946407E-2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1.2094642930917438E-2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1.1733192711380723E-2</v>
      </c>
      <c r="S1198" s="94">
        <f>IF('Net zero activities &amp; levers'!$C$14="Off",Constants!$H76*'Activity data'!AL18*Constants!$H94*EF!$H219*MMVolatEF*NtoN2O*kgtoGg,IF('Net zero activities &amp; levers'!$C$14="On",Constants!$H76*'Net zero Activity data'!AL18*Constants!$H94*EF!$H219*MMVolatEF*NtoN2O*kgtoGg,"ERROR"))</f>
        <v>1.0556638573260382E-2</v>
      </c>
      <c r="T1198" s="94">
        <f>IF('Net zero activities &amp; levers'!$C$14="Off",Constants!$H76*'Activity data'!AM18*Constants!$H94*EF!$H219*MMVolatEF*NtoN2O*kgtoGg,IF('Net zero activities &amp; levers'!$C$14="On",Constants!$H76*'Net zero Activity data'!AM18*Constants!$H94*EF!$H219*MMVolatEF*NtoN2O*kgtoGg,"ERROR"))</f>
        <v>1.0933597020593381E-2</v>
      </c>
      <c r="U1198" s="94">
        <f>IF('Net zero activities &amp; levers'!$C$14="Off",Constants!$H76*'Activity data'!AN18*Constants!$H94*EF!$H219*MMVolatEF*NtoN2O*kgtoGg,IF('Net zero activities &amp; levers'!$C$14="On",Constants!$H76*'Net zero Activity data'!AN18*Constants!$H94*EF!$H219*MMVolatEF*NtoN2O*kgtoGg,"ERROR"))</f>
        <v>3.4949443447111525E-2</v>
      </c>
      <c r="V1198" s="94">
        <f>IF('Net zero activities &amp; levers'!$C$14="Off",Constants!$H76*'Activity data'!AO18*Constants!$H94*EF!$H219*MMVolatEF*NtoN2O*kgtoGg,IF('Net zero activities &amp; levers'!$C$14="On",Constants!$H76*'Net zero Activity data'!AO18*Constants!$H94*EF!$H219*MMVolatEF*NtoN2O*kgtoGg,"ERROR"))</f>
        <v>3.504524852978097E-2</v>
      </c>
      <c r="W1198" s="94">
        <f>IF('Net zero activities &amp; levers'!$C$14="Off",Constants!$H76*'Activity data'!AP18*Constants!$H94*EF!$H219*MMVolatEF*NtoN2O*kgtoGg,IF('Net zero activities &amp; levers'!$C$14="On",Constants!$H76*'Net zero Activity data'!AP18*Constants!$H94*EF!$H219*MMVolatEF*NtoN2O*kgtoGg,"ERROR"))</f>
        <v>3.5080632156959869E-2</v>
      </c>
      <c r="X1198" s="94">
        <f>IF('Net zero activities &amp; levers'!$C$14="Off",Constants!$H76*'Activity data'!AQ18*Constants!$H94*EF!$H219*MMVolatEF*NtoN2O*kgtoGg,IF('Net zero activities &amp; levers'!$C$14="On",Constants!$H76*'Net zero Activity data'!AQ18*Constants!$H94*EF!$H219*MMVolatEF*NtoN2O*kgtoGg,"ERROR"))</f>
        <v>3.5057190853481544E-2</v>
      </c>
      <c r="Y1198" s="94">
        <f>IF('Net zero activities &amp; levers'!$C$14="Off",Constants!$H76*'Activity data'!AR18*Constants!$H94*EF!$H219*MMVolatEF*NtoN2O*kgtoGg,IF('Net zero activities &amp; levers'!$C$14="On",Constants!$H76*'Net zero Activity data'!AR18*Constants!$H94*EF!$H219*MMVolatEF*NtoN2O*kgtoGg,"ERROR"))</f>
        <v>3.4978461051378834E-2</v>
      </c>
      <c r="Z1198" s="94">
        <f>IF('Net zero activities &amp; levers'!$C$14="Off",Constants!$H76*'Activity data'!AS18*Constants!$H94*EF!$H219*MMVolatEF*NtoN2O*kgtoGg,IF('Net zero activities &amp; levers'!$C$14="On",Constants!$H76*'Net zero Activity data'!AS18*Constants!$H94*EF!$H219*MMVolatEF*NtoN2O*kgtoGg,"ERROR"))</f>
        <v>3.484371956767917E-2</v>
      </c>
      <c r="AA1198" s="94">
        <f>IF('Net zero activities &amp; levers'!$C$14="Off",Constants!$H76*'Activity data'!AT18*Constants!$H94*EF!$H219*MMVolatEF*NtoN2O*kgtoGg,IF('Net zero activities &amp; levers'!$C$14="On",Constants!$H76*'Net zero Activity data'!AT18*Constants!$H94*EF!$H219*MMVolatEF*NtoN2O*kgtoGg,"ERROR"))</f>
        <v>3.465277276960857E-2</v>
      </c>
      <c r="AB1198" s="94">
        <f>IF('Net zero activities &amp; levers'!$C$14="Off",Constants!$H76*'Activity data'!AU18*Constants!$H94*EF!$H219*MMVolatEF*NtoN2O*kgtoGg,IF('Net zero activities &amp; levers'!$C$14="On",Constants!$H76*'Net zero Activity data'!AU18*Constants!$H94*EF!$H219*MMVolatEF*NtoN2O*kgtoGg,"ERROR"))</f>
        <v>3.4405638562309424E-2</v>
      </c>
      <c r="AC1198" s="94">
        <f>IF('Net zero activities &amp; levers'!$C$14="Off",Constants!$H76*'Activity data'!AV18*Constants!$H94*EF!$H219*MMVolatEF*NtoN2O*kgtoGg,IF('Net zero activities &amp; levers'!$C$14="On",Constants!$H76*'Net zero Activity data'!AV18*Constants!$H94*EF!$H219*MMVolatEF*NtoN2O*kgtoGg,"ERROR"))</f>
        <v>3.4102633918044564E-2</v>
      </c>
      <c r="AD1198" s="94">
        <f>IF('Net zero activities &amp; levers'!$C$14="Off",Constants!$H76*'Activity data'!AW18*Constants!$H94*EF!$H219*MMVolatEF*NtoN2O*kgtoGg,IF('Net zero activities &amp; levers'!$C$14="On",Constants!$H76*'Net zero Activity data'!AW18*Constants!$H94*EF!$H219*MMVolatEF*NtoN2O*kgtoGg,"ERROR"))</f>
        <v>3.3744538710897186E-2</v>
      </c>
      <c r="AE1198" s="94">
        <f>IF('Net zero activities &amp; levers'!$C$14="Off",Constants!$H76*'Activity data'!AX18*Constants!$H94*EF!$H219*MMVolatEF*NtoN2O*kgtoGg,IF('Net zero activities &amp; levers'!$C$14="On",Constants!$H76*'Net zero Activity data'!AX18*Constants!$H94*EF!$H219*MMVolatEF*NtoN2O*kgtoGg,"ERROR"))</f>
        <v>3.3332339234715881E-2</v>
      </c>
      <c r="AF1198" s="94">
        <f>IF('Net zero activities &amp; levers'!$C$14="Off",Constants!$H76*'Activity data'!AY18*Constants!$H94*EF!$H219*MMVolatEF*NtoN2O*kgtoGg,IF('Net zero activities &amp; levers'!$C$14="On",Constants!$H76*'Net zero Activity data'!AY18*Constants!$H94*EF!$H219*MMVolatEF*NtoN2O*kgtoGg,"ERROR"))</f>
        <v>3.2867429206171077E-2</v>
      </c>
      <c r="AG1198" s="94">
        <f>IF('Net zero activities &amp; levers'!$C$14="Off",Constants!$H76*'Activity data'!AZ18*Constants!$H94*EF!$H219*MMVolatEF*NtoN2O*kgtoGg,IF('Net zero activities &amp; levers'!$C$14="On",Constants!$H76*'Net zero Activity data'!AZ18*Constants!$H94*EF!$H219*MMVolatEF*NtoN2O*kgtoGg,"ERROR"))</f>
        <v>3.2351594596806102E-2</v>
      </c>
      <c r="AH1198" s="94">
        <f>IF('Net zero activities &amp; levers'!$C$14="Off",Constants!$H76*'Activity data'!BA18*Constants!$H94*EF!$H219*MMVolatEF*NtoN2O*kgtoGg,IF('Net zero activities &amp; levers'!$C$14="On",Constants!$H76*'Net zero Activity data'!BA18*Constants!$H94*EF!$H219*MMVolatEF*NtoN2O*kgtoGg,"ERROR"))</f>
        <v>3.1786769972261424E-2</v>
      </c>
      <c r="AI1198" s="94">
        <f>IF('Net zero activities &amp; levers'!$C$14="Off",Constants!$H76*'Activity data'!BB18*Constants!$H94*EF!$H219*MMVolatEF*NtoN2O*kgtoGg,IF('Net zero activities &amp; levers'!$C$14="On",Constants!$H76*'Net zero Activity data'!BB18*Constants!$H94*EF!$H219*MMVolatEF*NtoN2O*kgtoGg,"ERROR"))</f>
        <v>3.117512625567229E-2</v>
      </c>
      <c r="AJ1198" s="94">
        <f>IF('Net zero activities &amp; levers'!$C$14="Off",Constants!$H76*'Activity data'!BC18*Constants!$H94*EF!$H219*MMVolatEF*NtoN2O*kgtoGg,IF('Net zero activities &amp; levers'!$C$14="On",Constants!$H76*'Net zero Activity data'!BC18*Constants!$H94*EF!$H219*MMVolatEF*NtoN2O*kgtoGg,"ERROR"))</f>
        <v>-2.9049694836107746E-3</v>
      </c>
      <c r="AK1198" s="94">
        <f>IF('Net zero activities &amp; levers'!$C$14="Off",Constants!$H76*'Activity data'!BD18*Constants!$H94*EF!$H219*MMVolatEF*NtoN2O*kgtoGg,IF('Net zero activities &amp; levers'!$C$14="On",Constants!$H76*'Net zero Activity data'!BD18*Constants!$H94*EF!$H219*MMVolatEF*NtoN2O*kgtoGg,"ERROR"))</f>
        <v>-2.8735205369740911E-3</v>
      </c>
      <c r="AL1198" s="94">
        <f>IF('Net zero activities &amp; levers'!$C$14="Off",Constants!$H76*'Activity data'!BE18*Constants!$H94*EF!$H219*MMVolatEF*NtoN2O*kgtoGg,IF('Net zero activities &amp; levers'!$C$14="On",Constants!$H76*'Net zero Activity data'!BE18*Constants!$H94*EF!$H219*MMVolatEF*NtoN2O*kgtoGg,"ERROR"))</f>
        <v>-2.8419601688181263E-3</v>
      </c>
      <c r="AM1198" s="94">
        <f>IF('Net zero activities &amp; levers'!$C$14="Off",Constants!$H76*'Activity data'!BF18*Constants!$H94*EF!$H219*MMVolatEF*NtoN2O*kgtoGg,IF('Net zero activities &amp; levers'!$C$14="On",Constants!$H76*'Net zero Activity data'!BF18*Constants!$H94*EF!$H219*MMVolatEF*NtoN2O*kgtoGg,"ERROR"))</f>
        <v>-2.8103211214823929E-3</v>
      </c>
      <c r="AN1198" s="94">
        <f>IF('Net zero activities &amp; levers'!$C$14="Off",Constants!$H76*'Activity data'!BG18*Constants!$H94*EF!$H219*MMVolatEF*NtoN2O*kgtoGg,IF('Net zero activities &amp; levers'!$C$14="On",Constants!$H76*'Net zero Activity data'!BG18*Constants!$H94*EF!$H219*MMVolatEF*NtoN2O*kgtoGg,"ERROR"))</f>
        <v>-2.7786395815696092E-3</v>
      </c>
      <c r="AO1198" s="94">
        <f>IF('Net zero activities &amp; levers'!$C$14="Off",Constants!$H76*'Activity data'!BH18*Constants!$H94*EF!$H219*MMVolatEF*NtoN2O*kgtoGg,IF('Net zero activities &amp; levers'!$C$14="On",Constants!$H76*'Net zero Activity data'!BH18*Constants!$H94*EF!$H219*MMVolatEF*NtoN2O*kgtoGg,"ERROR"))</f>
        <v>-2.7468315674390254E-3</v>
      </c>
      <c r="AP1198" s="94">
        <f>IF('Net zero activities &amp; levers'!$C$14="Off",Constants!$H76*'Activity data'!BI18*Constants!$H94*EF!$H219*MMVolatEF*NtoN2O*kgtoGg,IF('Net zero activities &amp; levers'!$C$14="On",Constants!$H76*'Net zero Activity data'!BI18*Constants!$H94*EF!$H219*MMVolatEF*NtoN2O*kgtoGg,"ERROR"))</f>
        <v>-2.714847498095948E-3</v>
      </c>
      <c r="AQ1198" s="94">
        <f>IF('Net zero activities &amp; levers'!$C$14="Off",Constants!$H76*'Activity data'!BJ18*Constants!$H94*EF!$H219*MMVolatEF*NtoN2O*kgtoGg,IF('Net zero activities &amp; levers'!$C$14="On",Constants!$H76*'Net zero Activity data'!BJ18*Constants!$H94*EF!$H219*MMVolatEF*NtoN2O*kgtoGg,"ERROR"))</f>
        <v>-2.6826904632118271E-3</v>
      </c>
      <c r="AR1198" s="94">
        <f>IF('Net zero activities &amp; levers'!$C$14="Off",Constants!$H76*'Activity data'!BK18*Constants!$H94*EF!$H219*MMVolatEF*NtoN2O*kgtoGg,IF('Net zero activities &amp; levers'!$C$14="On",Constants!$H76*'Net zero Activity data'!BK18*Constants!$H94*EF!$H219*MMVolatEF*NtoN2O*kgtoGg,"ERROR"))</f>
        <v>-2.6503071731312461E-3</v>
      </c>
      <c r="AS1198" s="94">
        <f>IF('Net zero activities &amp; levers'!$C$14="Off",Constants!$H76*'Activity data'!BL18*Constants!$H94*EF!$H219*MMVolatEF*NtoN2O*kgtoGg,IF('Net zero activities &amp; levers'!$C$14="On",Constants!$H76*'Net zero Activity data'!BL18*Constants!$H94*EF!$H219*MMVolatEF*NtoN2O*kgtoGg,"ERROR"))</f>
        <v>-2.61764234655154E-3</v>
      </c>
      <c r="AT1198" s="94">
        <f>IF('Net zero activities &amp; levers'!$C$14="Off",Constants!$H76*'Activity data'!BM18*Constants!$H94*EF!$H219*MMVolatEF*NtoN2O*kgtoGg,IF('Net zero activities &amp; levers'!$C$14="On",Constants!$H76*'Net zero Activity data'!BM18*Constants!$H94*EF!$H219*MMVolatEF*NtoN2O*kgtoGg,"ERROR"))</f>
        <v>-2.5847052543309036E-3</v>
      </c>
      <c r="AU1198" s="94">
        <f>IF('Net zero activities &amp; levers'!$C$14="Off",Constants!$H76*'Activity data'!BN18*Constants!$H94*EF!$H219*MMVolatEF*NtoN2O*kgtoGg,IF('Net zero activities &amp; levers'!$C$14="On",Constants!$H76*'Net zero Activity data'!BN18*Constants!$H94*EF!$H219*MMVolatEF*NtoN2O*kgtoGg,"ERROR"))</f>
        <v>-2.5515233044957585E-3</v>
      </c>
      <c r="AV1198" s="94">
        <f>IF('Net zero activities &amp; levers'!$C$14="Off",Constants!$H76*'Activity data'!BO18*Constants!$H94*EF!$H219*MMVolatEF*NtoN2O*kgtoGg,IF('Net zero activities &amp; levers'!$C$14="On",Constants!$H76*'Net zero Activity data'!BO18*Constants!$H94*EF!$H219*MMVolatEF*NtoN2O*kgtoGg,"ERROR"))</f>
        <v>-2.5181199415017898E-3</v>
      </c>
      <c r="AW1198" s="94">
        <f>IF('Net zero activities &amp; levers'!$C$14="Off",Constants!$H76*'Activity data'!BP18*Constants!$H94*EF!$H219*MMVolatEF*NtoN2O*kgtoGg,IF('Net zero activities &amp; levers'!$C$14="On",Constants!$H76*'Net zero Activity data'!BP18*Constants!$H94*EF!$H219*MMVolatEF*NtoN2O*kgtoGg,"ERROR"))</f>
        <v>-2.4844489200754436E-3</v>
      </c>
      <c r="AY1198" s="79"/>
    </row>
    <row r="1199" spans="1:51" x14ac:dyDescent="0.25">
      <c r="A1199" s="95" t="str">
        <f t="shared" si="380"/>
        <v>CM MM Volatilisation</v>
      </c>
      <c r="B1199" s="95" t="s">
        <v>1322</v>
      </c>
      <c r="C1199" s="95" t="s">
        <v>1332</v>
      </c>
      <c r="D1199" t="s">
        <v>369</v>
      </c>
      <c r="E1199" t="s">
        <v>64</v>
      </c>
      <c r="F1199" t="s">
        <v>62</v>
      </c>
      <c r="G1199" t="s">
        <v>1180</v>
      </c>
      <c r="H1199" t="s">
        <v>1304</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6.4453339767617121E-2</v>
      </c>
      <c r="L1199" s="94">
        <f>IF('Net zero activities &amp; levers'!$C$14="Off",Constants!$H77*'Activity data'!AE19*Constants!$H95*EF!$H220*MMVolatEF*NtoN2O*kgtoGg,IF('Net zero activities &amp; levers'!$C$14="On",Constants!$H77*'Net zero Activity data'!AE19*Constants!$H95*EF!$H220*MMVolatEF*NtoN2O*kgtoGg,"ERROR"))</f>
        <v>6.5763803942104557E-2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7.0122113289878357E-2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7.1969839340941866E-2</v>
      </c>
      <c r="S1199" s="94">
        <f>IF('Net zero activities &amp; levers'!$C$14="Off",Constants!$H77*'Activity data'!AL19*Constants!$H95*EF!$H220*MMVolatEF*NtoN2O*kgtoGg,IF('Net zero activities &amp; levers'!$C$14="On",Constants!$H77*'Net zero Activity data'!AL19*Constants!$H95*EF!$H220*MMVolatEF*NtoN2O*kgtoGg,"ERROR"))</f>
        <v>6.9132641817907584E-2</v>
      </c>
      <c r="T1199" s="94">
        <f>IF('Net zero activities &amp; levers'!$C$14="Off",Constants!$H77*'Activity data'!AM19*Constants!$H95*EF!$H220*MMVolatEF*NtoN2O*kgtoGg,IF('Net zero activities &amp; levers'!$C$14="On",Constants!$H77*'Net zero Activity data'!AM19*Constants!$H95*EF!$H220*MMVolatEF*NtoN2O*kgtoGg,"ERROR"))</f>
        <v>7.1668538235416565E-2</v>
      </c>
      <c r="U1199" s="94">
        <f>IF('Net zero activities &amp; levers'!$C$14="Off",Constants!$H77*'Activity data'!AN19*Constants!$H95*EF!$H220*MMVolatEF*NtoN2O*kgtoGg,IF('Net zero activities &amp; levers'!$C$14="On",Constants!$H77*'Net zero Activity data'!AN19*Constants!$H95*EF!$H220*MMVolatEF*NtoN2O*kgtoGg,"ERROR"))</f>
        <v>0.15927878056001546</v>
      </c>
      <c r="V1199" s="94">
        <f>IF('Net zero activities &amp; levers'!$C$14="Off",Constants!$H77*'Activity data'!AO19*Constants!$H95*EF!$H220*MMVolatEF*NtoN2O*kgtoGg,IF('Net zero activities &amp; levers'!$C$14="On",Constants!$H77*'Net zero Activity data'!AO19*Constants!$H95*EF!$H220*MMVolatEF*NtoN2O*kgtoGg,"ERROR"))</f>
        <v>0.16278043280676852</v>
      </c>
      <c r="W1199" s="94">
        <f>IF('Net zero activities &amp; levers'!$C$14="Off",Constants!$H77*'Activity data'!AP19*Constants!$H95*EF!$H220*MMVolatEF*NtoN2O*kgtoGg,IF('Net zero activities &amp; levers'!$C$14="On",Constants!$H77*'Net zero Activity data'!AP19*Constants!$H95*EF!$H220*MMVolatEF*NtoN2O*kgtoGg,"ERROR"))</f>
        <v>0.1661384841502746</v>
      </c>
      <c r="X1199" s="94">
        <f>IF('Net zero activities &amp; levers'!$C$14="Off",Constants!$H77*'Activity data'!AQ19*Constants!$H95*EF!$H220*MMVolatEF*NtoN2O*kgtoGg,IF('Net zero activities &amp; levers'!$C$14="On",Constants!$H77*'Net zero Activity data'!AQ19*Constants!$H95*EF!$H220*MMVolatEF*NtoN2O*kgtoGg,"ERROR"))</f>
        <v>0.16932327786154089</v>
      </c>
      <c r="Y1199" s="94">
        <f>IF('Net zero activities &amp; levers'!$C$14="Off",Constants!$H77*'Activity data'!AR19*Constants!$H95*EF!$H220*MMVolatEF*NtoN2O*kgtoGg,IF('Net zero activities &amp; levers'!$C$14="On",Constants!$H77*'Net zero Activity data'!AR19*Constants!$H95*EF!$H220*MMVolatEF*NtoN2O*kgtoGg,"ERROR"))</f>
        <v>0.17229459764803176</v>
      </c>
      <c r="Z1199" s="94">
        <f>IF('Net zero activities &amp; levers'!$C$14="Off",Constants!$H77*'Activity data'!AS19*Constants!$H95*EF!$H220*MMVolatEF*NtoN2O*kgtoGg,IF('Net zero activities &amp; levers'!$C$14="On",Constants!$H77*'Net zero Activity data'!AS19*Constants!$H95*EF!$H220*MMVolatEF*NtoN2O*kgtoGg,"ERROR"))</f>
        <v>0.17503945749810612</v>
      </c>
      <c r="AA1199" s="94">
        <f>IF('Net zero activities &amp; levers'!$C$14="Off",Constants!$H77*'Activity data'!AT19*Constants!$H95*EF!$H220*MMVolatEF*NtoN2O*kgtoGg,IF('Net zero activities &amp; levers'!$C$14="On",Constants!$H77*'Net zero Activity data'!AT19*Constants!$H95*EF!$H220*MMVolatEF*NtoN2O*kgtoGg,"ERROR"))</f>
        <v>0.17754464171079537</v>
      </c>
      <c r="AB1199" s="94">
        <f>IF('Net zero activities &amp; levers'!$C$14="Off",Constants!$H77*'Activity data'!AU19*Constants!$H95*EF!$H220*MMVolatEF*NtoN2O*kgtoGg,IF('Net zero activities &amp; levers'!$C$14="On",Constants!$H77*'Net zero Activity data'!AU19*Constants!$H95*EF!$H220*MMVolatEF*NtoN2O*kgtoGg,"ERROR"))</f>
        <v>0.17979875003476928</v>
      </c>
      <c r="AC1199" s="94">
        <f>IF('Net zero activities &amp; levers'!$C$14="Off",Constants!$H77*'Activity data'!AV19*Constants!$H95*EF!$H220*MMVolatEF*NtoN2O*kgtoGg,IF('Net zero activities &amp; levers'!$C$14="On",Constants!$H77*'Net zero Activity data'!AV19*Constants!$H95*EF!$H220*MMVolatEF*NtoN2O*kgtoGg,"ERROR"))</f>
        <v>0.18179177836428806</v>
      </c>
      <c r="AD1199" s="94">
        <f>IF('Net zero activities &amp; levers'!$C$14="Off",Constants!$H77*'Activity data'!AW19*Constants!$H95*EF!$H220*MMVolatEF*NtoN2O*kgtoGg,IF('Net zero activities &amp; levers'!$C$14="On",Constants!$H77*'Net zero Activity data'!AW19*Constants!$H95*EF!$H220*MMVolatEF*NtoN2O*kgtoGg,"ERROR"))</f>
        <v>0.18351408832752805</v>
      </c>
      <c r="AE1199" s="94">
        <f>IF('Net zero activities &amp; levers'!$C$14="Off",Constants!$H77*'Activity data'!AX19*Constants!$H95*EF!$H220*MMVolatEF*NtoN2O*kgtoGg,IF('Net zero activities &amp; levers'!$C$14="On",Constants!$H77*'Net zero Activity data'!AX19*Constants!$H95*EF!$H220*MMVolatEF*NtoN2O*kgtoGg,"ERROR"))</f>
        <v>0.18495811914653704</v>
      </c>
      <c r="AF1199" s="94">
        <f>IF('Net zero activities &amp; levers'!$C$14="Off",Constants!$H77*'Activity data'!AY19*Constants!$H95*EF!$H220*MMVolatEF*NtoN2O*kgtoGg,IF('Net zero activities &amp; levers'!$C$14="On",Constants!$H77*'Net zero Activity data'!AY19*Constants!$H95*EF!$H220*MMVolatEF*NtoN2O*kgtoGg,"ERROR"))</f>
        <v>0.18611704996451123</v>
      </c>
      <c r="AG1199" s="94">
        <f>IF('Net zero activities &amp; levers'!$C$14="Off",Constants!$H77*'Activity data'!AZ19*Constants!$H95*EF!$H220*MMVolatEF*NtoN2O*kgtoGg,IF('Net zero activities &amp; levers'!$C$14="On",Constants!$H77*'Net zero Activity data'!AZ19*Constants!$H95*EF!$H220*MMVolatEF*NtoN2O*kgtoGg,"ERROR"))</f>
        <v>0.18698481434150752</v>
      </c>
      <c r="AH1199" s="94">
        <f>IF('Net zero activities &amp; levers'!$C$14="Off",Constants!$H77*'Activity data'!BA19*Constants!$H95*EF!$H220*MMVolatEF*NtoN2O*kgtoGg,IF('Net zero activities &amp; levers'!$C$14="On",Constants!$H77*'Net zero Activity data'!BA19*Constants!$H95*EF!$H220*MMVolatEF*NtoN2O*kgtoGg,"ERROR"))</f>
        <v>0.18755776005425462</v>
      </c>
      <c r="AI1199" s="94">
        <f>IF('Net zero activities &amp; levers'!$C$14="Off",Constants!$H77*'Activity data'!BB19*Constants!$H95*EF!$H220*MMVolatEF*NtoN2O*kgtoGg,IF('Net zero activities &amp; levers'!$C$14="On",Constants!$H77*'Net zero Activity data'!BB19*Constants!$H95*EF!$H220*MMVolatEF*NtoN2O*kgtoGg,"ERROR"))</f>
        <v>0.18783399692655736</v>
      </c>
      <c r="AJ1199" s="94">
        <f>IF('Net zero activities &amp; levers'!$C$14="Off",Constants!$H77*'Activity data'!BC19*Constants!$H95*EF!$H220*MMVolatEF*NtoN2O*kgtoGg,IF('Net zero activities &amp; levers'!$C$14="On",Constants!$H77*'Net zero Activity data'!BC19*Constants!$H95*EF!$H220*MMVolatEF*NtoN2O*kgtoGg,"ERROR"))</f>
        <v>2.4486671101770791E-2</v>
      </c>
      <c r="AK1199" s="94">
        <f>IF('Net zero activities &amp; levers'!$C$14="Off",Constants!$H77*'Activity data'!BD19*Constants!$H95*EF!$H220*MMVolatEF*NtoN2O*kgtoGg,IF('Net zero activities &amp; levers'!$C$14="On",Constants!$H77*'Net zero Activity data'!BD19*Constants!$H95*EF!$H220*MMVolatEF*NtoN2O*kgtoGg,"ERROR"))</f>
        <v>2.4666387221284058E-2</v>
      </c>
      <c r="AL1199" s="94">
        <f>IF('Net zero activities &amp; levers'!$C$14="Off",Constants!$H77*'Activity data'!BE19*Constants!$H95*EF!$H220*MMVolatEF*NtoN2O*kgtoGg,IF('Net zero activities &amp; levers'!$C$14="On",Constants!$H77*'Net zero Activity data'!BE19*Constants!$H95*EF!$H220*MMVolatEF*NtoN2O*kgtoGg,"ERROR"))</f>
        <v>2.4841648409900843E-2</v>
      </c>
      <c r="AM1199" s="94">
        <f>IF('Net zero activities &amp; levers'!$C$14="Off",Constants!$H77*'Activity data'!BF19*Constants!$H95*EF!$H220*MMVolatEF*NtoN2O*kgtoGg,IF('Net zero activities &amp; levers'!$C$14="On",Constants!$H77*'Net zero Activity data'!BF19*Constants!$H95*EF!$H220*MMVolatEF*NtoN2O*kgtoGg,"ERROR"))</f>
        <v>2.5012718687706617E-2</v>
      </c>
      <c r="AN1199" s="94">
        <f>IF('Net zero activities &amp; levers'!$C$14="Off",Constants!$H77*'Activity data'!BG19*Constants!$H95*EF!$H220*MMVolatEF*NtoN2O*kgtoGg,IF('Net zero activities &amp; levers'!$C$14="On",Constants!$H77*'Net zero Activity data'!BG19*Constants!$H95*EF!$H220*MMVolatEF*NtoN2O*kgtoGg,"ERROR"))</f>
        <v>2.5179902406593305E-2</v>
      </c>
      <c r="AO1199" s="94">
        <f>IF('Net zero activities &amp; levers'!$C$14="Off",Constants!$H77*'Activity data'!BH19*Constants!$H95*EF!$H220*MMVolatEF*NtoN2O*kgtoGg,IF('Net zero activities &amp; levers'!$C$14="On",Constants!$H77*'Net zero Activity data'!BH19*Constants!$H95*EF!$H220*MMVolatEF*NtoN2O*kgtoGg,"ERROR"))</f>
        <v>2.5342514084649829E-2</v>
      </c>
      <c r="AP1199" s="94">
        <f>IF('Net zero activities &amp; levers'!$C$14="Off",Constants!$H77*'Activity data'!BI19*Constants!$H95*EF!$H220*MMVolatEF*NtoN2O*kgtoGg,IF('Net zero activities &amp; levers'!$C$14="On",Constants!$H77*'Net zero Activity data'!BI19*Constants!$H95*EF!$H220*MMVolatEF*NtoN2O*kgtoGg,"ERROR"))</f>
        <v>2.5500102306234843E-2</v>
      </c>
      <c r="AQ1199" s="94">
        <f>IF('Net zero activities &amp; levers'!$C$14="Off",Constants!$H77*'Activity data'!BJ19*Constants!$H95*EF!$H220*MMVolatEF*NtoN2O*kgtoGg,IF('Net zero activities &amp; levers'!$C$14="On",Constants!$H77*'Net zero Activity data'!BJ19*Constants!$H95*EF!$H220*MMVolatEF*NtoN2O*kgtoGg,"ERROR"))</f>
        <v>2.5652633826306989E-2</v>
      </c>
      <c r="AR1199" s="94">
        <f>IF('Net zero activities &amp; levers'!$C$14="Off",Constants!$H77*'Activity data'!BK19*Constants!$H95*EF!$H220*MMVolatEF*NtoN2O*kgtoGg,IF('Net zero activities &amp; levers'!$C$14="On",Constants!$H77*'Net zero Activity data'!BK19*Constants!$H95*EF!$H220*MMVolatEF*NtoN2O*kgtoGg,"ERROR"))</f>
        <v>2.5799570928013445E-2</v>
      </c>
      <c r="AS1199" s="94">
        <f>IF('Net zero activities &amp; levers'!$C$14="Off",Constants!$H77*'Activity data'!BL19*Constants!$H95*EF!$H220*MMVolatEF*NtoN2O*kgtoGg,IF('Net zero activities &amp; levers'!$C$14="On",Constants!$H77*'Net zero Activity data'!BL19*Constants!$H95*EF!$H220*MMVolatEF*NtoN2O*kgtoGg,"ERROR"))</f>
        <v>2.5940314994938186E-2</v>
      </c>
      <c r="AT1199" s="94">
        <f>IF('Net zero activities &amp; levers'!$C$14="Off",Constants!$H77*'Activity data'!BM19*Constants!$H95*EF!$H220*MMVolatEF*NtoN2O*kgtoGg,IF('Net zero activities &amp; levers'!$C$14="On",Constants!$H77*'Net zero Activity data'!BM19*Constants!$H95*EF!$H220*MMVolatEF*NtoN2O*kgtoGg,"ERROR"))</f>
        <v>2.6074813676088864E-2</v>
      </c>
      <c r="AU1199" s="94">
        <f>IF('Net zero activities &amp; levers'!$C$14="Off",Constants!$H77*'Activity data'!BN19*Constants!$H95*EF!$H220*MMVolatEF*NtoN2O*kgtoGg,IF('Net zero activities &amp; levers'!$C$14="On",Constants!$H77*'Net zero Activity data'!BN19*Constants!$H95*EF!$H220*MMVolatEF*NtoN2O*kgtoGg,"ERROR"))</f>
        <v>2.6203180413111957E-2</v>
      </c>
      <c r="AV1199" s="94">
        <f>IF('Net zero activities &amp; levers'!$C$14="Off",Constants!$H77*'Activity data'!BO19*Constants!$H95*EF!$H220*MMVolatEF*NtoN2O*kgtoGg,IF('Net zero activities &amp; levers'!$C$14="On",Constants!$H77*'Net zero Activity data'!BO19*Constants!$H95*EF!$H220*MMVolatEF*NtoN2O*kgtoGg,"ERROR"))</f>
        <v>2.6325499899042631E-2</v>
      </c>
      <c r="AW1199" s="94">
        <f>IF('Net zero activities &amp; levers'!$C$14="Off",Constants!$H77*'Activity data'!BP19*Constants!$H95*EF!$H220*MMVolatEF*NtoN2O*kgtoGg,IF('Net zero activities &amp; levers'!$C$14="On",Constants!$H77*'Net zero Activity data'!BP19*Constants!$H95*EF!$H220*MMVolatEF*NtoN2O*kgtoGg,"ERROR"))</f>
        <v>2.6441188397219272E-2</v>
      </c>
      <c r="AY1199" s="79"/>
    </row>
    <row r="1200" spans="1:51" x14ac:dyDescent="0.25">
      <c r="A1200" s="95" t="str">
        <f t="shared" si="380"/>
        <v>CM MM Volatilisation</v>
      </c>
      <c r="B1200" s="95" t="s">
        <v>1322</v>
      </c>
      <c r="C1200" s="95" t="s">
        <v>1332</v>
      </c>
      <c r="D1200" t="s">
        <v>369</v>
      </c>
      <c r="E1200" t="s">
        <v>64</v>
      </c>
      <c r="F1200" t="s">
        <v>62</v>
      </c>
      <c r="G1200" t="s">
        <v>1182</v>
      </c>
      <c r="H1200" t="s">
        <v>1305</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0.31034319165291735</v>
      </c>
      <c r="L1200" s="94">
        <f>IF('Net zero activities &amp; levers'!$C$14="Off",Constants!$H78*'Activity data'!AE20*Constants!$H96*EF!$H221*MMVolatEF*NtoN2O*kgtoGg,IF('Net zero activities &amp; levers'!$C$14="On",Constants!$H78*'Net zero Activity data'!AE20*Constants!$H96*EF!$H221*MMVolatEF*NtoN2O*kgtoGg,"ERROR"))</f>
        <v>0.31442985679016994</v>
      </c>
      <c r="M1200" s="94">
        <f>IF('Net zero activities &amp; levers'!$C$14="Off",Constants!$H78*'Activity data'!AF20*Constants!$H96*EF!$H221*MMVolatEF*NtoN2O*kgtoGg,IF('Net zero activities &amp; levers'!$C$14="On",Constants!$H78*'Net zero Activity data'!AF20*Constants!$H96*EF!$H221*MMVolatEF*NtoN2O*kgtoGg,"ERROR"))</f>
        <v>0.32099421325528482</v>
      </c>
      <c r="N1200" s="94">
        <f>IF('Net zero activities &amp; levers'!$C$14="Off",Constants!$H78*'Activity data'!AG20*Constants!$H96*EF!$H221*MMVolatEF*NtoN2O*kgtoGg,IF('Net zero activities &amp; levers'!$C$14="On",Constants!$H78*'Net zero Activity data'!AG20*Constants!$H96*EF!$H221*MMVolatEF*NtoN2O*kgtoGg,"ERROR"))</f>
        <v>0.32287903178152921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0.31577785743754255</v>
      </c>
      <c r="R1200" s="94">
        <f>IF('Net zero activities &amp; levers'!$C$14="Off",Constants!$H78*'Activity data'!AK20*Constants!$H96*EF!$H221*MMVolatEF*NtoN2O*kgtoGg,IF('Net zero activities &amp; levers'!$C$14="On",Constants!$H78*'Net zero Activity data'!AK20*Constants!$H96*EF!$H221*MMVolatEF*NtoN2O*kgtoGg,"ERROR"))</f>
        <v>0.31441607582114939</v>
      </c>
      <c r="S1200" s="94">
        <f>IF('Net zero activities &amp; levers'!$C$14="Off",Constants!$H78*'Activity data'!AL20*Constants!$H96*EF!$H221*MMVolatEF*NtoN2O*kgtoGg,IF('Net zero activities &amp; levers'!$C$14="On",Constants!$H78*'Net zero Activity data'!AL20*Constants!$H96*EF!$H221*MMVolatEF*NtoN2O*kgtoGg,"ERROR"))</f>
        <v>0.27420619396536416</v>
      </c>
      <c r="T1200" s="94">
        <f>IF('Net zero activities &amp; levers'!$C$14="Off",Constants!$H78*'Activity data'!AM20*Constants!$H96*EF!$H221*MMVolatEF*NtoN2O*kgtoGg,IF('Net zero activities &amp; levers'!$C$14="On",Constants!$H78*'Net zero Activity data'!AM20*Constants!$H96*EF!$H221*MMVolatEF*NtoN2O*kgtoGg,"ERROR"))</f>
        <v>0.29495818532939488</v>
      </c>
      <c r="U1200" s="94">
        <f>IF('Net zero activities &amp; levers'!$C$14="Off",Constants!$H78*'Activity data'!AN20*Constants!$H96*EF!$H221*MMVolatEF*NtoN2O*kgtoGg,IF('Net zero activities &amp; levers'!$C$14="On",Constants!$H78*'Net zero Activity data'!AN20*Constants!$H96*EF!$H221*MMVolatEF*NtoN2O*kgtoGg,"ERROR"))</f>
        <v>1.2825520746937493</v>
      </c>
      <c r="V1200" s="94">
        <f>IF('Net zero activities &amp; levers'!$C$14="Off",Constants!$H78*'Activity data'!AO20*Constants!$H96*EF!$H221*MMVolatEF*NtoN2O*kgtoGg,IF('Net zero activities &amp; levers'!$C$14="On",Constants!$H78*'Net zero Activity data'!AO20*Constants!$H96*EF!$H221*MMVolatEF*NtoN2O*kgtoGg,"ERROR"))</f>
        <v>1.3055461044676304</v>
      </c>
      <c r="W1200" s="94">
        <f>IF('Net zero activities &amp; levers'!$C$14="Off",Constants!$H78*'Activity data'!AP20*Constants!$H96*EF!$H221*MMVolatEF*NtoN2O*kgtoGg,IF('Net zero activities &amp; levers'!$C$14="On",Constants!$H78*'Net zero Activity data'!AP20*Constants!$H96*EF!$H221*MMVolatEF*NtoN2O*kgtoGg,"ERROR"))</f>
        <v>1.3259738285316456</v>
      </c>
      <c r="X1200" s="94">
        <f>IF('Net zero activities &amp; levers'!$C$14="Off",Constants!$H78*'Activity data'!AQ20*Constants!$H96*EF!$H221*MMVolatEF*NtoN2O*kgtoGg,IF('Net zero activities &amp; levers'!$C$14="On",Constants!$H78*'Net zero Activity data'!AQ20*Constants!$H96*EF!$H221*MMVolatEF*NtoN2O*kgtoGg,"ERROR"))</f>
        <v>1.3439224713343889</v>
      </c>
      <c r="Y1200" s="94">
        <f>IF('Net zero activities &amp; levers'!$C$14="Off",Constants!$H78*'Activity data'!AR20*Constants!$H96*EF!$H221*MMVolatEF*NtoN2O*kgtoGg,IF('Net zero activities &amp; levers'!$C$14="On",Constants!$H78*'Net zero Activity data'!AR20*Constants!$H96*EF!$H221*MMVolatEF*NtoN2O*kgtoGg,"ERROR"))</f>
        <v>1.3596359578831905</v>
      </c>
      <c r="Z1200" s="94">
        <f>IF('Net zero activities &amp; levers'!$C$14="Off",Constants!$H78*'Activity data'!AS20*Constants!$H96*EF!$H221*MMVolatEF*NtoN2O*kgtoGg,IF('Net zero activities &amp; levers'!$C$14="On",Constants!$H78*'Net zero Activity data'!AS20*Constants!$H96*EF!$H221*MMVolatEF*NtoN2O*kgtoGg,"ERROR"))</f>
        <v>1.3729964225138076</v>
      </c>
      <c r="AA1200" s="94">
        <f>IF('Net zero activities &amp; levers'!$C$14="Off",Constants!$H78*'Activity data'!AT20*Constants!$H96*EF!$H221*MMVolatEF*NtoN2O*kgtoGg,IF('Net zero activities &amp; levers'!$C$14="On",Constants!$H78*'Net zero Activity data'!AT20*Constants!$H96*EF!$H221*MMVolatEF*NtoN2O*kgtoGg,"ERROR"))</f>
        <v>1.3839133762561158</v>
      </c>
      <c r="AB1200" s="94">
        <f>IF('Net zero activities &amp; levers'!$C$14="Off",Constants!$H78*'Activity data'!AU20*Constants!$H96*EF!$H221*MMVolatEF*NtoN2O*kgtoGg,IF('Net zero activities &amp; levers'!$C$14="On",Constants!$H78*'Net zero Activity data'!AU20*Constants!$H96*EF!$H221*MMVolatEF*NtoN2O*kgtoGg,"ERROR"))</f>
        <v>1.392297876830487</v>
      </c>
      <c r="AC1200" s="94">
        <f>IF('Net zero activities &amp; levers'!$C$14="Off",Constants!$H78*'Activity data'!AV20*Constants!$H96*EF!$H221*MMVolatEF*NtoN2O*kgtoGg,IF('Net zero activities &amp; levers'!$C$14="On",Constants!$H78*'Net zero Activity data'!AV20*Constants!$H96*EF!$H221*MMVolatEF*NtoN2O*kgtoGg,"ERROR"))</f>
        <v>1.3980705991762232</v>
      </c>
      <c r="AD1200" s="94">
        <f>IF('Net zero activities &amp; levers'!$C$14="Off",Constants!$H78*'Activity data'!AW20*Constants!$H96*EF!$H221*MMVolatEF*NtoN2O*kgtoGg,IF('Net zero activities &amp; levers'!$C$14="On",Constants!$H78*'Net zero Activity data'!AW20*Constants!$H96*EF!$H221*MMVolatEF*NtoN2O*kgtoGg,"ERROR"))</f>
        <v>1.4011774518837516</v>
      </c>
      <c r="AE1200" s="94">
        <f>IF('Net zero activities &amp; levers'!$C$14="Off",Constants!$H78*'Activity data'!AX20*Constants!$H96*EF!$H221*MMVolatEF*NtoN2O*kgtoGg,IF('Net zero activities &amp; levers'!$C$14="On",Constants!$H78*'Net zero Activity data'!AX20*Constants!$H96*EF!$H221*MMVolatEF*NtoN2O*kgtoGg,"ERROR"))</f>
        <v>1.4015682854114344</v>
      </c>
      <c r="AF1200" s="94">
        <f>IF('Net zero activities &amp; levers'!$C$14="Off",Constants!$H78*'Activity data'!AY20*Constants!$H96*EF!$H221*MMVolatEF*NtoN2O*kgtoGg,IF('Net zero activities &amp; levers'!$C$14="On",Constants!$H78*'Net zero Activity data'!AY20*Constants!$H96*EF!$H221*MMVolatEF*NtoN2O*kgtoGg,"ERROR"))</f>
        <v>1.3992160776881843</v>
      </c>
      <c r="AG1200" s="94">
        <f>IF('Net zero activities &amp; levers'!$C$14="Off",Constants!$H78*'Activity data'!AZ20*Constants!$H96*EF!$H221*MMVolatEF*NtoN2O*kgtoGg,IF('Net zero activities &amp; levers'!$C$14="On",Constants!$H78*'Net zero Activity data'!AZ20*Constants!$H96*EF!$H221*MMVolatEF*NtoN2O*kgtoGg,"ERROR"))</f>
        <v>1.3941175452078094</v>
      </c>
      <c r="AH1200" s="94">
        <f>IF('Net zero activities &amp; levers'!$C$14="Off",Constants!$H78*'Activity data'!BA20*Constants!$H96*EF!$H221*MMVolatEF*NtoN2O*kgtoGg,IF('Net zero activities &amp; levers'!$C$14="On",Constants!$H78*'Net zero Activity data'!BA20*Constants!$H96*EF!$H221*MMVolatEF*NtoN2O*kgtoGg,"ERROR"))</f>
        <v>1.3862722906542229</v>
      </c>
      <c r="AI1200" s="94">
        <f>IF('Net zero activities &amp; levers'!$C$14="Off",Constants!$H78*'Activity data'!BB20*Constants!$H96*EF!$H221*MMVolatEF*NtoN2O*kgtoGg,IF('Net zero activities &amp; levers'!$C$14="On",Constants!$H78*'Net zero Activity data'!BB20*Constants!$H96*EF!$H221*MMVolatEF*NtoN2O*kgtoGg,"ERROR"))</f>
        <v>1.3756920657497529</v>
      </c>
      <c r="AJ1200" s="94">
        <f>IF('Net zero activities &amp; levers'!$C$14="Off",Constants!$H78*'Activity data'!BC20*Constants!$H96*EF!$H221*MMVolatEF*NtoN2O*kgtoGg,IF('Net zero activities &amp; levers'!$C$14="On",Constants!$H78*'Net zero Activity data'!BC20*Constants!$H96*EF!$H221*MMVolatEF*NtoN2O*kgtoGg,"ERROR"))</f>
        <v>-0.29376675967597721</v>
      </c>
      <c r="AK1200" s="94">
        <f>IF('Net zero activities &amp; levers'!$C$14="Off",Constants!$H78*'Activity data'!BD20*Constants!$H96*EF!$H221*MMVolatEF*NtoN2O*kgtoGg,IF('Net zero activities &amp; levers'!$C$14="On",Constants!$H78*'Net zero Activity data'!BD20*Constants!$H96*EF!$H221*MMVolatEF*NtoN2O*kgtoGg,"ERROR"))</f>
        <v>-0.29418248669382474</v>
      </c>
      <c r="AL1200" s="94">
        <f>IF('Net zero activities &amp; levers'!$C$14="Off",Constants!$H78*'Activity data'!BE20*Constants!$H96*EF!$H221*MMVolatEF*NtoN2O*kgtoGg,IF('Net zero activities &amp; levers'!$C$14="On",Constants!$H78*'Net zero Activity data'!BE20*Constants!$H96*EF!$H221*MMVolatEF*NtoN2O*kgtoGg,"ERROR"))</f>
        <v>-0.29455892044172599</v>
      </c>
      <c r="AM1200" s="94">
        <f>IF('Net zero activities &amp; levers'!$C$14="Off",Constants!$H78*'Activity data'!BF20*Constants!$H96*EF!$H221*MMVolatEF*NtoN2O*kgtoGg,IF('Net zero activities &amp; levers'!$C$14="On",Constants!$H78*'Net zero Activity data'!BF20*Constants!$H96*EF!$H221*MMVolatEF*NtoN2O*kgtoGg,"ERROR"))</f>
        <v>-0.29489926202307742</v>
      </c>
      <c r="AN1200" s="94">
        <f>IF('Net zero activities &amp; levers'!$C$14="Off",Constants!$H78*'Activity data'!BG20*Constants!$H96*EF!$H221*MMVolatEF*NtoN2O*kgtoGg,IF('Net zero activities &amp; levers'!$C$14="On",Constants!$H78*'Net zero Activity data'!BG20*Constants!$H96*EF!$H221*MMVolatEF*NtoN2O*kgtoGg,"ERROR"))</f>
        <v>-0.2952071711728716</v>
      </c>
      <c r="AO1200" s="94">
        <f>IF('Net zero activities &amp; levers'!$C$14="Off",Constants!$H78*'Activity data'!BH20*Constants!$H96*EF!$H221*MMVolatEF*NtoN2O*kgtoGg,IF('Net zero activities &amp; levers'!$C$14="On",Constants!$H78*'Net zero Activity data'!BH20*Constants!$H96*EF!$H221*MMVolatEF*NtoN2O*kgtoGg,"ERROR"))</f>
        <v>-0.29547405449445624</v>
      </c>
      <c r="AP1200" s="94">
        <f>IF('Net zero activities &amp; levers'!$C$14="Off",Constants!$H78*'Activity data'!BI20*Constants!$H96*EF!$H221*MMVolatEF*NtoN2O*kgtoGg,IF('Net zero activities &amp; levers'!$C$14="On",Constants!$H78*'Net zero Activity data'!BI20*Constants!$H96*EF!$H221*MMVolatEF*NtoN2O*kgtoGg,"ERROR"))</f>
        <v>-0.29569441698810944</v>
      </c>
      <c r="AQ1200" s="94">
        <f>IF('Net zero activities &amp; levers'!$C$14="Off",Constants!$H78*'Activity data'!BJ20*Constants!$H96*EF!$H221*MMVolatEF*NtoN2O*kgtoGg,IF('Net zero activities &amp; levers'!$C$14="On",Constants!$H78*'Net zero Activity data'!BJ20*Constants!$H96*EF!$H221*MMVolatEF*NtoN2O*kgtoGg,"ERROR"))</f>
        <v>-0.29586800918156786</v>
      </c>
      <c r="AR1200" s="94">
        <f>IF('Net zero activities &amp; levers'!$C$14="Off",Constants!$H78*'Activity data'!BK20*Constants!$H96*EF!$H221*MMVolatEF*NtoN2O*kgtoGg,IF('Net zero activities &amp; levers'!$C$14="On",Constants!$H78*'Net zero Activity data'!BK20*Constants!$H96*EF!$H221*MMVolatEF*NtoN2O*kgtoGg,"ERROR"))</f>
        <v>-0.29598849617700645</v>
      </c>
      <c r="AS1200" s="94">
        <f>IF('Net zero activities &amp; levers'!$C$14="Off",Constants!$H78*'Activity data'!BL20*Constants!$H96*EF!$H221*MMVolatEF*NtoN2O*kgtoGg,IF('Net zero activities &amp; levers'!$C$14="On",Constants!$H78*'Net zero Activity data'!BL20*Constants!$H96*EF!$H221*MMVolatEF*NtoN2O*kgtoGg,"ERROR"))</f>
        <v>-0.29604896826052718</v>
      </c>
      <c r="AT1200" s="94">
        <f>IF('Net zero activities &amp; levers'!$C$14="Off",Constants!$H78*'Activity data'!BM20*Constants!$H96*EF!$H221*MMVolatEF*NtoN2O*kgtoGg,IF('Net zero activities &amp; levers'!$C$14="On",Constants!$H78*'Net zero Activity data'!BM20*Constants!$H96*EF!$H221*MMVolatEF*NtoN2O*kgtoGg,"ERROR"))</f>
        <v>-0.29604922742667927</v>
      </c>
      <c r="AU1200" s="94">
        <f>IF('Net zero activities &amp; levers'!$C$14="Off",Constants!$H78*'Activity data'!BN20*Constants!$H96*EF!$H221*MMVolatEF*NtoN2O*kgtoGg,IF('Net zero activities &amp; levers'!$C$14="On",Constants!$H78*'Net zero Activity data'!BN20*Constants!$H96*EF!$H221*MMVolatEF*NtoN2O*kgtoGg,"ERROR"))</f>
        <v>-0.29599106772821226</v>
      </c>
      <c r="AV1200" s="94">
        <f>IF('Net zero activities &amp; levers'!$C$14="Off",Constants!$H78*'Activity data'!BO20*Constants!$H96*EF!$H221*MMVolatEF*NtoN2O*kgtoGg,IF('Net zero activities &amp; levers'!$C$14="On",Constants!$H78*'Net zero Activity data'!BO20*Constants!$H96*EF!$H221*MMVolatEF*NtoN2O*kgtoGg,"ERROR"))</f>
        <v>-0.29587591492784127</v>
      </c>
      <c r="AW1200" s="94">
        <f>IF('Net zero activities &amp; levers'!$C$14="Off",Constants!$H78*'Activity data'!BP20*Constants!$H96*EF!$H221*MMVolatEF*NtoN2O*kgtoGg,IF('Net zero activities &amp; levers'!$C$14="On",Constants!$H78*'Net zero Activity data'!BP20*Constants!$H96*EF!$H221*MMVolatEF*NtoN2O*kgtoGg,"ERROR"))</f>
        <v>-0.29569729144234697</v>
      </c>
      <c r="AY1200" s="79"/>
    </row>
    <row r="1201" spans="1:51" x14ac:dyDescent="0.25">
      <c r="A1201" s="95" t="str">
        <f t="shared" si="380"/>
        <v>CM MM Leaching</v>
      </c>
      <c r="B1201" s="95" t="s">
        <v>1322</v>
      </c>
      <c r="C1201" s="95" t="s">
        <v>1333</v>
      </c>
      <c r="D1201" t="s">
        <v>369</v>
      </c>
      <c r="E1201" t="s">
        <v>64</v>
      </c>
      <c r="F1201" t="s">
        <v>63</v>
      </c>
      <c r="G1201" t="s">
        <v>1152</v>
      </c>
      <c r="H1201" t="s">
        <v>1306</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9.0417475033143083E-2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9.1174361291842948E-2</v>
      </c>
      <c r="P1201" s="94">
        <f>IF('Net zero activities &amp; levers'!$C$14="Off",Constants!$H63*'Activity data'!AI5*Constants!$H81*FracLEACHMM*MMLeachEF*NtoN2O*kgtoGg,IF('Net zero activities &amp; levers'!$C$14="On",Constants!$H63*'Net zero Activity data'!AI5*Constants!$H81*FracLEACHMM*MMLeachEF*NtoN2O*kgtoGg,"ERROR"))</f>
        <v>9.1320994898161756E-2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9.2016609055475665E-2</v>
      </c>
      <c r="S1201" s="94">
        <f>IF('Net zero activities &amp; levers'!$C$14="Off",Constants!$H63*'Activity data'!AL5*Constants!$H81*FracLEACHMM*MMLeachEF*NtoN2O*kgtoGg,IF('Net zero activities &amp; levers'!$C$14="On",Constants!$H63*'Net zero Activity data'!AL5*Constants!$H81*FracLEACHMM*MMLeachEF*NtoN2O*kgtoGg,"ERROR"))</f>
        <v>8.940199339516991E-2</v>
      </c>
      <c r="T1201" s="94">
        <f>IF('Net zero activities &amp; levers'!$C$14="Off",Constants!$H63*'Activity data'!AM5*Constants!$H81*FracLEACHMM*MMLeachEF*NtoN2O*kgtoGg,IF('Net zero activities &amp; levers'!$C$14="On",Constants!$H63*'Net zero Activity data'!AM5*Constants!$H81*FracLEACHMM*MMLeachEF*NtoN2O*kgtoGg,"ERROR"))</f>
        <v>9.0940281304058526E-2</v>
      </c>
      <c r="U1201" s="94">
        <f>IF('Net zero activities &amp; levers'!$C$14="Off",Constants!$H63*'Activity data'!AN5*Constants!$H81*FracLEACHMM*MMLeachEF*NtoN2O*kgtoGg,IF('Net zero activities &amp; levers'!$C$14="On",Constants!$H63*'Net zero Activity data'!AN5*Constants!$H81*FracLEACHMM*MMLeachEF*NtoN2O*kgtoGg,"ERROR"))</f>
        <v>0.1564700266780468</v>
      </c>
      <c r="V1201" s="94">
        <f>IF('Net zero activities &amp; levers'!$C$14="Off",Constants!$H63*'Activity data'!AO5*Constants!$H81*FracLEACHMM*MMLeachEF*NtoN2O*kgtoGg,IF('Net zero activities &amp; levers'!$C$14="On",Constants!$H63*'Net zero Activity data'!AO5*Constants!$H81*FracLEACHMM*MMLeachEF*NtoN2O*kgtoGg,"ERROR"))</f>
        <v>0.15835619981688001</v>
      </c>
      <c r="W1201" s="94">
        <f>IF('Net zero activities &amp; levers'!$C$14="Off",Constants!$H63*'Activity data'!AP5*Constants!$H81*FracLEACHMM*MMLeachEF*NtoN2O*kgtoGg,IF('Net zero activities &amp; levers'!$C$14="On",Constants!$H63*'Net zero Activity data'!AP5*Constants!$H81*FracLEACHMM*MMLeachEF*NtoN2O*kgtoGg,"ERROR"))</f>
        <v>0.16015964078695746</v>
      </c>
      <c r="X1201" s="94">
        <f>IF('Net zero activities &amp; levers'!$C$14="Off",Constants!$H63*'Activity data'!AQ5*Constants!$H81*FracLEACHMM*MMLeachEF*NtoN2O*kgtoGg,IF('Net zero activities &amp; levers'!$C$14="On",Constants!$H63*'Net zero Activity data'!AQ5*Constants!$H81*FracLEACHMM*MMLeachEF*NtoN2O*kgtoGg,"ERROR"))</f>
        <v>0.161849673455432</v>
      </c>
      <c r="Y1201" s="94">
        <f>IF('Net zero activities &amp; levers'!$C$14="Off",Constants!$H63*'Activity data'!AR5*Constants!$H81*FracLEACHMM*MMLeachEF*NtoN2O*kgtoGg,IF('Net zero activities &amp; levers'!$C$14="On",Constants!$H63*'Net zero Activity data'!AR5*Constants!$H81*FracLEACHMM*MMLeachEF*NtoN2O*kgtoGg,"ERROR"))</f>
        <v>0.16338116510403111</v>
      </c>
      <c r="Z1201" s="94">
        <f>IF('Net zero activities &amp; levers'!$C$14="Off",Constants!$H63*'Activity data'!AS5*Constants!$H81*FracLEACHMM*MMLeachEF*NtoN2O*kgtoGg,IF('Net zero activities &amp; levers'!$C$14="On",Constants!$H63*'Net zero Activity data'!AS5*Constants!$H81*FracLEACHMM*MMLeachEF*NtoN2O*kgtoGg,"ERROR"))</f>
        <v>0.16474696363228722</v>
      </c>
      <c r="AA1201" s="94">
        <f>IF('Net zero activities &amp; levers'!$C$14="Off",Constants!$H63*'Activity data'!AT5*Constants!$H81*FracLEACHMM*MMLeachEF*NtoN2O*kgtoGg,IF('Net zero activities &amp; levers'!$C$14="On",Constants!$H63*'Net zero Activity data'!AT5*Constants!$H81*FracLEACHMM*MMLeachEF*NtoN2O*kgtoGg,"ERROR"))</f>
        <v>0.16593911254285348</v>
      </c>
      <c r="AB1201" s="94">
        <f>IF('Net zero activities &amp; levers'!$C$14="Off",Constants!$H63*'Activity data'!AU5*Constants!$H81*FracLEACHMM*MMLeachEF*NtoN2O*kgtoGg,IF('Net zero activities &amp; levers'!$C$14="On",Constants!$H63*'Net zero Activity data'!AU5*Constants!$H81*FracLEACHMM*MMLeachEF*NtoN2O*kgtoGg,"ERROR"))</f>
        <v>0.16695158994132034</v>
      </c>
      <c r="AC1201" s="94">
        <f>IF('Net zero activities &amp; levers'!$C$14="Off",Constants!$H63*'Activity data'!AV5*Constants!$H81*FracLEACHMM*MMLeachEF*NtoN2O*kgtoGg,IF('Net zero activities &amp; levers'!$C$14="On",Constants!$H63*'Net zero Activity data'!AV5*Constants!$H81*FracLEACHMM*MMLeachEF*NtoN2O*kgtoGg,"ERROR"))</f>
        <v>0.16777962003810495</v>
      </c>
      <c r="AD1201" s="94">
        <f>IF('Net zero activities &amp; levers'!$C$14="Off",Constants!$H63*'Activity data'!AW5*Constants!$H81*FracLEACHMM*MMLeachEF*NtoN2O*kgtoGg,IF('Net zero activities &amp; levers'!$C$14="On",Constants!$H63*'Net zero Activity data'!AW5*Constants!$H81*FracLEACHMM*MMLeachEF*NtoN2O*kgtoGg,"ERROR"))</f>
        <v>0.16841818240508855</v>
      </c>
      <c r="AE1201" s="94">
        <f>IF('Net zero activities &amp; levers'!$C$14="Off",Constants!$H63*'Activity data'!AX5*Constants!$H81*FracLEACHMM*MMLeachEF*NtoN2O*kgtoGg,IF('Net zero activities &amp; levers'!$C$14="On",Constants!$H63*'Net zero Activity data'!AX5*Constants!$H81*FracLEACHMM*MMLeachEF*NtoN2O*kgtoGg,"ERROR"))</f>
        <v>0.16886427150805067</v>
      </c>
      <c r="AF1201" s="94">
        <f>IF('Net zero activities &amp; levers'!$C$14="Off",Constants!$H63*'Activity data'!AY5*Constants!$H81*FracLEACHMM*MMLeachEF*NtoN2O*kgtoGg,IF('Net zero activities &amp; levers'!$C$14="On",Constants!$H63*'Net zero Activity data'!AY5*Constants!$H81*FracLEACHMM*MMLeachEF*NtoN2O*kgtoGg,"ERROR"))</f>
        <v>0.1691150043732032</v>
      </c>
      <c r="AG1201" s="94">
        <f>IF('Net zero activities &amp; levers'!$C$14="Off",Constants!$H63*'Activity data'!AZ5*Constants!$H81*FracLEACHMM*MMLeachEF*NtoN2O*kgtoGg,IF('Net zero activities &amp; levers'!$C$14="On",Constants!$H63*'Net zero Activity data'!AZ5*Constants!$H81*FracLEACHMM*MMLeachEF*NtoN2O*kgtoGg,"ERROR"))</f>
        <v>0.16916759569059056</v>
      </c>
      <c r="AH1201" s="94">
        <f>IF('Net zero activities &amp; levers'!$C$14="Off",Constants!$H63*'Activity data'!BA5*Constants!$H81*FracLEACHMM*MMLeachEF*NtoN2O*kgtoGg,IF('Net zero activities &amp; levers'!$C$14="On",Constants!$H63*'Net zero Activity data'!BA5*Constants!$H81*FracLEACHMM*MMLeachEF*NtoN2O*kgtoGg,"ERROR"))</f>
        <v>0.16902153680910736</v>
      </c>
      <c r="AI1201" s="94">
        <f>IF('Net zero activities &amp; levers'!$C$14="Off",Constants!$H63*'Activity data'!BB5*Constants!$H81*FracLEACHMM*MMLeachEF*NtoN2O*kgtoGg,IF('Net zero activities &amp; levers'!$C$14="On",Constants!$H63*'Net zero Activity data'!BB5*Constants!$H81*FracLEACHMM*MMLeachEF*NtoN2O*kgtoGg,"ERROR"))</f>
        <v>0.16867765925493905</v>
      </c>
      <c r="AJ1201" s="94">
        <f>IF('Net zero activities &amp; levers'!$C$14="Off",Constants!$H63*'Activity data'!BC5*Constants!$H81*FracLEACHMM*MMLeachEF*NtoN2O*kgtoGg,IF('Net zero activities &amp; levers'!$C$14="On",Constants!$H63*'Net zero Activity data'!BC5*Constants!$H81*FracLEACHMM*MMLeachEF*NtoN2O*kgtoGg,"ERROR"))</f>
        <v>5.3366694545987768E-2</v>
      </c>
      <c r="AK1201" s="94">
        <f>IF('Net zero activities &amp; levers'!$C$14="Off",Constants!$H63*'Activity data'!BD5*Constants!$H81*FracLEACHMM*MMLeachEF*NtoN2O*kgtoGg,IF('Net zero activities &amp; levers'!$C$14="On",Constants!$H63*'Net zero Activity data'!BD5*Constants!$H81*FracLEACHMM*MMLeachEF*NtoN2O*kgtoGg,"ERROR"))</f>
        <v>5.3405651337415067E-2</v>
      </c>
      <c r="AL1201" s="94">
        <f>IF('Net zero activities &amp; levers'!$C$14="Off",Constants!$H63*'Activity data'!BE5*Constants!$H81*FracLEACHMM*MMLeachEF*NtoN2O*kgtoGg,IF('Net zero activities &amp; levers'!$C$14="On",Constants!$H63*'Net zero Activity data'!BE5*Constants!$H81*FracLEACHMM*MMLeachEF*NtoN2O*kgtoGg,"ERROR"))</f>
        <v>5.344180376180914E-2</v>
      </c>
      <c r="AM1201" s="94">
        <f>IF('Net zero activities &amp; levers'!$C$14="Off",Constants!$H63*'Activity data'!BF5*Constants!$H81*FracLEACHMM*MMLeachEF*NtoN2O*kgtoGg,IF('Net zero activities &amp; levers'!$C$14="On",Constants!$H63*'Net zero Activity data'!BF5*Constants!$H81*FracLEACHMM*MMLeachEF*NtoN2O*kgtoGg,"ERROR"))</f>
        <v>5.3475396377869022E-2</v>
      </c>
      <c r="AN1201" s="94">
        <f>IF('Net zero activities &amp; levers'!$C$14="Off",Constants!$H63*'Activity data'!BG5*Constants!$H81*FracLEACHMM*MMLeachEF*NtoN2O*kgtoGg,IF('Net zero activities &amp; levers'!$C$14="On",Constants!$H63*'Net zero Activity data'!BG5*Constants!$H81*FracLEACHMM*MMLeachEF*NtoN2O*kgtoGg,"ERROR"))</f>
        <v>5.3506730430657977E-2</v>
      </c>
      <c r="AO1201" s="94">
        <f>IF('Net zero activities &amp; levers'!$C$14="Off",Constants!$H63*'Activity data'!BH5*Constants!$H81*FracLEACHMM*MMLeachEF*NtoN2O*kgtoGg,IF('Net zero activities &amp; levers'!$C$14="On",Constants!$H63*'Net zero Activity data'!BH5*Constants!$H81*FracLEACHMM*MMLeachEF*NtoN2O*kgtoGg,"ERROR"))</f>
        <v>5.353482249647553E-2</v>
      </c>
      <c r="AP1201" s="94">
        <f>IF('Net zero activities &amp; levers'!$C$14="Off",Constants!$H63*'Activity data'!BI5*Constants!$H81*FracLEACHMM*MMLeachEF*NtoN2O*kgtoGg,IF('Net zero activities &amp; levers'!$C$14="On",Constants!$H63*'Net zero Activity data'!BI5*Constants!$H81*FracLEACHMM*MMLeachEF*NtoN2O*kgtoGg,"ERROR"))</f>
        <v>5.3559012168450083E-2</v>
      </c>
      <c r="AQ1201" s="94">
        <f>IF('Net zero activities &amp; levers'!$C$14="Off",Constants!$H63*'Activity data'!BJ5*Constants!$H81*FracLEACHMM*MMLeachEF*NtoN2O*kgtoGg,IF('Net zero activities &amp; levers'!$C$14="On",Constants!$H63*'Net zero Activity data'!BJ5*Constants!$H81*FracLEACHMM*MMLeachEF*NtoN2O*kgtoGg,"ERROR"))</f>
        <v>5.3579193542556233E-2</v>
      </c>
      <c r="AR1201" s="94">
        <f>IF('Net zero activities &amp; levers'!$C$14="Off",Constants!$H63*'Activity data'!BK5*Constants!$H81*FracLEACHMM*MMLeachEF*NtoN2O*kgtoGg,IF('Net zero activities &amp; levers'!$C$14="On",Constants!$H63*'Net zero Activity data'!BK5*Constants!$H81*FracLEACHMM*MMLeachEF*NtoN2O*kgtoGg,"ERROR"))</f>
        <v>5.3594617293935103E-2</v>
      </c>
      <c r="AS1201" s="94">
        <f>IF('Net zero activities &amp; levers'!$C$14="Off",Constants!$H63*'Activity data'!BL5*Constants!$H81*FracLEACHMM*MMLeachEF*NtoN2O*kgtoGg,IF('Net zero activities &amp; levers'!$C$14="On",Constants!$H63*'Net zero Activity data'!BL5*Constants!$H81*FracLEACHMM*MMLeachEF*NtoN2O*kgtoGg,"ERROR"))</f>
        <v>5.3604469890097345E-2</v>
      </c>
      <c r="AT1201" s="94">
        <f>IF('Net zero activities &amp; levers'!$C$14="Off",Constants!$H63*'Activity data'!BM5*Constants!$H81*FracLEACHMM*MMLeachEF*NtoN2O*kgtoGg,IF('Net zero activities &amp; levers'!$C$14="On",Constants!$H63*'Net zero Activity data'!BM5*Constants!$H81*FracLEACHMM*MMLeachEF*NtoN2O*kgtoGg,"ERROR"))</f>
        <v>5.3608650848433942E-2</v>
      </c>
      <c r="AU1201" s="94">
        <f>IF('Net zero activities &amp; levers'!$C$14="Off",Constants!$H63*'Activity data'!BN5*Constants!$H81*FracLEACHMM*MMLeachEF*NtoN2O*kgtoGg,IF('Net zero activities &amp; levers'!$C$14="On",Constants!$H63*'Net zero Activity data'!BN5*Constants!$H81*FracLEACHMM*MMLeachEF*NtoN2O*kgtoGg,"ERROR"))</f>
        <v>5.3607275721283966E-2</v>
      </c>
      <c r="AV1201" s="94">
        <f>IF('Net zero activities &amp; levers'!$C$14="Off",Constants!$H63*'Activity data'!BO5*Constants!$H81*FracLEACHMM*MMLeachEF*NtoN2O*kgtoGg,IF('Net zero activities &amp; levers'!$C$14="On",Constants!$H63*'Net zero Activity data'!BO5*Constants!$H81*FracLEACHMM*MMLeachEF*NtoN2O*kgtoGg,"ERROR"))</f>
        <v>5.3600425093073278E-2</v>
      </c>
      <c r="AW1201" s="94">
        <f>IF('Net zero activities &amp; levers'!$C$14="Off",Constants!$H63*'Activity data'!BP5*Constants!$H81*FracLEACHMM*MMLeachEF*NtoN2O*kgtoGg,IF('Net zero activities &amp; levers'!$C$14="On",Constants!$H63*'Net zero Activity data'!BP5*Constants!$H81*FracLEACHMM*MMLeachEF*NtoN2O*kgtoGg,"ERROR"))</f>
        <v>5.3587333792896791E-2</v>
      </c>
      <c r="AY1201" s="79"/>
    </row>
    <row r="1202" spans="1:51" x14ac:dyDescent="0.25">
      <c r="A1202" s="95" t="str">
        <f t="shared" si="380"/>
        <v>CM MM Leaching</v>
      </c>
      <c r="B1202" s="95" t="s">
        <v>1322</v>
      </c>
      <c r="C1202" s="95" t="s">
        <v>1333</v>
      </c>
      <c r="D1202" t="s">
        <v>369</v>
      </c>
      <c r="E1202" t="s">
        <v>64</v>
      </c>
      <c r="F1202" t="s">
        <v>63</v>
      </c>
      <c r="G1202" t="s">
        <v>1154</v>
      </c>
      <c r="H1202" t="s">
        <v>1307</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2.757662364319367E-2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2.7786681470952937E-2</v>
      </c>
      <c r="S1202" s="94">
        <f>IF('Net zero activities &amp; levers'!$C$14="Off",Constants!$H64*'Activity data'!AL6*Constants!$H82*FracLEACHMM*MMLeachEF*NtoN2O*kgtoGg,IF('Net zero activities &amp; levers'!$C$14="On",Constants!$H64*'Net zero Activity data'!AL6*Constants!$H82*FracLEACHMM*MMLeachEF*NtoN2O*kgtoGg,"ERROR"))</f>
        <v>2.699713387440892E-2</v>
      </c>
      <c r="T1202" s="94">
        <f>IF('Net zero activities &amp; levers'!$C$14="Off",Constants!$H64*'Activity data'!AM6*Constants!$H82*FracLEACHMM*MMLeachEF*NtoN2O*kgtoGg,IF('Net zero activities &amp; levers'!$C$14="On",Constants!$H64*'Net zero Activity data'!AM6*Constants!$H82*FracLEACHMM*MMLeachEF*NtoN2O*kgtoGg,"ERROR"))</f>
        <v>2.7461657796488435E-2</v>
      </c>
      <c r="U1202" s="94">
        <f>IF('Net zero activities &amp; levers'!$C$14="Off",Constants!$H64*'Activity data'!AN6*Constants!$H82*FracLEACHMM*MMLeachEF*NtoN2O*kgtoGg,IF('Net zero activities &amp; levers'!$C$14="On",Constants!$H64*'Net zero Activity data'!AN6*Constants!$H82*FracLEACHMM*MMLeachEF*NtoN2O*kgtoGg,"ERROR"))</f>
        <v>4.7249978408062936E-2</v>
      </c>
      <c r="V1202" s="94">
        <f>IF('Net zero activities &amp; levers'!$C$14="Off",Constants!$H64*'Activity data'!AO6*Constants!$H82*FracLEACHMM*MMLeachEF*NtoN2O*kgtoGg,IF('Net zero activities &amp; levers'!$C$14="On",Constants!$H64*'Net zero Activity data'!AO6*Constants!$H82*FracLEACHMM*MMLeachEF*NtoN2O*kgtoGg,"ERROR"))</f>
        <v>4.7819554843728261E-2</v>
      </c>
      <c r="W1202" s="94">
        <f>IF('Net zero activities &amp; levers'!$C$14="Off",Constants!$H64*'Activity data'!AP6*Constants!$H82*FracLEACHMM*MMLeachEF*NtoN2O*kgtoGg,IF('Net zero activities &amp; levers'!$C$14="On",Constants!$H64*'Net zero Activity data'!AP6*Constants!$H82*FracLEACHMM*MMLeachEF*NtoN2O*kgtoGg,"ERROR"))</f>
        <v>4.8364148263346618E-2</v>
      </c>
      <c r="X1202" s="94">
        <f>IF('Net zero activities &amp; levers'!$C$14="Off",Constants!$H64*'Activity data'!AQ6*Constants!$H82*FracLEACHMM*MMLeachEF*NtoN2O*kgtoGg,IF('Net zero activities &amp; levers'!$C$14="On",Constants!$H64*'Net zero Activity data'!AQ6*Constants!$H82*FracLEACHMM*MMLeachEF*NtoN2O*kgtoGg,"ERROR"))</f>
        <v>4.8874495253052513E-2</v>
      </c>
      <c r="Y1202" s="94">
        <f>IF('Net zero activities &amp; levers'!$C$14="Off",Constants!$H64*'Activity data'!AR6*Constants!$H82*FracLEACHMM*MMLeachEF*NtoN2O*kgtoGg,IF('Net zero activities &amp; levers'!$C$14="On",Constants!$H64*'Net zero Activity data'!AR6*Constants!$H82*FracLEACHMM*MMLeachEF*NtoN2O*kgtoGg,"ERROR"))</f>
        <v>4.9336966876945901E-2</v>
      </c>
      <c r="Z1202" s="94">
        <f>IF('Net zero activities &amp; levers'!$C$14="Off",Constants!$H64*'Activity data'!AS6*Constants!$H82*FracLEACHMM*MMLeachEF*NtoN2O*kgtoGg,IF('Net zero activities &amp; levers'!$C$14="On",Constants!$H64*'Net zero Activity data'!AS6*Constants!$H82*FracLEACHMM*MMLeachEF*NtoN2O*kgtoGg,"ERROR"))</f>
        <v>4.9749403382134544E-2</v>
      </c>
      <c r="AA1202" s="94">
        <f>IF('Net zero activities &amp; levers'!$C$14="Off",Constants!$H64*'Activity data'!AT6*Constants!$H82*FracLEACHMM*MMLeachEF*NtoN2O*kgtoGg,IF('Net zero activities &amp; levers'!$C$14="On",Constants!$H64*'Net zero Activity data'!AT6*Constants!$H82*FracLEACHMM*MMLeachEF*NtoN2O*kgtoGg,"ERROR"))</f>
        <v>5.0109402108276212E-2</v>
      </c>
      <c r="AB1202" s="94">
        <f>IF('Net zero activities &amp; levers'!$C$14="Off",Constants!$H64*'Activity data'!AU6*Constants!$H82*FracLEACHMM*MMLeachEF*NtoN2O*kgtoGg,IF('Net zero activities &amp; levers'!$C$14="On",Constants!$H64*'Net zero Activity data'!AU6*Constants!$H82*FracLEACHMM*MMLeachEF*NtoN2O*kgtoGg,"ERROR"))</f>
        <v>5.0415144596034883E-2</v>
      </c>
      <c r="AC1202" s="94">
        <f>IF('Net zero activities &amp; levers'!$C$14="Off",Constants!$H64*'Activity data'!AV6*Constants!$H82*FracLEACHMM*MMLeachEF*NtoN2O*kgtoGg,IF('Net zero activities &amp; levers'!$C$14="On",Constants!$H64*'Net zero Activity data'!AV6*Constants!$H82*FracLEACHMM*MMLeachEF*NtoN2O*kgtoGg,"ERROR"))</f>
        <v>5.0665188678118429E-2</v>
      </c>
      <c r="AD1202" s="94">
        <f>IF('Net zero activities &amp; levers'!$C$14="Off",Constants!$H64*'Activity data'!AW6*Constants!$H82*FracLEACHMM*MMLeachEF*NtoN2O*kgtoGg,IF('Net zero activities &amp; levers'!$C$14="On",Constants!$H64*'Net zero Activity data'!AW6*Constants!$H82*FracLEACHMM*MMLeachEF*NtoN2O*kgtoGg,"ERROR"))</f>
        <v>5.0858018312603365E-2</v>
      </c>
      <c r="AE1202" s="94">
        <f>IF('Net zero activities &amp; levers'!$C$14="Off",Constants!$H64*'Activity data'!AX6*Constants!$H82*FracLEACHMM*MMLeachEF*NtoN2O*kgtoGg,IF('Net zero activities &amp; levers'!$C$14="On",Constants!$H64*'Net zero Activity data'!AX6*Constants!$H82*FracLEACHMM*MMLeachEF*NtoN2O*kgtoGg,"ERROR"))</f>
        <v>5.0992725904405595E-2</v>
      </c>
      <c r="AF1202" s="94">
        <f>IF('Net zero activities &amp; levers'!$C$14="Off",Constants!$H64*'Activity data'!AY6*Constants!$H82*FracLEACHMM*MMLeachEF*NtoN2O*kgtoGg,IF('Net zero activities &amp; levers'!$C$14="On",Constants!$H64*'Net zero Activity data'!AY6*Constants!$H82*FracLEACHMM*MMLeachEF*NtoN2O*kgtoGg,"ERROR"))</f>
        <v>5.1068440868582254E-2</v>
      </c>
      <c r="AG1202" s="94">
        <f>IF('Net zero activities &amp; levers'!$C$14="Off",Constants!$H64*'Activity data'!AZ6*Constants!$H82*FracLEACHMM*MMLeachEF*NtoN2O*kgtoGg,IF('Net zero activities &amp; levers'!$C$14="On",Constants!$H64*'Net zero Activity data'!AZ6*Constants!$H82*FracLEACHMM*MMLeachEF*NtoN2O*kgtoGg,"ERROR"))</f>
        <v>5.1084322112190127E-2</v>
      </c>
      <c r="AH1202" s="94">
        <f>IF('Net zero activities &amp; levers'!$C$14="Off",Constants!$H64*'Activity data'!BA6*Constants!$H82*FracLEACHMM*MMLeachEF*NtoN2O*kgtoGg,IF('Net zero activities &amp; levers'!$C$14="On",Constants!$H64*'Net zero Activity data'!BA6*Constants!$H82*FracLEACHMM*MMLeachEF*NtoN2O*kgtoGg,"ERROR"))</f>
        <v>5.104021603549988E-2</v>
      </c>
      <c r="AI1202" s="94">
        <f>IF('Net zero activities &amp; levers'!$C$14="Off",Constants!$H64*'Activity data'!BB6*Constants!$H82*FracLEACHMM*MMLeachEF*NtoN2O*kgtoGg,IF('Net zero activities &amp; levers'!$C$14="On",Constants!$H64*'Net zero Activity data'!BB6*Constants!$H82*FracLEACHMM*MMLeachEF*NtoN2O*kgtoGg,"ERROR"))</f>
        <v>5.0936373738323673E-2</v>
      </c>
      <c r="AJ1202" s="94">
        <f>IF('Net zero activities &amp; levers'!$C$14="Off",Constants!$H64*'Activity data'!BC6*Constants!$H82*FracLEACHMM*MMLeachEF*NtoN2O*kgtoGg,IF('Net zero activities &amp; levers'!$C$14="On",Constants!$H64*'Net zero Activity data'!BC6*Constants!$H82*FracLEACHMM*MMLeachEF*NtoN2O*kgtoGg,"ERROR"))</f>
        <v>1.6115387838438942E-2</v>
      </c>
      <c r="AK1202" s="94">
        <f>IF('Net zero activities &amp; levers'!$C$14="Off",Constants!$H64*'Activity data'!BD6*Constants!$H82*FracLEACHMM*MMLeachEF*NtoN2O*kgtoGg,IF('Net zero activities &amp; levers'!$C$14="On",Constants!$H64*'Net zero Activity data'!BD6*Constants!$H82*FracLEACHMM*MMLeachEF*NtoN2O*kgtoGg,"ERROR"))</f>
        <v>1.6127151801115156E-2</v>
      </c>
      <c r="AL1202" s="94">
        <f>IF('Net zero activities &amp; levers'!$C$14="Off",Constants!$H64*'Activity data'!BE6*Constants!$H82*FracLEACHMM*MMLeachEF*NtoN2O*kgtoGg,IF('Net zero activities &amp; levers'!$C$14="On",Constants!$H64*'Net zero Activity data'!BE6*Constants!$H82*FracLEACHMM*MMLeachEF*NtoN2O*kgtoGg,"ERROR"))</f>
        <v>1.6138068916094209E-2</v>
      </c>
      <c r="AM1202" s="94">
        <f>IF('Net zero activities &amp; levers'!$C$14="Off",Constants!$H64*'Activity data'!BF6*Constants!$H82*FracLEACHMM*MMLeachEF*NtoN2O*kgtoGg,IF('Net zero activities &amp; levers'!$C$14="On",Constants!$H64*'Net zero Activity data'!BF6*Constants!$H82*FracLEACHMM*MMLeachEF*NtoN2O*kgtoGg,"ERROR"))</f>
        <v>1.6148213033898736E-2</v>
      </c>
      <c r="AN1202" s="94">
        <f>IF('Net zero activities &amp; levers'!$C$14="Off",Constants!$H64*'Activity data'!BG6*Constants!$H82*FracLEACHMM*MMLeachEF*NtoN2O*kgtoGg,IF('Net zero activities &amp; levers'!$C$14="On",Constants!$H64*'Net zero Activity data'!BG6*Constants!$H82*FracLEACHMM*MMLeachEF*NtoN2O*kgtoGg,"ERROR"))</f>
        <v>1.6157675122895256E-2</v>
      </c>
      <c r="AO1202" s="94">
        <f>IF('Net zero activities &amp; levers'!$C$14="Off",Constants!$H64*'Activity data'!BH6*Constants!$H82*FracLEACHMM*MMLeachEF*NtoN2O*kgtoGg,IF('Net zero activities &amp; levers'!$C$14="On",Constants!$H64*'Net zero Activity data'!BH6*Constants!$H82*FracLEACHMM*MMLeachEF*NtoN2O*kgtoGg,"ERROR"))</f>
        <v>1.6166158214075712E-2</v>
      </c>
      <c r="AP1202" s="94">
        <f>IF('Net zero activities &amp; levers'!$C$14="Off",Constants!$H64*'Activity data'!BI6*Constants!$H82*FracLEACHMM*MMLeachEF*NtoN2O*kgtoGg,IF('Net zero activities &amp; levers'!$C$14="On",Constants!$H64*'Net zero Activity data'!BI6*Constants!$H82*FracLEACHMM*MMLeachEF*NtoN2O*kgtoGg,"ERROR"))</f>
        <v>1.6173462881319406E-2</v>
      </c>
      <c r="AQ1202" s="94">
        <f>IF('Net zero activities &amp; levers'!$C$14="Off",Constants!$H64*'Activity data'!BJ6*Constants!$H82*FracLEACHMM*MMLeachEF*NtoN2O*kgtoGg,IF('Net zero activities &amp; levers'!$C$14="On",Constants!$H64*'Net zero Activity data'!BJ6*Constants!$H82*FracLEACHMM*MMLeachEF*NtoN2O*kgtoGg,"ERROR"))</f>
        <v>1.617955714429747E-2</v>
      </c>
      <c r="AR1202" s="94">
        <f>IF('Net zero activities &amp; levers'!$C$14="Off",Constants!$H64*'Activity data'!BK6*Constants!$H82*FracLEACHMM*MMLeachEF*NtoN2O*kgtoGg,IF('Net zero activities &amp; levers'!$C$14="On",Constants!$H64*'Net zero Activity data'!BK6*Constants!$H82*FracLEACHMM*MMLeachEF*NtoN2O*kgtoGg,"ERROR"))</f>
        <v>1.6184214725912905E-2</v>
      </c>
      <c r="AS1202" s="94">
        <f>IF('Net zero activities &amp; levers'!$C$14="Off",Constants!$H64*'Activity data'!BL6*Constants!$H82*FracLEACHMM*MMLeachEF*NtoN2O*kgtoGg,IF('Net zero activities &amp; levers'!$C$14="On",Constants!$H64*'Net zero Activity data'!BL6*Constants!$H82*FracLEACHMM*MMLeachEF*NtoN2O*kgtoGg,"ERROR"))</f>
        <v>1.618718995999328E-2</v>
      </c>
      <c r="AT1202" s="94">
        <f>IF('Net zero activities &amp; levers'!$C$14="Off",Constants!$H64*'Activity data'!BM6*Constants!$H82*FracLEACHMM*MMLeachEF*NtoN2O*kgtoGg,IF('Net zero activities &amp; levers'!$C$14="On",Constants!$H64*'Net zero Activity data'!BM6*Constants!$H82*FracLEACHMM*MMLeachEF*NtoN2O*kgtoGg,"ERROR"))</f>
        <v>1.618845250333991E-2</v>
      </c>
      <c r="AU1202" s="94">
        <f>IF('Net zero activities &amp; levers'!$C$14="Off",Constants!$H64*'Activity data'!BN6*Constants!$H82*FracLEACHMM*MMLeachEF*NtoN2O*kgtoGg,IF('Net zero activities &amp; levers'!$C$14="On",Constants!$H64*'Net zero Activity data'!BN6*Constants!$H82*FracLEACHMM*MMLeachEF*NtoN2O*kgtoGg,"ERROR"))</f>
        <v>1.6188037249827626E-2</v>
      </c>
      <c r="AV1202" s="94">
        <f>IF('Net zero activities &amp; levers'!$C$14="Off",Constants!$H64*'Activity data'!BO6*Constants!$H82*FracLEACHMM*MMLeachEF*NtoN2O*kgtoGg,IF('Net zero activities &amp; levers'!$C$14="On",Constants!$H64*'Net zero Activity data'!BO6*Constants!$H82*FracLEACHMM*MMLeachEF*NtoN2O*kgtoGg,"ERROR"))</f>
        <v>1.6185968533908621E-2</v>
      </c>
      <c r="AW1202" s="94">
        <f>IF('Net zero activities &amp; levers'!$C$14="Off",Constants!$H64*'Activity data'!BP6*Constants!$H82*FracLEACHMM*MMLeachEF*NtoN2O*kgtoGg,IF('Net zero activities &amp; levers'!$C$14="On",Constants!$H64*'Net zero Activity data'!BP6*Constants!$H82*FracLEACHMM*MMLeachEF*NtoN2O*kgtoGg,"ERROR"))</f>
        <v>1.6182015293381945E-2</v>
      </c>
      <c r="AY1202" s="79"/>
    </row>
    <row r="1203" spans="1:51" x14ac:dyDescent="0.25">
      <c r="A1203" s="95" t="str">
        <f t="shared" si="380"/>
        <v>CM MM Leaching</v>
      </c>
      <c r="B1203" s="95" t="s">
        <v>1322</v>
      </c>
      <c r="C1203" s="95" t="s">
        <v>1333</v>
      </c>
      <c r="D1203" t="s">
        <v>369</v>
      </c>
      <c r="E1203" t="s">
        <v>64</v>
      </c>
      <c r="F1203" t="s">
        <v>63</v>
      </c>
      <c r="G1203" t="s">
        <v>1156</v>
      </c>
      <c r="H1203" t="s">
        <v>1308</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1.4679523755410987E-3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1.4802406304505133E-3</v>
      </c>
      <c r="P1203" s="94">
        <f>IF('Net zero activities &amp; levers'!$C$14="Off",Constants!$H65*'Activity data'!AI7*Constants!$H83*FracLEACHMM*MMLeachEF*NtoN2O*kgtoGg,IF('Net zero activities &amp; levers'!$C$14="On",Constants!$H65*'Net zero Activity data'!AI7*Constants!$H83*FracLEACHMM*MMLeachEF*NtoN2O*kgtoGg,"ERROR"))</f>
        <v>1.4826212670547866E-3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1.4939147526814829E-3</v>
      </c>
      <c r="S1203" s="94">
        <f>IF('Net zero activities &amp; levers'!$C$14="Off",Constants!$H65*'Activity data'!AL7*Constants!$H83*FracLEACHMM*MMLeachEF*NtoN2O*kgtoGg,IF('Net zero activities &amp; levers'!$C$14="On",Constants!$H65*'Net zero Activity data'!AL7*Constants!$H83*FracLEACHMM*MMLeachEF*NtoN2O*kgtoGg,"ERROR"))</f>
        <v>1.4514657540972396E-3</v>
      </c>
      <c r="T1203" s="94">
        <f>IF('Net zero activities &amp; levers'!$C$14="Off",Constants!$H65*'Activity data'!AM7*Constants!$H83*FracLEACHMM*MMLeachEF*NtoN2O*kgtoGg,IF('Net zero activities &amp; levers'!$C$14="On",Constants!$H65*'Net zero Activity data'!AM7*Constants!$H83*FracLEACHMM*MMLeachEF*NtoN2O*kgtoGg,"ERROR"))</f>
        <v>1.476440277985364E-3</v>
      </c>
      <c r="U1203" s="94">
        <f>IF('Net zero activities &amp; levers'!$C$14="Off",Constants!$H65*'Activity data'!AN7*Constants!$H83*FracLEACHMM*MMLeachEF*NtoN2O*kgtoGg,IF('Net zero activities &amp; levers'!$C$14="On",Constants!$H65*'Net zero Activity data'!AN7*Constants!$H83*FracLEACHMM*MMLeachEF*NtoN2O*kgtoGg,"ERROR"))</f>
        <v>2.5403335724518226E-3</v>
      </c>
      <c r="V1203" s="94">
        <f>IF('Net zero activities &amp; levers'!$C$14="Off",Constants!$H65*'Activity data'!AO7*Constants!$H83*FracLEACHMM*MMLeachEF*NtoN2O*kgtoGg,IF('Net zero activities &amp; levers'!$C$14="On",Constants!$H65*'Net zero Activity data'!AO7*Constants!$H83*FracLEACHMM*MMLeachEF*NtoN2O*kgtoGg,"ERROR"))</f>
        <v>2.5709561079607732E-3</v>
      </c>
      <c r="W1203" s="94">
        <f>IF('Net zero activities &amp; levers'!$C$14="Off",Constants!$H65*'Activity data'!AP7*Constants!$H83*FracLEACHMM*MMLeachEF*NtoN2O*kgtoGg,IF('Net zero activities &amp; levers'!$C$14="On",Constants!$H65*'Net zero Activity data'!AP7*Constants!$H83*FracLEACHMM*MMLeachEF*NtoN2O*kgtoGg,"ERROR"))</f>
        <v>2.6002354641383586E-3</v>
      </c>
      <c r="X1203" s="94">
        <f>IF('Net zero activities &amp; levers'!$C$14="Off",Constants!$H65*'Activity data'!AQ7*Constants!$H83*FracLEACHMM*MMLeachEF*NtoN2O*kgtoGg,IF('Net zero activities &amp; levers'!$C$14="On",Constants!$H65*'Net zero Activity data'!AQ7*Constants!$H83*FracLEACHMM*MMLeachEF*NtoN2O*kgtoGg,"ERROR"))</f>
        <v>2.6276736055985106E-3</v>
      </c>
      <c r="Y1203" s="94">
        <f>IF('Net zero activities &amp; levers'!$C$14="Off",Constants!$H65*'Activity data'!AR7*Constants!$H83*FracLEACHMM*MMLeachEF*NtoN2O*kgtoGg,IF('Net zero activities &amp; levers'!$C$14="On",Constants!$H65*'Net zero Activity data'!AR7*Constants!$H83*FracLEACHMM*MMLeachEF*NtoN2O*kgtoGg,"ERROR"))</f>
        <v>2.6525377903466292E-3</v>
      </c>
      <c r="Z1203" s="94">
        <f>IF('Net zero activities &amp; levers'!$C$14="Off",Constants!$H65*'Activity data'!AS7*Constants!$H83*FracLEACHMM*MMLeachEF*NtoN2O*kgtoGg,IF('Net zero activities &amp; levers'!$C$14="On",Constants!$H65*'Net zero Activity data'!AS7*Constants!$H83*FracLEACHMM*MMLeachEF*NtoN2O*kgtoGg,"ERROR"))</f>
        <v>2.6747119020803316E-3</v>
      </c>
      <c r="AA1203" s="94">
        <f>IF('Net zero activities &amp; levers'!$C$14="Off",Constants!$H65*'Activity data'!AT7*Constants!$H83*FracLEACHMM*MMLeachEF*NtoN2O*kgtoGg,IF('Net zero activities &amp; levers'!$C$14="On",Constants!$H65*'Net zero Activity data'!AT7*Constants!$H83*FracLEACHMM*MMLeachEF*NtoN2O*kgtoGg,"ERROR"))</f>
        <v>2.6940667648944388E-3</v>
      </c>
      <c r="AB1203" s="94">
        <f>IF('Net zero activities &amp; levers'!$C$14="Off",Constants!$H65*'Activity data'!AU7*Constants!$H83*FracLEACHMM*MMLeachEF*NtoN2O*kgtoGg,IF('Net zero activities &amp; levers'!$C$14="On",Constants!$H65*'Net zero Activity data'!AU7*Constants!$H83*FracLEACHMM*MMLeachEF*NtoN2O*kgtoGg,"ERROR"))</f>
        <v>2.7105046116902751E-3</v>
      </c>
      <c r="AC1203" s="94">
        <f>IF('Net zero activities &amp; levers'!$C$14="Off",Constants!$H65*'Activity data'!AV7*Constants!$H83*FracLEACHMM*MMLeachEF*NtoN2O*kgtoGg,IF('Net zero activities &amp; levers'!$C$14="On",Constants!$H65*'Net zero Activity data'!AV7*Constants!$H83*FracLEACHMM*MMLeachEF*NtoN2O*kgtoGg,"ERROR"))</f>
        <v>2.7239479062209941E-3</v>
      </c>
      <c r="AD1203" s="94">
        <f>IF('Net zero activities &amp; levers'!$C$14="Off",Constants!$H65*'Activity data'!AW7*Constants!$H83*FracLEACHMM*MMLeachEF*NtoN2O*kgtoGg,IF('Net zero activities &amp; levers'!$C$14="On",Constants!$H65*'Net zero Activity data'!AW7*Constants!$H83*FracLEACHMM*MMLeachEF*NtoN2O*kgtoGg,"ERROR"))</f>
        <v>2.7343151404663774E-3</v>
      </c>
      <c r="AE1203" s="94">
        <f>IF('Net zero activities &amp; levers'!$C$14="Off",Constants!$H65*'Activity data'!AX7*Constants!$H83*FracLEACHMM*MMLeachEF*NtoN2O*kgtoGg,IF('Net zero activities &amp; levers'!$C$14="On",Constants!$H65*'Net zero Activity data'!AX7*Constants!$H83*FracLEACHMM*MMLeachEF*NtoN2O*kgtoGg,"ERROR"))</f>
        <v>2.741557518758363E-3</v>
      </c>
      <c r="AF1203" s="94">
        <f>IF('Net zero activities &amp; levers'!$C$14="Off",Constants!$H65*'Activity data'!AY7*Constants!$H83*FracLEACHMM*MMLeachEF*NtoN2O*kgtoGg,IF('Net zero activities &amp; levers'!$C$14="On",Constants!$H65*'Net zero Activity data'!AY7*Constants!$H83*FracLEACHMM*MMLeachEF*NtoN2O*kgtoGg,"ERROR"))</f>
        <v>2.7456282352309475E-3</v>
      </c>
      <c r="AG1203" s="94">
        <f>IF('Net zero activities &amp; levers'!$C$14="Off",Constants!$H65*'Activity data'!AZ7*Constants!$H83*FracLEACHMM*MMLeachEF*NtoN2O*kgtoGg,IF('Net zero activities &amp; levers'!$C$14="On",Constants!$H65*'Net zero Activity data'!AZ7*Constants!$H83*FracLEACHMM*MMLeachEF*NtoN2O*kgtoGg,"ERROR"))</f>
        <v>2.7464820696170918E-3</v>
      </c>
      <c r="AH1203" s="94">
        <f>IF('Net zero activities &amp; levers'!$C$14="Off",Constants!$H65*'Activity data'!BA7*Constants!$H83*FracLEACHMM*MMLeachEF*NtoN2O*kgtoGg,IF('Net zero activities &amp; levers'!$C$14="On",Constants!$H65*'Net zero Activity data'!BA7*Constants!$H83*FracLEACHMM*MMLeachEF*NtoN2O*kgtoGg,"ERROR"))</f>
        <v>2.7441107638273262E-3</v>
      </c>
      <c r="AI1203" s="94">
        <f>IF('Net zero activities &amp; levers'!$C$14="Off",Constants!$H65*'Activity data'!BB7*Constants!$H83*FracLEACHMM*MMLeachEF*NtoN2O*kgtoGg,IF('Net zero activities &amp; levers'!$C$14="On",Constants!$H65*'Net zero Activity data'!BB7*Constants!$H83*FracLEACHMM*MMLeachEF*NtoN2O*kgtoGg,"ERROR"))</f>
        <v>2.738527817916133E-3</v>
      </c>
      <c r="AJ1203" s="94">
        <f>IF('Net zero activities &amp; levers'!$C$14="Off",Constants!$H65*'Activity data'!BC7*Constants!$H83*FracLEACHMM*MMLeachEF*NtoN2O*kgtoGg,IF('Net zero activities &amp; levers'!$C$14="On",Constants!$H65*'Net zero Activity data'!BC7*Constants!$H83*FracLEACHMM*MMLeachEF*NtoN2O*kgtoGg,"ERROR"))</f>
        <v>8.664228458585355E-4</v>
      </c>
      <c r="AK1203" s="94">
        <f>IF('Net zero activities &amp; levers'!$C$14="Off",Constants!$H65*'Activity data'!BD7*Constants!$H83*FracLEACHMM*MMLeachEF*NtoN2O*kgtoGg,IF('Net zero activities &amp; levers'!$C$14="On",Constants!$H65*'Net zero Activity data'!BD7*Constants!$H83*FracLEACHMM*MMLeachEF*NtoN2O*kgtoGg,"ERROR"))</f>
        <v>8.6705531999584366E-4</v>
      </c>
      <c r="AL1203" s="94">
        <f>IF('Net zero activities &amp; levers'!$C$14="Off",Constants!$H65*'Activity data'!BE7*Constants!$H83*FracLEACHMM*MMLeachEF*NtoN2O*kgtoGg,IF('Net zero activities &amp; levers'!$C$14="On",Constants!$H65*'Net zero Activity data'!BE7*Constants!$H83*FracLEACHMM*MMLeachEF*NtoN2O*kgtoGg,"ERROR"))</f>
        <v>8.6764226446925895E-4</v>
      </c>
      <c r="AM1203" s="94">
        <f>IF('Net zero activities &amp; levers'!$C$14="Off",Constants!$H65*'Activity data'!BF7*Constants!$H83*FracLEACHMM*MMLeachEF*NtoN2O*kgtoGg,IF('Net zero activities &amp; levers'!$C$14="On",Constants!$H65*'Net zero Activity data'!BF7*Constants!$H83*FracLEACHMM*MMLeachEF*NtoN2O*kgtoGg,"ERROR"))</f>
        <v>8.6818764975598228E-4</v>
      </c>
      <c r="AN1203" s="94">
        <f>IF('Net zero activities &amp; levers'!$C$14="Off",Constants!$H65*'Activity data'!BG7*Constants!$H83*FracLEACHMM*MMLeachEF*NtoN2O*kgtoGg,IF('Net zero activities &amp; levers'!$C$14="On",Constants!$H65*'Net zero Activity data'!BG7*Constants!$H83*FracLEACHMM*MMLeachEF*NtoN2O*kgtoGg,"ERROR"))</f>
        <v>8.6869636665180383E-4</v>
      </c>
      <c r="AO1203" s="94">
        <f>IF('Net zero activities &amp; levers'!$C$14="Off",Constants!$H65*'Activity data'!BH7*Constants!$H83*FracLEACHMM*MMLeachEF*NtoN2O*kgtoGg,IF('Net zero activities &amp; levers'!$C$14="On",Constants!$H65*'Net zero Activity data'!BH7*Constants!$H83*FracLEACHMM*MMLeachEF*NtoN2O*kgtoGg,"ERROR"))</f>
        <v>8.691524490046414E-4</v>
      </c>
      <c r="AP1203" s="94">
        <f>IF('Net zero activities &amp; levers'!$C$14="Off",Constants!$H65*'Activity data'!BI7*Constants!$H83*FracLEACHMM*MMLeachEF*NtoN2O*kgtoGg,IF('Net zero activities &amp; levers'!$C$14="On",Constants!$H65*'Net zero Activity data'!BI7*Constants!$H83*FracLEACHMM*MMLeachEF*NtoN2O*kgtoGg,"ERROR"))</f>
        <v>8.6954517492875681E-4</v>
      </c>
      <c r="AQ1203" s="94">
        <f>IF('Net zero activities &amp; levers'!$C$14="Off",Constants!$H65*'Activity data'!BJ7*Constants!$H83*FracLEACHMM*MMLeachEF*NtoN2O*kgtoGg,IF('Net zero activities &amp; levers'!$C$14="On",Constants!$H65*'Net zero Activity data'!BJ7*Constants!$H83*FracLEACHMM*MMLeachEF*NtoN2O*kgtoGg,"ERROR"))</f>
        <v>8.6987282504340517E-4</v>
      </c>
      <c r="AR1203" s="94">
        <f>IF('Net zero activities &amp; levers'!$C$14="Off",Constants!$H65*'Activity data'!BK7*Constants!$H83*FracLEACHMM*MMLeachEF*NtoN2O*kgtoGg,IF('Net zero activities &amp; levers'!$C$14="On",Constants!$H65*'Net zero Activity data'!BK7*Constants!$H83*FracLEACHMM*MMLeachEF*NtoN2O*kgtoGg,"ERROR"))</f>
        <v>8.7012323385506529E-4</v>
      </c>
      <c r="AS1203" s="94">
        <f>IF('Net zero activities &amp; levers'!$C$14="Off",Constants!$H65*'Activity data'!BL7*Constants!$H83*FracLEACHMM*MMLeachEF*NtoN2O*kgtoGg,IF('Net zero activities &amp; levers'!$C$14="On",Constants!$H65*'Net zero Activity data'!BL7*Constants!$H83*FracLEACHMM*MMLeachEF*NtoN2O*kgtoGg,"ERROR"))</f>
        <v>8.7028319344181889E-4</v>
      </c>
      <c r="AT1203" s="94">
        <f>IF('Net zero activities &amp; levers'!$C$14="Off",Constants!$H65*'Activity data'!BM7*Constants!$H83*FracLEACHMM*MMLeachEF*NtoN2O*kgtoGg,IF('Net zero activities &amp; levers'!$C$14="On",Constants!$H65*'Net zero Activity data'!BM7*Constants!$H83*FracLEACHMM*MMLeachEF*NtoN2O*kgtoGg,"ERROR"))</f>
        <v>8.7035107244109425E-4</v>
      </c>
      <c r="AU1203" s="94">
        <f>IF('Net zero activities &amp; levers'!$C$14="Off",Constants!$H65*'Activity data'!BN7*Constants!$H83*FracLEACHMM*MMLeachEF*NtoN2O*kgtoGg,IF('Net zero activities &amp; levers'!$C$14="On",Constants!$H65*'Net zero Activity data'!BN7*Constants!$H83*FracLEACHMM*MMLeachEF*NtoN2O*kgtoGg,"ERROR"))</f>
        <v>8.7032874687664199E-4</v>
      </c>
      <c r="AV1203" s="94">
        <f>IF('Net zero activities &amp; levers'!$C$14="Off",Constants!$H65*'Activity data'!BO7*Constants!$H83*FracLEACHMM*MMLeachEF*NtoN2O*kgtoGg,IF('Net zero activities &amp; levers'!$C$14="On",Constants!$H65*'Net zero Activity data'!BO7*Constants!$H83*FracLEACHMM*MMLeachEF*NtoN2O*kgtoGg,"ERROR"))</f>
        <v>8.7021752505860126E-4</v>
      </c>
      <c r="AW1203" s="94">
        <f>IF('Net zero activities &amp; levers'!$C$14="Off",Constants!$H65*'Activity data'!BP7*Constants!$H83*FracLEACHMM*MMLeachEF*NtoN2O*kgtoGg,IF('Net zero activities &amp; levers'!$C$14="On",Constants!$H65*'Net zero Activity data'!BP7*Constants!$H83*FracLEACHMM*MMLeachEF*NtoN2O*kgtoGg,"ERROR"))</f>
        <v>8.7000498422856851E-4</v>
      </c>
      <c r="AY1203" s="79"/>
    </row>
    <row r="1204" spans="1:51" x14ac:dyDescent="0.25">
      <c r="A1204" s="95" t="str">
        <f t="shared" si="380"/>
        <v>CM MM Leaching</v>
      </c>
      <c r="B1204" s="95" t="s">
        <v>1322</v>
      </c>
      <c r="C1204" s="95" t="s">
        <v>1333</v>
      </c>
      <c r="D1204" t="s">
        <v>369</v>
      </c>
      <c r="E1204" t="s">
        <v>64</v>
      </c>
      <c r="F1204" t="s">
        <v>63</v>
      </c>
      <c r="G1204" t="s">
        <v>1158</v>
      </c>
      <c r="H1204" t="s">
        <v>1309</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3.0303014392691133E-2</v>
      </c>
      <c r="L1204" s="94">
        <f>IF('Net zero activities &amp; levers'!$C$14="Off",Constants!$H66*'Activity data'!AE8*Constants!$H84*FracLEACHMM*MMLeachEF*NtoN2O*kgtoGg,IF('Net zero activities &amp; levers'!$C$14="On",Constants!$H66*'Net zero Activity data'!AE8*Constants!$H84*FracLEACHMM*MMLeachEF*NtoN2O*kgtoGg,"ERROR"))</f>
        <v>3.0040206026371367E-2</v>
      </c>
      <c r="M1204" s="94">
        <f>IF('Net zero activities &amp; levers'!$C$14="Off",Constants!$H66*'Activity data'!AF8*Constants!$H84*FracLEACHMM*MMLeachEF*NtoN2O*kgtoGg,IF('Net zero activities &amp; levers'!$C$14="On",Constants!$H66*'Net zero Activity data'!AF8*Constants!$H84*FracLEACHMM*MMLeachEF*NtoN2O*kgtoGg,"ERROR"))</f>
        <v>2.9940162837193193E-2</v>
      </c>
      <c r="N1204" s="94">
        <f>IF('Net zero activities &amp; levers'!$C$14="Off",Constants!$H66*'Activity data'!AG8*Constants!$H84*FracLEACHMM*MMLeachEF*NtoN2O*kgtoGg,IF('Net zero activities &amp; levers'!$C$14="On",Constants!$H66*'Net zero Activity data'!AG8*Constants!$H84*FracLEACHMM*MMLeachEF*NtoN2O*kgtoGg,"ERROR"))</f>
        <v>2.9540351153331305E-2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2.8211154016296508E-2</v>
      </c>
      <c r="Q1204" s="94">
        <f>IF('Net zero activities &amp; levers'!$C$14="Off",Constants!$H66*'Activity data'!AJ8*Constants!$H84*FracLEACHMM*MMLeachEF*NtoN2O*kgtoGg,IF('Net zero activities &amp; levers'!$C$14="On",Constants!$H66*'Net zero Activity data'!AJ8*Constants!$H84*FracLEACHMM*MMLeachEF*NtoN2O*kgtoGg,"ERROR"))</f>
        <v>2.7620505669412019E-2</v>
      </c>
      <c r="R1204" s="94">
        <f>IF('Net zero activities &amp; levers'!$C$14="Off",Constants!$H66*'Activity data'!AK8*Constants!$H84*FracLEACHMM*MMLeachEF*NtoN2O*kgtoGg,IF('Net zero activities &amp; levers'!$C$14="On",Constants!$H66*'Net zero Activity data'!AK8*Constants!$H84*FracLEACHMM*MMLeachEF*NtoN2O*kgtoGg,"ERROR"))</f>
        <v>2.7061685185942382E-2</v>
      </c>
      <c r="S1204" s="94">
        <f>IF('Net zero activities &amp; levers'!$C$14="Off",Constants!$H66*'Activity data'!AL8*Constants!$H84*FracLEACHMM*MMLeachEF*NtoN2O*kgtoGg,IF('Net zero activities &amp; levers'!$C$14="On",Constants!$H66*'Net zero Activity data'!AL8*Constants!$H84*FracLEACHMM*MMLeachEF*NtoN2O*kgtoGg,"ERROR"))</f>
        <v>2.4201772556346722E-2</v>
      </c>
      <c r="T1204" s="94">
        <f>IF('Net zero activities &amp; levers'!$C$14="Off",Constants!$H66*'Activity data'!AM8*Constants!$H84*FracLEACHMM*MMLeachEF*NtoN2O*kgtoGg,IF('Net zero activities &amp; levers'!$C$14="On",Constants!$H66*'Net zero Activity data'!AM8*Constants!$H84*FracLEACHMM*MMLeachEF*NtoN2O*kgtoGg,"ERROR"))</f>
        <v>2.5134193306706524E-2</v>
      </c>
      <c r="U1204" s="94">
        <f>IF('Net zero activities &amp; levers'!$C$14="Off",Constants!$H66*'Activity data'!AN8*Constants!$H84*FracLEACHMM*MMLeachEF*NtoN2O*kgtoGg,IF('Net zero activities &amp; levers'!$C$14="On",Constants!$H66*'Net zero Activity data'!AN8*Constants!$H84*FracLEACHMM*MMLeachEF*NtoN2O*kgtoGg,"ERROR"))</f>
        <v>7.9215327522416931E-2</v>
      </c>
      <c r="V1204" s="94">
        <f>IF('Net zero activities &amp; levers'!$C$14="Off",Constants!$H66*'Activity data'!AO8*Constants!$H84*FracLEACHMM*MMLeachEF*NtoN2O*kgtoGg,IF('Net zero activities &amp; levers'!$C$14="On",Constants!$H66*'Net zero Activity data'!AO8*Constants!$H84*FracLEACHMM*MMLeachEF*NtoN2O*kgtoGg,"ERROR"))</f>
        <v>7.9597413086941654E-2</v>
      </c>
      <c r="W1204" s="94">
        <f>IF('Net zero activities &amp; levers'!$C$14="Off",Constants!$H66*'Activity data'!AP8*Constants!$H84*FracLEACHMM*MMLeachEF*NtoN2O*kgtoGg,IF('Net zero activities &amp; levers'!$C$14="On",Constants!$H66*'Net zero Activity data'!AP8*Constants!$H84*FracLEACHMM*MMLeachEF*NtoN2O*kgtoGg,"ERROR"))</f>
        <v>7.9841946903631861E-2</v>
      </c>
      <c r="X1204" s="94">
        <f>IF('Net zero activities &amp; levers'!$C$14="Off",Constants!$H66*'Activity data'!AQ8*Constants!$H84*FracLEACHMM*MMLeachEF*NtoN2O*kgtoGg,IF('Net zero activities &amp; levers'!$C$14="On",Constants!$H66*'Net zero Activity data'!AQ8*Constants!$H84*FracLEACHMM*MMLeachEF*NtoN2O*kgtoGg,"ERROR"))</f>
        <v>7.9948879165643486E-2</v>
      </c>
      <c r="Y1204" s="94">
        <f>IF('Net zero activities &amp; levers'!$C$14="Off",Constants!$H66*'Activity data'!AR8*Constants!$H84*FracLEACHMM*MMLeachEF*NtoN2O*kgtoGg,IF('Net zero activities &amp; levers'!$C$14="On",Constants!$H66*'Net zero Activity data'!AR8*Constants!$H84*FracLEACHMM*MMLeachEF*NtoN2O*kgtoGg,"ERROR"))</f>
        <v>7.992047510263596E-2</v>
      </c>
      <c r="Z1204" s="94">
        <f>IF('Net zero activities &amp; levers'!$C$14="Off",Constants!$H66*'Activity data'!AS8*Constants!$H84*FracLEACHMM*MMLeachEF*NtoN2O*kgtoGg,IF('Net zero activities &amp; levers'!$C$14="On",Constants!$H66*'Net zero Activity data'!AS8*Constants!$H84*FracLEACHMM*MMLeachEF*NtoN2O*kgtoGg,"ERROR"))</f>
        <v>7.9755373238701549E-2</v>
      </c>
      <c r="AA1204" s="94">
        <f>IF('Net zero activities &amp; levers'!$C$14="Off",Constants!$H66*'Activity data'!AT8*Constants!$H84*FracLEACHMM*MMLeachEF*NtoN2O*kgtoGg,IF('Net zero activities &amp; levers'!$C$14="On",Constants!$H66*'Net zero Activity data'!AT8*Constants!$H84*FracLEACHMM*MMLeachEF*NtoN2O*kgtoGg,"ERROR"))</f>
        <v>7.9453169143115579E-2</v>
      </c>
      <c r="AB1204" s="94">
        <f>IF('Net zero activities &amp; levers'!$C$14="Off",Constants!$H66*'Activity data'!AU8*Constants!$H84*FracLEACHMM*MMLeachEF*NtoN2O*kgtoGg,IF('Net zero activities &amp; levers'!$C$14="On",Constants!$H66*'Net zero Activity data'!AU8*Constants!$H84*FracLEACHMM*MMLeachEF*NtoN2O*kgtoGg,"ERROR"))</f>
        <v>7.9014112861708063E-2</v>
      </c>
      <c r="AC1204" s="94">
        <f>IF('Net zero activities &amp; levers'!$C$14="Off",Constants!$H66*'Activity data'!AV8*Constants!$H84*FracLEACHMM*MMLeachEF*NtoN2O*kgtoGg,IF('Net zero activities &amp; levers'!$C$14="On",Constants!$H66*'Net zero Activity data'!AV8*Constants!$H84*FracLEACHMM*MMLeachEF*NtoN2O*kgtoGg,"ERROR"))</f>
        <v>7.8439191657390592E-2</v>
      </c>
      <c r="AD1204" s="94">
        <f>IF('Net zero activities &amp; levers'!$C$14="Off",Constants!$H66*'Activity data'!AW8*Constants!$H84*FracLEACHMM*MMLeachEF*NtoN2O*kgtoGg,IF('Net zero activities &amp; levers'!$C$14="On",Constants!$H66*'Net zero Activity data'!AW8*Constants!$H84*FracLEACHMM*MMLeachEF*NtoN2O*kgtoGg,"ERROR"))</f>
        <v>7.7077087742293285E-2</v>
      </c>
      <c r="AE1204" s="94">
        <f>IF('Net zero activities &amp; levers'!$C$14="Off",Constants!$H66*'Activity data'!AX8*Constants!$H84*FracLEACHMM*MMLeachEF*NtoN2O*kgtoGg,IF('Net zero activities &amp; levers'!$C$14="On",Constants!$H66*'Net zero Activity data'!AX8*Constants!$H84*FracLEACHMM*MMLeachEF*NtoN2O*kgtoGg,"ERROR"))</f>
        <v>7.5586682253877949E-2</v>
      </c>
      <c r="AF1204" s="94">
        <f>IF('Net zero activities &amp; levers'!$C$14="Off",Constants!$H66*'Activity data'!AY8*Constants!$H84*FracLEACHMM*MMLeachEF*NtoN2O*kgtoGg,IF('Net zero activities &amp; levers'!$C$14="On",Constants!$H66*'Net zero Activity data'!AY8*Constants!$H84*FracLEACHMM*MMLeachEF*NtoN2O*kgtoGg,"ERROR"))</f>
        <v>7.3974671879861814E-2</v>
      </c>
      <c r="AG1204" s="94">
        <f>IF('Net zero activities &amp; levers'!$C$14="Off",Constants!$H66*'Activity data'!AZ8*Constants!$H84*FracLEACHMM*MMLeachEF*NtoN2O*kgtoGg,IF('Net zero activities &amp; levers'!$C$14="On",Constants!$H66*'Net zero Activity data'!AZ8*Constants!$H84*FracLEACHMM*MMLeachEF*NtoN2O*kgtoGg,"ERROR"))</f>
        <v>7.2248514242158265E-2</v>
      </c>
      <c r="AH1204" s="94">
        <f>IF('Net zero activities &amp; levers'!$C$14="Off",Constants!$H66*'Activity data'!BA8*Constants!$H84*FracLEACHMM*MMLeachEF*NtoN2O*kgtoGg,IF('Net zero activities &amp; levers'!$C$14="On",Constants!$H66*'Net zero Activity data'!BA8*Constants!$H84*FracLEACHMM*MMLeachEF*NtoN2O*kgtoGg,"ERROR"))</f>
        <v>7.0416148615651625E-2</v>
      </c>
      <c r="AI1204" s="94">
        <f>IF('Net zero activities &amp; levers'!$C$14="Off",Constants!$H66*'Activity data'!BB8*Constants!$H84*FracLEACHMM*MMLeachEF*NtoN2O*kgtoGg,IF('Net zero activities &amp; levers'!$C$14="On",Constants!$H66*'Net zero Activity data'!BB8*Constants!$H84*FracLEACHMM*MMLeachEF*NtoN2O*kgtoGg,"ERROR"))</f>
        <v>6.8486029191241041E-2</v>
      </c>
      <c r="AJ1204" s="94">
        <f>IF('Net zero activities &amp; levers'!$C$14="Off",Constants!$H66*'Activity data'!BC8*Constants!$H84*FracLEACHMM*MMLeachEF*NtoN2O*kgtoGg,IF('Net zero activities &amp; levers'!$C$14="On",Constants!$H66*'Net zero Activity data'!BC8*Constants!$H84*FracLEACHMM*MMLeachEF*NtoN2O*kgtoGg,"ERROR"))</f>
        <v>-5.2880249817764688E-3</v>
      </c>
      <c r="AK1204" s="94">
        <f>IF('Net zero activities &amp; levers'!$C$14="Off",Constants!$H66*'Activity data'!BD8*Constants!$H84*FracLEACHMM*MMLeachEF*NtoN2O*kgtoGg,IF('Net zero activities &amp; levers'!$C$14="On",Constants!$H66*'Net zero Activity data'!BD8*Constants!$H84*FracLEACHMM*MMLeachEF*NtoN2O*kgtoGg,"ERROR"))</f>
        <v>-5.1607046214705845E-3</v>
      </c>
      <c r="AL1204" s="94">
        <f>IF('Net zero activities &amp; levers'!$C$14="Off",Constants!$H66*'Activity data'!BE8*Constants!$H84*FracLEACHMM*MMLeachEF*NtoN2O*kgtoGg,IF('Net zero activities &amp; levers'!$C$14="On",Constants!$H66*'Net zero Activity data'!BE8*Constants!$H84*FracLEACHMM*MMLeachEF*NtoN2O*kgtoGg,"ERROR"))</f>
        <v>-5.0347089645398375E-3</v>
      </c>
      <c r="AM1204" s="94">
        <f>IF('Net zero activities &amp; levers'!$C$14="Off",Constants!$H66*'Activity data'!BF8*Constants!$H84*FracLEACHMM*MMLeachEF*NtoN2O*kgtoGg,IF('Net zero activities &amp; levers'!$C$14="On",Constants!$H66*'Net zero Activity data'!BF8*Constants!$H84*FracLEACHMM*MMLeachEF*NtoN2O*kgtoGg,"ERROR"))</f>
        <v>-4.9100249979569036E-3</v>
      </c>
      <c r="AN1204" s="94">
        <f>IF('Net zero activities &amp; levers'!$C$14="Off",Constants!$H66*'Activity data'!BG8*Constants!$H84*FracLEACHMM*MMLeachEF*NtoN2O*kgtoGg,IF('Net zero activities &amp; levers'!$C$14="On",Constants!$H66*'Net zero Activity data'!BG8*Constants!$H84*FracLEACHMM*MMLeachEF*NtoN2O*kgtoGg,"ERROR"))</f>
        <v>-4.8110666270887118E-3</v>
      </c>
      <c r="AO1204" s="94">
        <f>IF('Net zero activities &amp; levers'!$C$14="Off",Constants!$H66*'Activity data'!BH8*Constants!$H84*FracLEACHMM*MMLeachEF*NtoN2O*kgtoGg,IF('Net zero activities &amp; levers'!$C$14="On",Constants!$H66*'Net zero Activity data'!BH8*Constants!$H84*FracLEACHMM*MMLeachEF*NtoN2O*kgtoGg,"ERROR"))</f>
        <v>-4.7130469845991819E-3</v>
      </c>
      <c r="AP1204" s="94">
        <f>IF('Net zero activities &amp; levers'!$C$14="Off",Constants!$H66*'Activity data'!BI8*Constants!$H84*FracLEACHMM*MMLeachEF*NtoN2O*kgtoGg,IF('Net zero activities &amp; levers'!$C$14="On",Constants!$H66*'Net zero Activity data'!BI8*Constants!$H84*FracLEACHMM*MMLeachEF*NtoN2O*kgtoGg,"ERROR"))</f>
        <v>-4.6158931662269266E-3</v>
      </c>
      <c r="AQ1204" s="94">
        <f>IF('Net zero activities &amp; levers'!$C$14="Off",Constants!$H66*'Activity data'!BJ8*Constants!$H84*FracLEACHMM*MMLeachEF*NtoN2O*kgtoGg,IF('Net zero activities &amp; levers'!$C$14="On",Constants!$H66*'Net zero Activity data'!BJ8*Constants!$H84*FracLEACHMM*MMLeachEF*NtoN2O*kgtoGg,"ERROR"))</f>
        <v>-4.5195811063585816E-3</v>
      </c>
      <c r="AR1204" s="94">
        <f>IF('Net zero activities &amp; levers'!$C$14="Off",Constants!$H66*'Activity data'!BK8*Constants!$H84*FracLEACHMM*MMLeachEF*NtoN2O*kgtoGg,IF('Net zero activities &amp; levers'!$C$14="On",Constants!$H66*'Net zero Activity data'!BK8*Constants!$H84*FracLEACHMM*MMLeachEF*NtoN2O*kgtoGg,"ERROR"))</f>
        <v>-4.424040391221005E-3</v>
      </c>
      <c r="AS1204" s="94">
        <f>IF('Net zero activities &amp; levers'!$C$14="Off",Constants!$H66*'Activity data'!BL8*Constants!$H84*FracLEACHMM*MMLeachEF*NtoN2O*kgtoGg,IF('Net zero activities &amp; levers'!$C$14="On",Constants!$H66*'Net zero Activity data'!BL8*Constants!$H84*FracLEACHMM*MMLeachEF*NtoN2O*kgtoGg,"ERROR"))</f>
        <v>-4.3292020646369571E-3</v>
      </c>
      <c r="AT1204" s="94">
        <f>IF('Net zero activities &amp; levers'!$C$14="Off",Constants!$H66*'Activity data'!BM8*Constants!$H84*FracLEACHMM*MMLeachEF*NtoN2O*kgtoGg,IF('Net zero activities &amp; levers'!$C$14="On",Constants!$H66*'Net zero Activity data'!BM8*Constants!$H84*FracLEACHMM*MMLeachEF*NtoN2O*kgtoGg,"ERROR"))</f>
        <v>-4.2350550518406409E-3</v>
      </c>
      <c r="AU1204" s="94">
        <f>IF('Net zero activities &amp; levers'!$C$14="Off",Constants!$H66*'Activity data'!BN8*Constants!$H84*FracLEACHMM*MMLeachEF*NtoN2O*kgtoGg,IF('Net zero activities &amp; levers'!$C$14="On",Constants!$H66*'Net zero Activity data'!BN8*Constants!$H84*FracLEACHMM*MMLeachEF*NtoN2O*kgtoGg,"ERROR"))</f>
        <v>-4.1416051693555066E-3</v>
      </c>
      <c r="AV1204" s="94">
        <f>IF('Net zero activities &amp; levers'!$C$14="Off",Constants!$H66*'Activity data'!BO8*Constants!$H84*FracLEACHMM*MMLeachEF*NtoN2O*kgtoGg,IF('Net zero activities &amp; levers'!$C$14="On",Constants!$H66*'Net zero Activity data'!BO8*Constants!$H84*FracLEACHMM*MMLeachEF*NtoN2O*kgtoGg,"ERROR"))</f>
        <v>-4.0488559853117164E-3</v>
      </c>
      <c r="AW1204" s="94">
        <f>IF('Net zero activities &amp; levers'!$C$14="Off",Constants!$H66*'Activity data'!BP8*Constants!$H84*FracLEACHMM*MMLeachEF*NtoN2O*kgtoGg,IF('Net zero activities &amp; levers'!$C$14="On",Constants!$H66*'Net zero Activity data'!BP8*Constants!$H84*FracLEACHMM*MMLeachEF*NtoN2O*kgtoGg,"ERROR"))</f>
        <v>-3.9567542281437719E-3</v>
      </c>
      <c r="AY1204" s="79"/>
    </row>
    <row r="1205" spans="1:51" x14ac:dyDescent="0.25">
      <c r="A1205" s="95" t="str">
        <f t="shared" si="380"/>
        <v>CM MM Leaching</v>
      </c>
      <c r="B1205" s="95" t="s">
        <v>1322</v>
      </c>
      <c r="C1205" s="95" t="s">
        <v>1333</v>
      </c>
      <c r="D1205" t="s">
        <v>369</v>
      </c>
      <c r="E1205" t="s">
        <v>64</v>
      </c>
      <c r="F1205" t="s">
        <v>63</v>
      </c>
      <c r="G1205" t="s">
        <v>1160</v>
      </c>
      <c r="H1205" t="s">
        <v>1310</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4.0226293185258929E-2</v>
      </c>
      <c r="L1205" s="94">
        <f>IF('Net zero activities &amp; levers'!$C$14="Off",Constants!$H67*'Activity data'!AE9*Constants!$H85*FracLEACHMM*MMLeachEF*NtoN2O*kgtoGg,IF('Net zero activities &amp; levers'!$C$14="On",Constants!$H67*'Net zero Activity data'!AE9*Constants!$H85*FracLEACHMM*MMLeachEF*NtoN2O*kgtoGg,"ERROR"))</f>
        <v>3.9877423391049029E-2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3.9213881856453726E-2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3.7449414696768615E-2</v>
      </c>
      <c r="Q1205" s="94">
        <f>IF('Net zero activities &amp; levers'!$C$14="Off",Constants!$H67*'Activity data'!AJ9*Constants!$H85*FracLEACHMM*MMLeachEF*NtoN2O*kgtoGg,IF('Net zero activities &amp; levers'!$C$14="On",Constants!$H67*'Net zero Activity data'!AJ9*Constants!$H85*FracLEACHMM*MMLeachEF*NtoN2O*kgtoGg,"ERROR"))</f>
        <v>3.6665347697252743E-2</v>
      </c>
      <c r="R1205" s="94">
        <f>IF('Net zero activities &amp; levers'!$C$14="Off",Constants!$H67*'Activity data'!AK9*Constants!$H85*FracLEACHMM*MMLeachEF*NtoN2O*kgtoGg,IF('Net zero activities &amp; levers'!$C$14="On",Constants!$H67*'Net zero Activity data'!AK9*Constants!$H85*FracLEACHMM*MMLeachEF*NtoN2O*kgtoGg,"ERROR"))</f>
        <v>3.5923531179771234E-2</v>
      </c>
      <c r="S1205" s="94">
        <f>IF('Net zero activities &amp; levers'!$C$14="Off",Constants!$H67*'Activity data'!AL9*Constants!$H85*FracLEACHMM*MMLeachEF*NtoN2O*kgtoGg,IF('Net zero activities &amp; levers'!$C$14="On",Constants!$H67*'Net zero Activity data'!AL9*Constants!$H85*FracLEACHMM*MMLeachEF*NtoN2O*kgtoGg,"ERROR"))</f>
        <v>3.2127087617044768E-2</v>
      </c>
      <c r="T1205" s="94">
        <f>IF('Net zero activities &amp; levers'!$C$14="Off",Constants!$H67*'Activity data'!AM9*Constants!$H85*FracLEACHMM*MMLeachEF*NtoN2O*kgtoGg,IF('Net zero activities &amp; levers'!$C$14="On",Constants!$H67*'Net zero Activity data'!AM9*Constants!$H85*FracLEACHMM*MMLeachEF*NtoN2O*kgtoGg,"ERROR"))</f>
        <v>3.336484667262702E-2</v>
      </c>
      <c r="U1205" s="94">
        <f>IF('Net zero activities &amp; levers'!$C$14="Off",Constants!$H67*'Activity data'!AN9*Constants!$H85*FracLEACHMM*MMLeachEF*NtoN2O*kgtoGg,IF('Net zero activities &amp; levers'!$C$14="On",Constants!$H67*'Net zero Activity data'!AN9*Constants!$H85*FracLEACHMM*MMLeachEF*NtoN2O*kgtoGg,"ERROR"))</f>
        <v>0.10515584187068941</v>
      </c>
      <c r="V1205" s="94">
        <f>IF('Net zero activities &amp; levers'!$C$14="Off",Constants!$H67*'Activity data'!AO9*Constants!$H85*FracLEACHMM*MMLeachEF*NtoN2O*kgtoGg,IF('Net zero activities &amp; levers'!$C$14="On",Constants!$H67*'Net zero Activity data'!AO9*Constants!$H85*FracLEACHMM*MMLeachEF*NtoN2O*kgtoGg,"ERROR"))</f>
        <v>0.1056630483730278</v>
      </c>
      <c r="W1205" s="94">
        <f>IF('Net zero activities &amp; levers'!$C$14="Off",Constants!$H67*'Activity data'!AP9*Constants!$H85*FracLEACHMM*MMLeachEF*NtoN2O*kgtoGg,IF('Net zero activities &amp; levers'!$C$14="On",Constants!$H67*'Net zero Activity data'!AP9*Constants!$H85*FracLEACHMM*MMLeachEF*NtoN2O*kgtoGg,"ERROR"))</f>
        <v>0.10598765928059027</v>
      </c>
      <c r="X1205" s="94">
        <f>IF('Net zero activities &amp; levers'!$C$14="Off",Constants!$H67*'Activity data'!AQ9*Constants!$H85*FracLEACHMM*MMLeachEF*NtoN2O*kgtoGg,IF('Net zero activities &amp; levers'!$C$14="On",Constants!$H67*'Net zero Activity data'!AQ9*Constants!$H85*FracLEACHMM*MMLeachEF*NtoN2O*kgtoGg,"ERROR"))</f>
        <v>0.10612960847636668</v>
      </c>
      <c r="Y1205" s="94">
        <f>IF('Net zero activities &amp; levers'!$C$14="Off",Constants!$H67*'Activity data'!AR9*Constants!$H85*FracLEACHMM*MMLeachEF*NtoN2O*kgtoGg,IF('Net zero activities &amp; levers'!$C$14="On",Constants!$H67*'Net zero Activity data'!AR9*Constants!$H85*FracLEACHMM*MMLeachEF*NtoN2O*kgtoGg,"ERROR"))</f>
        <v>0.10609190298108537</v>
      </c>
      <c r="Z1205" s="94">
        <f>IF('Net zero activities &amp; levers'!$C$14="Off",Constants!$H67*'Activity data'!AS9*Constants!$H85*FracLEACHMM*MMLeachEF*NtoN2O*kgtoGg,IF('Net zero activities &amp; levers'!$C$14="On",Constants!$H67*'Net zero Activity data'!AS9*Constants!$H85*FracLEACHMM*MMLeachEF*NtoN2O*kgtoGg,"ERROR"))</f>
        <v>0.10587273547853948</v>
      </c>
      <c r="AA1205" s="94">
        <f>IF('Net zero activities &amp; levers'!$C$14="Off",Constants!$H67*'Activity data'!AT9*Constants!$H85*FracLEACHMM*MMLeachEF*NtoN2O*kgtoGg,IF('Net zero activities &amp; levers'!$C$14="On",Constants!$H67*'Net zero Activity data'!AT9*Constants!$H85*FracLEACHMM*MMLeachEF*NtoN2O*kgtoGg,"ERROR"))</f>
        <v>0.10547156909973328</v>
      </c>
      <c r="AB1205" s="94">
        <f>IF('Net zero activities &amp; levers'!$C$14="Off",Constants!$H67*'Activity data'!AU9*Constants!$H85*FracLEACHMM*MMLeachEF*NtoN2O*kgtoGg,IF('Net zero activities &amp; levers'!$C$14="On",Constants!$H67*'Net zero Activity data'!AU9*Constants!$H85*FracLEACHMM*MMLeachEF*NtoN2O*kgtoGg,"ERROR"))</f>
        <v>0.10488873577259779</v>
      </c>
      <c r="AC1205" s="94">
        <f>IF('Net zero activities &amp; levers'!$C$14="Off",Constants!$H67*'Activity data'!AV9*Constants!$H85*FracLEACHMM*MMLeachEF*NtoN2O*kgtoGg,IF('Net zero activities &amp; levers'!$C$14="On",Constants!$H67*'Net zero Activity data'!AV9*Constants!$H85*FracLEACHMM*MMLeachEF*NtoN2O*kgtoGg,"ERROR"))</f>
        <v>0.10412554605742294</v>
      </c>
      <c r="AD1205" s="94">
        <f>IF('Net zero activities &amp; levers'!$C$14="Off",Constants!$H67*'Activity data'!AW9*Constants!$H85*FracLEACHMM*MMLeachEF*NtoN2O*kgtoGg,IF('Net zero activities &amp; levers'!$C$14="On",Constants!$H67*'Net zero Activity data'!AW9*Constants!$H85*FracLEACHMM*MMLeachEF*NtoN2O*kgtoGg,"ERROR"))</f>
        <v>0.10231739619063251</v>
      </c>
      <c r="AE1205" s="94">
        <f>IF('Net zero activities &amp; levers'!$C$14="Off",Constants!$H67*'Activity data'!AX9*Constants!$H85*FracLEACHMM*MMLeachEF*NtoN2O*kgtoGg,IF('Net zero activities &amp; levers'!$C$14="On",Constants!$H67*'Net zero Activity data'!AX9*Constants!$H85*FracLEACHMM*MMLeachEF*NtoN2O*kgtoGg,"ERROR"))</f>
        <v>0.10033893004317308</v>
      </c>
      <c r="AF1205" s="94">
        <f>IF('Net zero activities &amp; levers'!$C$14="Off",Constants!$H67*'Activity data'!AY9*Constants!$H85*FracLEACHMM*MMLeachEF*NtoN2O*kgtoGg,IF('Net zero activities &amp; levers'!$C$14="On",Constants!$H67*'Net zero Activity data'!AY9*Constants!$H85*FracLEACHMM*MMLeachEF*NtoN2O*kgtoGg,"ERROR"))</f>
        <v>9.8199037256187116E-2</v>
      </c>
      <c r="AG1205" s="94">
        <f>IF('Net zero activities &amp; levers'!$C$14="Off",Constants!$H67*'Activity data'!AZ9*Constants!$H85*FracLEACHMM*MMLeachEF*NtoN2O*kgtoGg,IF('Net zero activities &amp; levers'!$C$14="On",Constants!$H67*'Net zero Activity data'!AZ9*Constants!$H85*FracLEACHMM*MMLeachEF*NtoN2O*kgtoGg,"ERROR"))</f>
        <v>9.5907617586895574E-2</v>
      </c>
      <c r="AH1205" s="94">
        <f>IF('Net zero activities &amp; levers'!$C$14="Off",Constants!$H67*'Activity data'!BA9*Constants!$H85*FracLEACHMM*MMLeachEF*NtoN2O*kgtoGg,IF('Net zero activities &amp; levers'!$C$14="On",Constants!$H67*'Net zero Activity data'!BA9*Constants!$H85*FracLEACHMM*MMLeachEF*NtoN2O*kgtoGg,"ERROR"))</f>
        <v>9.3475210171604761E-2</v>
      </c>
      <c r="AI1205" s="94">
        <f>IF('Net zero activities &amp; levers'!$C$14="Off",Constants!$H67*'Activity data'!BB9*Constants!$H85*FracLEACHMM*MMLeachEF*NtoN2O*kgtoGg,IF('Net zero activities &amp; levers'!$C$14="On",Constants!$H67*'Net zero Activity data'!BB9*Constants!$H85*FracLEACHMM*MMLeachEF*NtoN2O*kgtoGg,"ERROR"))</f>
        <v>9.091303768134483E-2</v>
      </c>
      <c r="AJ1205" s="94">
        <f>IF('Net zero activities &amp; levers'!$C$14="Off",Constants!$H67*'Activity data'!BC9*Constants!$H85*FracLEACHMM*MMLeachEF*NtoN2O*kgtoGg,IF('Net zero activities &amp; levers'!$C$14="On",Constants!$H67*'Net zero Activity data'!BC9*Constants!$H85*FracLEACHMM*MMLeachEF*NtoN2O*kgtoGg,"ERROR"))</f>
        <v>-7.0196859141254189E-3</v>
      </c>
      <c r="AK1205" s="94">
        <f>IF('Net zero activities &amp; levers'!$C$14="Off",Constants!$H67*'Activity data'!BD9*Constants!$H85*FracLEACHMM*MMLeachEF*NtoN2O*kgtoGg,IF('Net zero activities &amp; levers'!$C$14="On",Constants!$H67*'Net zero Activity data'!BD9*Constants!$H85*FracLEACHMM*MMLeachEF*NtoN2O*kgtoGg,"ERROR"))</f>
        <v>-6.8506721626963654E-3</v>
      </c>
      <c r="AL1205" s="94">
        <f>IF('Net zero activities &amp; levers'!$C$14="Off",Constants!$H67*'Activity data'!BE9*Constants!$H85*FracLEACHMM*MMLeachEF*NtoN2O*kgtoGg,IF('Net zero activities &amp; levers'!$C$14="On",Constants!$H67*'Net zero Activity data'!BE9*Constants!$H85*FracLEACHMM*MMLeachEF*NtoN2O*kgtoGg,"ERROR"))</f>
        <v>-6.6834169131002059E-3</v>
      </c>
      <c r="AM1205" s="94">
        <f>IF('Net zero activities &amp; levers'!$C$14="Off",Constants!$H67*'Activity data'!BF9*Constants!$H85*FracLEACHMM*MMLeachEF*NtoN2O*kgtoGg,IF('Net zero activities &amp; levers'!$C$14="On",Constants!$H67*'Net zero Activity data'!BF9*Constants!$H85*FracLEACHMM*MMLeachEF*NtoN2O*kgtoGg,"ERROR"))</f>
        <v>-6.5179028909547456E-3</v>
      </c>
      <c r="AN1205" s="94">
        <f>IF('Net zero activities &amp; levers'!$C$14="Off",Constants!$H67*'Activity data'!BG9*Constants!$H85*FracLEACHMM*MMLeachEF*NtoN2O*kgtoGg,IF('Net zero activities &amp; levers'!$C$14="On",Constants!$H67*'Net zero Activity data'!BG9*Constants!$H85*FracLEACHMM*MMLeachEF*NtoN2O*kgtoGg,"ERROR"))</f>
        <v>-6.3865387834737544E-3</v>
      </c>
      <c r="AO1205" s="94">
        <f>IF('Net zero activities &amp; levers'!$C$14="Off",Constants!$H67*'Activity data'!BH9*Constants!$H85*FracLEACHMM*MMLeachEF*NtoN2O*kgtoGg,IF('Net zero activities &amp; levers'!$C$14="On",Constants!$H67*'Net zero Activity data'!BH9*Constants!$H85*FracLEACHMM*MMLeachEF*NtoN2O*kgtoGg,"ERROR"))</f>
        <v>-6.2564208082254193E-3</v>
      </c>
      <c r="AP1205" s="94">
        <f>IF('Net zero activities &amp; levers'!$C$14="Off",Constants!$H67*'Activity data'!BI9*Constants!$H85*FracLEACHMM*MMLeachEF*NtoN2O*kgtoGg,IF('Net zero activities &amp; levers'!$C$14="On",Constants!$H67*'Net zero Activity data'!BI9*Constants!$H85*FracLEACHMM*MMLeachEF*NtoN2O*kgtoGg,"ERROR"))</f>
        <v>-6.1274521871085615E-3</v>
      </c>
      <c r="AQ1205" s="94">
        <f>IF('Net zero activities &amp; levers'!$C$14="Off",Constants!$H67*'Activity data'!BJ9*Constants!$H85*FracLEACHMM*MMLeachEF*NtoN2O*kgtoGg,IF('Net zero activities &amp; levers'!$C$14="On",Constants!$H67*'Net zero Activity data'!BJ9*Constants!$H85*FracLEACHMM*MMLeachEF*NtoN2O*kgtoGg,"ERROR"))</f>
        <v>-5.9996009737825779E-3</v>
      </c>
      <c r="AR1205" s="94">
        <f>IF('Net zero activities &amp; levers'!$C$14="Off",Constants!$H67*'Activity data'!BK9*Constants!$H85*FracLEACHMM*MMLeachEF*NtoN2O*kgtoGg,IF('Net zero activities &amp; levers'!$C$14="On",Constants!$H67*'Net zero Activity data'!BK9*Constants!$H85*FracLEACHMM*MMLeachEF*NtoN2O*kgtoGg,"ERROR"))</f>
        <v>-5.872773696190668E-3</v>
      </c>
      <c r="AS1205" s="94">
        <f>IF('Net zero activities &amp; levers'!$C$14="Off",Constants!$H67*'Activity data'!BL9*Constants!$H85*FracLEACHMM*MMLeachEF*NtoN2O*kgtoGg,IF('Net zero activities &amp; levers'!$C$14="On",Constants!$H67*'Net zero Activity data'!BL9*Constants!$H85*FracLEACHMM*MMLeachEF*NtoN2O*kgtoGg,"ERROR"))</f>
        <v>-5.7468788171884874E-3</v>
      </c>
      <c r="AT1205" s="94">
        <f>IF('Net zero activities &amp; levers'!$C$14="Off",Constants!$H67*'Activity data'!BM9*Constants!$H85*FracLEACHMM*MMLeachEF*NtoN2O*kgtoGg,IF('Net zero activities &amp; levers'!$C$14="On",Constants!$H67*'Net zero Activity data'!BM9*Constants!$H85*FracLEACHMM*MMLeachEF*NtoN2O*kgtoGg,"ERROR"))</f>
        <v>-5.6219016353747063E-3</v>
      </c>
      <c r="AU1205" s="94">
        <f>IF('Net zero activities &amp; levers'!$C$14="Off",Constants!$H67*'Activity data'!BN9*Constants!$H85*FracLEACHMM*MMLeachEF*NtoN2O*kgtoGg,IF('Net zero activities &amp; levers'!$C$14="On",Constants!$H67*'Net zero Activity data'!BN9*Constants!$H85*FracLEACHMM*MMLeachEF*NtoN2O*kgtoGg,"ERROR"))</f>
        <v>-5.4978498720002471E-3</v>
      </c>
      <c r="AV1205" s="94">
        <f>IF('Net zero activities &amp; levers'!$C$14="Off",Constants!$H67*'Activity data'!BO9*Constants!$H85*FracLEACHMM*MMLeachEF*NtoN2O*kgtoGg,IF('Net zero activities &amp; levers'!$C$14="On",Constants!$H67*'Net zero Activity data'!BO9*Constants!$H85*FracLEACHMM*MMLeachEF*NtoN2O*kgtoGg,"ERROR"))</f>
        <v>-5.3747282636450412E-3</v>
      </c>
      <c r="AW1205" s="94">
        <f>IF('Net zero activities &amp; levers'!$C$14="Off",Constants!$H67*'Activity data'!BP9*Constants!$H85*FracLEACHMM*MMLeachEF*NtoN2O*kgtoGg,IF('Net zero activities &amp; levers'!$C$14="On",Constants!$H67*'Net zero Activity data'!BP9*Constants!$H85*FracLEACHMM*MMLeachEF*NtoN2O*kgtoGg,"ERROR"))</f>
        <v>-5.2524660939907621E-3</v>
      </c>
      <c r="AY1205" s="79"/>
    </row>
    <row r="1206" spans="1:51" x14ac:dyDescent="0.25">
      <c r="A1206" s="95" t="str">
        <f t="shared" si="380"/>
        <v>CM MM Leaching</v>
      </c>
      <c r="B1206" s="95" t="s">
        <v>1322</v>
      </c>
      <c r="C1206" s="95" t="s">
        <v>1333</v>
      </c>
      <c r="D1206" t="s">
        <v>369</v>
      </c>
      <c r="E1206" t="s">
        <v>64</v>
      </c>
      <c r="F1206" t="s">
        <v>63</v>
      </c>
      <c r="G1206" t="s">
        <v>1162</v>
      </c>
      <c r="H1206" t="s">
        <v>1311</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4.3383434779753476E-2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4.6315596244033509E-2</v>
      </c>
      <c r="O1206" s="94">
        <f>IF('Net zero activities &amp; levers'!$C$14="Off",Constants!$H68*'Activity data'!AH10*Constants!$H86*FracLEACHMM*MMLeachEF*NtoN2O*kgtoGg,IF('Net zero activities &amp; levers'!$C$14="On",Constants!$H68*'Net zero Activity data'!AH10*Constants!$H86*FracLEACHMM*MMLeachEF*NtoN2O*kgtoGg,"ERROR"))</f>
        <v>4.7281576900430194E-2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4.8855920576585839E-2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4.6345052575542584E-2</v>
      </c>
      <c r="T1206" s="94">
        <f>IF('Net zero activities &amp; levers'!$C$14="Off",Constants!$H68*'Activity data'!AM10*Constants!$H86*FracLEACHMM*MMLeachEF*NtoN2O*kgtoGg,IF('Net zero activities &amp; levers'!$C$14="On",Constants!$H68*'Net zero Activity data'!AM10*Constants!$H86*FracLEACHMM*MMLeachEF*NtoN2O*kgtoGg,"ERROR"))</f>
        <v>4.9290182096012818E-2</v>
      </c>
      <c r="U1206" s="94">
        <f>IF('Net zero activities &amp; levers'!$C$14="Off",Constants!$H68*'Activity data'!AN10*Constants!$H86*FracLEACHMM*MMLeachEF*NtoN2O*kgtoGg,IF('Net zero activities &amp; levers'!$C$14="On",Constants!$H68*'Net zero Activity data'!AN10*Constants!$H86*FracLEACHMM*MMLeachEF*NtoN2O*kgtoGg,"ERROR"))</f>
        <v>0.1590390004544035</v>
      </c>
      <c r="V1206" s="94">
        <f>IF('Net zero activities &amp; levers'!$C$14="Off",Constants!$H68*'Activity data'!AO10*Constants!$H86*FracLEACHMM*MMLeachEF*NtoN2O*kgtoGg,IF('Net zero activities &amp; levers'!$C$14="On",Constants!$H68*'Net zero Activity data'!AO10*Constants!$H86*FracLEACHMM*MMLeachEF*NtoN2O*kgtoGg,"ERROR"))</f>
        <v>0.16355513295491098</v>
      </c>
      <c r="W1206" s="94">
        <f>IF('Net zero activities &amp; levers'!$C$14="Off",Constants!$H68*'Activity data'!AP10*Constants!$H86*FracLEACHMM*MMLeachEF*NtoN2O*kgtoGg,IF('Net zero activities &amp; levers'!$C$14="On",Constants!$H68*'Net zero Activity data'!AP10*Constants!$H86*FracLEACHMM*MMLeachEF*NtoN2O*kgtoGg,"ERROR"))</f>
        <v>0.16786105995970313</v>
      </c>
      <c r="X1206" s="94">
        <f>IF('Net zero activities &amp; levers'!$C$14="Off",Constants!$H68*'Activity data'!AQ10*Constants!$H86*FracLEACHMM*MMLeachEF*NtoN2O*kgtoGg,IF('Net zero activities &amp; levers'!$C$14="On",Constants!$H68*'Net zero Activity data'!AQ10*Constants!$H86*FracLEACHMM*MMLeachEF*NtoN2O*kgtoGg,"ERROR"))</f>
        <v>0.17194023598803351</v>
      </c>
      <c r="Y1206" s="94">
        <f>IF('Net zero activities &amp; levers'!$C$14="Off",Constants!$H68*'Activity data'!AR10*Constants!$H86*FracLEACHMM*MMLeachEF*NtoN2O*kgtoGg,IF('Net zero activities &amp; levers'!$C$14="On",Constants!$H68*'Net zero Activity data'!AR10*Constants!$H86*FracLEACHMM*MMLeachEF*NtoN2O*kgtoGg,"ERROR"))</f>
        <v>0.17578066999732156</v>
      </c>
      <c r="Z1206" s="94">
        <f>IF('Net zero activities &amp; levers'!$C$14="Off",Constants!$H68*'Activity data'!AS10*Constants!$H86*FracLEACHMM*MMLeachEF*NtoN2O*kgtoGg,IF('Net zero activities &amp; levers'!$C$14="On",Constants!$H68*'Net zero Activity data'!AS10*Constants!$H86*FracLEACHMM*MMLeachEF*NtoN2O*kgtoGg,"ERROR"))</f>
        <v>0.17936210611821823</v>
      </c>
      <c r="AA1206" s="94">
        <f>IF('Net zero activities &amp; levers'!$C$14="Off",Constants!$H68*'Activity data'!AT10*Constants!$H86*FracLEACHMM*MMLeachEF*NtoN2O*kgtoGg,IF('Net zero activities &amp; levers'!$C$14="On",Constants!$H68*'Net zero Activity data'!AT10*Constants!$H86*FracLEACHMM*MMLeachEF*NtoN2O*kgtoGg,"ERROR"))</f>
        <v>0.1826656381005505</v>
      </c>
      <c r="AB1206" s="94">
        <f>IF('Net zero activities &amp; levers'!$C$14="Off",Constants!$H68*'Activity data'!AU10*Constants!$H86*FracLEACHMM*MMLeachEF*NtoN2O*kgtoGg,IF('Net zero activities &amp; levers'!$C$14="On",Constants!$H68*'Net zero Activity data'!AU10*Constants!$H86*FracLEACHMM*MMLeachEF*NtoN2O*kgtoGg,"ERROR"))</f>
        <v>0.18567320176806454</v>
      </c>
      <c r="AC1206" s="94">
        <f>IF('Net zero activities &amp; levers'!$C$14="Off",Constants!$H68*'Activity data'!AV10*Constants!$H86*FracLEACHMM*MMLeachEF*NtoN2O*kgtoGg,IF('Net zero activities &amp; levers'!$C$14="On",Constants!$H68*'Net zero Activity data'!AV10*Constants!$H86*FracLEACHMM*MMLeachEF*NtoN2O*kgtoGg,"ERROR"))</f>
        <v>0.18836790776441609</v>
      </c>
      <c r="AD1206" s="94">
        <f>IF('Net zero activities &amp; levers'!$C$14="Off",Constants!$H68*'Activity data'!AW10*Constants!$H86*FracLEACHMM*MMLeachEF*NtoN2O*kgtoGg,IF('Net zero activities &amp; levers'!$C$14="On",Constants!$H68*'Net zero Activity data'!AW10*Constants!$H86*FracLEACHMM*MMLeachEF*NtoN2O*kgtoGg,"ERROR"))</f>
        <v>0.19123519545806747</v>
      </c>
      <c r="AE1206" s="94">
        <f>IF('Net zero activities &amp; levers'!$C$14="Off",Constants!$H68*'Activity data'!AX10*Constants!$H86*FracLEACHMM*MMLeachEF*NtoN2O*kgtoGg,IF('Net zero activities &amp; levers'!$C$14="On",Constants!$H68*'Net zero Activity data'!AX10*Constants!$H86*FracLEACHMM*MMLeachEF*NtoN2O*kgtoGg,"ERROR"))</f>
        <v>0.19376853499382182</v>
      </c>
      <c r="AF1206" s="94">
        <f>IF('Net zero activities &amp; levers'!$C$14="Off",Constants!$H68*'Activity data'!AY10*Constants!$H86*FracLEACHMM*MMLeachEF*NtoN2O*kgtoGg,IF('Net zero activities &amp; levers'!$C$14="On",Constants!$H68*'Net zero Activity data'!AY10*Constants!$H86*FracLEACHMM*MMLeachEF*NtoN2O*kgtoGg,"ERROR"))</f>
        <v>0.19595309748984396</v>
      </c>
      <c r="AG1206" s="94">
        <f>IF('Net zero activities &amp; levers'!$C$14="Off",Constants!$H68*'Activity data'!AZ10*Constants!$H86*FracLEACHMM*MMLeachEF*NtoN2O*kgtoGg,IF('Net zero activities &amp; levers'!$C$14="On",Constants!$H68*'Net zero Activity data'!AZ10*Constants!$H86*FracLEACHMM*MMLeachEF*NtoN2O*kgtoGg,"ERROR"))</f>
        <v>0.19777601067919534</v>
      </c>
      <c r="AH1206" s="94">
        <f>IF('Net zero activities &amp; levers'!$C$14="Off",Constants!$H68*'Activity data'!BA10*Constants!$H86*FracLEACHMM*MMLeachEF*NtoN2O*kgtoGg,IF('Net zero activities &amp; levers'!$C$14="On",Constants!$H68*'Net zero Activity data'!BA10*Constants!$H86*FracLEACHMM*MMLeachEF*NtoN2O*kgtoGg,"ERROR"))</f>
        <v>0.19922591108684914</v>
      </c>
      <c r="AI1206" s="94">
        <f>IF('Net zero activities &amp; levers'!$C$14="Off",Constants!$H68*'Activity data'!BB10*Constants!$H86*FracLEACHMM*MMLeachEF*NtoN2O*kgtoGg,IF('Net zero activities &amp; levers'!$C$14="On",Constants!$H68*'Net zero Activity data'!BB10*Constants!$H86*FracLEACHMM*MMLeachEF*NtoN2O*kgtoGg,"ERROR"))</f>
        <v>0.20029329073357882</v>
      </c>
      <c r="AJ1206" s="94">
        <f>IF('Net zero activities &amp; levers'!$C$14="Off",Constants!$H68*'Activity data'!BC10*Constants!$H86*FracLEACHMM*MMLeachEF*NtoN2O*kgtoGg,IF('Net zero activities &amp; levers'!$C$14="On",Constants!$H68*'Net zero Activity data'!BC10*Constants!$H86*FracLEACHMM*MMLeachEF*NtoN2O*kgtoGg,"ERROR"))</f>
        <v>-1.5988935485228874E-2</v>
      </c>
      <c r="AK1206" s="94">
        <f>IF('Net zero activities &amp; levers'!$C$14="Off",Constants!$H68*'Activity data'!BD10*Constants!$H86*FracLEACHMM*MMLeachEF*NtoN2O*kgtoGg,IF('Net zero activities &amp; levers'!$C$14="On",Constants!$H68*'Net zero Activity data'!BD10*Constants!$H86*FracLEACHMM*MMLeachEF*NtoN2O*kgtoGg,"ERROR"))</f>
        <v>-1.6135273009597623E-2</v>
      </c>
      <c r="AL1206" s="94">
        <f>IF('Net zero activities &amp; levers'!$C$14="Off",Constants!$H68*'Activity data'!BE10*Constants!$H86*FracLEACHMM*MMLeachEF*NtoN2O*kgtoGg,IF('Net zero activities &amp; levers'!$C$14="On",Constants!$H68*'Net zero Activity data'!BE10*Constants!$H86*FracLEACHMM*MMLeachEF*NtoN2O*kgtoGg,"ERROR"))</f>
        <v>-1.6280642881338143E-2</v>
      </c>
      <c r="AM1206" s="94">
        <f>IF('Net zero activities &amp; levers'!$C$14="Off",Constants!$H68*'Activity data'!BF10*Constants!$H86*FracLEACHMM*MMLeachEF*NtoN2O*kgtoGg,IF('Net zero activities &amp; levers'!$C$14="On",Constants!$H68*'Net zero Activity data'!BF10*Constants!$H86*FracLEACHMM*MMLeachEF*NtoN2O*kgtoGg,"ERROR"))</f>
        <v>-1.6425117505391919E-2</v>
      </c>
      <c r="AN1206" s="94">
        <f>IF('Net zero activities &amp; levers'!$C$14="Off",Constants!$H68*'Activity data'!BG10*Constants!$H86*FracLEACHMM*MMLeachEF*NtoN2O*kgtoGg,IF('Net zero activities &amp; levers'!$C$14="On",Constants!$H68*'Net zero Activity data'!BG10*Constants!$H86*FracLEACHMM*MMLeachEF*NtoN2O*kgtoGg,"ERROR"))</f>
        <v>-1.6548178161071046E-2</v>
      </c>
      <c r="AO1206" s="94">
        <f>IF('Net zero activities &amp; levers'!$C$14="Off",Constants!$H68*'Activity data'!BH10*Constants!$H86*FracLEACHMM*MMLeachEF*NtoN2O*kgtoGg,IF('Net zero activities &amp; levers'!$C$14="On",Constants!$H68*'Net zero Activity data'!BH10*Constants!$H86*FracLEACHMM*MMLeachEF*NtoN2O*kgtoGg,"ERROR"))</f>
        <v>-1.6670008309036564E-2</v>
      </c>
      <c r="AP1206" s="94">
        <f>IF('Net zero activities &amp; levers'!$C$14="Off",Constants!$H68*'Activity data'!BI10*Constants!$H86*FracLEACHMM*MMLeachEF*NtoN2O*kgtoGg,IF('Net zero activities &amp; levers'!$C$14="On",Constants!$H68*'Net zero Activity data'!BI10*Constants!$H86*FracLEACHMM*MMLeachEF*NtoN2O*kgtoGg,"ERROR"))</f>
        <v>-1.6790421483448635E-2</v>
      </c>
      <c r="AQ1206" s="94">
        <f>IF('Net zero activities &amp; levers'!$C$14="Off",Constants!$H68*'Activity data'!BJ10*Constants!$H86*FracLEACHMM*MMLeachEF*NtoN2O*kgtoGg,IF('Net zero activities &amp; levers'!$C$14="On",Constants!$H68*'Net zero Activity data'!BJ10*Constants!$H86*FracLEACHMM*MMLeachEF*NtoN2O*kgtoGg,"ERROR"))</f>
        <v>-1.6909384567907186E-2</v>
      </c>
      <c r="AR1206" s="94">
        <f>IF('Net zero activities &amp; levers'!$C$14="Off",Constants!$H68*'Activity data'!BK10*Constants!$H86*FracLEACHMM*MMLeachEF*NtoN2O*kgtoGg,IF('Net zero activities &amp; levers'!$C$14="On",Constants!$H68*'Net zero Activity data'!BK10*Constants!$H86*FracLEACHMM*MMLeachEF*NtoN2O*kgtoGg,"ERROR"))</f>
        <v>-1.7026675592023126E-2</v>
      </c>
      <c r="AS1206" s="94">
        <f>IF('Net zero activities &amp; levers'!$C$14="Off",Constants!$H68*'Activity data'!BL10*Constants!$H86*FracLEACHMM*MMLeachEF*NtoN2O*kgtoGg,IF('Net zero activities &amp; levers'!$C$14="On",Constants!$H68*'Net zero Activity data'!BL10*Constants!$H86*FracLEACHMM*MMLeachEF*NtoN2O*kgtoGg,"ERROR"))</f>
        <v>-1.7142046777220185E-2</v>
      </c>
      <c r="AT1206" s="94">
        <f>IF('Net zero activities &amp; levers'!$C$14="Off",Constants!$H68*'Activity data'!BM10*Constants!$H86*FracLEACHMM*MMLeachEF*NtoN2O*kgtoGg,IF('Net zero activities &amp; levers'!$C$14="On",Constants!$H68*'Net zero Activity data'!BM10*Constants!$H86*FracLEACHMM*MMLeachEF*NtoN2O*kgtoGg,"ERROR"))</f>
        <v>-1.725545286501233E-2</v>
      </c>
      <c r="AU1206" s="94">
        <f>IF('Net zero activities &amp; levers'!$C$14="Off",Constants!$H68*'Activity data'!BN10*Constants!$H86*FracLEACHMM*MMLeachEF*NtoN2O*kgtoGg,IF('Net zero activities &amp; levers'!$C$14="On",Constants!$H68*'Net zero Activity data'!BN10*Constants!$H86*FracLEACHMM*MMLeachEF*NtoN2O*kgtoGg,"ERROR"))</f>
        <v>-1.7366910999627443E-2</v>
      </c>
      <c r="AV1206" s="94">
        <f>IF('Net zero activities &amp; levers'!$C$14="Off",Constants!$H68*'Activity data'!BO10*Constants!$H86*FracLEACHMM*MMLeachEF*NtoN2O*kgtoGg,IF('Net zero activities &amp; levers'!$C$14="On",Constants!$H68*'Net zero Activity data'!BO10*Constants!$H86*FracLEACHMM*MMLeachEF*NtoN2O*kgtoGg,"ERROR"))</f>
        <v>-1.7476428038790941E-2</v>
      </c>
      <c r="AW1206" s="94">
        <f>IF('Net zero activities &amp; levers'!$C$14="Off",Constants!$H68*'Activity data'!BP10*Constants!$H86*FracLEACHMM*MMLeachEF*NtoN2O*kgtoGg,IF('Net zero activities &amp; levers'!$C$14="On",Constants!$H68*'Net zero Activity data'!BP10*Constants!$H86*FracLEACHMM*MMLeachEF*NtoN2O*kgtoGg,"ERROR"))</f>
        <v>-1.7583756727581886E-2</v>
      </c>
      <c r="AY1206" s="79"/>
    </row>
    <row r="1207" spans="1:51" x14ac:dyDescent="0.25">
      <c r="A1207" s="95" t="str">
        <f t="shared" si="380"/>
        <v>CM MM Leaching</v>
      </c>
      <c r="B1207" s="95" t="s">
        <v>1322</v>
      </c>
      <c r="C1207" s="95" t="s">
        <v>1333</v>
      </c>
      <c r="D1207" t="s">
        <v>369</v>
      </c>
      <c r="E1207" t="s">
        <v>64</v>
      </c>
      <c r="F1207" t="s">
        <v>63</v>
      </c>
      <c r="G1207" t="s">
        <v>1164</v>
      </c>
      <c r="H1207" t="s">
        <v>1312</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4.4583713438871775E-3</v>
      </c>
      <c r="T1207" s="94">
        <f>IF('Net zero activities &amp; levers'!$C$14="Off",Constants!$H69*'Activity data'!AM11*Constants!$H87*FracLEACHMM*MMLeachEF*NtoN2O*kgtoGg,IF('Net zero activities &amp; levers'!$C$14="On",Constants!$H69*'Net zero Activity data'!AM11*Constants!$H87*FracLEACHMM*MMLeachEF*NtoN2O*kgtoGg,"ERROR"))</f>
        <v>4.4613385793898985E-3</v>
      </c>
      <c r="U1207" s="94">
        <f>IF('Net zero activities &amp; levers'!$C$14="Off",Constants!$H69*'Activity data'!AN11*Constants!$H87*FracLEACHMM*MMLeachEF*NtoN2O*kgtoGg,IF('Net zero activities &amp; levers'!$C$14="On",Constants!$H69*'Net zero Activity data'!AN11*Constants!$H87*FracLEACHMM*MMLeachEF*NtoN2O*kgtoGg,"ERROR"))</f>
        <v>4.5194479058578802E-3</v>
      </c>
      <c r="V1207" s="94">
        <f>IF('Net zero activities &amp; levers'!$C$14="Off",Constants!$H69*'Activity data'!AO11*Constants!$H87*FracLEACHMM*MMLeachEF*NtoN2O*kgtoGg,IF('Net zero activities &amp; levers'!$C$14="On",Constants!$H69*'Net zero Activity data'!AO11*Constants!$H87*FracLEACHMM*MMLeachEF*NtoN2O*kgtoGg,"ERROR"))</f>
        <v>4.5208654375239604E-3</v>
      </c>
      <c r="W1207" s="94">
        <f>IF('Net zero activities &amp; levers'!$C$14="Off",Constants!$H69*'Activity data'!AP11*Constants!$H87*FracLEACHMM*MMLeachEF*NtoN2O*kgtoGg,IF('Net zero activities &amp; levers'!$C$14="On",Constants!$H69*'Net zero Activity data'!AP11*Constants!$H87*FracLEACHMM*MMLeachEF*NtoN2O*kgtoGg,"ERROR"))</f>
        <v>4.5269288931412202E-3</v>
      </c>
      <c r="X1207" s="94">
        <f>IF('Net zero activities &amp; levers'!$C$14="Off",Constants!$H69*'Activity data'!AQ11*Constants!$H87*FracLEACHMM*MMLeachEF*NtoN2O*kgtoGg,IF('Net zero activities &amp; levers'!$C$14="On",Constants!$H69*'Net zero Activity data'!AQ11*Constants!$H87*FracLEACHMM*MMLeachEF*NtoN2O*kgtoGg,"ERROR"))</f>
        <v>4.5356937654075719E-3</v>
      </c>
      <c r="Y1207" s="94">
        <f>IF('Net zero activities &amp; levers'!$C$14="Off",Constants!$H69*'Activity data'!AR11*Constants!$H87*FracLEACHMM*MMLeachEF*NtoN2O*kgtoGg,IF('Net zero activities &amp; levers'!$C$14="On",Constants!$H69*'Net zero Activity data'!AR11*Constants!$H87*FracLEACHMM*MMLeachEF*NtoN2O*kgtoGg,"ERROR"))</f>
        <v>4.5438360313793799E-3</v>
      </c>
      <c r="Z1207" s="94">
        <f>IF('Net zero activities &amp; levers'!$C$14="Off",Constants!$H69*'Activity data'!AS11*Constants!$H87*FracLEACHMM*MMLeachEF*NtoN2O*kgtoGg,IF('Net zero activities &amp; levers'!$C$14="On",Constants!$H69*'Net zero Activity data'!AS11*Constants!$H87*FracLEACHMM*MMLeachEF*NtoN2O*kgtoGg,"ERROR"))</f>
        <v>4.5514565032506353E-3</v>
      </c>
      <c r="AA1207" s="94">
        <f>IF('Net zero activities &amp; levers'!$C$14="Off",Constants!$H69*'Activity data'!AT11*Constants!$H87*FracLEACHMM*MMLeachEF*NtoN2O*kgtoGg,IF('Net zero activities &amp; levers'!$C$14="On",Constants!$H69*'Net zero Activity data'!AT11*Constants!$H87*FracLEACHMM*MMLeachEF*NtoN2O*kgtoGg,"ERROR"))</f>
        <v>4.5585145451789771E-3</v>
      </c>
      <c r="AB1207" s="94">
        <f>IF('Net zero activities &amp; levers'!$C$14="Off",Constants!$H69*'Activity data'!AU11*Constants!$H87*FracLEACHMM*MMLeachEF*NtoN2O*kgtoGg,IF('Net zero activities &amp; levers'!$C$14="On",Constants!$H69*'Net zero Activity data'!AU11*Constants!$H87*FracLEACHMM*MMLeachEF*NtoN2O*kgtoGg,"ERROR"))</f>
        <v>4.5650737507021777E-3</v>
      </c>
      <c r="AC1207" s="94">
        <f>IF('Net zero activities &amp; levers'!$C$14="Off",Constants!$H69*'Activity data'!AV11*Constants!$H87*FracLEACHMM*MMLeachEF*NtoN2O*kgtoGg,IF('Net zero activities &amp; levers'!$C$14="On",Constants!$H69*'Net zero Activity data'!AV11*Constants!$H87*FracLEACHMM*MMLeachEF*NtoN2O*kgtoGg,"ERROR"))</f>
        <v>4.5712336162876026E-3</v>
      </c>
      <c r="AD1207" s="94">
        <f>IF('Net zero activities &amp; levers'!$C$14="Off",Constants!$H69*'Activity data'!AW11*Constants!$H87*FracLEACHMM*MMLeachEF*NtoN2O*kgtoGg,IF('Net zero activities &amp; levers'!$C$14="On",Constants!$H69*'Net zero Activity data'!AW11*Constants!$H87*FracLEACHMM*MMLeachEF*NtoN2O*kgtoGg,"ERROR"))</f>
        <v>4.5769883379201265E-3</v>
      </c>
      <c r="AE1207" s="94">
        <f>IF('Net zero activities &amp; levers'!$C$14="Off",Constants!$H69*'Activity data'!AX11*Constants!$H87*FracLEACHMM*MMLeachEF*NtoN2O*kgtoGg,IF('Net zero activities &amp; levers'!$C$14="On",Constants!$H69*'Net zero Activity data'!AX11*Constants!$H87*FracLEACHMM*MMLeachEF*NtoN2O*kgtoGg,"ERROR"))</f>
        <v>4.5824299595188939E-3</v>
      </c>
      <c r="AF1207" s="94">
        <f>IF('Net zero activities &amp; levers'!$C$14="Off",Constants!$H69*'Activity data'!AY11*Constants!$H87*FracLEACHMM*MMLeachEF*NtoN2O*kgtoGg,IF('Net zero activities &amp; levers'!$C$14="On",Constants!$H69*'Net zero Activity data'!AY11*Constants!$H87*FracLEACHMM*MMLeachEF*NtoN2O*kgtoGg,"ERROR"))</f>
        <v>4.5875716533889405E-3</v>
      </c>
      <c r="AG1207" s="94">
        <f>IF('Net zero activities &amp; levers'!$C$14="Off",Constants!$H69*'Activity data'!AZ11*Constants!$H87*FracLEACHMM*MMLeachEF*NtoN2O*kgtoGg,IF('Net zero activities &amp; levers'!$C$14="On",Constants!$H69*'Net zero Activity data'!AZ11*Constants!$H87*FracLEACHMM*MMLeachEF*NtoN2O*kgtoGg,"ERROR"))</f>
        <v>4.5923429466883485E-3</v>
      </c>
      <c r="AH1207" s="94">
        <f>IF('Net zero activities &amp; levers'!$C$14="Off",Constants!$H69*'Activity data'!BA11*Constants!$H87*FracLEACHMM*MMLeachEF*NtoN2O*kgtoGg,IF('Net zero activities &amp; levers'!$C$14="On",Constants!$H69*'Net zero Activity data'!BA11*Constants!$H87*FracLEACHMM*MMLeachEF*NtoN2O*kgtoGg,"ERROR"))</f>
        <v>4.5967874861065324E-3</v>
      </c>
      <c r="AI1207" s="94">
        <f>IF('Net zero activities &amp; levers'!$C$14="Off",Constants!$H69*'Activity data'!BB11*Constants!$H87*FracLEACHMM*MMLeachEF*NtoN2O*kgtoGg,IF('Net zero activities &amp; levers'!$C$14="On",Constants!$H69*'Net zero Activity data'!BB11*Constants!$H87*FracLEACHMM*MMLeachEF*NtoN2O*kgtoGg,"ERROR"))</f>
        <v>4.6009761769836678E-3</v>
      </c>
      <c r="AJ1207" s="94">
        <f>IF('Net zero activities &amp; levers'!$C$14="Off",Constants!$H69*'Activity data'!BC11*Constants!$H87*FracLEACHMM*MMLeachEF*NtoN2O*kgtoGg,IF('Net zero activities &amp; levers'!$C$14="On",Constants!$H69*'Net zero Activity data'!BC11*Constants!$H87*FracLEACHMM*MMLeachEF*NtoN2O*kgtoGg,"ERROR"))</f>
        <v>4.5000024079062629E-3</v>
      </c>
      <c r="AK1207" s="94">
        <f>IF('Net zero activities &amp; levers'!$C$14="Off",Constants!$H69*'Activity data'!BD11*Constants!$H87*FracLEACHMM*MMLeachEF*NtoN2O*kgtoGg,IF('Net zero activities &amp; levers'!$C$14="On",Constants!$H69*'Net zero Activity data'!BD11*Constants!$H87*FracLEACHMM*MMLeachEF*NtoN2O*kgtoGg,"ERROR"))</f>
        <v>4.504140567798888E-3</v>
      </c>
      <c r="AL1207" s="94">
        <f>IF('Net zero activities &amp; levers'!$C$14="Off",Constants!$H69*'Activity data'!BE11*Constants!$H87*FracLEACHMM*MMLeachEF*NtoN2O*kgtoGg,IF('Net zero activities &amp; levers'!$C$14="On",Constants!$H69*'Net zero Activity data'!BE11*Constants!$H87*FracLEACHMM*MMLeachEF*NtoN2O*kgtoGg,"ERROR"))</f>
        <v>4.5080004058394166E-3</v>
      </c>
      <c r="AM1207" s="94">
        <f>IF('Net zero activities &amp; levers'!$C$14="Off",Constants!$H69*'Activity data'!BF11*Constants!$H87*FracLEACHMM*MMLeachEF*NtoN2O*kgtoGg,IF('Net zero activities &amp; levers'!$C$14="On",Constants!$H69*'Net zero Activity data'!BF11*Constants!$H87*FracLEACHMM*MMLeachEF*NtoN2O*kgtoGg,"ERROR"))</f>
        <v>4.5116055113744672E-3</v>
      </c>
      <c r="AN1207" s="94">
        <f>IF('Net zero activities &amp; levers'!$C$14="Off",Constants!$H69*'Activity data'!BG11*Constants!$H87*FracLEACHMM*MMLeachEF*NtoN2O*kgtoGg,IF('Net zero activities &amp; levers'!$C$14="On",Constants!$H69*'Net zero Activity data'!BG11*Constants!$H87*FracLEACHMM*MMLeachEF*NtoN2O*kgtoGg,"ERROR"))</f>
        <v>4.5149845600538762E-3</v>
      </c>
      <c r="AO1207" s="94">
        <f>IF('Net zero activities &amp; levers'!$C$14="Off",Constants!$H69*'Activity data'!BH11*Constants!$H87*FracLEACHMM*MMLeachEF*NtoN2O*kgtoGg,IF('Net zero activities &amp; levers'!$C$14="On",Constants!$H69*'Net zero Activity data'!BH11*Constants!$H87*FracLEACHMM*MMLeachEF*NtoN2O*kgtoGg,"ERROR"))</f>
        <v>4.5180486691616456E-3</v>
      </c>
      <c r="AP1207" s="94">
        <f>IF('Net zero activities &amp; levers'!$C$14="Off",Constants!$H69*'Activity data'!BI11*Constants!$H87*FracLEACHMM*MMLeachEF*NtoN2O*kgtoGg,IF('Net zero activities &amp; levers'!$C$14="On",Constants!$H69*'Net zero Activity data'!BI11*Constants!$H87*FracLEACHMM*MMLeachEF*NtoN2O*kgtoGg,"ERROR"))</f>
        <v>4.5207384818524527E-3</v>
      </c>
      <c r="AQ1207" s="94">
        <f>IF('Net zero activities &amp; levers'!$C$14="Off",Constants!$H69*'Activity data'!BJ11*Constants!$H87*FracLEACHMM*MMLeachEF*NtoN2O*kgtoGg,IF('Net zero activities &amp; levers'!$C$14="On",Constants!$H69*'Net zero Activity data'!BJ11*Constants!$H87*FracLEACHMM*MMLeachEF*NtoN2O*kgtoGg,"ERROR"))</f>
        <v>4.5230453041712505E-3</v>
      </c>
      <c r="AR1207" s="94">
        <f>IF('Net zero activities &amp; levers'!$C$14="Off",Constants!$H69*'Activity data'!BK11*Constants!$H87*FracLEACHMM*MMLeachEF*NtoN2O*kgtoGg,IF('Net zero activities &amp; levers'!$C$14="On",Constants!$H69*'Net zero Activity data'!BK11*Constants!$H87*FracLEACHMM*MMLeachEF*NtoN2O*kgtoGg,"ERROR"))</f>
        <v>4.5249015890055574E-3</v>
      </c>
      <c r="AS1207" s="94">
        <f>IF('Net zero activities &amp; levers'!$C$14="Off",Constants!$H69*'Activity data'!BL11*Constants!$H87*FracLEACHMM*MMLeachEF*NtoN2O*kgtoGg,IF('Net zero activities &amp; levers'!$C$14="On",Constants!$H69*'Net zero Activity data'!BL11*Constants!$H87*FracLEACHMM*MMLeachEF*NtoN2O*kgtoGg,"ERROR"))</f>
        <v>4.526233914491801E-3</v>
      </c>
      <c r="AT1207" s="94">
        <f>IF('Net zero activities &amp; levers'!$C$14="Off",Constants!$H69*'Activity data'!BM11*Constants!$H87*FracLEACHMM*MMLeachEF*NtoN2O*kgtoGg,IF('Net zero activities &amp; levers'!$C$14="On",Constants!$H69*'Net zero Activity data'!BM11*Constants!$H87*FracLEACHMM*MMLeachEF*NtoN2O*kgtoGg,"ERROR"))</f>
        <v>4.5270340008273808E-3</v>
      </c>
      <c r="AU1207" s="94">
        <f>IF('Net zero activities &amp; levers'!$C$14="Off",Constants!$H69*'Activity data'!BN11*Constants!$H87*FracLEACHMM*MMLeachEF*NtoN2O*kgtoGg,IF('Net zero activities &amp; levers'!$C$14="On",Constants!$H69*'Net zero Activity data'!BN11*Constants!$H87*FracLEACHMM*MMLeachEF*NtoN2O*kgtoGg,"ERROR"))</f>
        <v>4.5273132604660591E-3</v>
      </c>
      <c r="AV1207" s="94">
        <f>IF('Net zero activities &amp; levers'!$C$14="Off",Constants!$H69*'Activity data'!BO11*Constants!$H87*FracLEACHMM*MMLeachEF*NtoN2O*kgtoGg,IF('Net zero activities &amp; levers'!$C$14="On",Constants!$H69*'Net zero Activity data'!BO11*Constants!$H87*FracLEACHMM*MMLeachEF*NtoN2O*kgtoGg,"ERROR"))</f>
        <v>4.5270798618323943E-3</v>
      </c>
      <c r="AW1207" s="94">
        <f>IF('Net zero activities &amp; levers'!$C$14="Off",Constants!$H69*'Activity data'!BP11*Constants!$H87*FracLEACHMM*MMLeachEF*NtoN2O*kgtoGg,IF('Net zero activities &amp; levers'!$C$14="On",Constants!$H69*'Net zero Activity data'!BP11*Constants!$H87*FracLEACHMM*MMLeachEF*NtoN2O*kgtoGg,"ERROR"))</f>
        <v>4.5262646983336846E-3</v>
      </c>
      <c r="AY1207" s="79"/>
    </row>
    <row r="1208" spans="1:51" x14ac:dyDescent="0.25">
      <c r="A1208" s="95" t="str">
        <f t="shared" si="380"/>
        <v>CM MM Leaching</v>
      </c>
      <c r="B1208" s="95" t="s">
        <v>1322</v>
      </c>
      <c r="C1208" s="95" t="s">
        <v>1333</v>
      </c>
      <c r="D1208" t="s">
        <v>369</v>
      </c>
      <c r="E1208" t="s">
        <v>64</v>
      </c>
      <c r="F1208" t="s">
        <v>63</v>
      </c>
      <c r="G1208" t="s">
        <v>1166</v>
      </c>
      <c r="H1208" t="s">
        <v>1313</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3.7085625544236744E-3</v>
      </c>
      <c r="T1208" s="94">
        <f>IF('Net zero activities &amp; levers'!$C$14="Off",Constants!$H70*'Activity data'!AM12*Constants!$H88*FracLEACHMM*MMLeachEF*NtoN2O*kgtoGg,IF('Net zero activities &amp; levers'!$C$14="On",Constants!$H70*'Net zero Activity data'!AM12*Constants!$H88*FracLEACHMM*MMLeachEF*NtoN2O*kgtoGg,"ERROR"))</f>
        <v>3.7110307603281981E-3</v>
      </c>
      <c r="U1208" s="94">
        <f>IF('Net zero activities &amp; levers'!$C$14="Off",Constants!$H70*'Activity data'!AN12*Constants!$H88*FracLEACHMM*MMLeachEF*NtoN2O*kgtoGg,IF('Net zero activities &amp; levers'!$C$14="On",Constants!$H70*'Net zero Activity data'!AN12*Constants!$H88*FracLEACHMM*MMLeachEF*NtoN2O*kgtoGg,"ERROR"))</f>
        <v>3.7593672616152451E-3</v>
      </c>
      <c r="V1208" s="94">
        <f>IF('Net zero activities &amp; levers'!$C$14="Off",Constants!$H70*'Activity data'!AO12*Constants!$H88*FracLEACHMM*MMLeachEF*NtoN2O*kgtoGg,IF('Net zero activities &amp; levers'!$C$14="On",Constants!$H70*'Net zero Activity data'!AO12*Constants!$H88*FracLEACHMM*MMLeachEF*NtoN2O*kgtoGg,"ERROR"))</f>
        <v>3.7605463928385213E-3</v>
      </c>
      <c r="W1208" s="94">
        <f>IF('Net zero activities &amp; levers'!$C$14="Off",Constants!$H70*'Activity data'!AP12*Constants!$H88*FracLEACHMM*MMLeachEF*NtoN2O*kgtoGg,IF('Net zero activities &amp; levers'!$C$14="On",Constants!$H70*'Net zero Activity data'!AP12*Constants!$H88*FracLEACHMM*MMLeachEF*NtoN2O*kgtoGg,"ERROR"))</f>
        <v>3.7655900966303579E-3</v>
      </c>
      <c r="X1208" s="94">
        <f>IF('Net zero activities &amp; levers'!$C$14="Off",Constants!$H70*'Activity data'!AQ12*Constants!$H88*FracLEACHMM*MMLeachEF*NtoN2O*kgtoGg,IF('Net zero activities &amp; levers'!$C$14="On",Constants!$H70*'Net zero Activity data'!AQ12*Constants!$H88*FracLEACHMM*MMLeachEF*NtoN2O*kgtoGg,"ERROR"))</f>
        <v>3.7728808928817431E-3</v>
      </c>
      <c r="Y1208" s="94">
        <f>IF('Net zero activities &amp; levers'!$C$14="Off",Constants!$H70*'Activity data'!AR12*Constants!$H88*FracLEACHMM*MMLeachEF*NtoN2O*kgtoGg,IF('Net zero activities &amp; levers'!$C$14="On",Constants!$H70*'Net zero Activity data'!AR12*Constants!$H88*FracLEACHMM*MMLeachEF*NtoN2O*kgtoGg,"ERROR"))</f>
        <v>3.7796537927507973E-3</v>
      </c>
      <c r="Z1208" s="94">
        <f>IF('Net zero activities &amp; levers'!$C$14="Off",Constants!$H70*'Activity data'!AS12*Constants!$H88*FracLEACHMM*MMLeachEF*NtoN2O*kgtoGg,IF('Net zero activities &amp; levers'!$C$14="On",Constants!$H70*'Net zero Activity data'!AS12*Constants!$H88*FracLEACHMM*MMLeachEF*NtoN2O*kgtoGg,"ERROR"))</f>
        <v>3.7859926538390569E-3</v>
      </c>
      <c r="AA1208" s="94">
        <f>IF('Net zero activities &amp; levers'!$C$14="Off",Constants!$H70*'Activity data'!AT12*Constants!$H88*FracLEACHMM*MMLeachEF*NtoN2O*kgtoGg,IF('Net zero activities &amp; levers'!$C$14="On",Constants!$H70*'Net zero Activity data'!AT12*Constants!$H88*FracLEACHMM*MMLeachEF*NtoN2O*kgtoGg,"ERROR"))</f>
        <v>3.7918636744391884E-3</v>
      </c>
      <c r="AB1208" s="94">
        <f>IF('Net zero activities &amp; levers'!$C$14="Off",Constants!$H70*'Activity data'!AU12*Constants!$H88*FracLEACHMM*MMLeachEF*NtoN2O*kgtoGg,IF('Net zero activities &amp; levers'!$C$14="On",Constants!$H70*'Net zero Activity data'!AU12*Constants!$H88*FracLEACHMM*MMLeachEF*NtoN2O*kgtoGg,"ERROR"))</f>
        <v>3.7973197529292549E-3</v>
      </c>
      <c r="AC1208" s="94">
        <f>IF('Net zero activities &amp; levers'!$C$14="Off",Constants!$H70*'Activity data'!AV12*Constants!$H88*FracLEACHMM*MMLeachEF*NtoN2O*kgtoGg,IF('Net zero activities &amp; levers'!$C$14="On",Constants!$H70*'Net zero Activity data'!AV12*Constants!$H88*FracLEACHMM*MMLeachEF*NtoN2O*kgtoGg,"ERROR"))</f>
        <v>3.8024436524630406E-3</v>
      </c>
      <c r="AD1208" s="94">
        <f>IF('Net zero activities &amp; levers'!$C$14="Off",Constants!$H70*'Activity data'!AW12*Constants!$H88*FracLEACHMM*MMLeachEF*NtoN2O*kgtoGg,IF('Net zero activities &amp; levers'!$C$14="On",Constants!$H70*'Net zero Activity data'!AW12*Constants!$H88*FracLEACHMM*MMLeachEF*NtoN2O*kgtoGg,"ERROR"))</f>
        <v>3.8072305451445519E-3</v>
      </c>
      <c r="AE1208" s="94">
        <f>IF('Net zero activities &amp; levers'!$C$14="Off",Constants!$H70*'Activity data'!AX12*Constants!$H88*FracLEACHMM*MMLeachEF*NtoN2O*kgtoGg,IF('Net zero activities &amp; levers'!$C$14="On",Constants!$H70*'Net zero Activity data'!AX12*Constants!$H88*FracLEACHMM*MMLeachEF*NtoN2O*kgtoGg,"ERROR"))</f>
        <v>3.8117569949487401E-3</v>
      </c>
      <c r="AF1208" s="94">
        <f>IF('Net zero activities &amp; levers'!$C$14="Off",Constants!$H70*'Activity data'!AY12*Constants!$H88*FracLEACHMM*MMLeachEF*NtoN2O*kgtoGg,IF('Net zero activities &amp; levers'!$C$14="On",Constants!$H70*'Net zero Activity data'!AY12*Constants!$H88*FracLEACHMM*MMLeachEF*NtoN2O*kgtoGg,"ERROR"))</f>
        <v>3.8160339588626819E-3</v>
      </c>
      <c r="AG1208" s="94">
        <f>IF('Net zero activities &amp; levers'!$C$14="Off",Constants!$H70*'Activity data'!AZ12*Constants!$H88*FracLEACHMM*MMLeachEF*NtoN2O*kgtoGg,IF('Net zero activities &amp; levers'!$C$14="On",Constants!$H70*'Net zero Activity data'!AZ12*Constants!$H88*FracLEACHMM*MMLeachEF*NtoN2O*kgtoGg,"ERROR"))</f>
        <v>3.8200028161653869E-3</v>
      </c>
      <c r="AH1208" s="94">
        <f>IF('Net zero activities &amp; levers'!$C$14="Off",Constants!$H70*'Activity data'!BA12*Constants!$H88*FracLEACHMM*MMLeachEF*NtoN2O*kgtoGg,IF('Net zero activities &amp; levers'!$C$14="On",Constants!$H70*'Net zero Activity data'!BA12*Constants!$H88*FracLEACHMM*MMLeachEF*NtoN2O*kgtoGg,"ERROR"))</f>
        <v>3.8236998730470525E-3</v>
      </c>
      <c r="AI1208" s="94">
        <f>IF('Net zero activities &amp; levers'!$C$14="Off",Constants!$H70*'Activity data'!BB12*Constants!$H88*FracLEACHMM*MMLeachEF*NtoN2O*kgtoGg,IF('Net zero activities &amp; levers'!$C$14="On",Constants!$H70*'Net zero Activity data'!BB12*Constants!$H88*FracLEACHMM*MMLeachEF*NtoN2O*kgtoGg,"ERROR"))</f>
        <v>3.8271841099893822E-3</v>
      </c>
      <c r="AJ1208" s="94">
        <f>IF('Net zero activities &amp; levers'!$C$14="Off",Constants!$H70*'Activity data'!BC12*Constants!$H88*FracLEACHMM*MMLeachEF*NtoN2O*kgtoGg,IF('Net zero activities &amp; levers'!$C$14="On",Constants!$H70*'Net zero Activity data'!BC12*Constants!$H88*FracLEACHMM*MMLeachEF*NtoN2O*kgtoGg,"ERROR"))</f>
        <v>3.7431921070592298E-3</v>
      </c>
      <c r="AK1208" s="94">
        <f>IF('Net zero activities &amp; levers'!$C$14="Off",Constants!$H70*'Activity data'!BD12*Constants!$H88*FracLEACHMM*MMLeachEF*NtoN2O*kgtoGg,IF('Net zero activities &amp; levers'!$C$14="On",Constants!$H70*'Net zero Activity data'!BD12*Constants!$H88*FracLEACHMM*MMLeachEF*NtoN2O*kgtoGg,"ERROR"))</f>
        <v>3.7466343113168547E-3</v>
      </c>
      <c r="AL1208" s="94">
        <f>IF('Net zero activities &amp; levers'!$C$14="Off",Constants!$H70*'Activity data'!BE12*Constants!$H88*FracLEACHMM*MMLeachEF*NtoN2O*kgtoGg,IF('Net zero activities &amp; levers'!$C$14="On",Constants!$H70*'Net zero Activity data'!BE12*Constants!$H88*FracLEACHMM*MMLeachEF*NtoN2O*kgtoGg,"ERROR"))</f>
        <v>3.7498450018850307E-3</v>
      </c>
      <c r="AM1208" s="94">
        <f>IF('Net zero activities &amp; levers'!$C$14="Off",Constants!$H70*'Activity data'!BF12*Constants!$H88*FracLEACHMM*MMLeachEF*NtoN2O*kgtoGg,IF('Net zero activities &amp; levers'!$C$14="On",Constants!$H70*'Net zero Activity data'!BF12*Constants!$H88*FracLEACHMM*MMLeachEF*NtoN2O*kgtoGg,"ERROR"))</f>
        <v>3.7528438008546071E-3</v>
      </c>
      <c r="AN1208" s="94">
        <f>IF('Net zero activities &amp; levers'!$C$14="Off",Constants!$H70*'Activity data'!BG12*Constants!$H88*FracLEACHMM*MMLeachEF*NtoN2O*kgtoGg,IF('Net zero activities &amp; levers'!$C$14="On",Constants!$H70*'Net zero Activity data'!BG12*Constants!$H88*FracLEACHMM*MMLeachEF*NtoN2O*kgtoGg,"ERROR"))</f>
        <v>3.7556545612052921E-3</v>
      </c>
      <c r="AO1208" s="94">
        <f>IF('Net zero activities &amp; levers'!$C$14="Off",Constants!$H70*'Activity data'!BH12*Constants!$H88*FracLEACHMM*MMLeachEF*NtoN2O*kgtoGg,IF('Net zero activities &amp; levers'!$C$14="On",Constants!$H70*'Net zero Activity data'!BH12*Constants!$H88*FracLEACHMM*MMLeachEF*NtoN2O*kgtoGg,"ERROR"))</f>
        <v>3.7582033485142104E-3</v>
      </c>
      <c r="AP1208" s="94">
        <f>IF('Net zero activities &amp; levers'!$C$14="Off",Constants!$H70*'Activity data'!BI12*Constants!$H88*FracLEACHMM*MMLeachEF*NtoN2O*kgtoGg,IF('Net zero activities &amp; levers'!$C$14="On",Constants!$H70*'Net zero Activity data'!BI12*Constants!$H88*FracLEACHMM*MMLeachEF*NtoN2O*kgtoGg,"ERROR"))</f>
        <v>3.760440788568911E-3</v>
      </c>
      <c r="AQ1208" s="94">
        <f>IF('Net zero activities &amp; levers'!$C$14="Off",Constants!$H70*'Activity data'!BJ12*Constants!$H88*FracLEACHMM*MMLeachEF*NtoN2O*kgtoGg,IF('Net zero activities &amp; levers'!$C$14="On",Constants!$H70*'Net zero Activity data'!BJ12*Constants!$H88*FracLEACHMM*MMLeachEF*NtoN2O*kgtoGg,"ERROR"))</f>
        <v>3.7623596495635048E-3</v>
      </c>
      <c r="AR1208" s="94">
        <f>IF('Net zero activities &amp; levers'!$C$14="Off",Constants!$H70*'Activity data'!BK12*Constants!$H88*FracLEACHMM*MMLeachEF*NtoN2O*kgtoGg,IF('Net zero activities &amp; levers'!$C$14="On",Constants!$H70*'Net zero Activity data'!BK12*Constants!$H88*FracLEACHMM*MMLeachEF*NtoN2O*kgtoGg,"ERROR"))</f>
        <v>3.7639037444573268E-3</v>
      </c>
      <c r="AS1208" s="94">
        <f>IF('Net zero activities &amp; levers'!$C$14="Off",Constants!$H70*'Activity data'!BL12*Constants!$H88*FracLEACHMM*MMLeachEF*NtoN2O*kgtoGg,IF('Net zero activities &amp; levers'!$C$14="On",Constants!$H70*'Net zero Activity data'!BL12*Constants!$H88*FracLEACHMM*MMLeachEF*NtoN2O*kgtoGg,"ERROR"))</f>
        <v>3.7650119994741185E-3</v>
      </c>
      <c r="AT1208" s="94">
        <f>IF('Net zero activities &amp; levers'!$C$14="Off",Constants!$H70*'Activity data'!BM12*Constants!$H88*FracLEACHMM*MMLeachEF*NtoN2O*kgtoGg,IF('Net zero activities &amp; levers'!$C$14="On",Constants!$H70*'Net zero Activity data'!BM12*Constants!$H88*FracLEACHMM*MMLeachEF*NtoN2O*kgtoGg,"ERROR"))</f>
        <v>3.7656775273082915E-3</v>
      </c>
      <c r="AU1208" s="94">
        <f>IF('Net zero activities &amp; levers'!$C$14="Off",Constants!$H70*'Activity data'!BN12*Constants!$H88*FracLEACHMM*MMLeachEF*NtoN2O*kgtoGg,IF('Net zero activities &amp; levers'!$C$14="On",Constants!$H70*'Net zero Activity data'!BN12*Constants!$H88*FracLEACHMM*MMLeachEF*NtoN2O*kgtoGg,"ERROR"))</f>
        <v>3.7659098210673977E-3</v>
      </c>
      <c r="AV1208" s="94">
        <f>IF('Net zero activities &amp; levers'!$C$14="Off",Constants!$H70*'Activity data'!BO12*Constants!$H88*FracLEACHMM*MMLeachEF*NtoN2O*kgtoGg,IF('Net zero activities &amp; levers'!$C$14="On",Constants!$H70*'Net zero Activity data'!BO12*Constants!$H88*FracLEACHMM*MMLeachEF*NtoN2O*kgtoGg,"ERROR"))</f>
        <v>3.7657156754105432E-3</v>
      </c>
      <c r="AW1208" s="94">
        <f>IF('Net zero activities &amp; levers'!$C$14="Off",Constants!$H70*'Activity data'!BP12*Constants!$H88*FracLEACHMM*MMLeachEF*NtoN2O*kgtoGg,IF('Net zero activities &amp; levers'!$C$14="On",Constants!$H70*'Net zero Activity data'!BP12*Constants!$H88*FracLEACHMM*MMLeachEF*NtoN2O*kgtoGg,"ERROR"))</f>
        <v>3.7650376060901856E-3</v>
      </c>
      <c r="AY1208" s="79"/>
    </row>
    <row r="1209" spans="1:51" x14ac:dyDescent="0.25">
      <c r="A1209" s="95" t="str">
        <f t="shared" si="380"/>
        <v>CM MM Leaching</v>
      </c>
      <c r="B1209" s="95" t="s">
        <v>1322</v>
      </c>
      <c r="C1209" s="95" t="s">
        <v>1333</v>
      </c>
      <c r="D1209" t="s">
        <v>369</v>
      </c>
      <c r="E1209" t="s">
        <v>64</v>
      </c>
      <c r="F1209" t="s">
        <v>63</v>
      </c>
      <c r="G1209" t="s">
        <v>1168</v>
      </c>
      <c r="H1209" t="s">
        <v>1314</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5.4322987485311562E-4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5.5840147541839718E-4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5.6070469903814733E-4</v>
      </c>
      <c r="T1209" s="94">
        <f>IF('Net zero activities &amp; levers'!$C$14="Off",Constants!$H71*'Activity data'!AM13*Constants!$H89*FracLEACHMM*MMLeachEF*NtoN2O*kgtoGg,IF('Net zero activities &amp; levers'!$C$14="On",Constants!$H71*'Net zero Activity data'!AM13*Constants!$H89*FracLEACHMM*MMLeachEF*NtoN2O*kgtoGg,"ERROR"))</f>
        <v>5.6162230711910024E-4</v>
      </c>
      <c r="U1209" s="94">
        <f>IF('Net zero activities &amp; levers'!$C$14="Off",Constants!$H71*'Activity data'!AN13*Constants!$H89*FracLEACHMM*MMLeachEF*NtoN2O*kgtoGg,IF('Net zero activities &amp; levers'!$C$14="On",Constants!$H71*'Net zero Activity data'!AN13*Constants!$H89*FracLEACHMM*MMLeachEF*NtoN2O*kgtoGg,"ERROR"))</f>
        <v>5.7300934566261764E-4</v>
      </c>
      <c r="V1209" s="94">
        <f>IF('Net zero activities &amp; levers'!$C$14="Off",Constants!$H71*'Activity data'!AO13*Constants!$H89*FracLEACHMM*MMLeachEF*NtoN2O*kgtoGg,IF('Net zero activities &amp; levers'!$C$14="On",Constants!$H71*'Net zero Activity data'!AO13*Constants!$H89*FracLEACHMM*MMLeachEF*NtoN2O*kgtoGg,"ERROR"))</f>
        <v>5.735237983118301E-4</v>
      </c>
      <c r="W1209" s="94">
        <f>IF('Net zero activities &amp; levers'!$C$14="Off",Constants!$H71*'Activity data'!AP13*Constants!$H89*FracLEACHMM*MMLeachEF*NtoN2O*kgtoGg,IF('Net zero activities &amp; levers'!$C$14="On",Constants!$H71*'Net zero Activity data'!AP13*Constants!$H89*FracLEACHMM*MMLeachEF*NtoN2O*kgtoGg,"ERROR"))</f>
        <v>5.7488581877093682E-4</v>
      </c>
      <c r="X1209" s="94">
        <f>IF('Net zero activities &amp; levers'!$C$14="Off",Constants!$H71*'Activity data'!AQ13*Constants!$H89*FracLEACHMM*MMLeachEF*NtoN2O*kgtoGg,IF('Net zero activities &amp; levers'!$C$14="On",Constants!$H71*'Net zero Activity data'!AQ13*Constants!$H89*FracLEACHMM*MMLeachEF*NtoN2O*kgtoGg,"ERROR"))</f>
        <v>5.7672404156411123E-4</v>
      </c>
      <c r="Y1209" s="94">
        <f>IF('Net zero activities &amp; levers'!$C$14="Off",Constants!$H71*'Activity data'!AR13*Constants!$H89*FracLEACHMM*MMLeachEF*NtoN2O*kgtoGg,IF('Net zero activities &amp; levers'!$C$14="On",Constants!$H71*'Net zero Activity data'!AR13*Constants!$H89*FracLEACHMM*MMLeachEF*NtoN2O*kgtoGg,"ERROR"))</f>
        <v>5.7840994827834994E-4</v>
      </c>
      <c r="Z1209" s="94">
        <f>IF('Net zero activities &amp; levers'!$C$14="Off",Constants!$H71*'Activity data'!AS13*Constants!$H89*FracLEACHMM*MMLeachEF*NtoN2O*kgtoGg,IF('Net zero activities &amp; levers'!$C$14="On",Constants!$H71*'Net zero Activity data'!AS13*Constants!$H89*FracLEACHMM*MMLeachEF*NtoN2O*kgtoGg,"ERROR"))</f>
        <v>5.7996582365708491E-4</v>
      </c>
      <c r="AA1209" s="94">
        <f>IF('Net zero activities &amp; levers'!$C$14="Off",Constants!$H71*'Activity data'!AT13*Constants!$H89*FracLEACHMM*MMLeachEF*NtoN2O*kgtoGg,IF('Net zero activities &amp; levers'!$C$14="On",Constants!$H71*'Net zero Activity data'!AT13*Constants!$H89*FracLEACHMM*MMLeachEF*NtoN2O*kgtoGg,"ERROR"))</f>
        <v>5.8138689539941784E-4</v>
      </c>
      <c r="AB1209" s="94">
        <f>IF('Net zero activities &amp; levers'!$C$14="Off",Constants!$H71*'Activity data'!AU13*Constants!$H89*FracLEACHMM*MMLeachEF*NtoN2O*kgtoGg,IF('Net zero activities &amp; levers'!$C$14="On",Constants!$H71*'Net zero Activity data'!AU13*Constants!$H89*FracLEACHMM*MMLeachEF*NtoN2O*kgtoGg,"ERROR"))</f>
        <v>5.8268775619947839E-4</v>
      </c>
      <c r="AC1209" s="94">
        <f>IF('Net zero activities &amp; levers'!$C$14="Off",Constants!$H71*'Activity data'!AV13*Constants!$H89*FracLEACHMM*MMLeachEF*NtoN2O*kgtoGg,IF('Net zero activities &amp; levers'!$C$14="On",Constants!$H71*'Net zero Activity data'!AV13*Constants!$H89*FracLEACHMM*MMLeachEF*NtoN2O*kgtoGg,"ERROR"))</f>
        <v>5.838893945173696E-4</v>
      </c>
      <c r="AD1209" s="94">
        <f>IF('Net zero activities &amp; levers'!$C$14="Off",Constants!$H71*'Activity data'!AW13*Constants!$H89*FracLEACHMM*MMLeachEF*NtoN2O*kgtoGg,IF('Net zero activities &amp; levers'!$C$14="On",Constants!$H71*'Net zero Activity data'!AW13*Constants!$H89*FracLEACHMM*MMLeachEF*NtoN2O*kgtoGg,"ERROR"))</f>
        <v>5.8499277851090971E-4</v>
      </c>
      <c r="AE1209" s="94">
        <f>IF('Net zero activities &amp; levers'!$C$14="Off",Constants!$H71*'Activity data'!AX13*Constants!$H89*FracLEACHMM*MMLeachEF*NtoN2O*kgtoGg,IF('Net zero activities &amp; levers'!$C$14="On",Constants!$H71*'Net zero Activity data'!AX13*Constants!$H89*FracLEACHMM*MMLeachEF*NtoN2O*kgtoGg,"ERROR"))</f>
        <v>5.8601696023425276E-4</v>
      </c>
      <c r="AF1209" s="94">
        <f>IF('Net zero activities &amp; levers'!$C$14="Off",Constants!$H71*'Activity data'!AY13*Constants!$H89*FracLEACHMM*MMLeachEF*NtoN2O*kgtoGg,IF('Net zero activities &amp; levers'!$C$14="On",Constants!$H71*'Net zero Activity data'!AY13*Constants!$H89*FracLEACHMM*MMLeachEF*NtoN2O*kgtoGg,"ERROR"))</f>
        <v>5.8696603148616325E-4</v>
      </c>
      <c r="AG1209" s="94">
        <f>IF('Net zero activities &amp; levers'!$C$14="Off",Constants!$H71*'Activity data'!AZ13*Constants!$H89*FracLEACHMM*MMLeachEF*NtoN2O*kgtoGg,IF('Net zero activities &amp; levers'!$C$14="On",Constants!$H71*'Net zero Activity data'!AZ13*Constants!$H89*FracLEACHMM*MMLeachEF*NtoN2O*kgtoGg,"ERROR"))</f>
        <v>5.8782840452912231E-4</v>
      </c>
      <c r="AH1209" s="94">
        <f>IF('Net zero activities &amp; levers'!$C$14="Off",Constants!$H71*'Activity data'!BA13*Constants!$H89*FracLEACHMM*MMLeachEF*NtoN2O*kgtoGg,IF('Net zero activities &amp; levers'!$C$14="On",Constants!$H71*'Net zero Activity data'!BA13*Constants!$H89*FracLEACHMM*MMLeachEF*NtoN2O*kgtoGg,"ERROR"))</f>
        <v>5.8861362982731312E-4</v>
      </c>
      <c r="AI1209" s="94">
        <f>IF('Net zero activities &amp; levers'!$C$14="Off",Constants!$H71*'Activity data'!BB13*Constants!$H89*FracLEACHMM*MMLeachEF*NtoN2O*kgtoGg,IF('Net zero activities &amp; levers'!$C$14="On",Constants!$H71*'Net zero Activity data'!BB13*Constants!$H89*FracLEACHMM*MMLeachEF*NtoN2O*kgtoGg,"ERROR"))</f>
        <v>5.8933613461895486E-4</v>
      </c>
      <c r="AJ1209" s="94">
        <f>IF('Net zero activities &amp; levers'!$C$14="Off",Constants!$H71*'Activity data'!BC13*Constants!$H89*FracLEACHMM*MMLeachEF*NtoN2O*kgtoGg,IF('Net zero activities &amp; levers'!$C$14="On",Constants!$H71*'Net zero Activity data'!BC13*Constants!$H89*FracLEACHMM*MMLeachEF*NtoN2O*kgtoGg,"ERROR"))</f>
        <v>5.706274212799663E-4</v>
      </c>
      <c r="AK1209" s="94">
        <f>IF('Net zero activities &amp; levers'!$C$14="Off",Constants!$H71*'Activity data'!BD13*Constants!$H89*FracLEACHMM*MMLeachEF*NtoN2O*kgtoGg,IF('Net zero activities &amp; levers'!$C$14="On",Constants!$H71*'Net zero Activity data'!BD13*Constants!$H89*FracLEACHMM*MMLeachEF*NtoN2O*kgtoGg,"ERROR"))</f>
        <v>5.7134854330306069E-4</v>
      </c>
      <c r="AL1209" s="94">
        <f>IF('Net zero activities &amp; levers'!$C$14="Off",Constants!$H71*'Activity data'!BE13*Constants!$H89*FracLEACHMM*MMLeachEF*NtoN2O*kgtoGg,IF('Net zero activities &amp; levers'!$C$14="On",Constants!$H71*'Net zero Activity data'!BE13*Constants!$H89*FracLEACHMM*MMLeachEF*NtoN2O*kgtoGg,"ERROR"))</f>
        <v>5.7200511510337268E-4</v>
      </c>
      <c r="AM1209" s="94">
        <f>IF('Net zero activities &amp; levers'!$C$14="Off",Constants!$H71*'Activity data'!BF13*Constants!$H89*FracLEACHMM*MMLeachEF*NtoN2O*kgtoGg,IF('Net zero activities &amp; levers'!$C$14="On",Constants!$H71*'Net zero Activity data'!BF13*Constants!$H89*FracLEACHMM*MMLeachEF*NtoN2O*kgtoGg,"ERROR"))</f>
        <v>5.7260245045310132E-4</v>
      </c>
      <c r="AN1209" s="94">
        <f>IF('Net zero activities &amp; levers'!$C$14="Off",Constants!$H71*'Activity data'!BG13*Constants!$H89*FracLEACHMM*MMLeachEF*NtoN2O*kgtoGg,IF('Net zero activities &amp; levers'!$C$14="On",Constants!$H71*'Net zero Activity data'!BG13*Constants!$H89*FracLEACHMM*MMLeachEF*NtoN2O*kgtoGg,"ERROR"))</f>
        <v>5.7314670307798447E-4</v>
      </c>
      <c r="AO1209" s="94">
        <f>IF('Net zero activities &amp; levers'!$C$14="Off",Constants!$H71*'Activity data'!BH13*Constants!$H89*FracLEACHMM*MMLeachEF*NtoN2O*kgtoGg,IF('Net zero activities &amp; levers'!$C$14="On",Constants!$H71*'Net zero Activity data'!BH13*Constants!$H89*FracLEACHMM*MMLeachEF*NtoN2O*kgtoGg,"ERROR"))</f>
        <v>5.7362242271311709E-4</v>
      </c>
      <c r="AP1209" s="94">
        <f>IF('Net zero activities &amp; levers'!$C$14="Off",Constants!$H71*'Activity data'!BI13*Constants!$H89*FracLEACHMM*MMLeachEF*NtoN2O*kgtoGg,IF('Net zero activities &amp; levers'!$C$14="On",Constants!$H71*'Net zero Activity data'!BI13*Constants!$H89*FracLEACHMM*MMLeachEF*NtoN2O*kgtoGg,"ERROR"))</f>
        <v>5.7401961480709959E-4</v>
      </c>
      <c r="AQ1209" s="94">
        <f>IF('Net zero activities &amp; levers'!$C$14="Off",Constants!$H71*'Activity data'!BJ13*Constants!$H89*FracLEACHMM*MMLeachEF*NtoN2O*kgtoGg,IF('Net zero activities &amp; levers'!$C$14="On",Constants!$H71*'Net zero Activity data'!BJ13*Constants!$H89*FracLEACHMM*MMLeachEF*NtoN2O*kgtoGg,"ERROR"))</f>
        <v>5.743375496953002E-4</v>
      </c>
      <c r="AR1209" s="94">
        <f>IF('Net zero activities &amp; levers'!$C$14="Off",Constants!$H71*'Activity data'!BK13*Constants!$H89*FracLEACHMM*MMLeachEF*NtoN2O*kgtoGg,IF('Net zero activities &amp; levers'!$C$14="On",Constants!$H71*'Net zero Activity data'!BK13*Constants!$H89*FracLEACHMM*MMLeachEF*NtoN2O*kgtoGg,"ERROR"))</f>
        <v>5.7456474822570021E-4</v>
      </c>
      <c r="AS1209" s="94">
        <f>IF('Net zero activities &amp; levers'!$C$14="Off",Constants!$H71*'Activity data'!BL13*Constants!$H89*FracLEACHMM*MMLeachEF*NtoN2O*kgtoGg,IF('Net zero activities &amp; levers'!$C$14="On",Constants!$H71*'Net zero Activity data'!BL13*Constants!$H89*FracLEACHMM*MMLeachEF*NtoN2O*kgtoGg,"ERROR"))</f>
        <v>5.7468870297434124E-4</v>
      </c>
      <c r="AT1209" s="94">
        <f>IF('Net zero activities &amp; levers'!$C$14="Off",Constants!$H71*'Activity data'!BM13*Constants!$H89*FracLEACHMM*MMLeachEF*NtoN2O*kgtoGg,IF('Net zero activities &amp; levers'!$C$14="On",Constants!$H71*'Net zero Activity data'!BM13*Constants!$H89*FracLEACHMM*MMLeachEF*NtoN2O*kgtoGg,"ERROR"))</f>
        <v>5.7470877432626657E-4</v>
      </c>
      <c r="AU1209" s="94">
        <f>IF('Net zero activities &amp; levers'!$C$14="Off",Constants!$H71*'Activity data'!BN13*Constants!$H89*FracLEACHMM*MMLeachEF*NtoN2O*kgtoGg,IF('Net zero activities &amp; levers'!$C$14="On",Constants!$H71*'Net zero Activity data'!BN13*Constants!$H89*FracLEACHMM*MMLeachEF*NtoN2O*kgtoGg,"ERROR"))</f>
        <v>5.7462786115959977E-4</v>
      </c>
      <c r="AV1209" s="94">
        <f>IF('Net zero activities &amp; levers'!$C$14="Off",Constants!$H71*'Activity data'!BO13*Constants!$H89*FracLEACHMM*MMLeachEF*NtoN2O*kgtoGg,IF('Net zero activities &amp; levers'!$C$14="On",Constants!$H71*'Net zero Activity data'!BO13*Constants!$H89*FracLEACHMM*MMLeachEF*NtoN2O*kgtoGg,"ERROR"))</f>
        <v>5.7444822626571555E-4</v>
      </c>
      <c r="AW1209" s="94">
        <f>IF('Net zero activities &amp; levers'!$C$14="Off",Constants!$H71*'Activity data'!BP13*Constants!$H89*FracLEACHMM*MMLeachEF*NtoN2O*kgtoGg,IF('Net zero activities &amp; levers'!$C$14="On",Constants!$H71*'Net zero Activity data'!BP13*Constants!$H89*FracLEACHMM*MMLeachEF*NtoN2O*kgtoGg,"ERROR"))</f>
        <v>5.7415813453708586E-4</v>
      </c>
      <c r="AY1209" s="79"/>
    </row>
    <row r="1210" spans="1:51" x14ac:dyDescent="0.25">
      <c r="A1210" s="95" t="str">
        <f t="shared" si="380"/>
        <v>CM MM Leaching</v>
      </c>
      <c r="B1210" s="95" t="s">
        <v>1322</v>
      </c>
      <c r="C1210" s="95" t="s">
        <v>1333</v>
      </c>
      <c r="D1210" t="s">
        <v>369</v>
      </c>
      <c r="E1210" t="s">
        <v>64</v>
      </c>
      <c r="F1210" t="s">
        <v>63</v>
      </c>
      <c r="G1210" t="s">
        <v>1170</v>
      </c>
      <c r="H1210" t="s">
        <v>1315</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6.6992563985089947E-3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6.8044291009834836E-3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6.8863566425632575E-3</v>
      </c>
      <c r="R1210" s="94">
        <f>IF('Net zero activities &amp; levers'!$C$14="Off",Constants!$H72*'Activity data'!AK14*Constants!$H90*FracLEACHMM*MMLeachEF*NtoN2O*kgtoGg,IF('Net zero activities &amp; levers'!$C$14="On",Constants!$H72*'Net zero Activity data'!AK14*Constants!$H90*FracLEACHMM*MMLeachEF*NtoN2O*kgtoGg,"ERROR"))</f>
        <v>6.9316634884048298E-3</v>
      </c>
      <c r="S1210" s="94">
        <f>IF('Net zero activities &amp; levers'!$C$14="Off",Constants!$H72*'Activity data'!AL14*Constants!$H90*FracLEACHMM*MMLeachEF*NtoN2O*kgtoGg,IF('Net zero activities &amp; levers'!$C$14="On",Constants!$H72*'Net zero Activity data'!AL14*Constants!$H90*FracLEACHMM*MMLeachEF*NtoN2O*kgtoGg,"ERROR"))</f>
        <v>6.914760613489895E-3</v>
      </c>
      <c r="T1210" s="94">
        <f>IF('Net zero activities &amp; levers'!$C$14="Off",Constants!$H72*'Activity data'!AM14*Constants!$H90*FracLEACHMM*MMLeachEF*NtoN2O*kgtoGg,IF('Net zero activities &amp; levers'!$C$14="On",Constants!$H72*'Net zero Activity data'!AM14*Constants!$H90*FracLEACHMM*MMLeachEF*NtoN2O*kgtoGg,"ERROR"))</f>
        <v>6.9260768022567764E-3</v>
      </c>
      <c r="U1210" s="94">
        <f>IF('Net zero activities &amp; levers'!$C$14="Off",Constants!$H72*'Activity data'!AN14*Constants!$H90*FracLEACHMM*MMLeachEF*NtoN2O*kgtoGg,IF('Net zero activities &amp; levers'!$C$14="On",Constants!$H72*'Net zero Activity data'!AN14*Constants!$H90*FracLEACHMM*MMLeachEF*NtoN2O*kgtoGg,"ERROR"))</f>
        <v>7.0665048132223995E-3</v>
      </c>
      <c r="V1210" s="94">
        <f>IF('Net zero activities &amp; levers'!$C$14="Off",Constants!$H72*'Activity data'!AO14*Constants!$H90*FracLEACHMM*MMLeachEF*NtoN2O*kgtoGg,IF('Net zero activities &amp; levers'!$C$14="On",Constants!$H72*'Net zero Activity data'!AO14*Constants!$H90*FracLEACHMM*MMLeachEF*NtoN2O*kgtoGg,"ERROR"))</f>
        <v>7.0728491811622093E-3</v>
      </c>
      <c r="W1210" s="94">
        <f>IF('Net zero activities &amp; levers'!$C$14="Off",Constants!$H72*'Activity data'!AP14*Constants!$H90*FracLEACHMM*MMLeachEF*NtoN2O*kgtoGg,IF('Net zero activities &amp; levers'!$C$14="On",Constants!$H72*'Net zero Activity data'!AP14*Constants!$H90*FracLEACHMM*MMLeachEF*NtoN2O*kgtoGg,"ERROR"))</f>
        <v>7.0896459824759074E-3</v>
      </c>
      <c r="X1210" s="94">
        <f>IF('Net zero activities &amp; levers'!$C$14="Off",Constants!$H72*'Activity data'!AQ14*Constants!$H90*FracLEACHMM*MMLeachEF*NtoN2O*kgtoGg,IF('Net zero activities &amp; levers'!$C$14="On",Constants!$H72*'Net zero Activity data'!AQ14*Constants!$H90*FracLEACHMM*MMLeachEF*NtoN2O*kgtoGg,"ERROR"))</f>
        <v>7.1123154385922269E-3</v>
      </c>
      <c r="Y1210" s="94">
        <f>IF('Net zero activities &amp; levers'!$C$14="Off",Constants!$H72*'Activity data'!AR14*Constants!$H90*FracLEACHMM*MMLeachEF*NtoN2O*kgtoGg,IF('Net zero activities &amp; levers'!$C$14="On",Constants!$H72*'Net zero Activity data'!AR14*Constants!$H90*FracLEACHMM*MMLeachEF*NtoN2O*kgtoGg,"ERROR"))</f>
        <v>7.1331064920034711E-3</v>
      </c>
      <c r="Z1210" s="94">
        <f>IF('Net zero activities &amp; levers'!$C$14="Off",Constants!$H72*'Activity data'!AS14*Constants!$H90*FracLEACHMM*MMLeachEF*NtoN2O*kgtoGg,IF('Net zero activities &amp; levers'!$C$14="On",Constants!$H72*'Net zero Activity data'!AS14*Constants!$H90*FracLEACHMM*MMLeachEF*NtoN2O*kgtoGg,"ERROR"))</f>
        <v>7.1522939641377866E-3</v>
      </c>
      <c r="AA1210" s="94">
        <f>IF('Net zero activities &amp; levers'!$C$14="Off",Constants!$H72*'Activity data'!AT14*Constants!$H90*FracLEACHMM*MMLeachEF*NtoN2O*kgtoGg,IF('Net zero activities &amp; levers'!$C$14="On",Constants!$H72*'Net zero Activity data'!AT14*Constants!$H90*FracLEACHMM*MMLeachEF*NtoN2O*kgtoGg,"ERROR"))</f>
        <v>7.1698190017015617E-3</v>
      </c>
      <c r="AB1210" s="94">
        <f>IF('Net zero activities &amp; levers'!$C$14="Off",Constants!$H72*'Activity data'!AU14*Constants!$H90*FracLEACHMM*MMLeachEF*NtoN2O*kgtoGg,IF('Net zero activities &amp; levers'!$C$14="On",Constants!$H72*'Net zero Activity data'!AU14*Constants!$H90*FracLEACHMM*MMLeachEF*NtoN2O*kgtoGg,"ERROR"))</f>
        <v>7.1858615657095356E-3</v>
      </c>
      <c r="AC1210" s="94">
        <f>IF('Net zero activities &amp; levers'!$C$14="Off",Constants!$H72*'Activity data'!AV14*Constants!$H90*FracLEACHMM*MMLeachEF*NtoN2O*kgtoGg,IF('Net zero activities &amp; levers'!$C$14="On",Constants!$H72*'Net zero Activity data'!AV14*Constants!$H90*FracLEACHMM*MMLeachEF*NtoN2O*kgtoGg,"ERROR"))</f>
        <v>7.2006804914764638E-3</v>
      </c>
      <c r="AD1210" s="94">
        <f>IF('Net zero activities &amp; levers'!$C$14="Off",Constants!$H72*'Activity data'!AW14*Constants!$H90*FracLEACHMM*MMLeachEF*NtoN2O*kgtoGg,IF('Net zero activities &amp; levers'!$C$14="On",Constants!$H72*'Net zero Activity data'!AW14*Constants!$H90*FracLEACHMM*MMLeachEF*NtoN2O*kgtoGg,"ERROR"))</f>
        <v>7.2142877185840219E-3</v>
      </c>
      <c r="AE1210" s="94">
        <f>IF('Net zero activities &amp; levers'!$C$14="Off",Constants!$H72*'Activity data'!AX14*Constants!$H90*FracLEACHMM*MMLeachEF*NtoN2O*kgtoGg,IF('Net zero activities &amp; levers'!$C$14="On",Constants!$H72*'Net zero Activity data'!AX14*Constants!$H90*FracLEACHMM*MMLeachEF*NtoN2O*kgtoGg,"ERROR"))</f>
        <v>7.226918202069851E-3</v>
      </c>
      <c r="AF1210" s="94">
        <f>IF('Net zero activities &amp; levers'!$C$14="Off",Constants!$H72*'Activity data'!AY14*Constants!$H90*FracLEACHMM*MMLeachEF*NtoN2O*kgtoGg,IF('Net zero activities &amp; levers'!$C$14="On",Constants!$H72*'Net zero Activity data'!AY14*Constants!$H90*FracLEACHMM*MMLeachEF*NtoN2O*kgtoGg,"ERROR"))</f>
        <v>7.238622403092889E-3</v>
      </c>
      <c r="AG1210" s="94">
        <f>IF('Net zero activities &amp; levers'!$C$14="Off",Constants!$H72*'Activity data'!AZ14*Constants!$H90*FracLEACHMM*MMLeachEF*NtoN2O*kgtoGg,IF('Net zero activities &amp; levers'!$C$14="On",Constants!$H72*'Net zero Activity data'!AZ14*Constants!$H90*FracLEACHMM*MMLeachEF*NtoN2O*kgtoGg,"ERROR"))</f>
        <v>7.2492574185686288E-3</v>
      </c>
      <c r="AH1210" s="94">
        <f>IF('Net zero activities &amp; levers'!$C$14="Off",Constants!$H72*'Activity data'!BA14*Constants!$H90*FracLEACHMM*MMLeachEF*NtoN2O*kgtoGg,IF('Net zero activities &amp; levers'!$C$14="On",Constants!$H72*'Net zero Activity data'!BA14*Constants!$H90*FracLEACHMM*MMLeachEF*NtoN2O*kgtoGg,"ERROR"))</f>
        <v>7.2589410273808247E-3</v>
      </c>
      <c r="AI1210" s="94">
        <f>IF('Net zero activities &amp; levers'!$C$14="Off",Constants!$H72*'Activity data'!BB14*Constants!$H90*FracLEACHMM*MMLeachEF*NtoN2O*kgtoGg,IF('Net zero activities &amp; levers'!$C$14="On",Constants!$H72*'Net zero Activity data'!BB14*Constants!$H90*FracLEACHMM*MMLeachEF*NtoN2O*kgtoGg,"ERROR"))</f>
        <v>7.2678511500975998E-3</v>
      </c>
      <c r="AJ1210" s="94">
        <f>IF('Net zero activities &amp; levers'!$C$14="Off",Constants!$H72*'Activity data'!BC14*Constants!$H90*FracLEACHMM*MMLeachEF*NtoN2O*kgtoGg,IF('Net zero activities &amp; levers'!$C$14="On",Constants!$H72*'Net zero Activity data'!BC14*Constants!$H90*FracLEACHMM*MMLeachEF*NtoN2O*kgtoGg,"ERROR"))</f>
        <v>7.0371302833964079E-3</v>
      </c>
      <c r="AK1210" s="94">
        <f>IF('Net zero activities &amp; levers'!$C$14="Off",Constants!$H72*'Activity data'!BD14*Constants!$H90*FracLEACHMM*MMLeachEF*NtoN2O*kgtoGg,IF('Net zero activities &amp; levers'!$C$14="On",Constants!$H72*'Net zero Activity data'!BD14*Constants!$H90*FracLEACHMM*MMLeachEF*NtoN2O*kgtoGg,"ERROR"))</f>
        <v>7.046023353440887E-3</v>
      </c>
      <c r="AL1210" s="94">
        <f>IF('Net zero activities &amp; levers'!$C$14="Off",Constants!$H72*'Activity data'!BE14*Constants!$H90*FracLEACHMM*MMLeachEF*NtoN2O*kgtoGg,IF('Net zero activities &amp; levers'!$C$14="On",Constants!$H72*'Net zero Activity data'!BE14*Constants!$H90*FracLEACHMM*MMLeachEF*NtoN2O*kgtoGg,"ERROR"))</f>
        <v>7.0541203728390007E-3</v>
      </c>
      <c r="AM1210" s="94">
        <f>IF('Net zero activities &amp; levers'!$C$14="Off",Constants!$H72*'Activity data'!BF14*Constants!$H90*FracLEACHMM*MMLeachEF*NtoN2O*kgtoGg,IF('Net zero activities &amp; levers'!$C$14="On",Constants!$H72*'Net zero Activity data'!BF14*Constants!$H90*FracLEACHMM*MMLeachEF*NtoN2O*kgtoGg,"ERROR"))</f>
        <v>7.0614868724535639E-3</v>
      </c>
      <c r="AN1210" s="94">
        <f>IF('Net zero activities &amp; levers'!$C$14="Off",Constants!$H72*'Activity data'!BG14*Constants!$H90*FracLEACHMM*MMLeachEF*NtoN2O*kgtoGg,IF('Net zero activities &amp; levers'!$C$14="On",Constants!$H72*'Net zero Activity data'!BG14*Constants!$H90*FracLEACHMM*MMLeachEF*NtoN2O*kgtoGg,"ERROR"))</f>
        <v>7.0681987416795341E-3</v>
      </c>
      <c r="AO1210" s="94">
        <f>IF('Net zero activities &amp; levers'!$C$14="Off",Constants!$H72*'Activity data'!BH14*Constants!$H90*FracLEACHMM*MMLeachEF*NtoN2O*kgtoGg,IF('Net zero activities &amp; levers'!$C$14="On",Constants!$H72*'Net zero Activity data'!BH14*Constants!$H90*FracLEACHMM*MMLeachEF*NtoN2O*kgtoGg,"ERROR"))</f>
        <v>7.0740654437095336E-3</v>
      </c>
      <c r="AP1210" s="94">
        <f>IF('Net zero activities &amp; levers'!$C$14="Off",Constants!$H72*'Activity data'!BI14*Constants!$H90*FracLEACHMM*MMLeachEF*NtoN2O*kgtoGg,IF('Net zero activities &amp; levers'!$C$14="On",Constants!$H72*'Net zero Activity data'!BI14*Constants!$H90*FracLEACHMM*MMLeachEF*NtoN2O*kgtoGg,"ERROR"))</f>
        <v>7.0789637230572406E-3</v>
      </c>
      <c r="AQ1210" s="94">
        <f>IF('Net zero activities &amp; levers'!$C$14="Off",Constants!$H72*'Activity data'!BJ14*Constants!$H90*FracLEACHMM*MMLeachEF*NtoN2O*kgtoGg,IF('Net zero activities &amp; levers'!$C$14="On",Constants!$H72*'Net zero Activity data'!BJ14*Constants!$H90*FracLEACHMM*MMLeachEF*NtoN2O*kgtoGg,"ERROR"))</f>
        <v>7.0828845813028637E-3</v>
      </c>
      <c r="AR1210" s="94">
        <f>IF('Net zero activities &amp; levers'!$C$14="Off",Constants!$H72*'Activity data'!BK14*Constants!$H90*FracLEACHMM*MMLeachEF*NtoN2O*kgtoGg,IF('Net zero activities &amp; levers'!$C$14="On",Constants!$H72*'Net zero Activity data'!BK14*Constants!$H90*FracLEACHMM*MMLeachEF*NtoN2O*kgtoGg,"ERROR"))</f>
        <v>7.0856864544673794E-3</v>
      </c>
      <c r="AS1210" s="94">
        <f>IF('Net zero activities &amp; levers'!$C$14="Off",Constants!$H72*'Activity data'!BL14*Constants!$H90*FracLEACHMM*MMLeachEF*NtoN2O*kgtoGg,IF('Net zero activities &amp; levers'!$C$14="On",Constants!$H72*'Net zero Activity data'!BL14*Constants!$H90*FracLEACHMM*MMLeachEF*NtoN2O*kgtoGg,"ERROR"))</f>
        <v>7.0872150976466278E-3</v>
      </c>
      <c r="AT1210" s="94">
        <f>IF('Net zero activities &amp; levers'!$C$14="Off",Constants!$H72*'Activity data'!BM14*Constants!$H90*FracLEACHMM*MMLeachEF*NtoN2O*kgtoGg,IF('Net zero activities &amp; levers'!$C$14="On",Constants!$H72*'Net zero Activity data'!BM14*Constants!$H90*FracLEACHMM*MMLeachEF*NtoN2O*kgtoGg,"ERROR"))</f>
        <v>7.0874626229375523E-3</v>
      </c>
      <c r="AU1210" s="94">
        <f>IF('Net zero activities &amp; levers'!$C$14="Off",Constants!$H72*'Activity data'!BN14*Constants!$H90*FracLEACHMM*MMLeachEF*NtoN2O*kgtoGg,IF('Net zero activities &amp; levers'!$C$14="On",Constants!$H72*'Net zero Activity data'!BN14*Constants!$H90*FracLEACHMM*MMLeachEF*NtoN2O*kgtoGg,"ERROR"))</f>
        <v>7.0864647800820552E-3</v>
      </c>
      <c r="AV1210" s="94">
        <f>IF('Net zero activities &amp; levers'!$C$14="Off",Constants!$H72*'Activity data'!BO14*Constants!$H90*FracLEACHMM*MMLeachEF*NtoN2O*kgtoGg,IF('Net zero activities &amp; levers'!$C$14="On",Constants!$H72*'Net zero Activity data'!BO14*Constants!$H90*FracLEACHMM*MMLeachEF*NtoN2O*kgtoGg,"ERROR"))</f>
        <v>7.084249474429774E-3</v>
      </c>
      <c r="AW1210" s="94">
        <f>IF('Net zero activities &amp; levers'!$C$14="Off",Constants!$H72*'Activity data'!BP14*Constants!$H90*FracLEACHMM*MMLeachEF*NtoN2O*kgtoGg,IF('Net zero activities &amp; levers'!$C$14="On",Constants!$H72*'Net zero Activity data'!BP14*Constants!$H90*FracLEACHMM*MMLeachEF*NtoN2O*kgtoGg,"ERROR"))</f>
        <v>7.0806719854897525E-3</v>
      </c>
      <c r="AY1210" s="79"/>
    </row>
    <row r="1211" spans="1:51" x14ac:dyDescent="0.25">
      <c r="A1211" s="95" t="str">
        <f t="shared" si="380"/>
        <v>CM MM Leaching</v>
      </c>
      <c r="B1211" s="95" t="s">
        <v>1322</v>
      </c>
      <c r="C1211" s="95" t="s">
        <v>1333</v>
      </c>
      <c r="D1211" t="s">
        <v>369</v>
      </c>
      <c r="E1211" t="s">
        <v>64</v>
      </c>
      <c r="F1211" t="s">
        <v>63</v>
      </c>
      <c r="G1211" t="s">
        <v>1172</v>
      </c>
      <c r="H1211" t="s">
        <v>1316</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25">
      <c r="A1212" s="95" t="str">
        <f t="shared" si="380"/>
        <v>CM MM Leaching</v>
      </c>
      <c r="B1212" s="95" t="s">
        <v>1322</v>
      </c>
      <c r="C1212" s="95" t="s">
        <v>1333</v>
      </c>
      <c r="D1212" t="s">
        <v>369</v>
      </c>
      <c r="E1212" t="s">
        <v>64</v>
      </c>
      <c r="F1212" t="s">
        <v>63</v>
      </c>
      <c r="G1212" t="s">
        <v>1174</v>
      </c>
      <c r="H1212" t="s">
        <v>1317</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25">
      <c r="A1213" s="95" t="str">
        <f t="shared" si="380"/>
        <v>CM MM Leaching</v>
      </c>
      <c r="B1213" s="95" t="s">
        <v>1322</v>
      </c>
      <c r="C1213" s="95" t="s">
        <v>1333</v>
      </c>
      <c r="D1213" t="s">
        <v>369</v>
      </c>
      <c r="E1213" t="s">
        <v>64</v>
      </c>
      <c r="F1213" t="s">
        <v>63</v>
      </c>
      <c r="G1213" t="s">
        <v>1176</v>
      </c>
      <c r="H1213" t="s">
        <v>1318</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2.6875086183165937E-2</v>
      </c>
      <c r="L1213" s="94">
        <f>IF('Net zero activities &amp; levers'!$C$14="Off",Constants!$H75*'Activity data'!AE17*Constants!$H93*FracLEACHMM*MMLeachEF*NtoN2O*kgtoGg,IF('Net zero activities &amp; levers'!$C$14="On",Constants!$H75*'Net zero Activity data'!AE17*Constants!$H93*FracLEACHMM*MMLeachEF*NtoN2O*kgtoGg,"ERROR"))</f>
        <v>2.6729002214214575E-2</v>
      </c>
      <c r="M1213" s="94">
        <f>IF('Net zero activities &amp; levers'!$C$14="Off",Constants!$H75*'Activity data'!AF17*Constants!$H93*FracLEACHMM*MMLeachEF*NtoN2O*kgtoGg,IF('Net zero activities &amp; levers'!$C$14="On",Constants!$H75*'Net zero Activity data'!AF17*Constants!$H93*FracLEACHMM*MMLeachEF*NtoN2O*kgtoGg,"ERROR"))</f>
        <v>2.6740992333189318E-2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2.5544514050244028E-2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2.4781112413324514E-2</v>
      </c>
      <c r="S1213" s="94">
        <f>IF('Net zero activities &amp; levers'!$C$14="Off",Constants!$H75*'Activity data'!AL17*Constants!$H93*FracLEACHMM*MMLeachEF*NtoN2O*kgtoGg,IF('Net zero activities &amp; levers'!$C$14="On",Constants!$H75*'Net zero Activity data'!AL17*Constants!$H93*FracLEACHMM*MMLeachEF*NtoN2O*kgtoGg,"ERROR"))</f>
        <v>2.2296168964910698E-2</v>
      </c>
      <c r="T1213" s="94">
        <f>IF('Net zero activities &amp; levers'!$C$14="Off",Constants!$H75*'Activity data'!AM17*Constants!$H93*FracLEACHMM*MMLeachEF*NtoN2O*kgtoGg,IF('Net zero activities &amp; levers'!$C$14="On",Constants!$H75*'Net zero Activity data'!AM17*Constants!$H93*FracLEACHMM*MMLeachEF*NtoN2O*kgtoGg,"ERROR"))</f>
        <v>2.3092324784413296E-2</v>
      </c>
      <c r="U1213" s="94">
        <f>IF('Net zero activities &amp; levers'!$C$14="Off",Constants!$H75*'Activity data'!AN17*Constants!$H93*FracLEACHMM*MMLeachEF*NtoN2O*kgtoGg,IF('Net zero activities &amp; levers'!$C$14="On",Constants!$H75*'Net zero Activity data'!AN17*Constants!$H93*FracLEACHMM*MMLeachEF*NtoN2O*kgtoGg,"ERROR"))</f>
        <v>7.381503978929195E-2</v>
      </c>
      <c r="V1213" s="94">
        <f>IF('Net zero activities &amp; levers'!$C$14="Off",Constants!$H75*'Activity data'!AO17*Constants!$H93*FracLEACHMM*MMLeachEF*NtoN2O*kgtoGg,IF('Net zero activities &amp; levers'!$C$14="On",Constants!$H75*'Net zero Activity data'!AO17*Constants!$H93*FracLEACHMM*MMLeachEF*NtoN2O*kgtoGg,"ERROR"))</f>
        <v>7.4017385099882177E-2</v>
      </c>
      <c r="W1213" s="94">
        <f>IF('Net zero activities &amp; levers'!$C$14="Off",Constants!$H75*'Activity data'!AP17*Constants!$H93*FracLEACHMM*MMLeachEF*NtoN2O*kgtoGg,IF('Net zero activities &amp; levers'!$C$14="On",Constants!$H75*'Net zero Activity data'!AP17*Constants!$H93*FracLEACHMM*MMLeachEF*NtoN2O*kgtoGg,"ERROR"))</f>
        <v>7.4092117158263957E-2</v>
      </c>
      <c r="X1213" s="94">
        <f>IF('Net zero activities &amp; levers'!$C$14="Off",Constants!$H75*'Activity data'!AQ17*Constants!$H93*FracLEACHMM*MMLeachEF*NtoN2O*kgtoGg,IF('Net zero activities &amp; levers'!$C$14="On",Constants!$H75*'Net zero Activity data'!AQ17*Constants!$H93*FracLEACHMM*MMLeachEF*NtoN2O*kgtoGg,"ERROR"))</f>
        <v>7.4042607907806673E-2</v>
      </c>
      <c r="Y1213" s="94">
        <f>IF('Net zero activities &amp; levers'!$C$14="Off",Constants!$H75*'Activity data'!AR17*Constants!$H93*FracLEACHMM*MMLeachEF*NtoN2O*kgtoGg,IF('Net zero activities &amp; levers'!$C$14="On",Constants!$H75*'Net zero Activity data'!AR17*Constants!$H93*FracLEACHMM*MMLeachEF*NtoN2O*kgtoGg,"ERROR"))</f>
        <v>7.3876326476641427E-2</v>
      </c>
      <c r="Z1213" s="94">
        <f>IF('Net zero activities &amp; levers'!$C$14="Off",Constants!$H75*'Activity data'!AS17*Constants!$H93*FracLEACHMM*MMLeachEF*NtoN2O*kgtoGg,IF('Net zero activities &amp; levers'!$C$14="On",Constants!$H75*'Net zero Activity data'!AS17*Constants!$H93*FracLEACHMM*MMLeachEF*NtoN2O*kgtoGg,"ERROR"))</f>
        <v>7.3591745464768973E-2</v>
      </c>
      <c r="AA1213" s="94">
        <f>IF('Net zero activities &amp; levers'!$C$14="Off",Constants!$H75*'Activity data'!AT17*Constants!$H93*FracLEACHMM*MMLeachEF*NtoN2O*kgtoGg,IF('Net zero activities &amp; levers'!$C$14="On",Constants!$H75*'Net zero Activity data'!AT17*Constants!$H93*FracLEACHMM*MMLeachEF*NtoN2O*kgtoGg,"ERROR"))</f>
        <v>7.3188455909713582E-2</v>
      </c>
      <c r="AB1213" s="94">
        <f>IF('Net zero activities &amp; levers'!$C$14="Off",Constants!$H75*'Activity data'!AU17*Constants!$H93*FracLEACHMM*MMLeachEF*NtoN2O*kgtoGg,IF('Net zero activities &amp; levers'!$C$14="On",Constants!$H75*'Net zero Activity data'!AU17*Constants!$H93*FracLEACHMM*MMLeachEF*NtoN2O*kgtoGg,"ERROR"))</f>
        <v>7.2666495628065958E-2</v>
      </c>
      <c r="AC1213" s="94">
        <f>IF('Net zero activities &amp; levers'!$C$14="Off",Constants!$H75*'Activity data'!AV17*Constants!$H93*FracLEACHMM*MMLeachEF*NtoN2O*kgtoGg,IF('Net zero activities &amp; levers'!$C$14="On",Constants!$H75*'Net zero Activity data'!AV17*Constants!$H93*FracLEACHMM*MMLeachEF*NtoN2O*kgtoGg,"ERROR"))</f>
        <v>7.2026534081708352E-2</v>
      </c>
      <c r="AD1213" s="94">
        <f>IF('Net zero activities &amp; levers'!$C$14="Off",Constants!$H75*'Activity data'!AW17*Constants!$H93*FracLEACHMM*MMLeachEF*NtoN2O*kgtoGg,IF('Net zero activities &amp; levers'!$C$14="On",Constants!$H75*'Net zero Activity data'!AW17*Constants!$H93*FracLEACHMM*MMLeachEF*NtoN2O*kgtoGg,"ERROR"))</f>
        <v>7.127021840521014E-2</v>
      </c>
      <c r="AE1213" s="94">
        <f>IF('Net zero activities &amp; levers'!$C$14="Off",Constants!$H75*'Activity data'!AX17*Constants!$H93*FracLEACHMM*MMLeachEF*NtoN2O*kgtoGg,IF('Net zero activities &amp; levers'!$C$14="On",Constants!$H75*'Net zero Activity data'!AX17*Constants!$H93*FracLEACHMM*MMLeachEF*NtoN2O*kgtoGg,"ERROR"))</f>
        <v>7.0399631702406332E-2</v>
      </c>
      <c r="AF1213" s="94">
        <f>IF('Net zero activities &amp; levers'!$C$14="Off",Constants!$H75*'Activity data'!AY17*Constants!$H93*FracLEACHMM*MMLeachEF*NtoN2O*kgtoGg,IF('Net zero activities &amp; levers'!$C$14="On",Constants!$H75*'Net zero Activity data'!AY17*Constants!$H93*FracLEACHMM*MMLeachEF*NtoN2O*kgtoGg,"ERROR"))</f>
        <v>6.9417717575292789E-2</v>
      </c>
      <c r="AG1213" s="94">
        <f>IF('Net zero activities &amp; levers'!$C$14="Off",Constants!$H75*'Activity data'!AZ17*Constants!$H93*FracLEACHMM*MMLeachEF*NtoN2O*kgtoGg,IF('Net zero activities &amp; levers'!$C$14="On",Constants!$H75*'Net zero Activity data'!AZ17*Constants!$H93*FracLEACHMM*MMLeachEF*NtoN2O*kgtoGg,"ERROR"))</f>
        <v>6.8328248088529983E-2</v>
      </c>
      <c r="AH1213" s="94">
        <f>IF('Net zero activities &amp; levers'!$C$14="Off",Constants!$H75*'Activity data'!BA17*Constants!$H93*FracLEACHMM*MMLeachEF*NtoN2O*kgtoGg,IF('Net zero activities &amp; levers'!$C$14="On",Constants!$H75*'Net zero Activity data'!BA17*Constants!$H93*FracLEACHMM*MMLeachEF*NtoN2O*kgtoGg,"ERROR"))</f>
        <v>6.7135309145229499E-2</v>
      </c>
      <c r="AI1213" s="94">
        <f>IF('Net zero activities &amp; levers'!$C$14="Off",Constants!$H75*'Activity data'!BB17*Constants!$H93*FracLEACHMM*MMLeachEF*NtoN2O*kgtoGg,IF('Net zero activities &amp; levers'!$C$14="On",Constants!$H75*'Net zero Activity data'!BB17*Constants!$H93*FracLEACHMM*MMLeachEF*NtoN2O*kgtoGg,"ERROR"))</f>
        <v>6.58434858478079E-2</v>
      </c>
      <c r="AJ1213" s="94">
        <f>IF('Net zero activities &amp; levers'!$C$14="Off",Constants!$H75*'Activity data'!BC17*Constants!$H93*FracLEACHMM*MMLeachEF*NtoN2O*kgtoGg,IF('Net zero activities &amp; levers'!$C$14="On",Constants!$H75*'Net zero Activity data'!BC17*Constants!$H93*FracLEACHMM*MMLeachEF*NtoN2O*kgtoGg,"ERROR"))</f>
        <v>-6.1354464297522409E-3</v>
      </c>
      <c r="AK1213" s="94">
        <f>IF('Net zero activities &amp; levers'!$C$14="Off",Constants!$H75*'Activity data'!BD17*Constants!$H93*FracLEACHMM*MMLeachEF*NtoN2O*kgtoGg,IF('Net zero activities &amp; levers'!$C$14="On",Constants!$H75*'Net zero Activity data'!BD17*Constants!$H93*FracLEACHMM*MMLeachEF*NtoN2O*kgtoGg,"ERROR"))</f>
        <v>-6.0690246210378601E-3</v>
      </c>
      <c r="AL1213" s="94">
        <f>IF('Net zero activities &amp; levers'!$C$14="Off",Constants!$H75*'Activity data'!BE17*Constants!$H93*FracLEACHMM*MMLeachEF*NtoN2O*kgtoGg,IF('Net zero activities &amp; levers'!$C$14="On",Constants!$H75*'Net zero Activity data'!BE17*Constants!$H93*FracLEACHMM*MMLeachEF*NtoN2O*kgtoGg,"ERROR"))</f>
        <v>-6.0023674842876688E-3</v>
      </c>
      <c r="AM1213" s="94">
        <f>IF('Net zero activities &amp; levers'!$C$14="Off",Constants!$H75*'Activity data'!BF17*Constants!$H93*FracLEACHMM*MMLeachEF*NtoN2O*kgtoGg,IF('Net zero activities &amp; levers'!$C$14="On",Constants!$H75*'Net zero Activity data'!BF17*Constants!$H93*FracLEACHMM*MMLeachEF*NtoN2O*kgtoGg,"ERROR"))</f>
        <v>-5.9355441730233076E-3</v>
      </c>
      <c r="AN1213" s="94">
        <f>IF('Net zero activities &amp; levers'!$C$14="Off",Constants!$H75*'Activity data'!BG17*Constants!$H93*FracLEACHMM*MMLeachEF*NtoN2O*kgtoGg,IF('Net zero activities &amp; levers'!$C$14="On",Constants!$H75*'Net zero Activity data'!BG17*Constants!$H93*FracLEACHMM*MMLeachEF*NtoN2O*kgtoGg,"ERROR"))</f>
        <v>-5.868631115229209E-3</v>
      </c>
      <c r="AO1213" s="94">
        <f>IF('Net zero activities &amp; levers'!$C$14="Off",Constants!$H75*'Activity data'!BH17*Constants!$H93*FracLEACHMM*MMLeachEF*NtoN2O*kgtoGg,IF('Net zero activities &amp; levers'!$C$14="On",Constants!$H75*'Net zero Activity data'!BH17*Constants!$H93*FracLEACHMM*MMLeachEF*NtoN2O*kgtoGg,"ERROR"))</f>
        <v>-5.801450937318208E-3</v>
      </c>
      <c r="AP1213" s="94">
        <f>IF('Net zero activities &amp; levers'!$C$14="Off",Constants!$H75*'Activity data'!BI17*Constants!$H93*FracLEACHMM*MMLeachEF*NtoN2O*kgtoGg,IF('Net zero activities &amp; levers'!$C$14="On",Constants!$H75*'Net zero Activity data'!BI17*Constants!$H93*FracLEACHMM*MMLeachEF*NtoN2O*kgtoGg,"ERROR"))</f>
        <v>-5.7338989216543417E-3</v>
      </c>
      <c r="AQ1213" s="94">
        <f>IF('Net zero activities &amp; levers'!$C$14="Off",Constants!$H75*'Activity data'!BJ17*Constants!$H93*FracLEACHMM*MMLeachEF*NtoN2O*kgtoGg,IF('Net zero activities &amp; levers'!$C$14="On",Constants!$H75*'Net zero Activity data'!BJ17*Constants!$H93*FracLEACHMM*MMLeachEF*NtoN2O*kgtoGg,"ERROR"))</f>
        <v>-5.665981593784182E-3</v>
      </c>
      <c r="AR1213" s="94">
        <f>IF('Net zero activities &amp; levers'!$C$14="Off",Constants!$H75*'Activity data'!BK17*Constants!$H93*FracLEACHMM*MMLeachEF*NtoN2O*kgtoGg,IF('Net zero activities &amp; levers'!$C$14="On",Constants!$H75*'Net zero Activity data'!BK17*Constants!$H93*FracLEACHMM*MMLeachEF*NtoN2O*kgtoGg,"ERROR"))</f>
        <v>-5.5975864031876984E-3</v>
      </c>
      <c r="AS1213" s="94">
        <f>IF('Net zero activities &amp; levers'!$C$14="Off",Constants!$H75*'Activity data'!BL17*Constants!$H93*FracLEACHMM*MMLeachEF*NtoN2O*kgtoGg,IF('Net zero activities &amp; levers'!$C$14="On",Constants!$H75*'Net zero Activity data'!BL17*Constants!$H93*FracLEACHMM*MMLeachEF*NtoN2O*kgtoGg,"ERROR"))</f>
        <v>-5.528596592882417E-3</v>
      </c>
      <c r="AT1213" s="94">
        <f>IF('Net zero activities &amp; levers'!$C$14="Off",Constants!$H75*'Activity data'!BM17*Constants!$H93*FracLEACHMM*MMLeachEF*NtoN2O*kgtoGg,IF('Net zero activities &amp; levers'!$C$14="On",Constants!$H75*'Net zero Activity data'!BM17*Constants!$H93*FracLEACHMM*MMLeachEF*NtoN2O*kgtoGg,"ERROR"))</f>
        <v>-5.459031743402367E-3</v>
      </c>
      <c r="AU1213" s="94">
        <f>IF('Net zero activities &amp; levers'!$C$14="Off",Constants!$H75*'Activity data'!BN17*Constants!$H93*FracLEACHMM*MMLeachEF*NtoN2O*kgtoGg,IF('Net zero activities &amp; levers'!$C$14="On",Constants!$H75*'Net zero Activity data'!BN17*Constants!$H93*FracLEACHMM*MMLeachEF*NtoN2O*kgtoGg,"ERROR"))</f>
        <v>-5.3889497419228856E-3</v>
      </c>
      <c r="AV1213" s="94">
        <f>IF('Net zero activities &amp; levers'!$C$14="Off",Constants!$H75*'Activity data'!BO17*Constants!$H93*FracLEACHMM*MMLeachEF*NtoN2O*kgtoGg,IF('Net zero activities &amp; levers'!$C$14="On",Constants!$H75*'Net zero Activity data'!BO17*Constants!$H93*FracLEACHMM*MMLeachEF*NtoN2O*kgtoGg,"ERROR"))</f>
        <v>-5.3184001043520557E-3</v>
      </c>
      <c r="AW1213" s="94">
        <f>IF('Net zero activities &amp; levers'!$C$14="Off",Constants!$H75*'Activity data'!BP17*Constants!$H93*FracLEACHMM*MMLeachEF*NtoN2O*kgtoGg,IF('Net zero activities &amp; levers'!$C$14="On",Constants!$H75*'Net zero Activity data'!BP17*Constants!$H93*FracLEACHMM*MMLeachEF*NtoN2O*kgtoGg,"ERROR"))</f>
        <v>-5.2472851582702085E-3</v>
      </c>
      <c r="AY1213" s="79"/>
    </row>
    <row r="1214" spans="1:51" x14ac:dyDescent="0.25">
      <c r="A1214" s="95" t="str">
        <f t="shared" si="380"/>
        <v>CM MM Leaching</v>
      </c>
      <c r="B1214" s="95" t="s">
        <v>1322</v>
      </c>
      <c r="C1214" s="95" t="s">
        <v>1333</v>
      </c>
      <c r="D1214" t="s">
        <v>369</v>
      </c>
      <c r="E1214" t="s">
        <v>64</v>
      </c>
      <c r="F1214" t="s">
        <v>63</v>
      </c>
      <c r="G1214" t="s">
        <v>1178</v>
      </c>
      <c r="H1214" t="s">
        <v>1319</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3.9947810410006978E-3</v>
      </c>
      <c r="M1214" s="94">
        <f>IF('Net zero activities &amp; levers'!$C$14="Off",Constants!$H76*'Activity data'!AF18*Constants!$H94*FracLEACHMM*MMLeachEF*NtoN2O*kgtoGg,IF('Net zero activities &amp; levers'!$C$14="On",Constants!$H76*'Net zero Activity data'!AF18*Constants!$H94*FracLEACHMM*MMLeachEF*NtoN2O*kgtoGg,"ERROR"))</f>
        <v>3.9965730233416695E-3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3.8177534504158584E-3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3.7036593154610871E-3</v>
      </c>
      <c r="S1214" s="94">
        <f>IF('Net zero activities &amp; levers'!$C$14="Off",Constants!$H76*'Activity data'!AL18*Constants!$H94*FracLEACHMM*MMLeachEF*NtoN2O*kgtoGg,IF('Net zero activities &amp; levers'!$C$14="On",Constants!$H76*'Net zero Activity data'!AL18*Constants!$H94*FracLEACHMM*MMLeachEF*NtoN2O*kgtoGg,"ERROR"))</f>
        <v>3.3322722769129989E-3</v>
      </c>
      <c r="T1214" s="94">
        <f>IF('Net zero activities &amp; levers'!$C$14="Off",Constants!$H76*'Activity data'!AM18*Constants!$H94*FracLEACHMM*MMLeachEF*NtoN2O*kgtoGg,IF('Net zero activities &amp; levers'!$C$14="On",Constants!$H76*'Net zero Activity data'!AM18*Constants!$H94*FracLEACHMM*MMLeachEF*NtoN2O*kgtoGg,"ERROR"))</f>
        <v>3.4512616857933645E-3</v>
      </c>
      <c r="U1214" s="94">
        <f>IF('Net zero activities &amp; levers'!$C$14="Off",Constants!$H76*'Activity data'!AN18*Constants!$H94*FracLEACHMM*MMLeachEF*NtoN2O*kgtoGg,IF('Net zero activities &amp; levers'!$C$14="On",Constants!$H76*'Net zero Activity data'!AN18*Constants!$H94*FracLEACHMM*MMLeachEF*NtoN2O*kgtoGg,"ERROR"))</f>
        <v>1.1032021290123588E-2</v>
      </c>
      <c r="V1214" s="94">
        <f>IF('Net zero activities &amp; levers'!$C$14="Off",Constants!$H76*'Activity data'!AO18*Constants!$H94*FracLEACHMM*MMLeachEF*NtoN2O*kgtoGg,IF('Net zero activities &amp; levers'!$C$14="On",Constants!$H76*'Net zero Activity data'!AO18*Constants!$H94*FracLEACHMM*MMLeachEF*NtoN2O*kgtoGg,"ERROR"))</f>
        <v>1.1062262793491467E-2</v>
      </c>
      <c r="W1214" s="94">
        <f>IF('Net zero activities &amp; levers'!$C$14="Off",Constants!$H76*'Activity data'!AP18*Constants!$H94*FracLEACHMM*MMLeachEF*NtoN2O*kgtoGg,IF('Net zero activities &amp; levers'!$C$14="On",Constants!$H76*'Net zero Activity data'!AP18*Constants!$H94*FracLEACHMM*MMLeachEF*NtoN2O*kgtoGg,"ERROR"))</f>
        <v>1.1073431867727232E-2</v>
      </c>
      <c r="X1214" s="94">
        <f>IF('Net zero activities &amp; levers'!$C$14="Off",Constants!$H76*'Activity data'!AQ18*Constants!$H94*FracLEACHMM*MMLeachEF*NtoN2O*kgtoGg,IF('Net zero activities &amp; levers'!$C$14="On",Constants!$H76*'Net zero Activity data'!AQ18*Constants!$H94*FracLEACHMM*MMLeachEF*NtoN2O*kgtoGg,"ERROR"))</f>
        <v>1.106603246637675E-2</v>
      </c>
      <c r="Y1214" s="94">
        <f>IF('Net zero activities &amp; levers'!$C$14="Off",Constants!$H76*'Activity data'!AR18*Constants!$H94*FracLEACHMM*MMLeachEF*NtoN2O*kgtoGg,IF('Net zero activities &amp; levers'!$C$14="On",Constants!$H76*'Net zero Activity data'!AR18*Constants!$H94*FracLEACHMM*MMLeachEF*NtoN2O*kgtoGg,"ERROR"))</f>
        <v>1.1041180887430186E-2</v>
      </c>
      <c r="Z1214" s="94">
        <f>IF('Net zero activities &amp; levers'!$C$14="Off",Constants!$H76*'Activity data'!AS18*Constants!$H94*FracLEACHMM*MMLeachEF*NtoN2O*kgtoGg,IF('Net zero activities &amp; levers'!$C$14="On",Constants!$H76*'Net zero Activity data'!AS18*Constants!$H94*FracLEACHMM*MMLeachEF*NtoN2O*kgtoGg,"ERROR"))</f>
        <v>1.0998648853434082E-2</v>
      </c>
      <c r="AA1214" s="94">
        <f>IF('Net zero activities &amp; levers'!$C$14="Off",Constants!$H76*'Activity data'!AT18*Constants!$H94*FracLEACHMM*MMLeachEF*NtoN2O*kgtoGg,IF('Net zero activities &amp; levers'!$C$14="On",Constants!$H76*'Net zero Activity data'!AT18*Constants!$H94*FracLEACHMM*MMLeachEF*NtoN2O*kgtoGg,"ERROR"))</f>
        <v>1.0938375242931999E-2</v>
      </c>
      <c r="AB1214" s="94">
        <f>IF('Net zero activities &amp; levers'!$C$14="Off",Constants!$H76*'Activity data'!AU18*Constants!$H94*FracLEACHMM*MMLeachEF*NtoN2O*kgtoGg,IF('Net zero activities &amp; levers'!$C$14="On",Constants!$H76*'Net zero Activity data'!AU18*Constants!$H94*FracLEACHMM*MMLeachEF*NtoN2O*kgtoGg,"ERROR"))</f>
        <v>1.0860365707799692E-2</v>
      </c>
      <c r="AC1214" s="94">
        <f>IF('Net zero activities &amp; levers'!$C$14="Off",Constants!$H76*'Activity data'!AV18*Constants!$H94*FracLEACHMM*MMLeachEF*NtoN2O*kgtoGg,IF('Net zero activities &amp; levers'!$C$14="On",Constants!$H76*'Net zero Activity data'!AV18*Constants!$H94*FracLEACHMM*MMLeachEF*NtoN2O*kgtoGg,"ERROR"))</f>
        <v>1.0764720302413055E-2</v>
      </c>
      <c r="AD1214" s="94">
        <f>IF('Net zero activities &amp; levers'!$C$14="Off",Constants!$H76*'Activity data'!AW18*Constants!$H94*FracLEACHMM*MMLeachEF*NtoN2O*kgtoGg,IF('Net zero activities &amp; levers'!$C$14="On",Constants!$H76*'Net zero Activity data'!AW18*Constants!$H94*FracLEACHMM*MMLeachEF*NtoN2O*kgtoGg,"ERROR"))</f>
        <v>1.0651685199146835E-2</v>
      </c>
      <c r="AE1214" s="94">
        <f>IF('Net zero activities &amp; levers'!$C$14="Off",Constants!$H76*'Activity data'!AX18*Constants!$H94*FracLEACHMM*MMLeachEF*NtoN2O*kgtoGg,IF('Net zero activities &amp; levers'!$C$14="On",Constants!$H76*'Net zero Activity data'!AX18*Constants!$H94*FracLEACHMM*MMLeachEF*NtoN2O*kgtoGg,"ERROR"))</f>
        <v>1.0521571728130012E-2</v>
      </c>
      <c r="AF1214" s="94">
        <f>IF('Net zero activities &amp; levers'!$C$14="Off",Constants!$H76*'Activity data'!AY18*Constants!$H94*FracLEACHMM*MMLeachEF*NtoN2O*kgtoGg,IF('Net zero activities &amp; levers'!$C$14="On",Constants!$H76*'Net zero Activity data'!AY18*Constants!$H94*FracLEACHMM*MMLeachEF*NtoN2O*kgtoGg,"ERROR"))</f>
        <v>1.0374819825180263E-2</v>
      </c>
      <c r="AG1214" s="94">
        <f>IF('Net zero activities &amp; levers'!$C$14="Off",Constants!$H76*'Activity data'!AZ18*Constants!$H94*FracLEACHMM*MMLeachEF*NtoN2O*kgtoGg,IF('Net zero activities &amp; levers'!$C$14="On",Constants!$H76*'Net zero Activity data'!AZ18*Constants!$H94*FracLEACHMM*MMLeachEF*NtoN2O*kgtoGg,"ERROR"))</f>
        <v>1.0211993243941318E-2</v>
      </c>
      <c r="AH1214" s="94">
        <f>IF('Net zero activities &amp; levers'!$C$14="Off",Constants!$H76*'Activity data'!BA18*Constants!$H94*FracLEACHMM*MMLeachEF*NtoN2O*kgtoGg,IF('Net zero activities &amp; levers'!$C$14="On",Constants!$H76*'Net zero Activity data'!BA18*Constants!$H94*FracLEACHMM*MMLeachEF*NtoN2O*kgtoGg,"ERROR"))</f>
        <v>1.0033702642759285E-2</v>
      </c>
      <c r="AI1214" s="94">
        <f>IF('Net zero activities &amp; levers'!$C$14="Off",Constants!$H76*'Activity data'!BB18*Constants!$H94*FracLEACHMM*MMLeachEF*NtoN2O*kgtoGg,IF('Net zero activities &amp; levers'!$C$14="On",Constants!$H76*'Net zero Activity data'!BB18*Constants!$H94*FracLEACHMM*MMLeachEF*NtoN2O*kgtoGg,"ERROR"))</f>
        <v>9.8406332877753449E-3</v>
      </c>
      <c r="AJ1214" s="94">
        <f>IF('Net zero activities &amp; levers'!$C$14="Off",Constants!$H76*'Activity data'!BC18*Constants!$H94*FracLEACHMM*MMLeachEF*NtoN2O*kgtoGg,IF('Net zero activities &amp; levers'!$C$14="On",Constants!$H76*'Net zero Activity data'!BC18*Constants!$H94*FracLEACHMM*MMLeachEF*NtoN2O*kgtoGg,"ERROR"))</f>
        <v>-9.1697269053370395E-4</v>
      </c>
      <c r="AK1214" s="94">
        <f>IF('Net zero activities &amp; levers'!$C$14="Off",Constants!$H76*'Activity data'!BD18*Constants!$H94*FracLEACHMM*MMLeachEF*NtoN2O*kgtoGg,IF('Net zero activities &amp; levers'!$C$14="On",Constants!$H76*'Net zero Activity data'!BD18*Constants!$H94*FracLEACHMM*MMLeachEF*NtoN2O*kgtoGg,"ERROR"))</f>
        <v>-9.0704562404485191E-4</v>
      </c>
      <c r="AL1214" s="94">
        <f>IF('Net zero activities &amp; levers'!$C$14="Off",Constants!$H76*'Activity data'!BE18*Constants!$H94*FracLEACHMM*MMLeachEF*NtoN2O*kgtoGg,IF('Net zero activities &amp; levers'!$C$14="On",Constants!$H76*'Net zero Activity data'!BE18*Constants!$H94*FracLEACHMM*MMLeachEF*NtoN2O*kgtoGg,"ERROR"))</f>
        <v>-8.970833866218835E-4</v>
      </c>
      <c r="AM1214" s="94">
        <f>IF('Net zero activities &amp; levers'!$C$14="Off",Constants!$H76*'Activity data'!BF18*Constants!$H94*FracLEACHMM*MMLeachEF*NtoN2O*kgtoGg,IF('Net zero activities &amp; levers'!$C$14="On",Constants!$H76*'Net zero Activity data'!BF18*Constants!$H94*FracLEACHMM*MMLeachEF*NtoN2O*kgtoGg,"ERROR"))</f>
        <v>-8.870963135992402E-4</v>
      </c>
      <c r="AN1214" s="94">
        <f>IF('Net zero activities &amp; levers'!$C$14="Off",Constants!$H76*'Activity data'!BG18*Constants!$H94*FracLEACHMM*MMLeachEF*NtoN2O*kgtoGg,IF('Net zero activities &amp; levers'!$C$14="On",Constants!$H76*'Net zero Activity data'!BG18*Constants!$H94*FracLEACHMM*MMLeachEF*NtoN2O*kgtoGg,"ERROR"))</f>
        <v>-8.7709582751565934E-4</v>
      </c>
      <c r="AO1214" s="94">
        <f>IF('Net zero activities &amp; levers'!$C$14="Off",Constants!$H76*'Activity data'!BH18*Constants!$H94*FracLEACHMM*MMLeachEF*NtoN2O*kgtoGg,IF('Net zero activities &amp; levers'!$C$14="On",Constants!$H76*'Net zero Activity data'!BH18*Constants!$H94*FracLEACHMM*MMLeachEF*NtoN2O*kgtoGg,"ERROR"))</f>
        <v>-8.6705541901484369E-4</v>
      </c>
      <c r="AP1214" s="94">
        <f>IF('Net zero activities &amp; levers'!$C$14="Off",Constants!$H76*'Activity data'!BI18*Constants!$H94*FracLEACHMM*MMLeachEF*NtoN2O*kgtoGg,IF('Net zero activities &amp; levers'!$C$14="On",Constants!$H76*'Net zero Activity data'!BI18*Constants!$H94*FracLEACHMM*MMLeachEF*NtoN2O*kgtoGg,"ERROR"))</f>
        <v>-8.5695943753028676E-4</v>
      </c>
      <c r="AQ1214" s="94">
        <f>IF('Net zero activities &amp; levers'!$C$14="Off",Constants!$H76*'Activity data'!BJ18*Constants!$H94*FracLEACHMM*MMLeachEF*NtoN2O*kgtoGg,IF('Net zero activities &amp; levers'!$C$14="On",Constants!$H76*'Net zero Activity data'!BJ18*Constants!$H94*FracLEACHMM*MMLeachEF*NtoN2O*kgtoGg,"ERROR"))</f>
        <v>-8.4680885833706668E-4</v>
      </c>
      <c r="AR1214" s="94">
        <f>IF('Net zero activities &amp; levers'!$C$14="Off",Constants!$H76*'Activity data'!BK18*Constants!$H94*FracLEACHMM*MMLeachEF*NtoN2O*kgtoGg,IF('Net zero activities &amp; levers'!$C$14="On",Constants!$H76*'Net zero Activity data'!BK18*Constants!$H94*FracLEACHMM*MMLeachEF*NtoN2O*kgtoGg,"ERROR"))</f>
        <v>-8.3658686020557013E-4</v>
      </c>
      <c r="AS1214" s="94">
        <f>IF('Net zero activities &amp; levers'!$C$14="Off",Constants!$H76*'Activity data'!BL18*Constants!$H94*FracLEACHMM*MMLeachEF*NtoN2O*kgtoGg,IF('Net zero activities &amp; levers'!$C$14="On",Constants!$H76*'Net zero Activity data'!BL18*Constants!$H94*FracLEACHMM*MMLeachEF*NtoN2O*kgtoGg,"ERROR"))</f>
        <v>-8.2627599322965283E-4</v>
      </c>
      <c r="AT1214" s="94">
        <f>IF('Net zero activities &amp; levers'!$C$14="Off",Constants!$H76*'Activity data'!BM18*Constants!$H94*FracLEACHMM*MMLeachEF*NtoN2O*kgtoGg,IF('Net zero activities &amp; levers'!$C$14="On",Constants!$H76*'Net zero Activity data'!BM18*Constants!$H94*FracLEACHMM*MMLeachEF*NtoN2O*kgtoGg,"ERROR"))</f>
        <v>-8.1587918381657311E-4</v>
      </c>
      <c r="AU1214" s="94">
        <f>IF('Net zero activities &amp; levers'!$C$14="Off",Constants!$H76*'Activity data'!BN18*Constants!$H94*FracLEACHMM*MMLeachEF*NtoN2O*kgtoGg,IF('Net zero activities &amp; levers'!$C$14="On",Constants!$H76*'Net zero Activity data'!BN18*Constants!$H94*FracLEACHMM*MMLeachEF*NtoN2O*kgtoGg,"ERROR"))</f>
        <v>-8.0540508348982262E-4</v>
      </c>
      <c r="AV1214" s="94">
        <f>IF('Net zero activities &amp; levers'!$C$14="Off",Constants!$H76*'Activity data'!BO18*Constants!$H94*FracLEACHMM*MMLeachEF*NtoN2O*kgtoGg,IF('Net zero activities &amp; levers'!$C$14="On",Constants!$H76*'Net zero Activity data'!BO18*Constants!$H94*FracLEACHMM*MMLeachEF*NtoN2O*kgtoGg,"ERROR"))</f>
        <v>-7.9486109264576715E-4</v>
      </c>
      <c r="AW1214" s="94">
        <f>IF('Net zero activities &amp; levers'!$C$14="Off",Constants!$H76*'Activity data'!BP18*Constants!$H94*FracLEACHMM*MMLeachEF*NtoN2O*kgtoGg,IF('Net zero activities &amp; levers'!$C$14="On",Constants!$H76*'Net zero Activity data'!BP18*Constants!$H94*FracLEACHMM*MMLeachEF*NtoN2O*kgtoGg,"ERROR"))</f>
        <v>-7.8423261366017795E-4</v>
      </c>
      <c r="AY1214" s="79"/>
    </row>
    <row r="1215" spans="1:51" x14ac:dyDescent="0.25">
      <c r="A1215" s="95" t="str">
        <f t="shared" si="380"/>
        <v>CM MM Leaching</v>
      </c>
      <c r="B1215" s="95" t="s">
        <v>1322</v>
      </c>
      <c r="C1215" s="95" t="s">
        <v>1333</v>
      </c>
      <c r="D1215" t="s">
        <v>369</v>
      </c>
      <c r="E1215" t="s">
        <v>64</v>
      </c>
      <c r="F1215" t="s">
        <v>63</v>
      </c>
      <c r="G1215" t="s">
        <v>1180</v>
      </c>
      <c r="H1215" t="s">
        <v>1320</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1.6726645268412749E-2</v>
      </c>
      <c r="L1215" s="94">
        <f>IF('Net zero activities &amp; levers'!$C$14="Off",Constants!$H77*'Activity data'!AE19*Constants!$H95*FracLEACHMM*MMLeachEF*NtoN2O*kgtoGg,IF('Net zero activities &amp; levers'!$C$14="On",Constants!$H77*'Net zero Activity data'!AE19*Constants!$H95*FracLEACHMM*MMLeachEF*NtoN2O*kgtoGg,"ERROR"))</f>
        <v>1.7066731126843742E-2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1.8197780265539368E-2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1.8677293946611211E-2</v>
      </c>
      <c r="S1215" s="94">
        <f>IF('Net zero activities &amp; levers'!$C$14="Off",Constants!$H77*'Activity data'!AL19*Constants!$H95*FracLEACHMM*MMLeachEF*NtoN2O*kgtoGg,IF('Net zero activities &amp; levers'!$C$14="On",Constants!$H77*'Net zero Activity data'!AL19*Constants!$H95*FracLEACHMM*MMLeachEF*NtoN2O*kgtoGg,"ERROR"))</f>
        <v>1.7940997011567712E-2</v>
      </c>
      <c r="T1215" s="94">
        <f>IF('Net zero activities &amp; levers'!$C$14="Off",Constants!$H77*'Activity data'!AM19*Constants!$H95*FracLEACHMM*MMLeachEF*NtoN2O*kgtoGg,IF('Net zero activities &amp; levers'!$C$14="On",Constants!$H77*'Net zero Activity data'!AM19*Constants!$H95*FracLEACHMM*MMLeachEF*NtoN2O*kgtoGg,"ERROR"))</f>
        <v>1.8599101618187692E-2</v>
      </c>
      <c r="U1215" s="94">
        <f>IF('Net zero activities &amp; levers'!$C$14="Off",Constants!$H77*'Activity data'!AN19*Constants!$H95*FracLEACHMM*MMLeachEF*NtoN2O*kgtoGg,IF('Net zero activities &amp; levers'!$C$14="On",Constants!$H77*'Net zero Activity data'!AN19*Constants!$H95*FracLEACHMM*MMLeachEF*NtoN2O*kgtoGg,"ERROR"))</f>
        <v>4.1335323674744497E-2</v>
      </c>
      <c r="V1215" s="94">
        <f>IF('Net zero activities &amp; levers'!$C$14="Off",Constants!$H77*'Activity data'!AO19*Constants!$H95*FracLEACHMM*MMLeachEF*NtoN2O*kgtoGg,IF('Net zero activities &amp; levers'!$C$14="On",Constants!$H77*'Net zero Activity data'!AO19*Constants!$H95*FracLEACHMM*MMLeachEF*NtoN2O*kgtoGg,"ERROR"))</f>
        <v>4.2244056956773843E-2</v>
      </c>
      <c r="W1215" s="94">
        <f>IF('Net zero activities &amp; levers'!$C$14="Off",Constants!$H77*'Activity data'!AP19*Constants!$H95*FracLEACHMM*MMLeachEF*NtoN2O*kgtoGg,IF('Net zero activities &amp; levers'!$C$14="On",Constants!$H77*'Net zero Activity data'!AP19*Constants!$H95*FracLEACHMM*MMLeachEF*NtoN2O*kgtoGg,"ERROR"))</f>
        <v>4.3115523568410363E-2</v>
      </c>
      <c r="X1215" s="94">
        <f>IF('Net zero activities &amp; levers'!$C$14="Off",Constants!$H77*'Activity data'!AQ19*Constants!$H95*FracLEACHMM*MMLeachEF*NtoN2O*kgtoGg,IF('Net zero activities &amp; levers'!$C$14="On",Constants!$H77*'Net zero Activity data'!AQ19*Constants!$H95*FracLEACHMM*MMLeachEF*NtoN2O*kgtoGg,"ERROR"))</f>
        <v>4.3942027126697474E-2</v>
      </c>
      <c r="Y1215" s="94">
        <f>IF('Net zero activities &amp; levers'!$C$14="Off",Constants!$H77*'Activity data'!AR19*Constants!$H95*FracLEACHMM*MMLeachEF*NtoN2O*kgtoGg,IF('Net zero activities &amp; levers'!$C$14="On",Constants!$H77*'Net zero Activity data'!AR19*Constants!$H95*FracLEACHMM*MMLeachEF*NtoN2O*kgtoGg,"ERROR"))</f>
        <v>4.4713130877516903E-2</v>
      </c>
      <c r="Z1215" s="94">
        <f>IF('Net zero activities &amp; levers'!$C$14="Off",Constants!$H77*'Activity data'!AS19*Constants!$H95*FracLEACHMM*MMLeachEF*NtoN2O*kgtoGg,IF('Net zero activities &amp; levers'!$C$14="On",Constants!$H77*'Net zero Activity data'!AS19*Constants!$H95*FracLEACHMM*MMLeachEF*NtoN2O*kgtoGg,"ERROR"))</f>
        <v>4.5425464748643458E-2</v>
      </c>
      <c r="AA1215" s="94">
        <f>IF('Net zero activities &amp; levers'!$C$14="Off",Constants!$H77*'Activity data'!AT19*Constants!$H95*FracLEACHMM*MMLeachEF*NtoN2O*kgtoGg,IF('Net zero activities &amp; levers'!$C$14="On",Constants!$H77*'Net zero Activity data'!AT19*Constants!$H95*FracLEACHMM*MMLeachEF*NtoN2O*kgtoGg,"ERROR"))</f>
        <v>4.6075599059895E-2</v>
      </c>
      <c r="AB1215" s="94">
        <f>IF('Net zero activities &amp; levers'!$C$14="Off",Constants!$H77*'Activity data'!AU19*Constants!$H95*FracLEACHMM*MMLeachEF*NtoN2O*kgtoGg,IF('Net zero activities &amp; levers'!$C$14="On",Constants!$H77*'Net zero Activity data'!AU19*Constants!$H95*FracLEACHMM*MMLeachEF*NtoN2O*kgtoGg,"ERROR"))</f>
        <v>4.666057526853875E-2</v>
      </c>
      <c r="AC1215" s="94">
        <f>IF('Net zero activities &amp; levers'!$C$14="Off",Constants!$H77*'Activity data'!AV19*Constants!$H95*FracLEACHMM*MMLeachEF*NtoN2O*kgtoGg,IF('Net zero activities &amp; levers'!$C$14="On",Constants!$H77*'Net zero Activity data'!AV19*Constants!$H95*FracLEACHMM*MMLeachEF*NtoN2O*kgtoGg,"ERROR"))</f>
        <v>4.7177797153361963E-2</v>
      </c>
      <c r="AD1215" s="94">
        <f>IF('Net zero activities &amp; levers'!$C$14="Off",Constants!$H77*'Activity data'!AW19*Constants!$H95*FracLEACHMM*MMLeachEF*NtoN2O*kgtoGg,IF('Net zero activities &amp; levers'!$C$14="On",Constants!$H77*'Net zero Activity data'!AW19*Constants!$H95*FracLEACHMM*MMLeachEF*NtoN2O*kgtoGg,"ERROR"))</f>
        <v>4.762476340679795E-2</v>
      </c>
      <c r="AE1215" s="94">
        <f>IF('Net zero activities &amp; levers'!$C$14="Off",Constants!$H77*'Activity data'!AX19*Constants!$H95*FracLEACHMM*MMLeachEF*NtoN2O*kgtoGg,IF('Net zero activities &amp; levers'!$C$14="On",Constants!$H77*'Net zero Activity data'!AX19*Constants!$H95*FracLEACHMM*MMLeachEF*NtoN2O*kgtoGg,"ERROR"))</f>
        <v>4.7999511889239711E-2</v>
      </c>
      <c r="AF1215" s="94">
        <f>IF('Net zero activities &amp; levers'!$C$14="Off",Constants!$H77*'Activity data'!AY19*Constants!$H95*FracLEACHMM*MMLeachEF*NtoN2O*kgtoGg,IF('Net zero activities &amp; levers'!$C$14="On",Constants!$H77*'Net zero Activity data'!AY19*Constants!$H95*FracLEACHMM*MMLeachEF*NtoN2O*kgtoGg,"ERROR"))</f>
        <v>4.8300272482139597E-2</v>
      </c>
      <c r="AG1215" s="94">
        <f>IF('Net zero activities &amp; levers'!$C$14="Off",Constants!$H77*'Activity data'!AZ19*Constants!$H95*FracLEACHMM*MMLeachEF*NtoN2O*kgtoGg,IF('Net zero activities &amp; levers'!$C$14="On",Constants!$H77*'Net zero Activity data'!AZ19*Constants!$H95*FracLEACHMM*MMLeachEF*NtoN2O*kgtoGg,"ERROR"))</f>
        <v>4.8525470849872195E-2</v>
      </c>
      <c r="AH1215" s="94">
        <f>IF('Net zero activities &amp; levers'!$C$14="Off",Constants!$H77*'Activity data'!BA19*Constants!$H95*FracLEACHMM*MMLeachEF*NtoN2O*kgtoGg,IF('Net zero activities &amp; levers'!$C$14="On",Constants!$H77*'Net zero Activity data'!BA19*Constants!$H95*FracLEACHMM*MMLeachEF*NtoN2O*kgtoGg,"ERROR"))</f>
        <v>4.8674159183630092E-2</v>
      </c>
      <c r="AI1215" s="94">
        <f>IF('Net zero activities &amp; levers'!$C$14="Off",Constants!$H77*'Activity data'!BB19*Constants!$H95*FracLEACHMM*MMLeachEF*NtoN2O*kgtoGg,IF('Net zero activities &amp; levers'!$C$14="On",Constants!$H77*'Net zero Activity data'!BB19*Constants!$H95*FracLEACHMM*MMLeachEF*NtoN2O*kgtoGg,"ERROR"))</f>
        <v>4.8745846953258828E-2</v>
      </c>
      <c r="AJ1215" s="94">
        <f>IF('Net zero activities &amp; levers'!$C$14="Off",Constants!$H77*'Activity data'!BC19*Constants!$H95*FracLEACHMM*MMLeachEF*NtoN2O*kgtoGg,IF('Net zero activities &amp; levers'!$C$14="On",Constants!$H77*'Net zero Activity data'!BC19*Constants!$H95*FracLEACHMM*MMLeachEF*NtoN2O*kgtoGg,"ERROR"))</f>
        <v>6.3546724312553964E-3</v>
      </c>
      <c r="AK1215" s="94">
        <f>IF('Net zero activities &amp; levers'!$C$14="Off",Constants!$H77*'Activity data'!BD19*Constants!$H95*FracLEACHMM*MMLeachEF*NtoN2O*kgtoGg,IF('Net zero activities &amp; levers'!$C$14="On",Constants!$H77*'Net zero Activity data'!BD19*Constants!$H95*FracLEACHMM*MMLeachEF*NtoN2O*kgtoGg,"ERROR"))</f>
        <v>6.4013115626169702E-3</v>
      </c>
      <c r="AL1215" s="94">
        <f>IF('Net zero activities &amp; levers'!$C$14="Off",Constants!$H77*'Activity data'!BE19*Constants!$H95*FracLEACHMM*MMLeachEF*NtoN2O*kgtoGg,IF('Net zero activities &amp; levers'!$C$14="On",Constants!$H77*'Net zero Activity data'!BE19*Constants!$H95*FracLEACHMM*MMLeachEF*NtoN2O*kgtoGg,"ERROR"))</f>
        <v>6.446794570043473E-3</v>
      </c>
      <c r="AM1215" s="94">
        <f>IF('Net zero activities &amp; levers'!$C$14="Off",Constants!$H77*'Activity data'!BF19*Constants!$H95*FracLEACHMM*MMLeachEF*NtoN2O*kgtoGg,IF('Net zero activities &amp; levers'!$C$14="On",Constants!$H77*'Net zero Activity data'!BF19*Constants!$H95*FracLEACHMM*MMLeachEF*NtoN2O*kgtoGg,"ERROR"))</f>
        <v>6.4911899708581184E-3</v>
      </c>
      <c r="AN1215" s="94">
        <f>IF('Net zero activities &amp; levers'!$C$14="Off",Constants!$H77*'Activity data'!BG19*Constants!$H95*FracLEACHMM*MMLeachEF*NtoN2O*kgtoGg,IF('Net zero activities &amp; levers'!$C$14="On",Constants!$H77*'Net zero Activity data'!BG19*Constants!$H95*FracLEACHMM*MMLeachEF*NtoN2O*kgtoGg,"ERROR"))</f>
        <v>6.5345767491159093E-3</v>
      </c>
      <c r="AO1215" s="94">
        <f>IF('Net zero activities &amp; levers'!$C$14="Off",Constants!$H77*'Activity data'!BH19*Constants!$H95*FracLEACHMM*MMLeachEF*NtoN2O*kgtoGg,IF('Net zero activities &amp; levers'!$C$14="On",Constants!$H77*'Net zero Activity data'!BH19*Constants!$H95*FracLEACHMM*MMLeachEF*NtoN2O*kgtoGg,"ERROR"))</f>
        <v>6.5767770115873272E-3</v>
      </c>
      <c r="AP1215" s="94">
        <f>IF('Net zero activities &amp; levers'!$C$14="Off",Constants!$H77*'Activity data'!BI19*Constants!$H95*FracLEACHMM*MMLeachEF*NtoN2O*kgtoGg,IF('Net zero activities &amp; levers'!$C$14="On",Constants!$H77*'Net zero Activity data'!BI19*Constants!$H95*FracLEACHMM*MMLeachEF*NtoN2O*kgtoGg,"ERROR"))</f>
        <v>6.6176736088844742E-3</v>
      </c>
      <c r="AQ1215" s="94">
        <f>IF('Net zero activities &amp; levers'!$C$14="Off",Constants!$H77*'Activity data'!BJ19*Constants!$H95*FracLEACHMM*MMLeachEF*NtoN2O*kgtoGg,IF('Net zero activities &amp; levers'!$C$14="On",Constants!$H77*'Net zero Activity data'!BJ19*Constants!$H95*FracLEACHMM*MMLeachEF*NtoN2O*kgtoGg,"ERROR"))</f>
        <v>6.6572579134014679E-3</v>
      </c>
      <c r="AR1215" s="94">
        <f>IF('Net zero activities &amp; levers'!$C$14="Off",Constants!$H77*'Activity data'!BK19*Constants!$H95*FracLEACHMM*MMLeachEF*NtoN2O*kgtoGg,IF('Net zero activities &amp; levers'!$C$14="On",Constants!$H77*'Net zero Activity data'!BK19*Constants!$H95*FracLEACHMM*MMLeachEF*NtoN2O*kgtoGg,"ERROR"))</f>
        <v>6.6953903792422425E-3</v>
      </c>
      <c r="AS1215" s="94">
        <f>IF('Net zero activities &amp; levers'!$C$14="Off",Constants!$H77*'Activity data'!BL19*Constants!$H95*FracLEACHMM*MMLeachEF*NtoN2O*kgtoGg,IF('Net zero activities &amp; levers'!$C$14="On",Constants!$H77*'Net zero Activity data'!BL19*Constants!$H95*FracLEACHMM*MMLeachEF*NtoN2O*kgtoGg,"ERROR"))</f>
        <v>6.7319156561258262E-3</v>
      </c>
      <c r="AT1215" s="94">
        <f>IF('Net zero activities &amp; levers'!$C$14="Off",Constants!$H77*'Activity data'!BM19*Constants!$H95*FracLEACHMM*MMLeachEF*NtoN2O*kgtoGg,IF('Net zero activities &amp; levers'!$C$14="On",Constants!$H77*'Net zero Activity data'!BM19*Constants!$H95*FracLEACHMM*MMLeachEF*NtoN2O*kgtoGg,"ERROR"))</f>
        <v>6.7668201581545509E-3</v>
      </c>
      <c r="AU1215" s="94">
        <f>IF('Net zero activities &amp; levers'!$C$14="Off",Constants!$H77*'Activity data'!BN19*Constants!$H95*FracLEACHMM*MMLeachEF*NtoN2O*kgtoGg,IF('Net zero activities &amp; levers'!$C$14="On",Constants!$H77*'Net zero Activity data'!BN19*Constants!$H95*FracLEACHMM*MMLeachEF*NtoN2O*kgtoGg,"ERROR"))</f>
        <v>6.8001333252020657E-3</v>
      </c>
      <c r="AV1215" s="94">
        <f>IF('Net zero activities &amp; levers'!$C$14="Off",Constants!$H77*'Activity data'!BO19*Constants!$H95*FracLEACHMM*MMLeachEF*NtoN2O*kgtoGg,IF('Net zero activities &amp; levers'!$C$14="On",Constants!$H77*'Net zero Activity data'!BO19*Constants!$H95*FracLEACHMM*MMLeachEF*NtoN2O*kgtoGg,"ERROR"))</f>
        <v>6.8318771364297487E-3</v>
      </c>
      <c r="AW1215" s="94">
        <f>IF('Net zero activities &amp; levers'!$C$14="Off",Constants!$H77*'Activity data'!BP19*Constants!$H95*FracLEACHMM*MMLeachEF*NtoN2O*kgtoGg,IF('Net zero activities &amp; levers'!$C$14="On",Constants!$H77*'Net zero Activity data'!BP19*Constants!$H95*FracLEACHMM*MMLeachEF*NtoN2O*kgtoGg,"ERROR"))</f>
        <v>6.8619001030845884E-3</v>
      </c>
      <c r="AY1215" s="79"/>
    </row>
    <row r="1216" spans="1:51" x14ac:dyDescent="0.25">
      <c r="A1216" s="95" t="str">
        <f t="shared" si="380"/>
        <v>CM MM Leaching</v>
      </c>
      <c r="B1216" s="95" t="s">
        <v>1322</v>
      </c>
      <c r="C1216" s="95" t="s">
        <v>1333</v>
      </c>
      <c r="D1216" t="s">
        <v>369</v>
      </c>
      <c r="E1216" t="s">
        <v>64</v>
      </c>
      <c r="F1216" t="s">
        <v>63</v>
      </c>
      <c r="G1216" t="s">
        <v>1182</v>
      </c>
      <c r="H1216" t="s">
        <v>1321</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7.7585797913229351E-2</v>
      </c>
      <c r="L1216" s="94">
        <f>IF('Net zero activities &amp; levers'!$C$14="Off",Constants!$H78*'Activity data'!AE20*Constants!$H96*FracLEACHMM*MMLeachEF*NtoN2O*kgtoGg,IF('Net zero activities &amp; levers'!$C$14="On",Constants!$H78*'Net zero Activity data'!AE20*Constants!$H96*FracLEACHMM*MMLeachEF*NtoN2O*kgtoGg,"ERROR"))</f>
        <v>7.8607464197542484E-2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8.0719757945382303E-2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7.8944464359385638E-2</v>
      </c>
      <c r="R1216" s="94">
        <f>IF('Net zero activities &amp; levers'!$C$14="Off",Constants!$H78*'Activity data'!AK20*Constants!$H96*FracLEACHMM*MMLeachEF*NtoN2O*kgtoGg,IF('Net zero activities &amp; levers'!$C$14="On",Constants!$H78*'Net zero Activity data'!AK20*Constants!$H96*FracLEACHMM*MMLeachEF*NtoN2O*kgtoGg,"ERROR"))</f>
        <v>7.8604018955287347E-2</v>
      </c>
      <c r="S1216" s="94">
        <f>IF('Net zero activities &amp; levers'!$C$14="Off",Constants!$H78*'Activity data'!AL20*Constants!$H96*FracLEACHMM*MMLeachEF*NtoN2O*kgtoGg,IF('Net zero activities &amp; levers'!$C$14="On",Constants!$H78*'Net zero Activity data'!AL20*Constants!$H96*FracLEACHMM*MMLeachEF*NtoN2O*kgtoGg,"ERROR"))</f>
        <v>6.8551548491341041E-2</v>
      </c>
      <c r="T1216" s="94">
        <f>IF('Net zero activities &amp; levers'!$C$14="Off",Constants!$H78*'Activity data'!AM20*Constants!$H96*FracLEACHMM*MMLeachEF*NtoN2O*kgtoGg,IF('Net zero activities &amp; levers'!$C$14="On",Constants!$H78*'Net zero Activity data'!AM20*Constants!$H96*FracLEACHMM*MMLeachEF*NtoN2O*kgtoGg,"ERROR"))</f>
        <v>7.3739546332348721E-2</v>
      </c>
      <c r="U1216" s="94">
        <f>IF('Net zero activities &amp; levers'!$C$14="Off",Constants!$H78*'Activity data'!AN20*Constants!$H96*FracLEACHMM*MMLeachEF*NtoN2O*kgtoGg,IF('Net zero activities &amp; levers'!$C$14="On",Constants!$H78*'Net zero Activity data'!AN20*Constants!$H96*FracLEACHMM*MMLeachEF*NtoN2O*kgtoGg,"ERROR"))</f>
        <v>0.32063801867343739</v>
      </c>
      <c r="V1216" s="94">
        <f>IF('Net zero activities &amp; levers'!$C$14="Off",Constants!$H78*'Activity data'!AO20*Constants!$H96*FracLEACHMM*MMLeachEF*NtoN2O*kgtoGg,IF('Net zero activities &amp; levers'!$C$14="On",Constants!$H78*'Net zero Activity data'!AO20*Constants!$H96*FracLEACHMM*MMLeachEF*NtoN2O*kgtoGg,"ERROR"))</f>
        <v>0.3263865261169076</v>
      </c>
      <c r="W1216" s="94">
        <f>IF('Net zero activities &amp; levers'!$C$14="Off",Constants!$H78*'Activity data'!AP20*Constants!$H96*FracLEACHMM*MMLeachEF*NtoN2O*kgtoGg,IF('Net zero activities &amp; levers'!$C$14="On",Constants!$H78*'Net zero Activity data'!AP20*Constants!$H96*FracLEACHMM*MMLeachEF*NtoN2O*kgtoGg,"ERROR"))</f>
        <v>0.3314934571329114</v>
      </c>
      <c r="X1216" s="94">
        <f>IF('Net zero activities &amp; levers'!$C$14="Off",Constants!$H78*'Activity data'!AQ20*Constants!$H96*FracLEACHMM*MMLeachEF*NtoN2O*kgtoGg,IF('Net zero activities &amp; levers'!$C$14="On",Constants!$H78*'Net zero Activity data'!AQ20*Constants!$H96*FracLEACHMM*MMLeachEF*NtoN2O*kgtoGg,"ERROR"))</f>
        <v>0.33598061783359728</v>
      </c>
      <c r="Y1216" s="94">
        <f>IF('Net zero activities &amp; levers'!$C$14="Off",Constants!$H78*'Activity data'!AR20*Constants!$H96*FracLEACHMM*MMLeachEF*NtoN2O*kgtoGg,IF('Net zero activities &amp; levers'!$C$14="On",Constants!$H78*'Net zero Activity data'!AR20*Constants!$H96*FracLEACHMM*MMLeachEF*NtoN2O*kgtoGg,"ERROR"))</f>
        <v>0.33990898947079762</v>
      </c>
      <c r="Z1216" s="94">
        <f>IF('Net zero activities &amp; levers'!$C$14="Off",Constants!$H78*'Activity data'!AS20*Constants!$H96*FracLEACHMM*MMLeachEF*NtoN2O*kgtoGg,IF('Net zero activities &amp; levers'!$C$14="On",Constants!$H78*'Net zero Activity data'!AS20*Constants!$H96*FracLEACHMM*MMLeachEF*NtoN2O*kgtoGg,"ERROR"))</f>
        <v>0.3432491056284519</v>
      </c>
      <c r="AA1216" s="94">
        <f>IF('Net zero activities &amp; levers'!$C$14="Off",Constants!$H78*'Activity data'!AT20*Constants!$H96*FracLEACHMM*MMLeachEF*NtoN2O*kgtoGg,IF('Net zero activities &amp; levers'!$C$14="On",Constants!$H78*'Net zero Activity data'!AT20*Constants!$H96*FracLEACHMM*MMLeachEF*NtoN2O*kgtoGg,"ERROR"))</f>
        <v>0.345978344064029</v>
      </c>
      <c r="AB1216" s="94">
        <f>IF('Net zero activities &amp; levers'!$C$14="Off",Constants!$H78*'Activity data'!AU20*Constants!$H96*FracLEACHMM*MMLeachEF*NtoN2O*kgtoGg,IF('Net zero activities &amp; levers'!$C$14="On",Constants!$H78*'Net zero Activity data'!AU20*Constants!$H96*FracLEACHMM*MMLeachEF*NtoN2O*kgtoGg,"ERROR"))</f>
        <v>0.34807446920762175</v>
      </c>
      <c r="AC1216" s="94">
        <f>IF('Net zero activities &amp; levers'!$C$14="Off",Constants!$H78*'Activity data'!AV20*Constants!$H96*FracLEACHMM*MMLeachEF*NtoN2O*kgtoGg,IF('Net zero activities &amp; levers'!$C$14="On",Constants!$H78*'Net zero Activity data'!AV20*Constants!$H96*FracLEACHMM*MMLeachEF*NtoN2O*kgtoGg,"ERROR"))</f>
        <v>0.34951764979405581</v>
      </c>
      <c r="AD1216" s="94">
        <f>IF('Net zero activities &amp; levers'!$C$14="Off",Constants!$H78*'Activity data'!AW20*Constants!$H96*FracLEACHMM*MMLeachEF*NtoN2O*kgtoGg,IF('Net zero activities &amp; levers'!$C$14="On",Constants!$H78*'Net zero Activity data'!AW20*Constants!$H96*FracLEACHMM*MMLeachEF*NtoN2O*kgtoGg,"ERROR"))</f>
        <v>0.35029436297093797</v>
      </c>
      <c r="AE1216" s="94">
        <f>IF('Net zero activities &amp; levers'!$C$14="Off",Constants!$H78*'Activity data'!AX20*Constants!$H96*FracLEACHMM*MMLeachEF*NtoN2O*kgtoGg,IF('Net zero activities &amp; levers'!$C$14="On",Constants!$H78*'Net zero Activity data'!AX20*Constants!$H96*FracLEACHMM*MMLeachEF*NtoN2O*kgtoGg,"ERROR"))</f>
        <v>0.3503920713528586</v>
      </c>
      <c r="AF1216" s="94">
        <f>IF('Net zero activities &amp; levers'!$C$14="Off",Constants!$H78*'Activity data'!AY20*Constants!$H96*FracLEACHMM*MMLeachEF*NtoN2O*kgtoGg,IF('Net zero activities &amp; levers'!$C$14="On",Constants!$H78*'Net zero Activity data'!AY20*Constants!$H96*FracLEACHMM*MMLeachEF*NtoN2O*kgtoGg,"ERROR"))</f>
        <v>0.34980401942204614</v>
      </c>
      <c r="AG1216" s="94">
        <f>IF('Net zero activities &amp; levers'!$C$14="Off",Constants!$H78*'Activity data'!AZ20*Constants!$H96*FracLEACHMM*MMLeachEF*NtoN2O*kgtoGg,IF('Net zero activities &amp; levers'!$C$14="On",Constants!$H78*'Net zero Activity data'!AZ20*Constants!$H96*FracLEACHMM*MMLeachEF*NtoN2O*kgtoGg,"ERROR"))</f>
        <v>0.34852938630195235</v>
      </c>
      <c r="AH1216" s="94">
        <f>IF('Net zero activities &amp; levers'!$C$14="Off",Constants!$H78*'Activity data'!BA20*Constants!$H96*FracLEACHMM*MMLeachEF*NtoN2O*kgtoGg,IF('Net zero activities &amp; levers'!$C$14="On",Constants!$H78*'Net zero Activity data'!BA20*Constants!$H96*FracLEACHMM*MMLeachEF*NtoN2O*kgtoGg,"ERROR"))</f>
        <v>0.34656807266355577</v>
      </c>
      <c r="AI1216" s="94">
        <f>IF('Net zero activities &amp; levers'!$C$14="Off",Constants!$H78*'Activity data'!BB20*Constants!$H96*FracLEACHMM*MMLeachEF*NtoN2O*kgtoGg,IF('Net zero activities &amp; levers'!$C$14="On",Constants!$H78*'Net zero Activity data'!BB20*Constants!$H96*FracLEACHMM*MMLeachEF*NtoN2O*kgtoGg,"ERROR"))</f>
        <v>0.34392301643743828</v>
      </c>
      <c r="AJ1216" s="94">
        <f>IF('Net zero activities &amp; levers'!$C$14="Off",Constants!$H78*'Activity data'!BC20*Constants!$H96*FracLEACHMM*MMLeachEF*NtoN2O*kgtoGg,IF('Net zero activities &amp; levers'!$C$14="On",Constants!$H78*'Net zero Activity data'!BC20*Constants!$H96*FracLEACHMM*MMLeachEF*NtoN2O*kgtoGg,"ERROR"))</f>
        <v>-7.3441689918994316E-2</v>
      </c>
      <c r="AK1216" s="94">
        <f>IF('Net zero activities &amp; levers'!$C$14="Off",Constants!$H78*'Activity data'!BD20*Constants!$H96*FracLEACHMM*MMLeachEF*NtoN2O*kgtoGg,IF('Net zero activities &amp; levers'!$C$14="On",Constants!$H78*'Net zero Activity data'!BD20*Constants!$H96*FracLEACHMM*MMLeachEF*NtoN2O*kgtoGg,"ERROR"))</f>
        <v>-7.3545621673456185E-2</v>
      </c>
      <c r="AL1216" s="94">
        <f>IF('Net zero activities &amp; levers'!$C$14="Off",Constants!$H78*'Activity data'!BE20*Constants!$H96*FracLEACHMM*MMLeachEF*NtoN2O*kgtoGg,IF('Net zero activities &amp; levers'!$C$14="On",Constants!$H78*'Net zero Activity data'!BE20*Constants!$H96*FracLEACHMM*MMLeachEF*NtoN2O*kgtoGg,"ERROR"))</f>
        <v>-7.3639730110431498E-2</v>
      </c>
      <c r="AM1216" s="94">
        <f>IF('Net zero activities &amp; levers'!$C$14="Off",Constants!$H78*'Activity data'!BF20*Constants!$H96*FracLEACHMM*MMLeachEF*NtoN2O*kgtoGg,IF('Net zero activities &amp; levers'!$C$14="On",Constants!$H78*'Net zero Activity data'!BF20*Constants!$H96*FracLEACHMM*MMLeachEF*NtoN2O*kgtoGg,"ERROR"))</f>
        <v>-7.3724815505769356E-2</v>
      </c>
      <c r="AN1216" s="94">
        <f>IF('Net zero activities &amp; levers'!$C$14="Off",Constants!$H78*'Activity data'!BG20*Constants!$H96*FracLEACHMM*MMLeachEF*NtoN2O*kgtoGg,IF('Net zero activities &amp; levers'!$C$14="On",Constants!$H78*'Net zero Activity data'!BG20*Constants!$H96*FracLEACHMM*MMLeachEF*NtoN2O*kgtoGg,"ERROR"))</f>
        <v>-7.3801792793217899E-2</v>
      </c>
      <c r="AO1216" s="94">
        <f>IF('Net zero activities &amp; levers'!$C$14="Off",Constants!$H78*'Activity data'!BH20*Constants!$H96*FracLEACHMM*MMLeachEF*NtoN2O*kgtoGg,IF('Net zero activities &amp; levers'!$C$14="On",Constants!$H78*'Net zero Activity data'!BH20*Constants!$H96*FracLEACHMM*MMLeachEF*NtoN2O*kgtoGg,"ERROR"))</f>
        <v>-7.386851362361406E-2</v>
      </c>
      <c r="AP1216" s="94">
        <f>IF('Net zero activities &amp; levers'!$C$14="Off",Constants!$H78*'Activity data'!BI20*Constants!$H96*FracLEACHMM*MMLeachEF*NtoN2O*kgtoGg,IF('Net zero activities &amp; levers'!$C$14="On",Constants!$H78*'Net zero Activity data'!BI20*Constants!$H96*FracLEACHMM*MMLeachEF*NtoN2O*kgtoGg,"ERROR"))</f>
        <v>-7.3923604247027361E-2</v>
      </c>
      <c r="AQ1216" s="94">
        <f>IF('Net zero activities &amp; levers'!$C$14="Off",Constants!$H78*'Activity data'!BJ20*Constants!$H96*FracLEACHMM*MMLeachEF*NtoN2O*kgtoGg,IF('Net zero activities &amp; levers'!$C$14="On",Constants!$H78*'Net zero Activity data'!BJ20*Constants!$H96*FracLEACHMM*MMLeachEF*NtoN2O*kgtoGg,"ERROR"))</f>
        <v>-7.3967002295391979E-2</v>
      </c>
      <c r="AR1216" s="94">
        <f>IF('Net zero activities &amp; levers'!$C$14="Off",Constants!$H78*'Activity data'!BK20*Constants!$H96*FracLEACHMM*MMLeachEF*NtoN2O*kgtoGg,IF('Net zero activities &amp; levers'!$C$14="On",Constants!$H78*'Net zero Activity data'!BK20*Constants!$H96*FracLEACHMM*MMLeachEF*NtoN2O*kgtoGg,"ERROR"))</f>
        <v>-7.3997124044251614E-2</v>
      </c>
      <c r="AS1216" s="94">
        <f>IF('Net zero activities &amp; levers'!$C$14="Off",Constants!$H78*'Activity data'!BL20*Constants!$H96*FracLEACHMM*MMLeachEF*NtoN2O*kgtoGg,IF('Net zero activities &amp; levers'!$C$14="On",Constants!$H78*'Net zero Activity data'!BL20*Constants!$H96*FracLEACHMM*MMLeachEF*NtoN2O*kgtoGg,"ERROR"))</f>
        <v>-7.4012242065131795E-2</v>
      </c>
      <c r="AT1216" s="94">
        <f>IF('Net zero activities &amp; levers'!$C$14="Off",Constants!$H78*'Activity data'!BM20*Constants!$H96*FracLEACHMM*MMLeachEF*NtoN2O*kgtoGg,IF('Net zero activities &amp; levers'!$C$14="On",Constants!$H78*'Net zero Activity data'!BM20*Constants!$H96*FracLEACHMM*MMLeachEF*NtoN2O*kgtoGg,"ERROR"))</f>
        <v>-7.4012306856669818E-2</v>
      </c>
      <c r="AU1216" s="94">
        <f>IF('Net zero activities &amp; levers'!$C$14="Off",Constants!$H78*'Activity data'!BN20*Constants!$H96*FracLEACHMM*MMLeachEF*NtoN2O*kgtoGg,IF('Net zero activities &amp; levers'!$C$14="On",Constants!$H78*'Net zero Activity data'!BN20*Constants!$H96*FracLEACHMM*MMLeachEF*NtoN2O*kgtoGg,"ERROR"))</f>
        <v>-7.3997766932053066E-2</v>
      </c>
      <c r="AV1216" s="94">
        <f>IF('Net zero activities &amp; levers'!$C$14="Off",Constants!$H78*'Activity data'!BO20*Constants!$H96*FracLEACHMM*MMLeachEF*NtoN2O*kgtoGg,IF('Net zero activities &amp; levers'!$C$14="On",Constants!$H78*'Net zero Activity data'!BO20*Constants!$H96*FracLEACHMM*MMLeachEF*NtoN2O*kgtoGg,"ERROR"))</f>
        <v>-7.3968978731960316E-2</v>
      </c>
      <c r="AW1216" s="94">
        <f>IF('Net zero activities &amp; levers'!$C$14="Off",Constants!$H78*'Activity data'!BP20*Constants!$H96*FracLEACHMM*MMLeachEF*NtoN2O*kgtoGg,IF('Net zero activities &amp; levers'!$C$14="On",Constants!$H78*'Net zero Activity data'!BP20*Constants!$H96*FracLEACHMM*MMLeachEF*NtoN2O*kgtoGg,"ERROR"))</f>
        <v>-7.3924322860586755E-2</v>
      </c>
      <c r="AY1216" s="79"/>
    </row>
    <row r="1220" spans="1:52" x14ac:dyDescent="0.25">
      <c r="A1220" s="95" t="str">
        <f t="shared" ref="A1220:A1338" si="384">B1220&amp;" "&amp;C1220</f>
        <v>FSFAGSPQNIBDDSCM Cattle</v>
      </c>
      <c r="B1220" s="95" t="s">
        <v>1375</v>
      </c>
      <c r="C1220" s="95" t="s">
        <v>1108</v>
      </c>
      <c r="D1220" t="s">
        <v>15</v>
      </c>
      <c r="E1220" t="s">
        <v>16</v>
      </c>
      <c r="F1220" t="s">
        <v>6</v>
      </c>
      <c r="G1220" t="s">
        <v>136</v>
      </c>
      <c r="H1220" t="s">
        <v>1020</v>
      </c>
      <c r="I1220" t="s">
        <v>121</v>
      </c>
      <c r="J1220" t="s">
        <v>286</v>
      </c>
      <c r="K1220" s="27">
        <f t="shared" ref="K1220:AW1220" si="385">IFERROR(K1379-((K1379-K4)+(K1379-K157)+(K1379-K310)+(K1379-K462)+(K1379-K614)+(K1379-K765)+(K1379-K916)+(K1379-K1067)),0)</f>
        <v>72.246065125367707</v>
      </c>
      <c r="L1220" s="27">
        <f t="shared" si="385"/>
        <v>72.649957574793405</v>
      </c>
      <c r="M1220" s="27">
        <f t="shared" si="385"/>
        <v>73.223011790998029</v>
      </c>
      <c r="N1220" s="27">
        <f t="shared" si="385"/>
        <v>73.591260167761035</v>
      </c>
      <c r="O1220" s="27">
        <f t="shared" si="385"/>
        <v>73.83596289834658</v>
      </c>
      <c r="P1220" s="27">
        <f t="shared" si="385"/>
        <v>73.954711561483919</v>
      </c>
      <c r="Q1220" s="27">
        <f t="shared" si="385"/>
        <v>74.217071552078707</v>
      </c>
      <c r="R1220" s="27">
        <f t="shared" si="385"/>
        <v>74.518042528471327</v>
      </c>
      <c r="S1220" s="27">
        <f t="shared" si="385"/>
        <v>72.400641735612226</v>
      </c>
      <c r="T1220" s="27">
        <f t="shared" si="385"/>
        <v>73.646397311613569</v>
      </c>
      <c r="U1220" s="27">
        <f t="shared" si="385"/>
        <v>126.71451623908638</v>
      </c>
      <c r="V1220" s="27">
        <f t="shared" si="385"/>
        <v>128.24200058803578</v>
      </c>
      <c r="W1220" s="27">
        <f t="shared" si="385"/>
        <v>129.70248573615504</v>
      </c>
      <c r="X1220" s="27">
        <f t="shared" si="385"/>
        <v>131.07112915343163</v>
      </c>
      <c r="Y1220" s="27">
        <f t="shared" si="385"/>
        <v>132.31138089682617</v>
      </c>
      <c r="Z1220" s="27">
        <f t="shared" si="385"/>
        <v>133.41744896278323</v>
      </c>
      <c r="AA1220" s="27">
        <f t="shared" si="385"/>
        <v>134.38288992099422</v>
      </c>
      <c r="AB1220" s="27">
        <f t="shared" si="385"/>
        <v>135.20282704552554</v>
      </c>
      <c r="AC1220" s="27">
        <f t="shared" si="385"/>
        <v>135.87339274665732</v>
      </c>
      <c r="AD1220" s="27">
        <f t="shared" si="385"/>
        <v>136.39052131842715</v>
      </c>
      <c r="AE1220" s="27">
        <f t="shared" si="385"/>
        <v>136.75177878147903</v>
      </c>
      <c r="AF1220" s="27">
        <f t="shared" si="385"/>
        <v>136.95483040988077</v>
      </c>
      <c r="AG1220" s="27">
        <f t="shared" si="385"/>
        <v>136.99742056904799</v>
      </c>
      <c r="AH1220" s="27">
        <f t="shared" si="385"/>
        <v>136.87913733677345</v>
      </c>
      <c r="AI1220" s="27">
        <f t="shared" si="385"/>
        <v>136.60065411000454</v>
      </c>
      <c r="AJ1220" s="27">
        <f t="shared" si="385"/>
        <v>43.218084806671186</v>
      </c>
      <c r="AK1220" s="27">
        <f t="shared" si="385"/>
        <v>43.249633283301115</v>
      </c>
      <c r="AL1220" s="27">
        <f t="shared" si="385"/>
        <v>43.278910692305409</v>
      </c>
      <c r="AM1220" s="27">
        <f t="shared" si="385"/>
        <v>43.306115085271941</v>
      </c>
      <c r="AN1220" s="27">
        <f t="shared" si="385"/>
        <v>43.331490420249878</v>
      </c>
      <c r="AO1220" s="27">
        <f t="shared" si="385"/>
        <v>43.354240288744201</v>
      </c>
      <c r="AP1220" s="27">
        <f t="shared" si="385"/>
        <v>43.373829871792871</v>
      </c>
      <c r="AQ1220" s="27">
        <f t="shared" si="385"/>
        <v>43.390173404871973</v>
      </c>
      <c r="AR1220" s="27">
        <f t="shared" si="385"/>
        <v>43.402664060341642</v>
      </c>
      <c r="AS1220" s="27">
        <f t="shared" si="385"/>
        <v>43.410643013134724</v>
      </c>
      <c r="AT1220" s="27">
        <f t="shared" si="385"/>
        <v>43.414028889166616</v>
      </c>
      <c r="AU1220" s="27">
        <f t="shared" si="385"/>
        <v>43.412915266479416</v>
      </c>
      <c r="AV1220" s="27">
        <f t="shared" si="385"/>
        <v>43.407367404961896</v>
      </c>
      <c r="AW1220" s="27">
        <f t="shared" si="385"/>
        <v>43.396765644330657</v>
      </c>
      <c r="AY1220" s="79"/>
      <c r="AZ1220" s="79"/>
    </row>
    <row r="1221" spans="1:52" x14ac:dyDescent="0.25">
      <c r="A1221" s="95" t="str">
        <f t="shared" si="384"/>
        <v>FSFAGSPQNIBDDSCM Cattle</v>
      </c>
      <c r="B1221" s="95" t="s">
        <v>1375</v>
      </c>
      <c r="C1221" s="95" t="s">
        <v>1108</v>
      </c>
      <c r="D1221" t="s">
        <v>15</v>
      </c>
      <c r="E1221" t="s">
        <v>16</v>
      </c>
      <c r="F1221" t="s">
        <v>6</v>
      </c>
      <c r="G1221" t="s">
        <v>137</v>
      </c>
      <c r="H1221" t="s">
        <v>1020</v>
      </c>
      <c r="I1221" t="s">
        <v>121</v>
      </c>
      <c r="J1221" t="s">
        <v>286</v>
      </c>
      <c r="K1221" s="27">
        <f t="shared" ref="K1221:AW1221" si="386">IFERROR(K1380-((K1380-K5)+(K1380-K158)+(K1380-K311)+(K1380-K463)+(K1380-K615)+(K1380-K766)+(K1380-K917)+(K1380-K1068)),0)</f>
        <v>57.783598896292567</v>
      </c>
      <c r="L1221" s="27">
        <f t="shared" si="386"/>
        <v>58.1066387636453</v>
      </c>
      <c r="M1221" s="27">
        <f t="shared" si="386"/>
        <v>58.564977012483297</v>
      </c>
      <c r="N1221" s="27">
        <f t="shared" si="386"/>
        <v>58.859508160444918</v>
      </c>
      <c r="O1221" s="27">
        <f t="shared" si="386"/>
        <v>59.055225455337663</v>
      </c>
      <c r="P1221" s="27">
        <f t="shared" si="386"/>
        <v>59.150202601958618</v>
      </c>
      <c r="Q1221" s="27">
        <f t="shared" si="386"/>
        <v>59.360042465716688</v>
      </c>
      <c r="R1221" s="27">
        <f t="shared" si="386"/>
        <v>59.600764035107616</v>
      </c>
      <c r="S1221" s="27">
        <f t="shared" si="386"/>
        <v>57.907231828129312</v>
      </c>
      <c r="T1221" s="27">
        <f t="shared" si="386"/>
        <v>58.903607760874827</v>
      </c>
      <c r="U1221" s="27">
        <f t="shared" si="386"/>
        <v>101.34836780371782</v>
      </c>
      <c r="V1221" s="27">
        <f t="shared" si="386"/>
        <v>102.57007507299116</v>
      </c>
      <c r="W1221" s="27">
        <f t="shared" si="386"/>
        <v>103.73819527229158</v>
      </c>
      <c r="X1221" s="27">
        <f t="shared" si="386"/>
        <v>104.83285893485541</v>
      </c>
      <c r="Y1221" s="27">
        <f t="shared" si="386"/>
        <v>105.82483281116795</v>
      </c>
      <c r="Z1221" s="27">
        <f t="shared" si="386"/>
        <v>106.70948436090084</v>
      </c>
      <c r="AA1221" s="27">
        <f t="shared" si="386"/>
        <v>107.48166002182452</v>
      </c>
      <c r="AB1221" s="27">
        <f t="shared" si="386"/>
        <v>108.13745930780478</v>
      </c>
      <c r="AC1221" s="27">
        <f t="shared" si="386"/>
        <v>108.67378885655694</v>
      </c>
      <c r="AD1221" s="27">
        <f t="shared" si="386"/>
        <v>109.087396849146</v>
      </c>
      <c r="AE1221" s="27">
        <f t="shared" si="386"/>
        <v>109.37633654858924</v>
      </c>
      <c r="AF1221" s="27">
        <f t="shared" si="386"/>
        <v>109.5387406024356</v>
      </c>
      <c r="AG1221" s="27">
        <f t="shared" si="386"/>
        <v>109.57280491680314</v>
      </c>
      <c r="AH1221" s="27">
        <f t="shared" si="386"/>
        <v>109.47820002949129</v>
      </c>
      <c r="AI1221" s="27">
        <f t="shared" si="386"/>
        <v>109.25546453452645</v>
      </c>
      <c r="AJ1221" s="27">
        <f t="shared" si="386"/>
        <v>34.566539689062871</v>
      </c>
      <c r="AK1221" s="27">
        <f t="shared" si="386"/>
        <v>34.591772682945773</v>
      </c>
      <c r="AL1221" s="27">
        <f t="shared" si="386"/>
        <v>34.61518923934495</v>
      </c>
      <c r="AM1221" s="27">
        <f t="shared" si="386"/>
        <v>34.636947763199053</v>
      </c>
      <c r="AN1221" s="27">
        <f t="shared" si="386"/>
        <v>34.657243376194444</v>
      </c>
      <c r="AO1221" s="27">
        <f t="shared" si="386"/>
        <v>34.675439097632541</v>
      </c>
      <c r="AP1221" s="27">
        <f t="shared" si="386"/>
        <v>34.691107170453741</v>
      </c>
      <c r="AQ1221" s="27">
        <f t="shared" si="386"/>
        <v>34.704178998772043</v>
      </c>
      <c r="AR1221" s="27">
        <f t="shared" si="386"/>
        <v>34.714169231795225</v>
      </c>
      <c r="AS1221" s="27">
        <f t="shared" si="386"/>
        <v>34.720550930327988</v>
      </c>
      <c r="AT1221" s="27">
        <f t="shared" si="386"/>
        <v>34.723259010030318</v>
      </c>
      <c r="AU1221" s="27">
        <f t="shared" si="386"/>
        <v>34.722368316169444</v>
      </c>
      <c r="AV1221" s="27">
        <f t="shared" si="386"/>
        <v>34.717931044684789</v>
      </c>
      <c r="AW1221" s="27">
        <f t="shared" si="386"/>
        <v>34.709451581023373</v>
      </c>
      <c r="AY1221" s="79"/>
      <c r="AZ1221" s="79"/>
    </row>
    <row r="1222" spans="1:52" x14ac:dyDescent="0.25">
      <c r="A1222" s="95" t="str">
        <f t="shared" si="384"/>
        <v>FSFAGSPQNIBDDSCM Cattle</v>
      </c>
      <c r="B1222" s="95" t="s">
        <v>1375</v>
      </c>
      <c r="C1222" s="95" t="s">
        <v>1108</v>
      </c>
      <c r="D1222" t="s">
        <v>15</v>
      </c>
      <c r="E1222" t="s">
        <v>16</v>
      </c>
      <c r="F1222" t="s">
        <v>67</v>
      </c>
      <c r="G1222" t="s">
        <v>307</v>
      </c>
      <c r="H1222" t="s">
        <v>1020</v>
      </c>
      <c r="I1222" t="s">
        <v>121</v>
      </c>
      <c r="J1222" t="s">
        <v>286</v>
      </c>
      <c r="K1222" s="27">
        <f t="shared" ref="K1222:AW1222" si="387">IFERROR(K1381-((K1381-K6)+(K1381-K159)+(K1381-K312)+(K1381-K464)+(K1381-K616)+(K1381-K767)+(K1381-K918)+(K1381-K1069)),0)</f>
        <v>26.126191807126649</v>
      </c>
      <c r="L1222" s="27">
        <f t="shared" si="387"/>
        <v>26.272250579806308</v>
      </c>
      <c r="M1222" s="27">
        <f t="shared" si="387"/>
        <v>26.479482964607669</v>
      </c>
      <c r="N1222" s="27">
        <f t="shared" si="387"/>
        <v>26.61265184663991</v>
      </c>
      <c r="O1222" s="27">
        <f t="shared" si="387"/>
        <v>26.701143177813606</v>
      </c>
      <c r="P1222" s="27">
        <f t="shared" si="387"/>
        <v>26.744086005835896</v>
      </c>
      <c r="Q1222" s="27">
        <f t="shared" si="387"/>
        <v>26.838962694620271</v>
      </c>
      <c r="R1222" s="27">
        <f t="shared" si="387"/>
        <v>26.947802192577253</v>
      </c>
      <c r="S1222" s="27">
        <f t="shared" si="387"/>
        <v>26.182091019923025</v>
      </c>
      <c r="T1222" s="27">
        <f t="shared" si="387"/>
        <v>26.632590975414445</v>
      </c>
      <c r="U1222" s="27">
        <f t="shared" si="387"/>
        <v>45.823502640107073</v>
      </c>
      <c r="V1222" s="27">
        <f t="shared" si="387"/>
        <v>46.375883576200764</v>
      </c>
      <c r="W1222" s="27">
        <f t="shared" si="387"/>
        <v>46.904035732930822</v>
      </c>
      <c r="X1222" s="27">
        <f t="shared" si="387"/>
        <v>47.398975358684552</v>
      </c>
      <c r="Y1222" s="27">
        <f t="shared" si="387"/>
        <v>47.847484974825178</v>
      </c>
      <c r="Z1222" s="27">
        <f t="shared" si="387"/>
        <v>48.2474700313509</v>
      </c>
      <c r="AA1222" s="27">
        <f t="shared" si="387"/>
        <v>48.5966004041803</v>
      </c>
      <c r="AB1222" s="27">
        <f t="shared" si="387"/>
        <v>48.893112533223132</v>
      </c>
      <c r="AC1222" s="27">
        <f t="shared" si="387"/>
        <v>49.135607790184835</v>
      </c>
      <c r="AD1222" s="27">
        <f t="shared" si="387"/>
        <v>49.322615902412963</v>
      </c>
      <c r="AE1222" s="27">
        <f t="shared" si="387"/>
        <v>49.453256675098231</v>
      </c>
      <c r="AF1222" s="27">
        <f t="shared" si="387"/>
        <v>49.526685806237325</v>
      </c>
      <c r="AG1222" s="27">
        <f t="shared" si="387"/>
        <v>49.542087595463748</v>
      </c>
      <c r="AH1222" s="27">
        <f t="shared" si="387"/>
        <v>49.499313080220467</v>
      </c>
      <c r="AI1222" s="27">
        <f t="shared" si="387"/>
        <v>49.398605779622059</v>
      </c>
      <c r="AJ1222" s="27">
        <f t="shared" si="387"/>
        <v>15.628864648010964</v>
      </c>
      <c r="AK1222" s="27">
        <f t="shared" si="387"/>
        <v>15.640273456922923</v>
      </c>
      <c r="AL1222" s="27">
        <f t="shared" si="387"/>
        <v>15.650860984450333</v>
      </c>
      <c r="AM1222" s="27">
        <f t="shared" si="387"/>
        <v>15.660698851570245</v>
      </c>
      <c r="AN1222" s="27">
        <f t="shared" si="387"/>
        <v>15.669875280316276</v>
      </c>
      <c r="AO1222" s="27">
        <f t="shared" si="387"/>
        <v>15.678102267167921</v>
      </c>
      <c r="AP1222" s="27">
        <f t="shared" si="387"/>
        <v>15.685186406674521</v>
      </c>
      <c r="AQ1222" s="27">
        <f t="shared" si="387"/>
        <v>15.691096683992601</v>
      </c>
      <c r="AR1222" s="27">
        <f t="shared" si="387"/>
        <v>15.695613653325545</v>
      </c>
      <c r="AS1222" s="27">
        <f t="shared" si="387"/>
        <v>15.698499065157048</v>
      </c>
      <c r="AT1222" s="27">
        <f t="shared" si="387"/>
        <v>15.699723492348907</v>
      </c>
      <c r="AU1222" s="27">
        <f t="shared" si="387"/>
        <v>15.699320775330669</v>
      </c>
      <c r="AV1222" s="27">
        <f t="shared" si="387"/>
        <v>15.697314513897963</v>
      </c>
      <c r="AW1222" s="27">
        <f t="shared" si="387"/>
        <v>15.693480621612418</v>
      </c>
      <c r="AY1222" s="79"/>
      <c r="AZ1222" s="79"/>
    </row>
    <row r="1223" spans="1:52" x14ac:dyDescent="0.25">
      <c r="A1223" s="95" t="str">
        <f t="shared" si="384"/>
        <v>FSFAGSPQNIBDDSCM Cattle</v>
      </c>
      <c r="B1223" s="95" t="s">
        <v>1375</v>
      </c>
      <c r="C1223" s="95" t="s">
        <v>1108</v>
      </c>
      <c r="D1223" t="s">
        <v>15</v>
      </c>
      <c r="E1223" t="s">
        <v>16</v>
      </c>
      <c r="F1223" t="s">
        <v>67</v>
      </c>
      <c r="G1223" t="s">
        <v>122</v>
      </c>
      <c r="H1223" t="s">
        <v>1020</v>
      </c>
      <c r="I1223" t="s">
        <v>121</v>
      </c>
      <c r="J1223" t="s">
        <v>286</v>
      </c>
      <c r="K1223" s="27">
        <f t="shared" ref="K1223:AW1223" si="388">IFERROR(K1382-((K1382-K7)+(K1382-K160)+(K1382-K313)+(K1382-K465)+(K1382-K617)+(K1382-K768)+(K1382-K919)+(K1382-K1070)),0)</f>
        <v>463.23498593143177</v>
      </c>
      <c r="L1223" s="27">
        <f t="shared" si="388"/>
        <v>459.21749683621613</v>
      </c>
      <c r="M1223" s="27">
        <f t="shared" si="388"/>
        <v>457.68816035731243</v>
      </c>
      <c r="N1223" s="27">
        <f t="shared" si="388"/>
        <v>451.57633407663542</v>
      </c>
      <c r="O1223" s="27">
        <f t="shared" si="388"/>
        <v>442.70486896910717</v>
      </c>
      <c r="P1223" s="27">
        <f t="shared" si="388"/>
        <v>431.25721304480419</v>
      </c>
      <c r="Q1223" s="27">
        <f t="shared" si="388"/>
        <v>422.22811200839209</v>
      </c>
      <c r="R1223" s="27">
        <f t="shared" si="388"/>
        <v>413.6855559628558</v>
      </c>
      <c r="S1223" s="27">
        <f t="shared" si="388"/>
        <v>369.96675064639845</v>
      </c>
      <c r="T1223" s="27">
        <f t="shared" si="388"/>
        <v>384.22044526495358</v>
      </c>
      <c r="U1223" s="27">
        <f t="shared" si="388"/>
        <v>1210.9459030996998</v>
      </c>
      <c r="V1223" s="27">
        <f t="shared" si="388"/>
        <v>1216.7867544029255</v>
      </c>
      <c r="W1223" s="27">
        <f t="shared" si="388"/>
        <v>1220.5248847970281</v>
      </c>
      <c r="X1223" s="27">
        <f t="shared" si="388"/>
        <v>1222.1595328966084</v>
      </c>
      <c r="Y1223" s="27">
        <f t="shared" si="388"/>
        <v>1221.7253267296187</v>
      </c>
      <c r="Z1223" s="27">
        <f t="shared" si="388"/>
        <v>1219.2014537371233</v>
      </c>
      <c r="AA1223" s="27">
        <f t="shared" si="388"/>
        <v>1214.5817314826613</v>
      </c>
      <c r="AB1223" s="27">
        <f t="shared" si="388"/>
        <v>1207.8699823574666</v>
      </c>
      <c r="AC1223" s="27">
        <f t="shared" si="388"/>
        <v>1199.081298415254</v>
      </c>
      <c r="AD1223" s="27">
        <f t="shared" si="388"/>
        <v>1178.2591392805034</v>
      </c>
      <c r="AE1223" s="27">
        <f t="shared" si="388"/>
        <v>1155.4756644581196</v>
      </c>
      <c r="AF1223" s="27">
        <f t="shared" si="388"/>
        <v>1130.8332446231877</v>
      </c>
      <c r="AG1223" s="27">
        <f t="shared" si="388"/>
        <v>1104.4458826711734</v>
      </c>
      <c r="AH1223" s="27">
        <f t="shared" si="388"/>
        <v>1076.4349444121476</v>
      </c>
      <c r="AI1223" s="27">
        <f t="shared" si="388"/>
        <v>1046.9296670550386</v>
      </c>
      <c r="AJ1223" s="27">
        <f t="shared" si="388"/>
        <v>-80.836782317903939</v>
      </c>
      <c r="AK1223" s="27">
        <f t="shared" si="388"/>
        <v>-78.890466200610106</v>
      </c>
      <c r="AL1223" s="27">
        <f t="shared" si="388"/>
        <v>-76.96440050927697</v>
      </c>
      <c r="AM1223" s="27">
        <f t="shared" si="388"/>
        <v>-75.058386316845628</v>
      </c>
      <c r="AN1223" s="27">
        <f t="shared" si="388"/>
        <v>-73.545633197869449</v>
      </c>
      <c r="AO1223" s="27">
        <f t="shared" si="388"/>
        <v>-72.047230196727966</v>
      </c>
      <c r="AP1223" s="27">
        <f t="shared" si="388"/>
        <v>-70.562062843287677</v>
      </c>
      <c r="AQ1223" s="27">
        <f t="shared" si="388"/>
        <v>-69.089763252231094</v>
      </c>
      <c r="AR1223" s="27">
        <f t="shared" si="388"/>
        <v>-67.629255024927176</v>
      </c>
      <c r="AS1223" s="27">
        <f t="shared" si="388"/>
        <v>-66.179484044667291</v>
      </c>
      <c r="AT1223" s="27">
        <f t="shared" si="388"/>
        <v>-64.740281014136201</v>
      </c>
      <c r="AU1223" s="27">
        <f t="shared" si="388"/>
        <v>-63.311734849146887</v>
      </c>
      <c r="AV1223" s="27">
        <f t="shared" si="388"/>
        <v>-61.893900094857884</v>
      </c>
      <c r="AW1223" s="27">
        <f t="shared" si="388"/>
        <v>-60.485962401496174</v>
      </c>
      <c r="AY1223" s="79"/>
      <c r="AZ1223" s="79"/>
    </row>
    <row r="1224" spans="1:52" x14ac:dyDescent="0.25">
      <c r="A1224" s="95" t="str">
        <f t="shared" si="384"/>
        <v>FSFAGSPQNIBDDSCM Cattle</v>
      </c>
      <c r="B1224" s="95" t="s">
        <v>1375</v>
      </c>
      <c r="C1224" s="95" t="s">
        <v>1108</v>
      </c>
      <c r="D1224" t="s">
        <v>15</v>
      </c>
      <c r="E1224" t="s">
        <v>16</v>
      </c>
      <c r="F1224" t="s">
        <v>67</v>
      </c>
      <c r="G1224" t="s">
        <v>123</v>
      </c>
      <c r="H1224" t="s">
        <v>1020</v>
      </c>
      <c r="I1224" t="s">
        <v>121</v>
      </c>
      <c r="J1224" t="s">
        <v>286</v>
      </c>
      <c r="K1224" s="27">
        <f t="shared" ref="K1224:AW1224" si="389">IFERROR(K1383-((K1383-K8)+(K1383-K161)+(K1383-K314)+(K1383-K466)+(K1383-K618)+(K1383-K769)+(K1383-K920)+(K1383-K1071)),0)</f>
        <v>326.20040935577731</v>
      </c>
      <c r="L1224" s="27">
        <f t="shared" si="389"/>
        <v>323.37137738012325</v>
      </c>
      <c r="M1224" s="27">
        <f t="shared" si="389"/>
        <v>322.29445054900742</v>
      </c>
      <c r="N1224" s="27">
        <f t="shared" si="389"/>
        <v>317.99063003627231</v>
      </c>
      <c r="O1224" s="27">
        <f t="shared" si="389"/>
        <v>311.74352945546792</v>
      </c>
      <c r="P1224" s="27">
        <f t="shared" si="389"/>
        <v>303.68232906672068</v>
      </c>
      <c r="Q1224" s="27">
        <f t="shared" si="389"/>
        <v>297.32422455466593</v>
      </c>
      <c r="R1224" s="27">
        <f t="shared" si="389"/>
        <v>291.30873487096767</v>
      </c>
      <c r="S1224" s="27">
        <f t="shared" si="389"/>
        <v>260.52286458075423</v>
      </c>
      <c r="T1224" s="27">
        <f t="shared" si="389"/>
        <v>270.56001885582697</v>
      </c>
      <c r="U1224" s="27">
        <f t="shared" si="389"/>
        <v>852.72283246173731</v>
      </c>
      <c r="V1224" s="27">
        <f t="shared" si="389"/>
        <v>856.83583805061244</v>
      </c>
      <c r="W1224" s="27">
        <f t="shared" si="389"/>
        <v>859.46815145917253</v>
      </c>
      <c r="X1224" s="27">
        <f t="shared" si="389"/>
        <v>860.61923653571034</v>
      </c>
      <c r="Y1224" s="27">
        <f t="shared" si="389"/>
        <v>860.31347761482039</v>
      </c>
      <c r="Z1224" s="27">
        <f t="shared" si="389"/>
        <v>858.53621892685965</v>
      </c>
      <c r="AA1224" s="27">
        <f t="shared" si="389"/>
        <v>855.28310692910031</v>
      </c>
      <c r="AB1224" s="27">
        <f t="shared" si="389"/>
        <v>850.55683326967551</v>
      </c>
      <c r="AC1224" s="27">
        <f t="shared" si="389"/>
        <v>844.36802545783894</v>
      </c>
      <c r="AD1224" s="27">
        <f t="shared" si="389"/>
        <v>829.70549555464197</v>
      </c>
      <c r="AE1224" s="27">
        <f t="shared" si="389"/>
        <v>813.66184807696902</v>
      </c>
      <c r="AF1224" s="27">
        <f t="shared" si="389"/>
        <v>796.30917031773436</v>
      </c>
      <c r="AG1224" s="27">
        <f t="shared" si="389"/>
        <v>777.72774073667881</v>
      </c>
      <c r="AH1224" s="27">
        <f t="shared" si="389"/>
        <v>758.0030226043441</v>
      </c>
      <c r="AI1224" s="27">
        <f t="shared" si="389"/>
        <v>737.22602206606996</v>
      </c>
      <c r="AJ1224" s="27">
        <f t="shared" si="389"/>
        <v>-56.923575040610757</v>
      </c>
      <c r="AK1224" s="27">
        <f t="shared" si="389"/>
        <v>-55.553019850526375</v>
      </c>
      <c r="AL1224" s="27">
        <f t="shared" si="389"/>
        <v>-54.19672458777611</v>
      </c>
      <c r="AM1224" s="27">
        <f t="shared" si="389"/>
        <v>-52.854549172076716</v>
      </c>
      <c r="AN1224" s="27">
        <f t="shared" si="389"/>
        <v>-51.78929999692631</v>
      </c>
      <c r="AO1224" s="27">
        <f t="shared" si="389"/>
        <v>-50.734155875267454</v>
      </c>
      <c r="AP1224" s="27">
        <f t="shared" si="389"/>
        <v>-49.688332020491153</v>
      </c>
      <c r="AQ1224" s="27">
        <f t="shared" si="389"/>
        <v>-48.651569375434605</v>
      </c>
      <c r="AR1224" s="27">
        <f t="shared" si="389"/>
        <v>-47.623109962646353</v>
      </c>
      <c r="AS1224" s="27">
        <f t="shared" si="389"/>
        <v>-46.60221149513962</v>
      </c>
      <c r="AT1224" s="27">
        <f t="shared" si="389"/>
        <v>-45.588754757278259</v>
      </c>
      <c r="AU1224" s="27">
        <f t="shared" si="389"/>
        <v>-44.582802361722123</v>
      </c>
      <c r="AV1224" s="27">
        <f t="shared" si="389"/>
        <v>-43.584392718033477</v>
      </c>
      <c r="AW1224" s="27">
        <f t="shared" si="389"/>
        <v>-42.59295237809765</v>
      </c>
      <c r="AY1224" s="79"/>
      <c r="AZ1224" s="79"/>
    </row>
    <row r="1225" spans="1:52" x14ac:dyDescent="0.25">
      <c r="A1225" s="95" t="str">
        <f t="shared" si="384"/>
        <v>FSFAGSPQNIBDDSCM Cattle</v>
      </c>
      <c r="B1225" s="95" t="s">
        <v>1375</v>
      </c>
      <c r="C1225" s="95" t="s">
        <v>1108</v>
      </c>
      <c r="D1225" t="s">
        <v>15</v>
      </c>
      <c r="E1225" t="s">
        <v>16</v>
      </c>
      <c r="F1225" t="s">
        <v>67</v>
      </c>
      <c r="G1225" t="s">
        <v>135</v>
      </c>
      <c r="H1225" t="s">
        <v>1020</v>
      </c>
      <c r="I1225" t="s">
        <v>121</v>
      </c>
      <c r="J1225" t="s">
        <v>286</v>
      </c>
      <c r="K1225" s="27">
        <f t="shared" ref="K1225:AW1225" si="390">IFERROR(K1384-((K1384-K9)+(K1384-K162)+(K1384-K315)+(K1384-K467)+(K1384-K619)+(K1384-K770)+(K1384-K921)+(K1384-K1072)),0)</f>
        <v>31.891995988947272</v>
      </c>
      <c r="L1225" s="27">
        <f t="shared" si="390"/>
        <v>32.967337371253549</v>
      </c>
      <c r="M1225" s="27">
        <f t="shared" si="390"/>
        <v>34.243655078433662</v>
      </c>
      <c r="N1225" s="27">
        <f t="shared" si="390"/>
        <v>35.195504797614667</v>
      </c>
      <c r="O1225" s="27">
        <f t="shared" si="390"/>
        <v>35.929559405213332</v>
      </c>
      <c r="P1225" s="27">
        <f t="shared" si="390"/>
        <v>36.435327957872921</v>
      </c>
      <c r="Q1225" s="27">
        <f t="shared" si="390"/>
        <v>37.125912791560353</v>
      </c>
      <c r="R1225" s="27">
        <f t="shared" si="390"/>
        <v>37.849847328761314</v>
      </c>
      <c r="S1225" s="27">
        <f t="shared" si="390"/>
        <v>35.21788884404873</v>
      </c>
      <c r="T1225" s="27">
        <f t="shared" si="390"/>
        <v>37.455910775606171</v>
      </c>
      <c r="U1225" s="27">
        <f t="shared" si="390"/>
        <v>120.85470894098397</v>
      </c>
      <c r="V1225" s="27">
        <f t="shared" si="390"/>
        <v>124.28654564348025</v>
      </c>
      <c r="W1225" s="27">
        <f t="shared" si="390"/>
        <v>127.55864590441264</v>
      </c>
      <c r="X1225" s="27">
        <f t="shared" si="390"/>
        <v>130.65843671178916</v>
      </c>
      <c r="Y1225" s="27">
        <f t="shared" si="390"/>
        <v>133.57680599902966</v>
      </c>
      <c r="Z1225" s="27">
        <f t="shared" si="390"/>
        <v>136.29836120715478</v>
      </c>
      <c r="AA1225" s="27">
        <f t="shared" si="390"/>
        <v>138.8087353610496</v>
      </c>
      <c r="AB1225" s="27">
        <f t="shared" si="390"/>
        <v>141.09420138271955</v>
      </c>
      <c r="AC1225" s="27">
        <f t="shared" si="390"/>
        <v>143.14192494700313</v>
      </c>
      <c r="AD1225" s="27">
        <f t="shared" si="390"/>
        <v>145.32079439837173</v>
      </c>
      <c r="AE1225" s="27">
        <f t="shared" si="390"/>
        <v>147.24589460251983</v>
      </c>
      <c r="AF1225" s="27">
        <f t="shared" si="390"/>
        <v>148.90595700146477</v>
      </c>
      <c r="AG1225" s="27">
        <f t="shared" si="390"/>
        <v>150.29119988084832</v>
      </c>
      <c r="AH1225" s="27">
        <f t="shared" si="390"/>
        <v>151.39298806651198</v>
      </c>
      <c r="AI1225" s="27">
        <f t="shared" si="390"/>
        <v>152.2040963869018</v>
      </c>
      <c r="AJ1225" s="27">
        <f t="shared" si="390"/>
        <v>-12.150089844770541</v>
      </c>
      <c r="AK1225" s="27">
        <f t="shared" si="390"/>
        <v>-12.261292624366734</v>
      </c>
      <c r="AL1225" s="27">
        <f t="shared" si="390"/>
        <v>-12.371760078813706</v>
      </c>
      <c r="AM1225" s="27">
        <f t="shared" si="390"/>
        <v>-12.481547229069234</v>
      </c>
      <c r="AN1225" s="27">
        <f t="shared" si="390"/>
        <v>-12.575061773814197</v>
      </c>
      <c r="AO1225" s="27">
        <f t="shared" si="390"/>
        <v>-12.667641248223251</v>
      </c>
      <c r="AP1225" s="27">
        <f t="shared" si="390"/>
        <v>-12.759143955764493</v>
      </c>
      <c r="AQ1225" s="27">
        <f t="shared" si="390"/>
        <v>-12.849544731083009</v>
      </c>
      <c r="AR1225" s="27">
        <f t="shared" si="390"/>
        <v>-12.938674897522816</v>
      </c>
      <c r="AS1225" s="27">
        <f t="shared" si="390"/>
        <v>-13.02634616662869</v>
      </c>
      <c r="AT1225" s="27">
        <f t="shared" si="390"/>
        <v>-13.112524146200343</v>
      </c>
      <c r="AU1225" s="27">
        <f t="shared" si="390"/>
        <v>-13.197221864241371</v>
      </c>
      <c r="AV1225" s="27">
        <f t="shared" si="390"/>
        <v>-13.28044453197926</v>
      </c>
      <c r="AW1225" s="27">
        <f t="shared" si="390"/>
        <v>-13.362004258887673</v>
      </c>
      <c r="AY1225" s="79"/>
      <c r="AZ1225" s="79"/>
    </row>
    <row r="1226" spans="1:52" x14ac:dyDescent="0.25">
      <c r="A1226" s="95" t="str">
        <f t="shared" si="384"/>
        <v>FSFAGSPQNIBDDSCM Sheep</v>
      </c>
      <c r="B1226" s="95" t="s">
        <v>1375</v>
      </c>
      <c r="C1226" s="95" t="s">
        <v>152</v>
      </c>
      <c r="D1226" t="s">
        <v>15</v>
      </c>
      <c r="E1226" t="s">
        <v>16</v>
      </c>
      <c r="F1226" t="s">
        <v>18</v>
      </c>
      <c r="G1226" t="s">
        <v>122</v>
      </c>
      <c r="H1226" t="s">
        <v>1020</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134.51556530099631</v>
      </c>
      <c r="T1226" s="27">
        <f t="shared" si="391"/>
        <v>134.60509112337468</v>
      </c>
      <c r="U1226" s="27">
        <f t="shared" si="391"/>
        <v>136.35833424652054</v>
      </c>
      <c r="V1226" s="27">
        <f t="shared" si="391"/>
        <v>136.40110324414033</v>
      </c>
      <c r="W1226" s="27">
        <f t="shared" si="391"/>
        <v>136.58404654274005</v>
      </c>
      <c r="X1226" s="27">
        <f t="shared" si="391"/>
        <v>136.84849552124783</v>
      </c>
      <c r="Y1226" s="27">
        <f t="shared" si="391"/>
        <v>137.09415955987274</v>
      </c>
      <c r="Z1226" s="27">
        <f t="shared" si="391"/>
        <v>137.32408030952666</v>
      </c>
      <c r="AA1226" s="27">
        <f t="shared" si="391"/>
        <v>137.53703172758449</v>
      </c>
      <c r="AB1226" s="27">
        <f t="shared" si="391"/>
        <v>137.73493252382224</v>
      </c>
      <c r="AC1226" s="27">
        <f t="shared" si="391"/>
        <v>137.92078465176073</v>
      </c>
      <c r="AD1226" s="27">
        <f t="shared" si="391"/>
        <v>138.09441299579947</v>
      </c>
      <c r="AE1226" s="27">
        <f t="shared" si="391"/>
        <v>138.25859465521103</v>
      </c>
      <c r="AF1226" s="27">
        <f t="shared" si="391"/>
        <v>138.41372705764812</v>
      </c>
      <c r="AG1226" s="27">
        <f t="shared" si="391"/>
        <v>138.55768393469623</v>
      </c>
      <c r="AH1226" s="27">
        <f t="shared" si="391"/>
        <v>138.69178217062699</v>
      </c>
      <c r="AI1226" s="27">
        <f t="shared" si="391"/>
        <v>138.81816108295814</v>
      </c>
      <c r="AJ1226" s="27">
        <f t="shared" si="391"/>
        <v>135.77163521502163</v>
      </c>
      <c r="AK1226" s="27">
        <f t="shared" si="391"/>
        <v>135.89648953385836</v>
      </c>
      <c r="AL1226" s="27">
        <f t="shared" si="391"/>
        <v>136.01294647652736</v>
      </c>
      <c r="AM1226" s="27">
        <f t="shared" si="391"/>
        <v>136.12171776801748</v>
      </c>
      <c r="AN1226" s="27">
        <f t="shared" si="391"/>
        <v>136.22366859450332</v>
      </c>
      <c r="AO1226" s="27">
        <f t="shared" si="391"/>
        <v>136.31611723482146</v>
      </c>
      <c r="AP1226" s="27">
        <f t="shared" si="391"/>
        <v>136.39727280638544</v>
      </c>
      <c r="AQ1226" s="27">
        <f t="shared" si="391"/>
        <v>136.46687299989276</v>
      </c>
      <c r="AR1226" s="27">
        <f t="shared" si="391"/>
        <v>136.52287982045266</v>
      </c>
      <c r="AS1226" s="27">
        <f t="shared" si="391"/>
        <v>136.56307802336653</v>
      </c>
      <c r="AT1226" s="27">
        <f t="shared" si="391"/>
        <v>136.58721779491506</v>
      </c>
      <c r="AU1226" s="27">
        <f t="shared" si="391"/>
        <v>136.59564346547165</v>
      </c>
      <c r="AV1226" s="27">
        <f t="shared" si="391"/>
        <v>136.58860148831764</v>
      </c>
      <c r="AW1226" s="27">
        <f t="shared" si="391"/>
        <v>136.56400681676968</v>
      </c>
      <c r="AY1226" s="79"/>
      <c r="AZ1226" s="79"/>
    </row>
    <row r="1227" spans="1:52" x14ac:dyDescent="0.25">
      <c r="A1227" s="95" t="str">
        <f t="shared" si="384"/>
        <v>FSFAGSPQNIBDDSCM Sheep</v>
      </c>
      <c r="B1227" s="95" t="s">
        <v>1375</v>
      </c>
      <c r="C1227" s="95" t="s">
        <v>152</v>
      </c>
      <c r="D1227" t="s">
        <v>15</v>
      </c>
      <c r="E1227" t="s">
        <v>16</v>
      </c>
      <c r="F1227" t="s">
        <v>18</v>
      </c>
      <c r="G1227" t="s">
        <v>123</v>
      </c>
      <c r="H1227" t="s">
        <v>1020</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14.577965145623706</v>
      </c>
      <c r="T1227" s="27">
        <f t="shared" si="392"/>
        <v>14.587667400640397</v>
      </c>
      <c r="U1227" s="27">
        <f t="shared" si="392"/>
        <v>14.777673048565481</v>
      </c>
      <c r="V1227" s="27">
        <f t="shared" si="392"/>
        <v>14.782308088051206</v>
      </c>
      <c r="W1227" s="27">
        <f t="shared" si="392"/>
        <v>14.802134351462762</v>
      </c>
      <c r="X1227" s="27">
        <f t="shared" si="392"/>
        <v>14.830793696445298</v>
      </c>
      <c r="Y1227" s="27">
        <f t="shared" si="392"/>
        <v>14.857417245806248</v>
      </c>
      <c r="Z1227" s="27">
        <f t="shared" si="392"/>
        <v>14.882334634862383</v>
      </c>
      <c r="AA1227" s="27">
        <f t="shared" si="392"/>
        <v>14.905412992695631</v>
      </c>
      <c r="AB1227" s="27">
        <f t="shared" si="392"/>
        <v>14.926860257206538</v>
      </c>
      <c r="AC1227" s="27">
        <f t="shared" si="392"/>
        <v>14.947001761554121</v>
      </c>
      <c r="AD1227" s="27">
        <f t="shared" si="392"/>
        <v>14.965818527792479</v>
      </c>
      <c r="AE1227" s="27">
        <f t="shared" si="392"/>
        <v>14.983611520767653</v>
      </c>
      <c r="AF1227" s="27">
        <f t="shared" si="392"/>
        <v>15.000423811231022</v>
      </c>
      <c r="AG1227" s="27">
        <f t="shared" si="392"/>
        <v>15.016024967360309</v>
      </c>
      <c r="AH1227" s="27">
        <f t="shared" si="392"/>
        <v>15.030557704929484</v>
      </c>
      <c r="AI1227" s="27">
        <f t="shared" si="392"/>
        <v>15.044253869941933</v>
      </c>
      <c r="AJ1227" s="27">
        <f t="shared" si="392"/>
        <v>14.714090235580054</v>
      </c>
      <c r="AK1227" s="27">
        <f t="shared" si="392"/>
        <v>14.727621174577411</v>
      </c>
      <c r="AL1227" s="27">
        <f t="shared" si="392"/>
        <v>14.740242057873667</v>
      </c>
      <c r="AM1227" s="27">
        <f t="shared" si="392"/>
        <v>14.752030017821943</v>
      </c>
      <c r="AN1227" s="27">
        <f t="shared" si="392"/>
        <v>14.763078817949665</v>
      </c>
      <c r="AO1227" s="27">
        <f t="shared" si="392"/>
        <v>14.773097829900454</v>
      </c>
      <c r="AP1227" s="27">
        <f t="shared" si="392"/>
        <v>14.781892968894116</v>
      </c>
      <c r="AQ1227" s="27">
        <f t="shared" si="392"/>
        <v>14.789435807470511</v>
      </c>
      <c r="AR1227" s="27">
        <f t="shared" si="392"/>
        <v>14.795505480346009</v>
      </c>
      <c r="AS1227" s="27">
        <f t="shared" si="392"/>
        <v>14.799861912998866</v>
      </c>
      <c r="AT1227" s="27">
        <f t="shared" si="392"/>
        <v>14.802478032162998</v>
      </c>
      <c r="AU1227" s="27">
        <f t="shared" si="392"/>
        <v>14.803391154234989</v>
      </c>
      <c r="AV1227" s="27">
        <f t="shared" si="392"/>
        <v>14.802627988297443</v>
      </c>
      <c r="AW1227" s="27">
        <f t="shared" si="392"/>
        <v>14.799962569884396</v>
      </c>
      <c r="AY1227" s="79"/>
      <c r="AZ1227" s="79"/>
    </row>
    <row r="1228" spans="1:52" x14ac:dyDescent="0.25">
      <c r="A1228" s="95" t="str">
        <f t="shared" si="384"/>
        <v>FSFAGSPQNIBDDSCM Goats</v>
      </c>
      <c r="B1228" s="95" t="s">
        <v>1375</v>
      </c>
      <c r="C1228" s="95" t="s">
        <v>153</v>
      </c>
      <c r="D1228" t="s">
        <v>15</v>
      </c>
      <c r="E1228" t="s">
        <v>16</v>
      </c>
      <c r="F1228" t="s">
        <v>19</v>
      </c>
      <c r="G1228" t="s">
        <v>122</v>
      </c>
      <c r="H1228" t="s">
        <v>1020</v>
      </c>
      <c r="I1228" t="s">
        <v>121</v>
      </c>
      <c r="J1228" t="s">
        <v>286</v>
      </c>
      <c r="K1228" s="27">
        <f t="shared" ref="K1228:AW1228" si="393">IFERROR(K1387-((K1387-K12)+(K1387-K165)+(K1387-K318)+(K1387-K470)+(K1387-K622)+(K1387-K773)+(K1387-K924)+(K1387-K1075)),0)</f>
        <v>15.123414197798359</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15.545788610572222</v>
      </c>
      <c r="R1228" s="27">
        <f t="shared" si="393"/>
        <v>15.648067752449878</v>
      </c>
      <c r="S1228" s="27">
        <f t="shared" si="393"/>
        <v>15.609909908763072</v>
      </c>
      <c r="T1228" s="27">
        <f t="shared" si="393"/>
        <v>15.635455939498677</v>
      </c>
      <c r="U1228" s="27">
        <f t="shared" si="393"/>
        <v>15.95246888070791</v>
      </c>
      <c r="V1228" s="27">
        <f t="shared" si="393"/>
        <v>15.966791142533616</v>
      </c>
      <c r="W1228" s="27">
        <f t="shared" si="393"/>
        <v>16.004709527553434</v>
      </c>
      <c r="X1228" s="27">
        <f t="shared" si="393"/>
        <v>16.055885293055152</v>
      </c>
      <c r="Y1228" s="27">
        <f t="shared" si="393"/>
        <v>16.102820608505493</v>
      </c>
      <c r="Z1228" s="27">
        <f t="shared" si="393"/>
        <v>16.146135876832972</v>
      </c>
      <c r="AA1228" s="27">
        <f t="shared" si="393"/>
        <v>16.185698238107559</v>
      </c>
      <c r="AB1228" s="27">
        <f t="shared" si="393"/>
        <v>16.22191395009931</v>
      </c>
      <c r="AC1228" s="27">
        <f t="shared" si="393"/>
        <v>16.25536732746065</v>
      </c>
      <c r="AD1228" s="27">
        <f t="shared" si="393"/>
        <v>16.286085323517181</v>
      </c>
      <c r="AE1228" s="27">
        <f t="shared" si="393"/>
        <v>16.31459834375584</v>
      </c>
      <c r="AF1228" s="27">
        <f t="shared" si="393"/>
        <v>16.341020303059434</v>
      </c>
      <c r="AG1228" s="27">
        <f t="shared" si="393"/>
        <v>16.365028601066268</v>
      </c>
      <c r="AH1228" s="27">
        <f t="shared" si="393"/>
        <v>16.386889120844085</v>
      </c>
      <c r="AI1228" s="27">
        <f t="shared" si="393"/>
        <v>16.407003513902541</v>
      </c>
      <c r="AJ1228" s="27">
        <f t="shared" si="393"/>
        <v>15.886156568564889</v>
      </c>
      <c r="AK1228" s="27">
        <f t="shared" si="393"/>
        <v>15.906232465615583</v>
      </c>
      <c r="AL1228" s="27">
        <f t="shared" si="393"/>
        <v>15.924511297002383</v>
      </c>
      <c r="AM1228" s="27">
        <f t="shared" si="393"/>
        <v>15.941140997111155</v>
      </c>
      <c r="AN1228" s="27">
        <f t="shared" si="393"/>
        <v>15.956292884471127</v>
      </c>
      <c r="AO1228" s="27">
        <f t="shared" si="393"/>
        <v>15.969536826708435</v>
      </c>
      <c r="AP1228" s="27">
        <f t="shared" si="393"/>
        <v>15.980594577453482</v>
      </c>
      <c r="AQ1228" s="27">
        <f t="shared" si="393"/>
        <v>15.989445822984647</v>
      </c>
      <c r="AR1228" s="27">
        <f t="shared" si="393"/>
        <v>15.995770985939464</v>
      </c>
      <c r="AS1228" s="27">
        <f t="shared" si="393"/>
        <v>15.999221862064399</v>
      </c>
      <c r="AT1228" s="27">
        <f t="shared" si="393"/>
        <v>15.999780644603296</v>
      </c>
      <c r="AU1228" s="27">
        <f t="shared" si="393"/>
        <v>15.99752803776004</v>
      </c>
      <c r="AV1228" s="27">
        <f t="shared" si="393"/>
        <v>15.992527037206958</v>
      </c>
      <c r="AW1228" s="27">
        <f t="shared" si="393"/>
        <v>15.984450939829935</v>
      </c>
      <c r="AY1228" s="79"/>
      <c r="AZ1228" s="79"/>
    </row>
    <row r="1229" spans="1:52" x14ac:dyDescent="0.25">
      <c r="A1229" s="95" t="str">
        <f t="shared" si="384"/>
        <v>FSFAGSPQNIBDDSCM Goats</v>
      </c>
      <c r="B1229" s="95" t="s">
        <v>1375</v>
      </c>
      <c r="C1229" s="95" t="s">
        <v>153</v>
      </c>
      <c r="D1229" t="s">
        <v>15</v>
      </c>
      <c r="E1229" t="s">
        <v>16</v>
      </c>
      <c r="F1229" t="s">
        <v>19</v>
      </c>
      <c r="G1229" t="s">
        <v>123</v>
      </c>
      <c r="H1229" t="s">
        <v>1020</v>
      </c>
      <c r="I1229" t="s">
        <v>121</v>
      </c>
      <c r="J1229" t="s">
        <v>286</v>
      </c>
      <c r="K1229" s="27">
        <f t="shared" ref="K1229:AW1229" si="394">IFERROR(K1388-((K1388-K13)+(K1388-K166)+(K1388-K319)+(K1388-K471)+(K1388-K623)+(K1388-K774)+(K1388-K925)+(K1388-K1076)),0)</f>
        <v>22.381101687842744</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23.101065436464115</v>
      </c>
      <c r="T1229" s="27">
        <f t="shared" si="394"/>
        <v>23.138870941499981</v>
      </c>
      <c r="U1229" s="27">
        <f t="shared" si="394"/>
        <v>23.608017576034321</v>
      </c>
      <c r="V1229" s="27">
        <f t="shared" si="394"/>
        <v>23.62921305439183</v>
      </c>
      <c r="W1229" s="27">
        <f t="shared" si="394"/>
        <v>23.685328374640804</v>
      </c>
      <c r="X1229" s="27">
        <f t="shared" si="394"/>
        <v>23.761063258091507</v>
      </c>
      <c r="Y1229" s="27">
        <f t="shared" si="394"/>
        <v>23.830522710441766</v>
      </c>
      <c r="Z1229" s="27">
        <f t="shared" si="394"/>
        <v>23.894624864386248</v>
      </c>
      <c r="AA1229" s="27">
        <f t="shared" si="394"/>
        <v>23.953173100856997</v>
      </c>
      <c r="AB1229" s="27">
        <f t="shared" si="394"/>
        <v>24.006768639680701</v>
      </c>
      <c r="AC1229" s="27">
        <f t="shared" si="394"/>
        <v>24.0562762066053</v>
      </c>
      <c r="AD1229" s="27">
        <f t="shared" si="394"/>
        <v>24.101735689787876</v>
      </c>
      <c r="AE1229" s="27">
        <f t="shared" si="394"/>
        <v>24.143932034941329</v>
      </c>
      <c r="AF1229" s="27">
        <f t="shared" si="394"/>
        <v>24.183033824407083</v>
      </c>
      <c r="AG1229" s="27">
        <f t="shared" si="394"/>
        <v>24.218563642741437</v>
      </c>
      <c r="AH1229" s="27">
        <f t="shared" si="394"/>
        <v>24.250914969610982</v>
      </c>
      <c r="AI1229" s="27">
        <f t="shared" si="394"/>
        <v>24.280682208049512</v>
      </c>
      <c r="AJ1229" s="27">
        <f t="shared" si="394"/>
        <v>23.509882156226475</v>
      </c>
      <c r="AK1229" s="27">
        <f t="shared" si="394"/>
        <v>23.53959242452235</v>
      </c>
      <c r="AL1229" s="27">
        <f t="shared" si="394"/>
        <v>23.566643219974505</v>
      </c>
      <c r="AM1229" s="27">
        <f t="shared" si="394"/>
        <v>23.591253470299264</v>
      </c>
      <c r="AN1229" s="27">
        <f t="shared" si="394"/>
        <v>23.613676709346407</v>
      </c>
      <c r="AO1229" s="27">
        <f t="shared" si="394"/>
        <v>23.633276385324617</v>
      </c>
      <c r="AP1229" s="27">
        <f t="shared" si="394"/>
        <v>23.649640722148757</v>
      </c>
      <c r="AQ1229" s="27">
        <f t="shared" si="394"/>
        <v>23.662739657594557</v>
      </c>
      <c r="AR1229" s="27">
        <f t="shared" si="394"/>
        <v>23.672100249947082</v>
      </c>
      <c r="AS1229" s="27">
        <f t="shared" si="394"/>
        <v>23.67720719262908</v>
      </c>
      <c r="AT1229" s="27">
        <f t="shared" si="394"/>
        <v>23.678034133468028</v>
      </c>
      <c r="AU1229" s="27">
        <f t="shared" si="394"/>
        <v>23.674700506407216</v>
      </c>
      <c r="AV1229" s="27">
        <f t="shared" si="394"/>
        <v>23.667299538579741</v>
      </c>
      <c r="AW1229" s="27">
        <f t="shared" si="394"/>
        <v>23.655347742889163</v>
      </c>
      <c r="AY1229" s="79"/>
      <c r="AZ1229" s="79"/>
    </row>
    <row r="1230" spans="1:52" x14ac:dyDescent="0.25">
      <c r="A1230" s="95" t="str">
        <f t="shared" si="384"/>
        <v>FSFAGSPQNIBDDSCM Horses</v>
      </c>
      <c r="B1230" s="95" t="s">
        <v>1375</v>
      </c>
      <c r="C1230" s="95" t="s">
        <v>3</v>
      </c>
      <c r="D1230" t="s">
        <v>15</v>
      </c>
      <c r="E1230" t="s">
        <v>16</v>
      </c>
      <c r="F1230" t="s">
        <v>20</v>
      </c>
      <c r="G1230" t="s">
        <v>3</v>
      </c>
      <c r="H1230" t="s">
        <v>1020</v>
      </c>
      <c r="I1230" t="s">
        <v>121</v>
      </c>
      <c r="J1230" t="s">
        <v>286</v>
      </c>
      <c r="K1230" s="27">
        <f t="shared" ref="K1230:AW1230" si="395">IFERROR(K1389-((K1389-K14)+(K1389-K167)+(K1389-K320)+(K1389-K472)+(K1389-K624)+(K1389-K775)+(K1389-K926)+(K1389-K1077)),0)</f>
        <v>5.5526214800767901</v>
      </c>
      <c r="L1230" s="27">
        <f t="shared" si="395"/>
        <v>5.5795235710196529</v>
      </c>
      <c r="M1230" s="27">
        <f t="shared" si="395"/>
        <v>5.6203482259438022</v>
      </c>
      <c r="N1230" s="27">
        <f t="shared" si="395"/>
        <v>5.6290756550083767</v>
      </c>
      <c r="O1230" s="27">
        <f t="shared" si="395"/>
        <v>5.6165815405282284</v>
      </c>
      <c r="P1230" s="27">
        <f t="shared" si="395"/>
        <v>5.5833231296706112</v>
      </c>
      <c r="Q1230" s="27">
        <f t="shared" si="395"/>
        <v>5.5648827699457364</v>
      </c>
      <c r="R1230" s="27">
        <f t="shared" si="395"/>
        <v>5.5483103177944031</v>
      </c>
      <c r="S1230" s="27">
        <f t="shared" si="395"/>
        <v>5.301317756839599</v>
      </c>
      <c r="T1230" s="27">
        <f t="shared" si="395"/>
        <v>5.4334519326298842</v>
      </c>
      <c r="U1230" s="27">
        <f t="shared" si="395"/>
        <v>11.663279711908721</v>
      </c>
      <c r="V1230" s="27">
        <f t="shared" si="395"/>
        <v>11.812653235838557</v>
      </c>
      <c r="W1230" s="27">
        <f t="shared" si="395"/>
        <v>11.932954790442608</v>
      </c>
      <c r="X1230" s="27">
        <f t="shared" si="395"/>
        <v>12.029772886609605</v>
      </c>
      <c r="Y1230" s="27">
        <f t="shared" si="395"/>
        <v>12.113873667726716</v>
      </c>
      <c r="Z1230" s="27">
        <f t="shared" si="395"/>
        <v>12.184301808011908</v>
      </c>
      <c r="AA1230" s="27">
        <f t="shared" si="395"/>
        <v>12.240662308750712</v>
      </c>
      <c r="AB1230" s="27">
        <f t="shared" si="395"/>
        <v>12.282268429354316</v>
      </c>
      <c r="AC1230" s="27">
        <f t="shared" si="395"/>
        <v>12.308384588149881</v>
      </c>
      <c r="AD1230" s="27">
        <f t="shared" si="395"/>
        <v>12.31872545788376</v>
      </c>
      <c r="AE1230" s="27">
        <f t="shared" si="395"/>
        <v>12.312750989800492</v>
      </c>
      <c r="AF1230" s="27">
        <f t="shared" si="395"/>
        <v>12.290286651516004</v>
      </c>
      <c r="AG1230" s="27">
        <f t="shared" si="395"/>
        <v>12.251535501678408</v>
      </c>
      <c r="AH1230" s="27">
        <f t="shared" si="395"/>
        <v>12.196396092630039</v>
      </c>
      <c r="AI1230" s="27">
        <f t="shared" si="395"/>
        <v>12.124769930026071</v>
      </c>
      <c r="AJ1230" s="27">
        <f t="shared" si="395"/>
        <v>1.7851056965565462</v>
      </c>
      <c r="AK1230" s="27">
        <f t="shared" si="395"/>
        <v>1.7851056965565462</v>
      </c>
      <c r="AL1230" s="27">
        <f t="shared" si="395"/>
        <v>1.7851056965565462</v>
      </c>
      <c r="AM1230" s="27">
        <f t="shared" si="395"/>
        <v>1.7851056965565462</v>
      </c>
      <c r="AN1230" s="27">
        <f t="shared" si="395"/>
        <v>1.7851056965565462</v>
      </c>
      <c r="AO1230" s="27">
        <f t="shared" si="395"/>
        <v>1.7851056965565462</v>
      </c>
      <c r="AP1230" s="27">
        <f t="shared" si="395"/>
        <v>1.7851056965565462</v>
      </c>
      <c r="AQ1230" s="27">
        <f t="shared" si="395"/>
        <v>1.7851056965565462</v>
      </c>
      <c r="AR1230" s="27">
        <f t="shared" si="395"/>
        <v>1.7851056965565462</v>
      </c>
      <c r="AS1230" s="27">
        <f t="shared" si="395"/>
        <v>1.7851056965565462</v>
      </c>
      <c r="AT1230" s="27">
        <f t="shared" si="395"/>
        <v>1.7851056965565462</v>
      </c>
      <c r="AU1230" s="27">
        <f t="shared" si="395"/>
        <v>1.7851056965565462</v>
      </c>
      <c r="AV1230" s="27">
        <f t="shared" si="395"/>
        <v>1.7851056965565462</v>
      </c>
      <c r="AW1230" s="27">
        <f t="shared" si="395"/>
        <v>1.7851056965565462</v>
      </c>
      <c r="AY1230" s="79"/>
      <c r="AZ1230" s="79"/>
    </row>
    <row r="1231" spans="1:52" x14ac:dyDescent="0.25">
      <c r="A1231" s="95" t="str">
        <f t="shared" si="384"/>
        <v>FSFAGSPQNIBDDSCM Mules&amp;Asses</v>
      </c>
      <c r="B1231" s="95" t="s">
        <v>1375</v>
      </c>
      <c r="C1231" s="95" t="s">
        <v>1323</v>
      </c>
      <c r="D1231" t="s">
        <v>15</v>
      </c>
      <c r="E1231" t="s">
        <v>16</v>
      </c>
      <c r="F1231" t="s">
        <v>140</v>
      </c>
      <c r="G1231" t="s">
        <v>124</v>
      </c>
      <c r="H1231" t="s">
        <v>1020</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25">
      <c r="A1232" s="95" t="str">
        <f t="shared" si="384"/>
        <v>FSFAGSPQNIBDDSCM Swine</v>
      </c>
      <c r="B1232" s="95" t="s">
        <v>1375</v>
      </c>
      <c r="C1232" s="95" t="s">
        <v>155</v>
      </c>
      <c r="D1232" t="s">
        <v>15</v>
      </c>
      <c r="E1232" t="s">
        <v>16</v>
      </c>
      <c r="F1232" t="s">
        <v>21</v>
      </c>
      <c r="G1232" t="s">
        <v>122</v>
      </c>
      <c r="H1232" t="s">
        <v>1020</v>
      </c>
      <c r="I1232" t="s">
        <v>121</v>
      </c>
      <c r="J1232" t="s">
        <v>286</v>
      </c>
      <c r="K1232" s="27">
        <f t="shared" ref="K1232:AW1232" si="397">IFERROR(K1391-((K1391-K16)+(K1391-K169)+(K1391-K322)+(K1391-K474)+(K1391-K626)+(K1391-K777)+(K1391-K928)+(K1391-K1079)),0)</f>
        <v>1.8400999552016302</v>
      </c>
      <c r="L1232" s="27">
        <f t="shared" si="397"/>
        <v>1.8300977880312248</v>
      </c>
      <c r="M1232" s="27">
        <f t="shared" si="397"/>
        <v>1.8309187348828151</v>
      </c>
      <c r="N1232" s="27">
        <f t="shared" si="397"/>
        <v>1.8141094978660448</v>
      </c>
      <c r="O1232" s="27">
        <f t="shared" si="397"/>
        <v>1.7866561368117295</v>
      </c>
      <c r="P1232" s="27">
        <f t="shared" si="397"/>
        <v>1.7489975228040082</v>
      </c>
      <c r="Q1232" s="27">
        <f t="shared" si="397"/>
        <v>1.721653192801009</v>
      </c>
      <c r="R1232" s="27">
        <f t="shared" si="397"/>
        <v>1.6967284692901872</v>
      </c>
      <c r="S1232" s="27">
        <f t="shared" si="397"/>
        <v>1.5265878305982445</v>
      </c>
      <c r="T1232" s="27">
        <f t="shared" si="397"/>
        <v>1.5810995176609606</v>
      </c>
      <c r="U1232" s="27">
        <f t="shared" si="397"/>
        <v>5.0540136125986557</v>
      </c>
      <c r="V1232" s="27">
        <f t="shared" si="397"/>
        <v>5.0678679159640359</v>
      </c>
      <c r="W1232" s="27">
        <f t="shared" si="397"/>
        <v>5.0729847165704873</v>
      </c>
      <c r="X1232" s="27">
        <f t="shared" si="397"/>
        <v>5.0695948867136602</v>
      </c>
      <c r="Y1232" s="27">
        <f t="shared" si="397"/>
        <v>5.0582098272592386</v>
      </c>
      <c r="Z1232" s="27">
        <f t="shared" si="397"/>
        <v>5.0387249592432335</v>
      </c>
      <c r="AA1232" s="27">
        <f t="shared" si="397"/>
        <v>5.0111122815709459</v>
      </c>
      <c r="AB1232" s="27">
        <f t="shared" si="397"/>
        <v>4.9753743834920021</v>
      </c>
      <c r="AC1232" s="27">
        <f t="shared" si="397"/>
        <v>4.9315571021349269</v>
      </c>
      <c r="AD1232" s="27">
        <f t="shared" si="397"/>
        <v>4.8797732145240138</v>
      </c>
      <c r="AE1232" s="27">
        <f t="shared" si="397"/>
        <v>4.8201653478957827</v>
      </c>
      <c r="AF1232" s="27">
        <f t="shared" si="397"/>
        <v>4.7529350466048701</v>
      </c>
      <c r="AG1232" s="27">
        <f t="shared" si="397"/>
        <v>4.6783405786979539</v>
      </c>
      <c r="AH1232" s="27">
        <f t="shared" si="397"/>
        <v>4.5966617003060959</v>
      </c>
      <c r="AI1232" s="27">
        <f t="shared" si="397"/>
        <v>4.5082123470458679</v>
      </c>
      <c r="AJ1232" s="27">
        <f t="shared" si="397"/>
        <v>-0.42008552544106242</v>
      </c>
      <c r="AK1232" s="27">
        <f t="shared" si="397"/>
        <v>-0.41553771612775497</v>
      </c>
      <c r="AL1232" s="27">
        <f t="shared" si="397"/>
        <v>-0.41097379422953517</v>
      </c>
      <c r="AM1232" s="27">
        <f t="shared" si="397"/>
        <v>-0.40639849459231969</v>
      </c>
      <c r="AN1232" s="27">
        <f t="shared" si="397"/>
        <v>-0.40181705013442426</v>
      </c>
      <c r="AO1232" s="27">
        <f t="shared" si="397"/>
        <v>-0.39721731633182522</v>
      </c>
      <c r="AP1232" s="27">
        <f t="shared" si="397"/>
        <v>-0.39259212331291987</v>
      </c>
      <c r="AQ1232" s="27">
        <f t="shared" si="397"/>
        <v>-0.38794191787285037</v>
      </c>
      <c r="AR1232" s="27">
        <f t="shared" si="397"/>
        <v>-0.38325899383328277</v>
      </c>
      <c r="AS1232" s="27">
        <f t="shared" si="397"/>
        <v>-0.37853535700522173</v>
      </c>
      <c r="AT1232" s="27">
        <f t="shared" si="397"/>
        <v>-0.37377234804073223</v>
      </c>
      <c r="AU1232" s="27">
        <f t="shared" si="397"/>
        <v>-0.36897393039459231</v>
      </c>
      <c r="AV1232" s="27">
        <f t="shared" si="397"/>
        <v>-0.36414349435249727</v>
      </c>
      <c r="AW1232" s="27">
        <f t="shared" si="397"/>
        <v>-0.35927435241905337</v>
      </c>
      <c r="AY1232" s="79"/>
      <c r="AZ1232" s="79"/>
    </row>
    <row r="1233" spans="1:52" x14ac:dyDescent="0.25">
      <c r="A1233" s="95" t="str">
        <f t="shared" si="384"/>
        <v>FSFAGSPQNIBDDSCM Swine</v>
      </c>
      <c r="B1233" s="95" t="s">
        <v>1375</v>
      </c>
      <c r="C1233" s="95" t="s">
        <v>155</v>
      </c>
      <c r="D1233" t="s">
        <v>15</v>
      </c>
      <c r="E1233" t="s">
        <v>16</v>
      </c>
      <c r="F1233" t="s">
        <v>21</v>
      </c>
      <c r="G1233" t="s">
        <v>123</v>
      </c>
      <c r="H1233" t="s">
        <v>1020</v>
      </c>
      <c r="I1233" t="s">
        <v>121</v>
      </c>
      <c r="J1233" t="s">
        <v>286</v>
      </c>
      <c r="K1233" s="27">
        <f t="shared" ref="K1233:AW1233" si="398">IFERROR(K1392-((K1392-K17)+(K1392-K170)+(K1392-K323)+(K1392-K475)+(K1392-K627)+(K1392-K778)+(K1392-K929)+(K1392-K1080)),0)</f>
        <v>0.25496723934882604</v>
      </c>
      <c r="L1233" s="27">
        <f t="shared" si="398"/>
        <v>0.25358132281546891</v>
      </c>
      <c r="M1233" s="27">
        <f t="shared" si="398"/>
        <v>0.25369507454499335</v>
      </c>
      <c r="N1233" s="27">
        <f t="shared" si="398"/>
        <v>0.25136595935447842</v>
      </c>
      <c r="O1233" s="27">
        <f t="shared" si="398"/>
        <v>0.247561977044127</v>
      </c>
      <c r="P1233" s="27">
        <f t="shared" si="398"/>
        <v>0.24234393830437845</v>
      </c>
      <c r="Q1233" s="27">
        <f t="shared" si="398"/>
        <v>0.23855506351363695</v>
      </c>
      <c r="R1233" s="27">
        <f t="shared" si="398"/>
        <v>0.23510145332951485</v>
      </c>
      <c r="S1233" s="27">
        <f t="shared" si="398"/>
        <v>0.21152649000988519</v>
      </c>
      <c r="T1233" s="27">
        <f t="shared" si="398"/>
        <v>0.21907971793282416</v>
      </c>
      <c r="U1233" s="27">
        <f t="shared" si="398"/>
        <v>0.70029233726842122</v>
      </c>
      <c r="V1233" s="27">
        <f t="shared" si="398"/>
        <v>0.70221201205140604</v>
      </c>
      <c r="W1233" s="27">
        <f t="shared" si="398"/>
        <v>0.7029210042565508</v>
      </c>
      <c r="X1233" s="27">
        <f t="shared" si="398"/>
        <v>0.70245130392423227</v>
      </c>
      <c r="Y1233" s="27">
        <f t="shared" si="398"/>
        <v>0.70087377158925745</v>
      </c>
      <c r="Z1233" s="27">
        <f t="shared" si="398"/>
        <v>0.6981739166204699</v>
      </c>
      <c r="AA1233" s="27">
        <f t="shared" si="398"/>
        <v>0.69434785914069519</v>
      </c>
      <c r="AB1233" s="27">
        <f t="shared" si="398"/>
        <v>0.68939595792056851</v>
      </c>
      <c r="AC1233" s="27">
        <f t="shared" si="398"/>
        <v>0.68332456422708854</v>
      </c>
      <c r="AD1233" s="27">
        <f t="shared" si="398"/>
        <v>0.67614930462796652</v>
      </c>
      <c r="AE1233" s="27">
        <f t="shared" si="398"/>
        <v>0.66788994178481698</v>
      </c>
      <c r="AF1233" s="27">
        <f t="shared" si="398"/>
        <v>0.65857440201086193</v>
      </c>
      <c r="AG1233" s="27">
        <f t="shared" si="398"/>
        <v>0.64823847134624946</v>
      </c>
      <c r="AH1233" s="27">
        <f t="shared" si="398"/>
        <v>0.63692091325501032</v>
      </c>
      <c r="AI1233" s="27">
        <f t="shared" si="398"/>
        <v>0.62466522716621964</v>
      </c>
      <c r="AJ1233" s="27">
        <f t="shared" si="398"/>
        <v>-5.8207732905668316E-2</v>
      </c>
      <c r="AK1233" s="27">
        <f t="shared" si="398"/>
        <v>-5.7577581058524868E-2</v>
      </c>
      <c r="AL1233" s="27">
        <f t="shared" si="398"/>
        <v>-5.6945196625438323E-2</v>
      </c>
      <c r="AM1233" s="27">
        <f t="shared" si="398"/>
        <v>-5.6311235674351458E-2</v>
      </c>
      <c r="AN1233" s="27">
        <f t="shared" si="398"/>
        <v>-5.5676423286927873E-2</v>
      </c>
      <c r="AO1233" s="27">
        <f t="shared" si="398"/>
        <v>-5.5039076698188007E-2</v>
      </c>
      <c r="AP1233" s="27">
        <f t="shared" si="398"/>
        <v>-5.4398202439073888E-2</v>
      </c>
      <c r="AQ1233" s="27">
        <f t="shared" si="398"/>
        <v>-5.3753862418246326E-2</v>
      </c>
      <c r="AR1233" s="27">
        <f t="shared" si="398"/>
        <v>-5.3104988855115366E-2</v>
      </c>
      <c r="AS1233" s="27">
        <f t="shared" si="398"/>
        <v>-5.2450474061865898E-2</v>
      </c>
      <c r="AT1233" s="27">
        <f t="shared" si="398"/>
        <v>-5.1790503801426135E-2</v>
      </c>
      <c r="AU1233" s="27">
        <f t="shared" si="398"/>
        <v>-5.1125627256529457E-2</v>
      </c>
      <c r="AV1233" s="27">
        <f t="shared" si="398"/>
        <v>-5.0456314190669899E-2</v>
      </c>
      <c r="AW1233" s="27">
        <f t="shared" si="398"/>
        <v>-4.9781637973620729E-2</v>
      </c>
      <c r="AY1233" s="79"/>
      <c r="AZ1233" s="79"/>
    </row>
    <row r="1234" spans="1:52" x14ac:dyDescent="0.25">
      <c r="A1234" s="95" t="str">
        <f t="shared" si="384"/>
        <v>FSFAGSPQNIBDDSCM Cattle MMCH4</v>
      </c>
      <c r="B1234" s="95" t="s">
        <v>1375</v>
      </c>
      <c r="C1234" s="95" t="s">
        <v>1229</v>
      </c>
      <c r="D1234" t="s">
        <v>15</v>
      </c>
      <c r="E1234" t="s">
        <v>22</v>
      </c>
      <c r="F1234" t="s">
        <v>6</v>
      </c>
      <c r="G1234" t="s">
        <v>136</v>
      </c>
      <c r="H1234" t="s">
        <v>1227</v>
      </c>
      <c r="I1234" t="s">
        <v>121</v>
      </c>
      <c r="J1234" t="s">
        <v>286</v>
      </c>
      <c r="K1234" s="27">
        <f t="shared" ref="K1234:AW1234" si="399">IFERROR(K1393-((K1393-K18)+(K1393-K171)+(K1393-K324)+(K1393-K476)+(K1393-K628)+(K1393-K779)+(K1393-K930)+(K1393-K1081)),0)</f>
        <v>7.351330651107908</v>
      </c>
      <c r="L1234" s="27">
        <f t="shared" si="399"/>
        <v>7.3924283487896005</v>
      </c>
      <c r="M1234" s="27">
        <f t="shared" si="399"/>
        <v>7.4507389435191715</v>
      </c>
      <c r="N1234" s="27">
        <f t="shared" si="399"/>
        <v>7.4882097119910753</v>
      </c>
      <c r="O1234" s="27">
        <f t="shared" si="399"/>
        <v>7.5131092090175455</v>
      </c>
      <c r="P1234" s="27">
        <f t="shared" si="399"/>
        <v>7.5251923679492423</v>
      </c>
      <c r="Q1234" s="27">
        <f t="shared" si="399"/>
        <v>7.5518885629203734</v>
      </c>
      <c r="R1234" s="27">
        <f t="shared" si="399"/>
        <v>7.5825135825669054</v>
      </c>
      <c r="S1234" s="27">
        <f t="shared" si="399"/>
        <v>7.3670594492211752</v>
      </c>
      <c r="T1234" s="27">
        <f t="shared" si="399"/>
        <v>7.4938201403917679</v>
      </c>
      <c r="U1234" s="27">
        <f t="shared" si="399"/>
        <v>12.893716848831154</v>
      </c>
      <c r="V1234" s="27">
        <f t="shared" si="399"/>
        <v>13.049144587269693</v>
      </c>
      <c r="W1234" s="27">
        <f t="shared" si="399"/>
        <v>13.19775488481636</v>
      </c>
      <c r="X1234" s="27">
        <f t="shared" si="399"/>
        <v>13.337019913111025</v>
      </c>
      <c r="Y1234" s="27">
        <f t="shared" si="399"/>
        <v>13.463220566952655</v>
      </c>
      <c r="Z1234" s="27">
        <f t="shared" si="399"/>
        <v>13.575767486447466</v>
      </c>
      <c r="AA1234" s="27">
        <f t="shared" si="399"/>
        <v>13.674005026382902</v>
      </c>
      <c r="AB1234" s="27">
        <f t="shared" si="399"/>
        <v>13.757436960081838</v>
      </c>
      <c r="AC1234" s="27">
        <f t="shared" si="399"/>
        <v>13.825669744576842</v>
      </c>
      <c r="AD1234" s="27">
        <f t="shared" si="399"/>
        <v>13.878289677767924</v>
      </c>
      <c r="AE1234" s="27">
        <f t="shared" si="399"/>
        <v>13.915049092366717</v>
      </c>
      <c r="AF1234" s="27">
        <f t="shared" si="399"/>
        <v>13.935710420523995</v>
      </c>
      <c r="AG1234" s="27">
        <f t="shared" si="399"/>
        <v>13.940044142256493</v>
      </c>
      <c r="AH1234" s="27">
        <f t="shared" si="399"/>
        <v>13.928008342806061</v>
      </c>
      <c r="AI1234" s="27">
        <f t="shared" si="399"/>
        <v>13.899671543047996</v>
      </c>
      <c r="AJ1234" s="27">
        <f t="shared" si="399"/>
        <v>4.3976157174808597</v>
      </c>
      <c r="AK1234" s="27">
        <f t="shared" si="399"/>
        <v>4.4008259031545416</v>
      </c>
      <c r="AL1234" s="27">
        <f t="shared" si="399"/>
        <v>4.403804998470318</v>
      </c>
      <c r="AM1234" s="27">
        <f t="shared" si="399"/>
        <v>4.4065731559819081</v>
      </c>
      <c r="AN1234" s="27">
        <f t="shared" si="399"/>
        <v>4.4091551994119804</v>
      </c>
      <c r="AO1234" s="27">
        <f t="shared" si="399"/>
        <v>4.4114700909604787</v>
      </c>
      <c r="AP1234" s="27">
        <f t="shared" si="399"/>
        <v>4.4134634106251305</v>
      </c>
      <c r="AQ1234" s="27">
        <f t="shared" si="399"/>
        <v>4.4151264315171801</v>
      </c>
      <c r="AR1234" s="27">
        <f t="shared" si="399"/>
        <v>4.4163974064588221</v>
      </c>
      <c r="AS1234" s="27">
        <f t="shared" si="399"/>
        <v>4.4172092973227706</v>
      </c>
      <c r="AT1234" s="27">
        <f t="shared" si="399"/>
        <v>4.4175538239653074</v>
      </c>
      <c r="AU1234" s="27">
        <f t="shared" si="399"/>
        <v>4.4174405083324073</v>
      </c>
      <c r="AV1234" s="27">
        <f t="shared" si="399"/>
        <v>4.4168759908828958</v>
      </c>
      <c r="AW1234" s="27">
        <f t="shared" si="399"/>
        <v>4.4157972186653511</v>
      </c>
      <c r="AY1234" s="79"/>
      <c r="AZ1234" s="79"/>
    </row>
    <row r="1235" spans="1:52" x14ac:dyDescent="0.25">
      <c r="A1235" s="95" t="str">
        <f t="shared" si="384"/>
        <v>FSFAGSPQNIBDDSCM Cattle MMCH4</v>
      </c>
      <c r="B1235" s="95" t="s">
        <v>1375</v>
      </c>
      <c r="C1235" s="95" t="s">
        <v>1229</v>
      </c>
      <c r="D1235" t="s">
        <v>15</v>
      </c>
      <c r="E1235" t="s">
        <v>22</v>
      </c>
      <c r="F1235" t="s">
        <v>6</v>
      </c>
      <c r="G1235" t="s">
        <v>137</v>
      </c>
      <c r="H1235" t="s">
        <v>1227</v>
      </c>
      <c r="I1235" t="s">
        <v>121</v>
      </c>
      <c r="J1235" t="s">
        <v>286</v>
      </c>
      <c r="K1235" s="27">
        <f t="shared" ref="K1235:AW1235" si="400">IFERROR(K1394-((K1394-K19)+(K1394-K172)+(K1394-K325)+(K1394-K477)+(K1394-K629)+(K1394-K780)+(K1394-K931)+(K1394-K1082)),0)</f>
        <v>2.0944490884992821</v>
      </c>
      <c r="L1235" s="27">
        <f t="shared" si="400"/>
        <v>2.1061581299686476</v>
      </c>
      <c r="M1235" s="27">
        <f t="shared" si="400"/>
        <v>2.1227712545548472</v>
      </c>
      <c r="N1235" s="27">
        <f t="shared" si="400"/>
        <v>2.1334469567638776</v>
      </c>
      <c r="O1235" s="27">
        <f t="shared" si="400"/>
        <v>2.1405410097083362</v>
      </c>
      <c r="P1235" s="27">
        <f t="shared" si="400"/>
        <v>2.1439835920667925</v>
      </c>
      <c r="Q1235" s="27">
        <f t="shared" si="400"/>
        <v>2.151589537694508</v>
      </c>
      <c r="R1235" s="27">
        <f t="shared" si="400"/>
        <v>2.1603148348588097</v>
      </c>
      <c r="S1235" s="27">
        <f t="shared" si="400"/>
        <v>2.0989303407289799</v>
      </c>
      <c r="T1235" s="27">
        <f t="shared" si="400"/>
        <v>2.1350454097797478</v>
      </c>
      <c r="U1235" s="27">
        <f t="shared" si="400"/>
        <v>3.6735163718057389</v>
      </c>
      <c r="V1235" s="27">
        <f t="shared" si="400"/>
        <v>3.7177988970450366</v>
      </c>
      <c r="W1235" s="27">
        <f t="shared" si="400"/>
        <v>3.7601390823815941</v>
      </c>
      <c r="X1235" s="27">
        <f t="shared" si="400"/>
        <v>3.7998167306081263</v>
      </c>
      <c r="Y1235" s="27">
        <f t="shared" si="400"/>
        <v>3.8357722408349422</v>
      </c>
      <c r="Z1235" s="27">
        <f t="shared" si="400"/>
        <v>3.8678377000200475</v>
      </c>
      <c r="AA1235" s="27">
        <f t="shared" si="400"/>
        <v>3.8958263099383315</v>
      </c>
      <c r="AB1235" s="27">
        <f t="shared" si="400"/>
        <v>3.919596691897838</v>
      </c>
      <c r="AC1235" s="27">
        <f t="shared" si="400"/>
        <v>3.9390367225635514</v>
      </c>
      <c r="AD1235" s="27">
        <f t="shared" si="400"/>
        <v>3.9540285351128004</v>
      </c>
      <c r="AE1235" s="27">
        <f t="shared" si="400"/>
        <v>3.9645015672826429</v>
      </c>
      <c r="AF1235" s="27">
        <f t="shared" si="400"/>
        <v>3.9703881342158924</v>
      </c>
      <c r="AG1235" s="27">
        <f t="shared" si="400"/>
        <v>3.9716228439525687</v>
      </c>
      <c r="AH1235" s="27">
        <f t="shared" si="400"/>
        <v>3.9681937546645596</v>
      </c>
      <c r="AI1235" s="27">
        <f t="shared" si="400"/>
        <v>3.9601203884617591</v>
      </c>
      <c r="AJ1235" s="27">
        <f t="shared" si="400"/>
        <v>1.2529136109065901</v>
      </c>
      <c r="AK1235" s="27">
        <f t="shared" si="400"/>
        <v>1.2538282168163573</v>
      </c>
      <c r="AL1235" s="27">
        <f t="shared" si="400"/>
        <v>1.2546769833546632</v>
      </c>
      <c r="AM1235" s="27">
        <f t="shared" si="400"/>
        <v>1.2554656521347973</v>
      </c>
      <c r="AN1235" s="27">
        <f t="shared" si="400"/>
        <v>1.2562012956210231</v>
      </c>
      <c r="AO1235" s="27">
        <f t="shared" si="400"/>
        <v>1.2568608255379636</v>
      </c>
      <c r="AP1235" s="27">
        <f t="shared" si="400"/>
        <v>1.2574287372199238</v>
      </c>
      <c r="AQ1235" s="27">
        <f t="shared" si="400"/>
        <v>1.257902544311023</v>
      </c>
      <c r="AR1235" s="27">
        <f t="shared" si="400"/>
        <v>1.2582646545784513</v>
      </c>
      <c r="AS1235" s="27">
        <f t="shared" si="400"/>
        <v>1.2584959683583183</v>
      </c>
      <c r="AT1235" s="27">
        <f t="shared" si="400"/>
        <v>1.2585941265757443</v>
      </c>
      <c r="AU1235" s="27">
        <f t="shared" si="400"/>
        <v>1.2585618421043605</v>
      </c>
      <c r="AV1235" s="27">
        <f t="shared" si="400"/>
        <v>1.2584010068605544</v>
      </c>
      <c r="AW1235" s="27">
        <f t="shared" si="400"/>
        <v>1.2580936565868464</v>
      </c>
      <c r="AY1235" s="79"/>
      <c r="AZ1235" s="79"/>
    </row>
    <row r="1236" spans="1:52" x14ac:dyDescent="0.25">
      <c r="A1236" s="95" t="str">
        <f t="shared" si="384"/>
        <v>FSFAGSPQNIBDDSCM Cattle MMCH4</v>
      </c>
      <c r="B1236" s="95" t="s">
        <v>1375</v>
      </c>
      <c r="C1236" s="95" t="s">
        <v>1229</v>
      </c>
      <c r="D1236" t="s">
        <v>15</v>
      </c>
      <c r="E1236" t="s">
        <v>22</v>
      </c>
      <c r="F1236" t="s">
        <v>67</v>
      </c>
      <c r="G1236" t="s">
        <v>307</v>
      </c>
      <c r="H1236" t="s">
        <v>1227</v>
      </c>
      <c r="I1236" t="s">
        <v>121</v>
      </c>
      <c r="J1236" t="s">
        <v>286</v>
      </c>
      <c r="K1236" s="27">
        <f t="shared" ref="K1236:AW1236" si="401">IFERROR(K1395-((K1395-K20)+(K1395-K173)+(K1395-K326)+(K1395-K478)+(K1395-K630)+(K1395-K781)+(K1395-K932)+(K1395-K1083)),0)</f>
        <v>0.43258377187145641</v>
      </c>
      <c r="L1236" s="27">
        <f t="shared" si="401"/>
        <v>0.43500213637199753</v>
      </c>
      <c r="M1236" s="27">
        <f t="shared" si="401"/>
        <v>0.43843338143569016</v>
      </c>
      <c r="N1236" s="27">
        <f t="shared" si="401"/>
        <v>0.44063832189202168</v>
      </c>
      <c r="O1236" s="27">
        <f t="shared" si="401"/>
        <v>0.44210351490980404</v>
      </c>
      <c r="P1236" s="27">
        <f t="shared" si="401"/>
        <v>0.44281453971808249</v>
      </c>
      <c r="Q1236" s="27">
        <f t="shared" si="401"/>
        <v>0.44438545813589125</v>
      </c>
      <c r="R1236" s="27">
        <f t="shared" si="401"/>
        <v>0.44618756541973903</v>
      </c>
      <c r="S1236" s="27">
        <f t="shared" si="401"/>
        <v>0.43350932169879508</v>
      </c>
      <c r="T1236" s="27">
        <f t="shared" si="401"/>
        <v>0.44096846352141772</v>
      </c>
      <c r="U1236" s="27">
        <f t="shared" si="401"/>
        <v>0.75872150670699801</v>
      </c>
      <c r="V1236" s="27">
        <f t="shared" si="401"/>
        <v>0.76786754033521754</v>
      </c>
      <c r="W1236" s="27">
        <f t="shared" si="401"/>
        <v>0.77661240655096708</v>
      </c>
      <c r="X1236" s="27">
        <f t="shared" si="401"/>
        <v>0.78480735711007588</v>
      </c>
      <c r="Y1236" s="27">
        <f t="shared" si="401"/>
        <v>0.79223354393833789</v>
      </c>
      <c r="Z1236" s="27">
        <f t="shared" si="401"/>
        <v>0.79885628657612706</v>
      </c>
      <c r="AA1236" s="27">
        <f t="shared" si="401"/>
        <v>0.80463700405184546</v>
      </c>
      <c r="AB1236" s="27">
        <f t="shared" si="401"/>
        <v>0.80954649626310582</v>
      </c>
      <c r="AC1236" s="27">
        <f t="shared" si="401"/>
        <v>0.81356160545666301</v>
      </c>
      <c r="AD1236" s="27">
        <f t="shared" si="401"/>
        <v>0.81665798762959563</v>
      </c>
      <c r="AE1236" s="27">
        <f t="shared" si="401"/>
        <v>0.81882106897821283</v>
      </c>
      <c r="AF1236" s="27">
        <f t="shared" si="401"/>
        <v>0.82003686999306757</v>
      </c>
      <c r="AG1236" s="27">
        <f t="shared" si="401"/>
        <v>0.82029188473560344</v>
      </c>
      <c r="AH1236" s="27">
        <f t="shared" si="401"/>
        <v>0.81958364676198259</v>
      </c>
      <c r="AI1236" s="27">
        <f t="shared" si="401"/>
        <v>0.81791618813389544</v>
      </c>
      <c r="AJ1236" s="27">
        <f t="shared" si="401"/>
        <v>0.2587745381881813</v>
      </c>
      <c r="AK1236" s="27">
        <f t="shared" si="401"/>
        <v>0.25896343925834608</v>
      </c>
      <c r="AL1236" s="27">
        <f t="shared" si="401"/>
        <v>0.25913874198238679</v>
      </c>
      <c r="AM1236" s="27">
        <f t="shared" si="401"/>
        <v>0.25930163222285196</v>
      </c>
      <c r="AN1236" s="27">
        <f t="shared" si="401"/>
        <v>0.25945357071387171</v>
      </c>
      <c r="AO1236" s="27">
        <f t="shared" si="401"/>
        <v>0.25958978884430933</v>
      </c>
      <c r="AP1236" s="27">
        <f t="shared" si="401"/>
        <v>0.25970708430821976</v>
      </c>
      <c r="AQ1236" s="27">
        <f t="shared" si="401"/>
        <v>0.25980494357810247</v>
      </c>
      <c r="AR1236" s="27">
        <f t="shared" si="401"/>
        <v>0.25987973318563101</v>
      </c>
      <c r="AS1236" s="27">
        <f t="shared" si="401"/>
        <v>0.25992750832035744</v>
      </c>
      <c r="AT1236" s="27">
        <f t="shared" si="401"/>
        <v>0.2599477817431719</v>
      </c>
      <c r="AU1236" s="27">
        <f t="shared" si="401"/>
        <v>0.25994111376614593</v>
      </c>
      <c r="AV1236" s="27">
        <f t="shared" si="401"/>
        <v>0.25990789514230944</v>
      </c>
      <c r="AW1236" s="27">
        <f t="shared" si="401"/>
        <v>0.2598444155660255</v>
      </c>
      <c r="AY1236" s="79"/>
      <c r="AZ1236" s="79"/>
    </row>
    <row r="1237" spans="1:52" x14ac:dyDescent="0.25">
      <c r="A1237" s="95" t="str">
        <f t="shared" si="384"/>
        <v>FSFAGSPQNIBDDSCM Cattle MMCH4</v>
      </c>
      <c r="B1237" s="95" t="s">
        <v>1375</v>
      </c>
      <c r="C1237" s="95" t="s">
        <v>1229</v>
      </c>
      <c r="D1237" t="s">
        <v>15</v>
      </c>
      <c r="E1237" t="s">
        <v>22</v>
      </c>
      <c r="F1237" t="s">
        <v>67</v>
      </c>
      <c r="G1237" t="s">
        <v>122</v>
      </c>
      <c r="H1237" t="s">
        <v>1227</v>
      </c>
      <c r="I1237" t="s">
        <v>121</v>
      </c>
      <c r="J1237" t="s">
        <v>286</v>
      </c>
      <c r="K1237" s="27">
        <f t="shared" ref="K1237:AW1237" si="402">IFERROR(K1396-((K1396-K21)+(K1396-K174)+(K1396-K327)+(K1396-K479)+(K1396-K631)+(K1396-K782)+(K1396-K933)+(K1396-K1084)),0)</f>
        <v>9.4871637196006525E-2</v>
      </c>
      <c r="L1237" s="27">
        <f t="shared" si="402"/>
        <v>9.4048845784615531E-2</v>
      </c>
      <c r="M1237" s="27">
        <f t="shared" si="402"/>
        <v>9.3735634002294232E-2</v>
      </c>
      <c r="N1237" s="27">
        <f t="shared" si="402"/>
        <v>9.2483917307495112E-2</v>
      </c>
      <c r="O1237" s="27">
        <f t="shared" si="402"/>
        <v>9.0667019955957343E-2</v>
      </c>
      <c r="P1237" s="27">
        <f t="shared" si="402"/>
        <v>8.8322512540543879E-2</v>
      </c>
      <c r="Q1237" s="27">
        <f t="shared" si="402"/>
        <v>8.6473330972337878E-2</v>
      </c>
      <c r="R1237" s="27">
        <f t="shared" si="402"/>
        <v>8.4723794986300269E-2</v>
      </c>
      <c r="S1237" s="27">
        <f t="shared" si="402"/>
        <v>7.5770078702790261E-2</v>
      </c>
      <c r="T1237" s="27">
        <f t="shared" si="402"/>
        <v>7.8689269579177143E-2</v>
      </c>
      <c r="U1237" s="27">
        <f t="shared" si="402"/>
        <v>0.24800462804394147</v>
      </c>
      <c r="V1237" s="27">
        <f t="shared" si="402"/>
        <v>0.24920084841283532</v>
      </c>
      <c r="W1237" s="27">
        <f t="shared" si="402"/>
        <v>0.24996642649158854</v>
      </c>
      <c r="X1237" s="27">
        <f t="shared" si="402"/>
        <v>0.2503012063466436</v>
      </c>
      <c r="Y1237" s="27">
        <f t="shared" si="402"/>
        <v>0.25021227988125561</v>
      </c>
      <c r="Z1237" s="27">
        <f t="shared" si="402"/>
        <v>0.2496953846333905</v>
      </c>
      <c r="AA1237" s="27">
        <f t="shared" si="402"/>
        <v>0.24874925442521903</v>
      </c>
      <c r="AB1237" s="27">
        <f t="shared" si="402"/>
        <v>0.24737467209164213</v>
      </c>
      <c r="AC1237" s="27">
        <f t="shared" si="402"/>
        <v>0.24557472852149176</v>
      </c>
      <c r="AD1237" s="27">
        <f t="shared" si="402"/>
        <v>0.24131030034343104</v>
      </c>
      <c r="AE1237" s="27">
        <f t="shared" si="402"/>
        <v>0.23664419000405892</v>
      </c>
      <c r="AF1237" s="27">
        <f t="shared" si="402"/>
        <v>0.23159736326339173</v>
      </c>
      <c r="AG1237" s="27">
        <f t="shared" si="402"/>
        <v>0.22619316818810492</v>
      </c>
      <c r="AH1237" s="27">
        <f t="shared" si="402"/>
        <v>0.22045646078746098</v>
      </c>
      <c r="AI1237" s="27">
        <f t="shared" si="402"/>
        <v>0.21441370915210514</v>
      </c>
      <c r="AJ1237" s="27">
        <f t="shared" si="402"/>
        <v>-1.6555567081653722E-2</v>
      </c>
      <c r="AK1237" s="27">
        <f t="shared" si="402"/>
        <v>-1.6156956868356984E-2</v>
      </c>
      <c r="AL1237" s="27">
        <f t="shared" si="402"/>
        <v>-1.5762493990911713E-2</v>
      </c>
      <c r="AM1237" s="27">
        <f t="shared" si="402"/>
        <v>-1.5372137708578686E-2</v>
      </c>
      <c r="AN1237" s="27">
        <f t="shared" si="402"/>
        <v>-1.5062322238181812E-2</v>
      </c>
      <c r="AO1237" s="27">
        <f t="shared" si="402"/>
        <v>-1.4755445706367474E-2</v>
      </c>
      <c r="AP1237" s="27">
        <f t="shared" si="402"/>
        <v>-1.4451279866976845E-2</v>
      </c>
      <c r="AQ1237" s="27">
        <f t="shared" si="402"/>
        <v>-1.4149749376213728E-2</v>
      </c>
      <c r="AR1237" s="27">
        <f t="shared" si="402"/>
        <v>-1.3850633785054411E-2</v>
      </c>
      <c r="AS1237" s="27">
        <f t="shared" si="402"/>
        <v>-1.3553717207866358E-2</v>
      </c>
      <c r="AT1237" s="27">
        <f t="shared" si="402"/>
        <v>-1.3258964972152997E-2</v>
      </c>
      <c r="AU1237" s="27">
        <f t="shared" si="402"/>
        <v>-1.296639528808627E-2</v>
      </c>
      <c r="AV1237" s="27">
        <f t="shared" si="402"/>
        <v>-1.26760193266456E-2</v>
      </c>
      <c r="AW1237" s="27">
        <f t="shared" si="402"/>
        <v>-1.2387670307042478E-2</v>
      </c>
      <c r="AY1237" s="79"/>
      <c r="AZ1237" s="79"/>
    </row>
    <row r="1238" spans="1:52" x14ac:dyDescent="0.25">
      <c r="A1238" s="95" t="str">
        <f t="shared" si="384"/>
        <v>FSFAGSPQNIBDDSCM Cattle MMCH4</v>
      </c>
      <c r="B1238" s="95" t="s">
        <v>1375</v>
      </c>
      <c r="C1238" s="95" t="s">
        <v>1229</v>
      </c>
      <c r="D1238" t="s">
        <v>15</v>
      </c>
      <c r="E1238" t="s">
        <v>22</v>
      </c>
      <c r="F1238" t="s">
        <v>67</v>
      </c>
      <c r="G1238" t="s">
        <v>123</v>
      </c>
      <c r="H1238" t="s">
        <v>1227</v>
      </c>
      <c r="I1238" t="s">
        <v>121</v>
      </c>
      <c r="J1238" t="s">
        <v>286</v>
      </c>
      <c r="K1238" s="27">
        <f t="shared" ref="K1238:AW1238" si="403">IFERROR(K1397-((K1397-K22)+(K1397-K175)+(K1397-K328)+(K1397-K480)+(K1397-K632)+(K1397-K783)+(K1397-K934)+(K1397-K1085)),0)</f>
        <v>6.968944973410629E-2</v>
      </c>
      <c r="L1238" s="27">
        <f t="shared" si="403"/>
        <v>6.908505539244103E-2</v>
      </c>
      <c r="M1238" s="27">
        <f t="shared" si="403"/>
        <v>6.8854980763127779E-2</v>
      </c>
      <c r="N1238" s="27">
        <f t="shared" si="403"/>
        <v>6.7935512624264296E-2</v>
      </c>
      <c r="O1238" s="27">
        <f t="shared" si="403"/>
        <v>6.660088216573827E-2</v>
      </c>
      <c r="P1238" s="27">
        <f t="shared" si="403"/>
        <v>6.487868745605771E-2</v>
      </c>
      <c r="Q1238" s="27">
        <f t="shared" si="403"/>
        <v>6.3520342119606055E-2</v>
      </c>
      <c r="R1238" s="27">
        <f t="shared" si="403"/>
        <v>6.2235193009075984E-2</v>
      </c>
      <c r="S1238" s="27">
        <f t="shared" si="403"/>
        <v>5.5658100220174651E-2</v>
      </c>
      <c r="T1238" s="27">
        <f t="shared" si="403"/>
        <v>5.7802437683476982E-2</v>
      </c>
      <c r="U1238" s="27">
        <f t="shared" si="403"/>
        <v>0.182175690972702</v>
      </c>
      <c r="V1238" s="27">
        <f t="shared" si="403"/>
        <v>0.18305439341457844</v>
      </c>
      <c r="W1238" s="27">
        <f t="shared" si="403"/>
        <v>0.18361676080501965</v>
      </c>
      <c r="X1238" s="27">
        <f t="shared" si="403"/>
        <v>0.18386267860058431</v>
      </c>
      <c r="Y1238" s="27">
        <f t="shared" si="403"/>
        <v>0.18379735627008756</v>
      </c>
      <c r="Z1238" s="27">
        <f t="shared" si="403"/>
        <v>0.18341766275515989</v>
      </c>
      <c r="AA1238" s="27">
        <f t="shared" si="403"/>
        <v>0.18272266796500922</v>
      </c>
      <c r="AB1238" s="27">
        <f t="shared" si="403"/>
        <v>0.18171294694329559</v>
      </c>
      <c r="AC1238" s="27">
        <f t="shared" si="403"/>
        <v>0.1803907701509096</v>
      </c>
      <c r="AD1238" s="27">
        <f t="shared" si="403"/>
        <v>0.17725826751953122</v>
      </c>
      <c r="AE1238" s="27">
        <f t="shared" si="403"/>
        <v>0.17383070295376282</v>
      </c>
      <c r="AF1238" s="27">
        <f t="shared" si="403"/>
        <v>0.17012347718159837</v>
      </c>
      <c r="AG1238" s="27">
        <f t="shared" si="403"/>
        <v>0.16615374089176904</v>
      </c>
      <c r="AH1238" s="27">
        <f t="shared" si="403"/>
        <v>0.16193975245589462</v>
      </c>
      <c r="AI1238" s="27">
        <f t="shared" si="403"/>
        <v>0.1575009544252694</v>
      </c>
      <c r="AJ1238" s="27">
        <f t="shared" si="403"/>
        <v>-1.2161151573392443E-2</v>
      </c>
      <c r="AK1238" s="27">
        <f t="shared" si="403"/>
        <v>-1.1868346186618603E-2</v>
      </c>
      <c r="AL1238" s="27">
        <f t="shared" si="403"/>
        <v>-1.1578587290470338E-2</v>
      </c>
      <c r="AM1238" s="27">
        <f t="shared" si="403"/>
        <v>-1.1291844958198401E-2</v>
      </c>
      <c r="AN1238" s="27">
        <f t="shared" si="403"/>
        <v>-1.1064265143100825E-2</v>
      </c>
      <c r="AO1238" s="27">
        <f t="shared" si="403"/>
        <v>-1.0838844171453966E-2</v>
      </c>
      <c r="AP1238" s="27">
        <f t="shared" si="403"/>
        <v>-1.0615414381460443E-2</v>
      </c>
      <c r="AQ1238" s="27">
        <f t="shared" si="403"/>
        <v>-1.039392042815254E-2</v>
      </c>
      <c r="AR1238" s="27">
        <f t="shared" si="403"/>
        <v>-1.017420037724082E-2</v>
      </c>
      <c r="AS1238" s="27">
        <f t="shared" si="403"/>
        <v>-9.956095646546443E-3</v>
      </c>
      <c r="AT1238" s="27">
        <f t="shared" si="403"/>
        <v>-9.739580766843E-3</v>
      </c>
      <c r="AU1238" s="27">
        <f t="shared" si="403"/>
        <v>-9.5246691146980388E-3</v>
      </c>
      <c r="AV1238" s="27">
        <f t="shared" si="403"/>
        <v>-9.3113688959297666E-3</v>
      </c>
      <c r="AW1238" s="27">
        <f t="shared" si="403"/>
        <v>-9.0995575990930264E-3</v>
      </c>
      <c r="AY1238" s="79"/>
      <c r="AZ1238" s="79"/>
    </row>
    <row r="1239" spans="1:52" x14ac:dyDescent="0.25">
      <c r="A1239" s="95" t="str">
        <f t="shared" si="384"/>
        <v>FSFAGSPQNIBDDSCM Cattle MMCH4</v>
      </c>
      <c r="B1239" s="95" t="s">
        <v>1375</v>
      </c>
      <c r="C1239" s="95" t="s">
        <v>1229</v>
      </c>
      <c r="D1239" t="s">
        <v>15</v>
      </c>
      <c r="E1239" t="s">
        <v>22</v>
      </c>
      <c r="F1239" t="s">
        <v>67</v>
      </c>
      <c r="G1239" t="s">
        <v>135</v>
      </c>
      <c r="H1239" t="s">
        <v>1227</v>
      </c>
      <c r="I1239" t="s">
        <v>121</v>
      </c>
      <c r="J1239" t="s">
        <v>286</v>
      </c>
      <c r="K1239" s="27">
        <f t="shared" ref="K1239:AW1239" si="404">IFERROR(K1398-((K1398-K23)+(K1398-K176)+(K1398-K329)+(K1398-K481)+(K1398-K633)+(K1398-K784)+(K1398-K935)+(K1398-K1086)),0)</f>
        <v>0.47107022937833831</v>
      </c>
      <c r="L1239" s="27">
        <f t="shared" si="404"/>
        <v>0.48695387967725956</v>
      </c>
      <c r="M1239" s="27">
        <f t="shared" si="404"/>
        <v>0.50580611066616787</v>
      </c>
      <c r="N1239" s="27">
        <f t="shared" si="404"/>
        <v>0.51986569055899423</v>
      </c>
      <c r="O1239" s="27">
        <f t="shared" si="404"/>
        <v>0.5307082628613855</v>
      </c>
      <c r="P1239" s="27">
        <f t="shared" si="404"/>
        <v>0.53817886796858139</v>
      </c>
      <c r="Q1239" s="27">
        <f t="shared" si="404"/>
        <v>0.54837935702304763</v>
      </c>
      <c r="R1239" s="27">
        <f t="shared" si="404"/>
        <v>0.55907244781022658</v>
      </c>
      <c r="S1239" s="27">
        <f t="shared" si="404"/>
        <v>0.52019632078645839</v>
      </c>
      <c r="T1239" s="27">
        <f t="shared" si="404"/>
        <v>0.55325369057346974</v>
      </c>
      <c r="U1239" s="27">
        <f t="shared" si="404"/>
        <v>1.7851204886019707</v>
      </c>
      <c r="V1239" s="27">
        <f t="shared" si="404"/>
        <v>1.8358114551753451</v>
      </c>
      <c r="W1239" s="27">
        <f t="shared" si="404"/>
        <v>1.8841429870431068</v>
      </c>
      <c r="X1239" s="27">
        <f t="shared" si="404"/>
        <v>1.9299293707853407</v>
      </c>
      <c r="Y1239" s="27">
        <f t="shared" si="404"/>
        <v>1.9730360139075687</v>
      </c>
      <c r="Z1239" s="27">
        <f t="shared" si="404"/>
        <v>2.0132355560309785</v>
      </c>
      <c r="AA1239" s="27">
        <f t="shared" si="404"/>
        <v>2.0503157854688139</v>
      </c>
      <c r="AB1239" s="27">
        <f t="shared" si="404"/>
        <v>2.0840739423253991</v>
      </c>
      <c r="AC1239" s="27">
        <f t="shared" si="404"/>
        <v>2.1143204533767861</v>
      </c>
      <c r="AD1239" s="27">
        <f t="shared" si="404"/>
        <v>2.1465040938299391</v>
      </c>
      <c r="AE1239" s="27">
        <f t="shared" si="404"/>
        <v>2.1749393600032643</v>
      </c>
      <c r="AF1239" s="27">
        <f t="shared" si="404"/>
        <v>2.1994598063034698</v>
      </c>
      <c r="AG1239" s="27">
        <f t="shared" si="404"/>
        <v>2.2199209490040412</v>
      </c>
      <c r="AH1239" s="27">
        <f t="shared" si="404"/>
        <v>2.2361952396921123</v>
      </c>
      <c r="AI1239" s="27">
        <f t="shared" si="404"/>
        <v>2.2481759568184136</v>
      </c>
      <c r="AJ1239" s="27">
        <f t="shared" si="404"/>
        <v>-0.17946652232513363</v>
      </c>
      <c r="AK1239" s="27">
        <f t="shared" si="404"/>
        <v>-0.18110907611543389</v>
      </c>
      <c r="AL1239" s="27">
        <f t="shared" si="404"/>
        <v>-0.18274076856651822</v>
      </c>
      <c r="AM1239" s="27">
        <f t="shared" si="404"/>
        <v>-0.18436241238183759</v>
      </c>
      <c r="AN1239" s="27">
        <f t="shared" si="404"/>
        <v>-0.18574369682883446</v>
      </c>
      <c r="AO1239" s="27">
        <f t="shared" si="404"/>
        <v>-0.18711116954081883</v>
      </c>
      <c r="AP1239" s="27">
        <f t="shared" si="404"/>
        <v>-0.18846273754694579</v>
      </c>
      <c r="AQ1239" s="27">
        <f t="shared" si="404"/>
        <v>-0.18979802913484242</v>
      </c>
      <c r="AR1239" s="27">
        <f t="shared" si="404"/>
        <v>-0.19111455281570203</v>
      </c>
      <c r="AS1239" s="27">
        <f t="shared" si="404"/>
        <v>-0.19240952741879389</v>
      </c>
      <c r="AT1239" s="27">
        <f t="shared" si="404"/>
        <v>-0.19368244494387601</v>
      </c>
      <c r="AU1239" s="27">
        <f t="shared" si="404"/>
        <v>-0.19493349782495742</v>
      </c>
      <c r="AV1239" s="27">
        <f t="shared" si="404"/>
        <v>-0.19616276303602645</v>
      </c>
      <c r="AW1239" s="27">
        <f t="shared" si="404"/>
        <v>-0.19736746528407936</v>
      </c>
      <c r="AY1239" s="79"/>
      <c r="AZ1239" s="79"/>
    </row>
    <row r="1240" spans="1:52" x14ac:dyDescent="0.25">
      <c r="A1240" s="95" t="str">
        <f t="shared" si="384"/>
        <v>FSFAGSPQNIBDDSCM Sheep MMCH4</v>
      </c>
      <c r="B1240" s="95" t="s">
        <v>1375</v>
      </c>
      <c r="C1240" s="95" t="s">
        <v>1324</v>
      </c>
      <c r="D1240" t="s">
        <v>15</v>
      </c>
      <c r="E1240" t="s">
        <v>22</v>
      </c>
      <c r="F1240" t="s">
        <v>18</v>
      </c>
      <c r="G1240" t="s">
        <v>122</v>
      </c>
      <c r="H1240" t="s">
        <v>1227</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3.6578192116978575E-2</v>
      </c>
      <c r="T1240" s="27">
        <f t="shared" si="405"/>
        <v>3.6602536457524273E-2</v>
      </c>
      <c r="U1240" s="27">
        <f t="shared" si="405"/>
        <v>3.7079287706665597E-2</v>
      </c>
      <c r="V1240" s="27">
        <f t="shared" si="405"/>
        <v>3.7090917681294085E-2</v>
      </c>
      <c r="W1240" s="27">
        <f t="shared" si="405"/>
        <v>3.7140664601717173E-2</v>
      </c>
      <c r="X1240" s="27">
        <f t="shared" si="405"/>
        <v>3.7212574982641126E-2</v>
      </c>
      <c r="Y1240" s="27">
        <f t="shared" si="405"/>
        <v>3.7279377262220796E-2</v>
      </c>
      <c r="Z1240" s="27">
        <f t="shared" si="405"/>
        <v>3.7341898542443672E-2</v>
      </c>
      <c r="AA1240" s="27">
        <f t="shared" si="405"/>
        <v>3.7399805431240309E-2</v>
      </c>
      <c r="AB1240" s="27">
        <f t="shared" si="405"/>
        <v>3.7453619674437284E-2</v>
      </c>
      <c r="AC1240" s="27">
        <f t="shared" si="405"/>
        <v>3.7504157579295157E-2</v>
      </c>
      <c r="AD1240" s="27">
        <f t="shared" si="405"/>
        <v>3.755137152744302E-2</v>
      </c>
      <c r="AE1240" s="27">
        <f t="shared" si="405"/>
        <v>3.7596016682571363E-2</v>
      </c>
      <c r="AF1240" s="27">
        <f t="shared" si="405"/>
        <v>3.7638201115333593E-2</v>
      </c>
      <c r="AG1240" s="27">
        <f t="shared" si="405"/>
        <v>3.7677346639447794E-2</v>
      </c>
      <c r="AH1240" s="27">
        <f t="shared" si="405"/>
        <v>3.7713811349129885E-2</v>
      </c>
      <c r="AI1240" s="27">
        <f t="shared" si="405"/>
        <v>3.7748176979043722E-2</v>
      </c>
      <c r="AJ1240" s="27">
        <f t="shared" si="405"/>
        <v>3.6919749367433322E-2</v>
      </c>
      <c r="AK1240" s="27">
        <f t="shared" si="405"/>
        <v>3.6953700421728228E-2</v>
      </c>
      <c r="AL1240" s="27">
        <f t="shared" si="405"/>
        <v>3.6985368016573254E-2</v>
      </c>
      <c r="AM1240" s="27">
        <f t="shared" si="405"/>
        <v>3.7014945688034803E-2</v>
      </c>
      <c r="AN1240" s="27">
        <f t="shared" si="405"/>
        <v>3.7042668702165847E-2</v>
      </c>
      <c r="AO1240" s="27">
        <f t="shared" si="405"/>
        <v>3.7067807831001554E-2</v>
      </c>
      <c r="AP1240" s="27">
        <f t="shared" si="405"/>
        <v>3.7089876088168584E-2</v>
      </c>
      <c r="AQ1240" s="27">
        <f t="shared" si="405"/>
        <v>3.710880214511815E-2</v>
      </c>
      <c r="AR1240" s="27">
        <f t="shared" si="405"/>
        <v>3.7124031819377158E-2</v>
      </c>
      <c r="AS1240" s="27">
        <f t="shared" si="405"/>
        <v>3.7134962729756575E-2</v>
      </c>
      <c r="AT1240" s="27">
        <f t="shared" si="405"/>
        <v>3.7141526945573433E-2</v>
      </c>
      <c r="AU1240" s="27">
        <f t="shared" si="405"/>
        <v>3.7143818098984892E-2</v>
      </c>
      <c r="AV1240" s="27">
        <f t="shared" si="405"/>
        <v>3.7141903206885624E-2</v>
      </c>
      <c r="AW1240" s="27">
        <f t="shared" si="405"/>
        <v>3.7135215292227401E-2</v>
      </c>
      <c r="AY1240" s="79"/>
      <c r="AZ1240" s="79"/>
    </row>
    <row r="1241" spans="1:52" x14ac:dyDescent="0.25">
      <c r="A1241" s="95" t="str">
        <f t="shared" si="384"/>
        <v>FSFAGSPQNIBDDSCM Sheep MMCH4</v>
      </c>
      <c r="B1241" s="95" t="s">
        <v>1375</v>
      </c>
      <c r="C1241" s="95" t="s">
        <v>1324</v>
      </c>
      <c r="D1241" t="s">
        <v>15</v>
      </c>
      <c r="E1241" t="s">
        <v>22</v>
      </c>
      <c r="F1241" t="s">
        <v>18</v>
      </c>
      <c r="G1241" t="s">
        <v>123</v>
      </c>
      <c r="H1241" t="s">
        <v>1227</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4.1774038907199012E-3</v>
      </c>
      <c r="T1241" s="27">
        <f t="shared" si="406"/>
        <v>4.1801841304481904E-3</v>
      </c>
      <c r="U1241" s="27">
        <f t="shared" si="406"/>
        <v>4.2346313955480986E-3</v>
      </c>
      <c r="V1241" s="27">
        <f t="shared" si="406"/>
        <v>4.2359595940852672E-3</v>
      </c>
      <c r="W1241" s="27">
        <f t="shared" si="406"/>
        <v>4.24164092951765E-3</v>
      </c>
      <c r="X1241" s="27">
        <f t="shared" si="406"/>
        <v>4.2498534377819787E-3</v>
      </c>
      <c r="Y1241" s="27">
        <f t="shared" si="406"/>
        <v>4.2574825765248842E-3</v>
      </c>
      <c r="Z1241" s="27">
        <f t="shared" si="406"/>
        <v>4.2646228047357425E-3</v>
      </c>
      <c r="AA1241" s="27">
        <f t="shared" si="406"/>
        <v>4.2712360474510998E-3</v>
      </c>
      <c r="AB1241" s="27">
        <f t="shared" si="406"/>
        <v>4.2773818905312679E-3</v>
      </c>
      <c r="AC1241" s="27">
        <f t="shared" si="406"/>
        <v>4.2831535601563532E-3</v>
      </c>
      <c r="AD1241" s="27">
        <f t="shared" si="406"/>
        <v>4.2885456180814241E-3</v>
      </c>
      <c r="AE1241" s="27">
        <f t="shared" si="406"/>
        <v>4.2936443075994434E-3</v>
      </c>
      <c r="AF1241" s="27">
        <f t="shared" si="406"/>
        <v>4.2984619708941515E-3</v>
      </c>
      <c r="AG1241" s="27">
        <f t="shared" si="406"/>
        <v>4.3029325763362138E-3</v>
      </c>
      <c r="AH1241" s="27">
        <f t="shared" si="406"/>
        <v>4.3070970199919519E-3</v>
      </c>
      <c r="AI1241" s="27">
        <f t="shared" si="406"/>
        <v>4.3110217387328335E-3</v>
      </c>
      <c r="AJ1241" s="27">
        <f t="shared" si="406"/>
        <v>4.2164113567638812E-3</v>
      </c>
      <c r="AK1241" s="27">
        <f t="shared" si="406"/>
        <v>4.2202887289929962E-3</v>
      </c>
      <c r="AL1241" s="27">
        <f t="shared" si="406"/>
        <v>4.2239053192687616E-3</v>
      </c>
      <c r="AM1241" s="27">
        <f t="shared" si="406"/>
        <v>4.2272832303324572E-3</v>
      </c>
      <c r="AN1241" s="27">
        <f t="shared" si="406"/>
        <v>4.2304493306887332E-3</v>
      </c>
      <c r="AO1241" s="27">
        <f t="shared" si="406"/>
        <v>4.2333203390281212E-3</v>
      </c>
      <c r="AP1241" s="27">
        <f t="shared" si="406"/>
        <v>4.235840639185552E-3</v>
      </c>
      <c r="AQ1241" s="27">
        <f t="shared" si="406"/>
        <v>4.2380020851007644E-3</v>
      </c>
      <c r="AR1241" s="27">
        <f t="shared" si="406"/>
        <v>4.2397413864938057E-3</v>
      </c>
      <c r="AS1241" s="27">
        <f t="shared" si="406"/>
        <v>4.2409897485616204E-3</v>
      </c>
      <c r="AT1241" s="27">
        <f t="shared" si="406"/>
        <v>4.241739413296421E-3</v>
      </c>
      <c r="AU1241" s="27">
        <f t="shared" si="406"/>
        <v>4.2420010739368554E-3</v>
      </c>
      <c r="AV1241" s="27">
        <f t="shared" si="406"/>
        <v>4.2417823841317337E-3</v>
      </c>
      <c r="AW1241" s="27">
        <f t="shared" si="406"/>
        <v>4.2410185923996346E-3</v>
      </c>
      <c r="AY1241" s="79"/>
      <c r="AZ1241" s="79"/>
    </row>
    <row r="1242" spans="1:52" x14ac:dyDescent="0.25">
      <c r="A1242" s="95" t="str">
        <f t="shared" si="384"/>
        <v>FSFAGSPQNIBDDSCM Goats MMCH4</v>
      </c>
      <c r="B1242" s="95" t="s">
        <v>1375</v>
      </c>
      <c r="C1242" s="95" t="s">
        <v>1325</v>
      </c>
      <c r="D1242" t="s">
        <v>15</v>
      </c>
      <c r="E1242" t="s">
        <v>22</v>
      </c>
      <c r="F1242" t="s">
        <v>19</v>
      </c>
      <c r="G1242" t="s">
        <v>122</v>
      </c>
      <c r="H1242" t="s">
        <v>1227</v>
      </c>
      <c r="I1242" t="s">
        <v>121</v>
      </c>
      <c r="J1242" t="s">
        <v>286</v>
      </c>
      <c r="K1242" s="27">
        <f t="shared" ref="K1242:AW1242" si="407">IFERROR(K1401-((K1401-K26)+(K1401-K179)+(K1401-K332)+(K1401-K484)+(K1401-K636)+(K1401-K787)+(K1401-K938)+(K1401-K1089)),0)</f>
        <v>1.5789672763163301E-2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1.6230654784419023E-2</v>
      </c>
      <c r="R1242" s="27">
        <f t="shared" si="407"/>
        <v>1.6337439810579345E-2</v>
      </c>
      <c r="S1242" s="27">
        <f t="shared" si="407"/>
        <v>1.6297600931786334E-2</v>
      </c>
      <c r="T1242" s="27">
        <f t="shared" si="407"/>
        <v>1.6324272387083224E-2</v>
      </c>
      <c r="U1242" s="27">
        <f t="shared" si="407"/>
        <v>1.6655251261159847E-2</v>
      </c>
      <c r="V1242" s="27">
        <f t="shared" si="407"/>
        <v>1.6670204486965774E-2</v>
      </c>
      <c r="W1242" s="27">
        <f t="shared" si="407"/>
        <v>1.6709793357794805E-2</v>
      </c>
      <c r="X1242" s="27">
        <f t="shared" si="407"/>
        <v>1.6763223659981074E-2</v>
      </c>
      <c r="Y1242" s="27">
        <f t="shared" si="407"/>
        <v>1.6812226700055496E-2</v>
      </c>
      <c r="Z1242" s="27">
        <f t="shared" si="407"/>
        <v>1.6857450212656173E-2</v>
      </c>
      <c r="AA1242" s="27">
        <f t="shared" si="407"/>
        <v>1.6898755484739163E-2</v>
      </c>
      <c r="AB1242" s="27">
        <f t="shared" si="407"/>
        <v>1.6936566671667971E-2</v>
      </c>
      <c r="AC1242" s="27">
        <f t="shared" si="407"/>
        <v>1.697149382994385E-2</v>
      </c>
      <c r="AD1242" s="27">
        <f t="shared" si="407"/>
        <v>1.7003565100315018E-2</v>
      </c>
      <c r="AE1242" s="27">
        <f t="shared" si="407"/>
        <v>1.7033334255161247E-2</v>
      </c>
      <c r="AF1242" s="27">
        <f t="shared" si="407"/>
        <v>1.7060920227859537E-2</v>
      </c>
      <c r="AG1242" s="27">
        <f t="shared" si="407"/>
        <v>1.7085986205962782E-2</v>
      </c>
      <c r="AH1242" s="27">
        <f t="shared" si="407"/>
        <v>1.7108809785956688E-2</v>
      </c>
      <c r="AI1242" s="27">
        <f t="shared" si="407"/>
        <v>1.712981031401661E-2</v>
      </c>
      <c r="AJ1242" s="27">
        <f t="shared" si="407"/>
        <v>1.6586017575220102E-2</v>
      </c>
      <c r="AK1242" s="27">
        <f t="shared" si="407"/>
        <v>1.6606977911339412E-2</v>
      </c>
      <c r="AL1242" s="27">
        <f t="shared" si="407"/>
        <v>1.6626062012476617E-2</v>
      </c>
      <c r="AM1242" s="27">
        <f t="shared" si="407"/>
        <v>1.664342433023323E-2</v>
      </c>
      <c r="AN1242" s="27">
        <f t="shared" si="407"/>
        <v>1.6659243730537236E-2</v>
      </c>
      <c r="AO1242" s="27">
        <f t="shared" si="407"/>
        <v>1.6673071131631082E-2</v>
      </c>
      <c r="AP1242" s="27">
        <f t="shared" si="407"/>
        <v>1.6684616029064781E-2</v>
      </c>
      <c r="AQ1242" s="27">
        <f t="shared" si="407"/>
        <v>1.6693857214200334E-2</v>
      </c>
      <c r="AR1242" s="27">
        <f t="shared" si="407"/>
        <v>1.6700461030767416E-2</v>
      </c>
      <c r="AS1242" s="27">
        <f t="shared" si="407"/>
        <v>1.6704063934453468E-2</v>
      </c>
      <c r="AT1242" s="27">
        <f t="shared" si="407"/>
        <v>1.6704647334029751E-2</v>
      </c>
      <c r="AU1242" s="27">
        <f t="shared" si="407"/>
        <v>1.6702295489105456E-2</v>
      </c>
      <c r="AV1242" s="27">
        <f t="shared" si="407"/>
        <v>1.6697074170612902E-2</v>
      </c>
      <c r="AW1242" s="27">
        <f t="shared" si="407"/>
        <v>1.668864228260674E-2</v>
      </c>
      <c r="AY1242" s="79"/>
      <c r="AZ1242" s="79"/>
    </row>
    <row r="1243" spans="1:52" x14ac:dyDescent="0.25">
      <c r="A1243" s="95" t="str">
        <f t="shared" si="384"/>
        <v>FSFAGSPQNIBDDSCM Goats MMCH4</v>
      </c>
      <c r="B1243" s="95" t="s">
        <v>1375</v>
      </c>
      <c r="C1243" s="95" t="s">
        <v>1325</v>
      </c>
      <c r="D1243" t="s">
        <v>15</v>
      </c>
      <c r="E1243" t="s">
        <v>22</v>
      </c>
      <c r="F1243" t="s">
        <v>19</v>
      </c>
      <c r="G1243" t="s">
        <v>123</v>
      </c>
      <c r="H1243" t="s">
        <v>1227</v>
      </c>
      <c r="I1243" t="s">
        <v>121</v>
      </c>
      <c r="J1243" t="s">
        <v>286</v>
      </c>
      <c r="K1243" s="27">
        <f t="shared" ref="K1243:AW1243" si="408">IFERROR(K1402-((K1402-K27)+(K1402-K180)+(K1402-K333)+(K1402-K485)+(K1402-K637)+(K1402-K788)+(K1402-K939)+(K1402-K1090)),0)</f>
        <v>2.6592218800664803E-2</v>
      </c>
      <c r="L1243" s="27">
        <f t="shared" si="408"/>
        <v>2.6661345733624896E-2</v>
      </c>
      <c r="M1243" s="27">
        <f t="shared" si="408"/>
        <v>2.6756703894783639E-2</v>
      </c>
      <c r="N1243" s="27">
        <f t="shared" si="408"/>
        <v>2.6872875319249701E-2</v>
      </c>
      <c r="O1243" s="27">
        <f t="shared" si="408"/>
        <v>2.7009694315810229E-2</v>
      </c>
      <c r="P1243" s="27">
        <f t="shared" si="408"/>
        <v>2.7166328132291764E-2</v>
      </c>
      <c r="Q1243" s="27">
        <f t="shared" si="408"/>
        <v>2.7334899828466052E-2</v>
      </c>
      <c r="R1243" s="27">
        <f t="shared" si="408"/>
        <v>2.7514742110372921E-2</v>
      </c>
      <c r="S1243" s="27">
        <f t="shared" si="408"/>
        <v>2.7447647358155608E-2</v>
      </c>
      <c r="T1243" s="27">
        <f t="shared" si="408"/>
        <v>2.7492566159553547E-2</v>
      </c>
      <c r="U1243" s="27">
        <f t="shared" si="408"/>
        <v>2.8049985098492974E-2</v>
      </c>
      <c r="V1243" s="27">
        <f t="shared" si="408"/>
        <v>2.80751686129566E-2</v>
      </c>
      <c r="W1243" s="27">
        <f t="shared" si="408"/>
        <v>2.81418423136056E-2</v>
      </c>
      <c r="X1243" s="27">
        <f t="shared" si="408"/>
        <v>2.8231827097181202E-2</v>
      </c>
      <c r="Y1243" s="27">
        <f t="shared" si="408"/>
        <v>2.8314355695658353E-2</v>
      </c>
      <c r="Z1243" s="27">
        <f t="shared" si="408"/>
        <v>2.8390518993026845E-2</v>
      </c>
      <c r="AA1243" s="27">
        <f t="shared" si="408"/>
        <v>2.8460083375349849E-2</v>
      </c>
      <c r="AB1243" s="27">
        <f t="shared" si="408"/>
        <v>2.8523763184995402E-2</v>
      </c>
      <c r="AC1243" s="27">
        <f t="shared" si="408"/>
        <v>2.8582585850220259E-2</v>
      </c>
      <c r="AD1243" s="27">
        <f t="shared" si="408"/>
        <v>2.8636598764339351E-2</v>
      </c>
      <c r="AE1243" s="27">
        <f t="shared" si="408"/>
        <v>2.8686734564558631E-2</v>
      </c>
      <c r="AF1243" s="27">
        <f t="shared" si="408"/>
        <v>2.873319355283693E-2</v>
      </c>
      <c r="AG1243" s="27">
        <f t="shared" si="408"/>
        <v>2.8775408485608011E-2</v>
      </c>
      <c r="AH1243" s="27">
        <f t="shared" si="408"/>
        <v>2.8813846877721389E-2</v>
      </c>
      <c r="AI1243" s="27">
        <f t="shared" si="408"/>
        <v>2.884921497213825E-2</v>
      </c>
      <c r="AJ1243" s="27">
        <f t="shared" si="408"/>
        <v>2.7933385004716402E-2</v>
      </c>
      <c r="AK1243" s="27">
        <f t="shared" si="408"/>
        <v>2.7968685409771071E-2</v>
      </c>
      <c r="AL1243" s="27">
        <f t="shared" si="408"/>
        <v>2.8000825948759214E-2</v>
      </c>
      <c r="AM1243" s="27">
        <f t="shared" si="408"/>
        <v>2.8030066741750678E-2</v>
      </c>
      <c r="AN1243" s="27">
        <f t="shared" si="408"/>
        <v>2.8056709026267227E-2</v>
      </c>
      <c r="AO1243" s="27">
        <f t="shared" si="408"/>
        <v>2.8079996480088933E-2</v>
      </c>
      <c r="AP1243" s="27">
        <f t="shared" si="408"/>
        <v>2.8099439849384365E-2</v>
      </c>
      <c r="AQ1243" s="27">
        <f t="shared" si="408"/>
        <v>2.8115003415570192E-2</v>
      </c>
      <c r="AR1243" s="27">
        <f t="shared" si="408"/>
        <v>2.8126125250563565E-2</v>
      </c>
      <c r="AS1243" s="27">
        <f t="shared" si="408"/>
        <v>2.8132193090256906E-2</v>
      </c>
      <c r="AT1243" s="27">
        <f t="shared" si="408"/>
        <v>2.8133175624183573E-2</v>
      </c>
      <c r="AU1243" s="27">
        <f t="shared" si="408"/>
        <v>2.8129214758385396E-2</v>
      </c>
      <c r="AV1243" s="27">
        <f t="shared" si="408"/>
        <v>2.8120421261150549E-2</v>
      </c>
      <c r="AW1243" s="27">
        <f t="shared" si="408"/>
        <v>2.8106220674847984E-2</v>
      </c>
      <c r="AY1243" s="79"/>
      <c r="AZ1243" s="79"/>
    </row>
    <row r="1244" spans="1:52" x14ac:dyDescent="0.25">
      <c r="A1244" s="95" t="str">
        <f t="shared" si="384"/>
        <v>FSFAGSPQNIBDDSCM Horses MMCH4</v>
      </c>
      <c r="B1244" s="95" t="s">
        <v>1375</v>
      </c>
      <c r="C1244" s="95" t="s">
        <v>1326</v>
      </c>
      <c r="D1244" t="s">
        <v>15</v>
      </c>
      <c r="E1244" t="s">
        <v>22</v>
      </c>
      <c r="F1244" t="s">
        <v>20</v>
      </c>
      <c r="G1244" t="s">
        <v>3</v>
      </c>
      <c r="H1244" t="s">
        <v>1227</v>
      </c>
      <c r="I1244" t="s">
        <v>121</v>
      </c>
      <c r="J1244" t="s">
        <v>286</v>
      </c>
      <c r="K1244" s="27">
        <f t="shared" ref="K1244:AW1244" si="409">IFERROR(K1403-((K1403-K28)+(K1403-K181)+(K1403-K334)+(K1403-K486)+(K1403-K638)+(K1403-K789)+(K1403-K940)+(K1403-K1091)),0)</f>
        <v>4.1336182129460552E-3</v>
      </c>
      <c r="L1244" s="27">
        <f t="shared" si="409"/>
        <v>4.1536453250924088E-3</v>
      </c>
      <c r="M1244" s="27">
        <f t="shared" si="409"/>
        <v>4.1840370126470534E-3</v>
      </c>
      <c r="N1244" s="27">
        <f t="shared" si="409"/>
        <v>4.1905340987284578E-3</v>
      </c>
      <c r="O1244" s="27">
        <f t="shared" si="409"/>
        <v>4.1812329246154597E-3</v>
      </c>
      <c r="P1244" s="27">
        <f t="shared" si="409"/>
        <v>4.1564738854214557E-3</v>
      </c>
      <c r="Q1244" s="27">
        <f t="shared" si="409"/>
        <v>4.142746062070715E-3</v>
      </c>
      <c r="R1244" s="27">
        <f t="shared" si="409"/>
        <v>4.130408792135833E-3</v>
      </c>
      <c r="S1244" s="27">
        <f t="shared" si="409"/>
        <v>3.9465365523139234E-3</v>
      </c>
      <c r="T1244" s="27">
        <f t="shared" si="409"/>
        <v>4.0449031054022467E-3</v>
      </c>
      <c r="U1244" s="27">
        <f t="shared" si="409"/>
        <v>8.6826637855320493E-3</v>
      </c>
      <c r="V1244" s="27">
        <f t="shared" si="409"/>
        <v>8.7938640755687025E-3</v>
      </c>
      <c r="W1244" s="27">
        <f t="shared" si="409"/>
        <v>8.8834218995517203E-3</v>
      </c>
      <c r="X1244" s="27">
        <f t="shared" si="409"/>
        <v>8.9554975933649264E-3</v>
      </c>
      <c r="Y1244" s="27">
        <f t="shared" si="409"/>
        <v>9.018105952641001E-3</v>
      </c>
      <c r="Z1244" s="27">
        <f t="shared" si="409"/>
        <v>9.0705357904088645E-3</v>
      </c>
      <c r="AA1244" s="27">
        <f t="shared" si="409"/>
        <v>9.1124930520699761E-3</v>
      </c>
      <c r="AB1244" s="27">
        <f t="shared" si="409"/>
        <v>9.143466497408213E-3</v>
      </c>
      <c r="AC1244" s="27">
        <f t="shared" si="409"/>
        <v>9.1629085267338015E-3</v>
      </c>
      <c r="AD1244" s="27">
        <f t="shared" si="409"/>
        <v>9.1706067297579116E-3</v>
      </c>
      <c r="AE1244" s="27">
        <f t="shared" si="409"/>
        <v>9.1661590701848112E-3</v>
      </c>
      <c r="AF1244" s="27">
        <f t="shared" si="409"/>
        <v>9.149435618350802E-3</v>
      </c>
      <c r="AG1244" s="27">
        <f t="shared" si="409"/>
        <v>9.120587540138371E-3</v>
      </c>
      <c r="AH1244" s="27">
        <f t="shared" si="409"/>
        <v>9.0795393134023624E-3</v>
      </c>
      <c r="AI1244" s="27">
        <f t="shared" si="409"/>
        <v>9.0262176145749634E-3</v>
      </c>
      <c r="AJ1244" s="27">
        <f t="shared" si="409"/>
        <v>1.3289120185476511E-3</v>
      </c>
      <c r="AK1244" s="27">
        <f t="shared" si="409"/>
        <v>1.3289120185476511E-3</v>
      </c>
      <c r="AL1244" s="27">
        <f t="shared" si="409"/>
        <v>1.3289120185476511E-3</v>
      </c>
      <c r="AM1244" s="27">
        <f t="shared" si="409"/>
        <v>1.3289120185476511E-3</v>
      </c>
      <c r="AN1244" s="27">
        <f t="shared" si="409"/>
        <v>1.3289120185476511E-3</v>
      </c>
      <c r="AO1244" s="27">
        <f t="shared" si="409"/>
        <v>1.3289120185476511E-3</v>
      </c>
      <c r="AP1244" s="27">
        <f t="shared" si="409"/>
        <v>1.3289120185476511E-3</v>
      </c>
      <c r="AQ1244" s="27">
        <f t="shared" si="409"/>
        <v>1.3289120185476511E-3</v>
      </c>
      <c r="AR1244" s="27">
        <f t="shared" si="409"/>
        <v>1.3289120185476511E-3</v>
      </c>
      <c r="AS1244" s="27">
        <f t="shared" si="409"/>
        <v>1.3289120185476511E-3</v>
      </c>
      <c r="AT1244" s="27">
        <f t="shared" si="409"/>
        <v>1.3289120185476511E-3</v>
      </c>
      <c r="AU1244" s="27">
        <f t="shared" si="409"/>
        <v>1.3289120185476511E-3</v>
      </c>
      <c r="AV1244" s="27">
        <f t="shared" si="409"/>
        <v>1.3289120185476511E-3</v>
      </c>
      <c r="AW1244" s="27">
        <f t="shared" si="409"/>
        <v>1.3289120185476511E-3</v>
      </c>
      <c r="AY1244" s="79"/>
      <c r="AZ1244" s="79"/>
    </row>
    <row r="1245" spans="1:52" x14ac:dyDescent="0.25">
      <c r="A1245" s="95" t="str">
        <f t="shared" si="384"/>
        <v>FSFAGSPQNIBDDSCM Mules MMCH4</v>
      </c>
      <c r="B1245" s="95" t="s">
        <v>1375</v>
      </c>
      <c r="C1245" s="95" t="s">
        <v>1327</v>
      </c>
      <c r="D1245" t="s">
        <v>15</v>
      </c>
      <c r="E1245" t="s">
        <v>22</v>
      </c>
      <c r="F1245" t="s">
        <v>140</v>
      </c>
      <c r="G1245" t="s">
        <v>124</v>
      </c>
      <c r="H1245" t="s">
        <v>1227</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25">
      <c r="A1246" s="95" t="str">
        <f t="shared" si="384"/>
        <v>FSFAGSPQNIBDDSCM Swine MMCH4</v>
      </c>
      <c r="B1246" s="95" t="s">
        <v>1375</v>
      </c>
      <c r="C1246" s="95" t="s">
        <v>1230</v>
      </c>
      <c r="D1246" t="s">
        <v>15</v>
      </c>
      <c r="E1246" t="s">
        <v>22</v>
      </c>
      <c r="F1246" t="s">
        <v>21</v>
      </c>
      <c r="G1246" t="s">
        <v>122</v>
      </c>
      <c r="H1246" t="s">
        <v>1227</v>
      </c>
      <c r="I1246" t="s">
        <v>121</v>
      </c>
      <c r="J1246" t="s">
        <v>286</v>
      </c>
      <c r="K1246" s="27">
        <f t="shared" ref="K1246:AW1246" si="411">IFERROR(K1405-((K1405-K30)+(K1405-K183)+(K1405-K336)+(K1405-K488)+(K1405-K640)+(K1405-K791)+(K1405-K942)+(K1405-K1093)),0)</f>
        <v>23.279067868377393</v>
      </c>
      <c r="L1246" s="27">
        <f t="shared" si="411"/>
        <v>23.152530650802596</v>
      </c>
      <c r="M1246" s="27">
        <f t="shared" si="411"/>
        <v>23.162916433064304</v>
      </c>
      <c r="N1246" s="27">
        <f t="shared" si="411"/>
        <v>22.950263110497293</v>
      </c>
      <c r="O1246" s="27">
        <f t="shared" si="411"/>
        <v>22.602951186820601</v>
      </c>
      <c r="P1246" s="27">
        <f t="shared" si="411"/>
        <v>22.12653281137495</v>
      </c>
      <c r="Q1246" s="27">
        <f t="shared" si="411"/>
        <v>21.780600237355962</v>
      </c>
      <c r="R1246" s="27">
        <f t="shared" si="411"/>
        <v>21.465278056857681</v>
      </c>
      <c r="S1246" s="27">
        <f t="shared" si="411"/>
        <v>19.312832226900145</v>
      </c>
      <c r="T1246" s="27">
        <f t="shared" si="411"/>
        <v>20.002458493758922</v>
      </c>
      <c r="U1246" s="27">
        <f t="shared" si="411"/>
        <v>63.938225509328625</v>
      </c>
      <c r="V1246" s="27">
        <f t="shared" si="411"/>
        <v>64.113496025150383</v>
      </c>
      <c r="W1246" s="27">
        <f t="shared" si="411"/>
        <v>64.178228567667873</v>
      </c>
      <c r="X1246" s="27">
        <f t="shared" si="411"/>
        <v>64.135343897693133</v>
      </c>
      <c r="Y1246" s="27">
        <f t="shared" si="411"/>
        <v>63.991311737388052</v>
      </c>
      <c r="Z1246" s="27">
        <f t="shared" si="411"/>
        <v>63.744809060362954</v>
      </c>
      <c r="AA1246" s="27">
        <f t="shared" si="411"/>
        <v>63.395481625326759</v>
      </c>
      <c r="AB1246" s="27">
        <f t="shared" si="411"/>
        <v>62.943362188824892</v>
      </c>
      <c r="AC1246" s="27">
        <f t="shared" si="411"/>
        <v>62.389030635456976</v>
      </c>
      <c r="AD1246" s="27">
        <f t="shared" si="411"/>
        <v>61.733913705110233</v>
      </c>
      <c r="AE1246" s="27">
        <f t="shared" si="411"/>
        <v>60.979815772111941</v>
      </c>
      <c r="AF1246" s="27">
        <f t="shared" si="411"/>
        <v>60.129286570076758</v>
      </c>
      <c r="AG1246" s="27">
        <f t="shared" si="411"/>
        <v>59.185593442917096</v>
      </c>
      <c r="AH1246" s="27">
        <f t="shared" si="411"/>
        <v>58.152275579872715</v>
      </c>
      <c r="AI1246" s="27">
        <f t="shared" si="411"/>
        <v>57.033304574173563</v>
      </c>
      <c r="AJ1246" s="27">
        <f t="shared" si="411"/>
        <v>-5.3144936119483299</v>
      </c>
      <c r="AK1246" s="27">
        <f t="shared" si="411"/>
        <v>-5.2569593669429695</v>
      </c>
      <c r="AL1246" s="27">
        <f t="shared" si="411"/>
        <v>-5.1992212819469339</v>
      </c>
      <c r="AM1246" s="27">
        <f t="shared" si="411"/>
        <v>-5.1413392574015706</v>
      </c>
      <c r="AN1246" s="27">
        <f t="shared" si="411"/>
        <v>-5.0833794948522248</v>
      </c>
      <c r="AO1246" s="27">
        <f t="shared" si="411"/>
        <v>-5.0251883541674571</v>
      </c>
      <c r="AP1246" s="27">
        <f t="shared" si="411"/>
        <v>-4.9666751294444857</v>
      </c>
      <c r="AQ1246" s="27">
        <f t="shared" si="411"/>
        <v>-4.9078454730797514</v>
      </c>
      <c r="AR1246" s="27">
        <f t="shared" si="411"/>
        <v>-4.8486018943647</v>
      </c>
      <c r="AS1246" s="27">
        <f t="shared" si="411"/>
        <v>-4.7888432589736398</v>
      </c>
      <c r="AT1246" s="27">
        <f t="shared" si="411"/>
        <v>-4.7285865274691332</v>
      </c>
      <c r="AU1246" s="27">
        <f t="shared" si="411"/>
        <v>-4.667881841438601</v>
      </c>
      <c r="AV1246" s="27">
        <f t="shared" si="411"/>
        <v>-4.6067720913188221</v>
      </c>
      <c r="AW1246" s="27">
        <f t="shared" si="411"/>
        <v>-4.5451726737388229</v>
      </c>
      <c r="AY1246" s="79"/>
      <c r="AZ1246" s="79"/>
    </row>
    <row r="1247" spans="1:52" x14ac:dyDescent="0.25">
      <c r="A1247" s="95" t="str">
        <f t="shared" si="384"/>
        <v>FSFAGSPQNIBDDSCM Swine MMCH4</v>
      </c>
      <c r="B1247" s="95" t="s">
        <v>1375</v>
      </c>
      <c r="C1247" s="95" t="s">
        <v>1230</v>
      </c>
      <c r="D1247" t="s">
        <v>15</v>
      </c>
      <c r="E1247" t="s">
        <v>22</v>
      </c>
      <c r="F1247" t="s">
        <v>21</v>
      </c>
      <c r="G1247" t="s">
        <v>123</v>
      </c>
      <c r="H1247" t="s">
        <v>1227</v>
      </c>
      <c r="I1247" t="s">
        <v>121</v>
      </c>
      <c r="J1247" t="s">
        <v>286</v>
      </c>
      <c r="K1247" s="27">
        <f t="shared" ref="K1247:AW1247" si="412">IFERROR(K1406-((K1406-K31)+(K1406-K184)+(K1406-K337)+(K1406-K489)+(K1406-K641)+(K1406-K792)+(K1406-K943)+(K1406-K1094)),0)</f>
        <v>7.7932061732677776E-2</v>
      </c>
      <c r="L1247" s="27">
        <f t="shared" si="412"/>
        <v>7.7508449141861113E-2</v>
      </c>
      <c r="M1247" s="27">
        <f t="shared" si="412"/>
        <v>7.7543217949140597E-2</v>
      </c>
      <c r="N1247" s="27">
        <f t="shared" si="412"/>
        <v>7.6831311787104617E-2</v>
      </c>
      <c r="O1247" s="27">
        <f t="shared" si="412"/>
        <v>7.5668604825232008E-2</v>
      </c>
      <c r="P1247" s="27">
        <f t="shared" si="412"/>
        <v>7.4073684167079393E-2</v>
      </c>
      <c r="Q1247" s="27">
        <f t="shared" si="412"/>
        <v>7.2915594897087016E-2</v>
      </c>
      <c r="R1247" s="27">
        <f t="shared" si="412"/>
        <v>7.1859980996426681E-2</v>
      </c>
      <c r="S1247" s="27">
        <f t="shared" si="412"/>
        <v>6.4654170942306688E-2</v>
      </c>
      <c r="T1247" s="27">
        <f t="shared" si="412"/>
        <v>6.6962854309922146E-2</v>
      </c>
      <c r="U1247" s="27">
        <f t="shared" si="412"/>
        <v>0.21404799219815959</v>
      </c>
      <c r="V1247" s="27">
        <f t="shared" si="412"/>
        <v>0.21463475077183489</v>
      </c>
      <c r="W1247" s="27">
        <f t="shared" si="412"/>
        <v>0.21485145792386132</v>
      </c>
      <c r="X1247" s="27">
        <f t="shared" si="412"/>
        <v>0.21470789157632744</v>
      </c>
      <c r="Y1247" s="27">
        <f t="shared" si="412"/>
        <v>0.21422571061994838</v>
      </c>
      <c r="Z1247" s="27">
        <f t="shared" si="412"/>
        <v>0.21340048591800548</v>
      </c>
      <c r="AA1247" s="27">
        <f t="shared" si="412"/>
        <v>0.21223103156587736</v>
      </c>
      <c r="AB1247" s="27">
        <f t="shared" si="412"/>
        <v>0.21071745722367313</v>
      </c>
      <c r="AC1247" s="27">
        <f t="shared" si="412"/>
        <v>0.20886170418915742</v>
      </c>
      <c r="AD1247" s="27">
        <f t="shared" si="412"/>
        <v>0.20666854880396013</v>
      </c>
      <c r="AE1247" s="27">
        <f t="shared" si="412"/>
        <v>0.20414403162830727</v>
      </c>
      <c r="AF1247" s="27">
        <f t="shared" si="412"/>
        <v>0.20129668848496379</v>
      </c>
      <c r="AG1247" s="27">
        <f t="shared" si="412"/>
        <v>0.19813745756307569</v>
      </c>
      <c r="AH1247" s="27">
        <f t="shared" si="412"/>
        <v>0.19467818711687174</v>
      </c>
      <c r="AI1247" s="27">
        <f t="shared" si="412"/>
        <v>0.19093217297290849</v>
      </c>
      <c r="AJ1247" s="27">
        <f t="shared" si="412"/>
        <v>-1.7791496059294212E-2</v>
      </c>
      <c r="AK1247" s="27">
        <f t="shared" si="412"/>
        <v>-1.759888687241214E-2</v>
      </c>
      <c r="AL1247" s="27">
        <f t="shared" si="412"/>
        <v>-1.7405595284034153E-2</v>
      </c>
      <c r="AM1247" s="27">
        <f t="shared" si="412"/>
        <v>-1.7211821824736444E-2</v>
      </c>
      <c r="AN1247" s="27">
        <f t="shared" si="412"/>
        <v>-1.7017788119497636E-2</v>
      </c>
      <c r="AO1247" s="27">
        <f t="shared" si="412"/>
        <v>-1.6822979822456646E-2</v>
      </c>
      <c r="AP1247" s="27">
        <f t="shared" si="412"/>
        <v>-1.6627093274633003E-2</v>
      </c>
      <c r="AQ1247" s="27">
        <f t="shared" si="412"/>
        <v>-1.6430147398730621E-2</v>
      </c>
      <c r="AR1247" s="27">
        <f t="shared" si="412"/>
        <v>-1.6231815822063071E-2</v>
      </c>
      <c r="AS1247" s="27">
        <f t="shared" si="412"/>
        <v>-1.6031759974093191E-2</v>
      </c>
      <c r="AT1247" s="27">
        <f t="shared" si="412"/>
        <v>-1.5830036634225372E-2</v>
      </c>
      <c r="AU1247" s="27">
        <f t="shared" si="412"/>
        <v>-1.5626813663016086E-2</v>
      </c>
      <c r="AV1247" s="27">
        <f t="shared" si="412"/>
        <v>-1.5422234646118577E-2</v>
      </c>
      <c r="AW1247" s="27">
        <f t="shared" si="412"/>
        <v>-1.5216016354188486E-2</v>
      </c>
      <c r="AY1247" s="79"/>
      <c r="AZ1247" s="79"/>
    </row>
    <row r="1248" spans="1:52" x14ac:dyDescent="0.25">
      <c r="A1248" s="95" t="str">
        <f t="shared" si="384"/>
        <v>FSFAGSPQNIBDDSCM Poultry MMCH4</v>
      </c>
      <c r="B1248" s="95" t="s">
        <v>1375</v>
      </c>
      <c r="C1248" s="95" t="s">
        <v>1231</v>
      </c>
      <c r="D1248" t="s">
        <v>15</v>
      </c>
      <c r="E1248" t="s">
        <v>22</v>
      </c>
      <c r="F1248" t="s">
        <v>28</v>
      </c>
      <c r="G1248" t="s">
        <v>131</v>
      </c>
      <c r="H1248" t="s">
        <v>1227</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0.59052015237226141</v>
      </c>
      <c r="O1248" s="27">
        <f t="shared" si="413"/>
        <v>0.5986618277459016</v>
      </c>
      <c r="P1248" s="27">
        <f t="shared" si="413"/>
        <v>0.60475451589519713</v>
      </c>
      <c r="Q1248" s="27">
        <f t="shared" si="413"/>
        <v>0.61256702388185857</v>
      </c>
      <c r="R1248" s="27">
        <f t="shared" si="413"/>
        <v>0.62068986953889782</v>
      </c>
      <c r="S1248" s="27">
        <f t="shared" si="413"/>
        <v>0.59622101179856346</v>
      </c>
      <c r="T1248" s="27">
        <f t="shared" si="413"/>
        <v>0.61809135680643945</v>
      </c>
      <c r="U1248" s="27">
        <f t="shared" si="413"/>
        <v>1.373668837271812</v>
      </c>
      <c r="V1248" s="27">
        <f t="shared" si="413"/>
        <v>1.4038681554321815</v>
      </c>
      <c r="W1248" s="27">
        <f t="shared" si="413"/>
        <v>1.4328290155562637</v>
      </c>
      <c r="X1248" s="27">
        <f t="shared" si="413"/>
        <v>1.460295648957926</v>
      </c>
      <c r="Y1248" s="27">
        <f t="shared" si="413"/>
        <v>1.4859212180508141</v>
      </c>
      <c r="Z1248" s="27">
        <f t="shared" si="413"/>
        <v>1.5095937275054243</v>
      </c>
      <c r="AA1248" s="27">
        <f t="shared" si="413"/>
        <v>1.5311992010813591</v>
      </c>
      <c r="AB1248" s="27">
        <f t="shared" si="413"/>
        <v>1.5506393195302268</v>
      </c>
      <c r="AC1248" s="27">
        <f t="shared" si="413"/>
        <v>1.5678278043895033</v>
      </c>
      <c r="AD1248" s="27">
        <f t="shared" si="413"/>
        <v>1.5826815313976288</v>
      </c>
      <c r="AE1248" s="27">
        <f t="shared" si="413"/>
        <v>1.5951352940969563</v>
      </c>
      <c r="AF1248" s="27">
        <f t="shared" si="413"/>
        <v>1.6051302673357504</v>
      </c>
      <c r="AG1248" s="27">
        <f t="shared" si="413"/>
        <v>1.6126141322836316</v>
      </c>
      <c r="AH1248" s="27">
        <f t="shared" si="413"/>
        <v>1.6175553910519496</v>
      </c>
      <c r="AI1248" s="27">
        <f t="shared" si="413"/>
        <v>1.6199377421840562</v>
      </c>
      <c r="AJ1248" s="27">
        <f t="shared" si="413"/>
        <v>0.21118052827101272</v>
      </c>
      <c r="AK1248" s="27">
        <f t="shared" si="413"/>
        <v>0.21273045495969528</v>
      </c>
      <c r="AL1248" s="27">
        <f t="shared" si="413"/>
        <v>0.21424196096407097</v>
      </c>
      <c r="AM1248" s="27">
        <f t="shared" si="413"/>
        <v>0.21571732327397183</v>
      </c>
      <c r="AN1248" s="27">
        <f t="shared" si="413"/>
        <v>0.21715916671304386</v>
      </c>
      <c r="AO1248" s="27">
        <f t="shared" si="413"/>
        <v>0.2185615794759829</v>
      </c>
      <c r="AP1248" s="27">
        <f t="shared" si="413"/>
        <v>0.21992066841646388</v>
      </c>
      <c r="AQ1248" s="27">
        <f t="shared" si="413"/>
        <v>0.22123614681909931</v>
      </c>
      <c r="AR1248" s="27">
        <f t="shared" si="413"/>
        <v>0.22250337724956543</v>
      </c>
      <c r="AS1248" s="27">
        <f t="shared" si="413"/>
        <v>0.22371719705711082</v>
      </c>
      <c r="AT1248" s="27">
        <f t="shared" si="413"/>
        <v>0.22487715475079265</v>
      </c>
      <c r="AU1248" s="27">
        <f t="shared" si="413"/>
        <v>0.22598422868600801</v>
      </c>
      <c r="AV1248" s="27">
        <f t="shared" si="413"/>
        <v>0.22703914928135227</v>
      </c>
      <c r="AW1248" s="27">
        <f t="shared" si="413"/>
        <v>0.22803688221361912</v>
      </c>
      <c r="AY1248" s="79"/>
      <c r="AZ1248" s="79"/>
    </row>
    <row r="1249" spans="1:52" x14ac:dyDescent="0.25">
      <c r="A1249" s="95" t="str">
        <f t="shared" si="384"/>
        <v>FSFAGSPQNIBDDSCM Poultry MMCH4</v>
      </c>
      <c r="B1249" s="95" t="s">
        <v>1375</v>
      </c>
      <c r="C1249" s="95" t="s">
        <v>1231</v>
      </c>
      <c r="D1249" t="s">
        <v>15</v>
      </c>
      <c r="E1249" t="s">
        <v>22</v>
      </c>
      <c r="F1249" t="s">
        <v>28</v>
      </c>
      <c r="G1249" t="s">
        <v>132</v>
      </c>
      <c r="H1249" t="s">
        <v>1227</v>
      </c>
      <c r="I1249" t="s">
        <v>121</v>
      </c>
      <c r="J1249" t="s">
        <v>286</v>
      </c>
      <c r="K1249" s="27">
        <f t="shared" ref="K1249:AW1249" si="414">IFERROR(K1408-((K1408-K33)+(K1408-K186)+(K1408-K339)+(K1408-K491)+(K1408-K643)+(K1408-K794)+(K1408-K945)+(K1408-K1096)),0)</f>
        <v>2.2100196981344116</v>
      </c>
      <c r="L1249" s="27">
        <f t="shared" si="414"/>
        <v>2.2391217074451495</v>
      </c>
      <c r="M1249" s="27">
        <f t="shared" si="414"/>
        <v>2.2858678822724832</v>
      </c>
      <c r="N1249" s="27">
        <f t="shared" si="414"/>
        <v>2.29929007480786</v>
      </c>
      <c r="O1249" s="27">
        <f t="shared" si="414"/>
        <v>2.2910596881616572</v>
      </c>
      <c r="P1249" s="27">
        <f t="shared" si="414"/>
        <v>2.2612642885898926</v>
      </c>
      <c r="Q1249" s="27">
        <f t="shared" si="414"/>
        <v>2.2487211059946213</v>
      </c>
      <c r="R1249" s="27">
        <f t="shared" si="414"/>
        <v>2.2390235702415184</v>
      </c>
      <c r="S1249" s="27">
        <f t="shared" si="414"/>
        <v>1.9526804721775937</v>
      </c>
      <c r="T1249" s="27">
        <f t="shared" si="414"/>
        <v>2.100459804618418</v>
      </c>
      <c r="U1249" s="27">
        <f t="shared" si="414"/>
        <v>9.1333253803948828</v>
      </c>
      <c r="V1249" s="27">
        <f t="shared" si="414"/>
        <v>9.2970707439361586</v>
      </c>
      <c r="W1249" s="27">
        <f t="shared" si="414"/>
        <v>9.4425409001496003</v>
      </c>
      <c r="X1249" s="27">
        <f t="shared" si="414"/>
        <v>9.5703569928358032</v>
      </c>
      <c r="Y1249" s="27">
        <f t="shared" si="414"/>
        <v>9.6822560637136306</v>
      </c>
      <c r="Z1249" s="27">
        <f t="shared" si="414"/>
        <v>9.7773987663862059</v>
      </c>
      <c r="AA1249" s="27">
        <f t="shared" si="414"/>
        <v>9.8551407097026438</v>
      </c>
      <c r="AB1249" s="27">
        <f t="shared" si="414"/>
        <v>9.9148485168231666</v>
      </c>
      <c r="AC1249" s="27">
        <f t="shared" si="414"/>
        <v>9.9559572971640158</v>
      </c>
      <c r="AD1249" s="27">
        <f t="shared" si="414"/>
        <v>9.9780818543236887</v>
      </c>
      <c r="AE1249" s="27">
        <f t="shared" si="414"/>
        <v>9.9808650627783955</v>
      </c>
      <c r="AF1249" s="27">
        <f t="shared" si="414"/>
        <v>9.9641144926279814</v>
      </c>
      <c r="AG1249" s="27">
        <f t="shared" si="414"/>
        <v>9.9278067613283412</v>
      </c>
      <c r="AH1249" s="27">
        <f t="shared" si="414"/>
        <v>9.8719390395073479</v>
      </c>
      <c r="AI1249" s="27">
        <f t="shared" si="414"/>
        <v>9.7965950136724871</v>
      </c>
      <c r="AJ1249" s="27">
        <f t="shared" si="414"/>
        <v>-2.0919754098137773</v>
      </c>
      <c r="AK1249" s="27">
        <f t="shared" si="414"/>
        <v>-2.0949358900923882</v>
      </c>
      <c r="AL1249" s="27">
        <f t="shared" si="414"/>
        <v>-2.0976165546607759</v>
      </c>
      <c r="AM1249" s="27">
        <f t="shared" si="414"/>
        <v>-2.1000401992552491</v>
      </c>
      <c r="AN1249" s="27">
        <f t="shared" si="414"/>
        <v>-2.1022328856249954</v>
      </c>
      <c r="AO1249" s="27">
        <f t="shared" si="414"/>
        <v>-2.1041334183696132</v>
      </c>
      <c r="AP1249" s="27">
        <f t="shared" si="414"/>
        <v>-2.1057026664304765</v>
      </c>
      <c r="AQ1249" s="27">
        <f t="shared" si="414"/>
        <v>-2.1069388532626809</v>
      </c>
      <c r="AR1249" s="27">
        <f t="shared" si="414"/>
        <v>-2.107796866715046</v>
      </c>
      <c r="AS1249" s="27">
        <f t="shared" si="414"/>
        <v>-2.1082275012492091</v>
      </c>
      <c r="AT1249" s="27">
        <f t="shared" si="414"/>
        <v>-2.1082293468263522</v>
      </c>
      <c r="AU1249" s="27">
        <f t="shared" si="414"/>
        <v>-2.1078151792766633</v>
      </c>
      <c r="AV1249" s="27">
        <f t="shared" si="414"/>
        <v>-2.1069951517588699</v>
      </c>
      <c r="AW1249" s="27">
        <f t="shared" si="414"/>
        <v>-2.1057231360288351</v>
      </c>
      <c r="AY1249" s="79"/>
      <c r="AZ1249" s="79"/>
    </row>
    <row r="1250" spans="1:52" x14ac:dyDescent="0.25">
      <c r="A1250" s="95" t="str">
        <f t="shared" si="384"/>
        <v>FSFAGSPQNIBDDSCM Poultry MMCH4</v>
      </c>
      <c r="B1250" s="95" t="s">
        <v>1375</v>
      </c>
      <c r="C1250" s="95" t="s">
        <v>1231</v>
      </c>
      <c r="D1250" t="s">
        <v>15</v>
      </c>
      <c r="E1250" t="s">
        <v>22</v>
      </c>
      <c r="F1250" t="s">
        <v>28</v>
      </c>
      <c r="G1250" t="s">
        <v>134</v>
      </c>
      <c r="H1250" t="s">
        <v>1227</v>
      </c>
      <c r="I1250" t="s">
        <v>121</v>
      </c>
      <c r="J1250" t="s">
        <v>286</v>
      </c>
      <c r="K1250" s="27">
        <f t="shared" ref="K1250:AW1250" si="415">IFERROR(K1409-((K1409-K34)+(K1409-K187)+(K1409-K340)+(K1409-K492)+(K1409-K644)+(K1409-K795)+(K1409-K946)+(K1409-K1097)),0)</f>
        <v>2.3161053423012629E-2</v>
      </c>
      <c r="L1250" s="27">
        <f t="shared" si="415"/>
        <v>2.3631963555267661E-2</v>
      </c>
      <c r="M1250" s="27">
        <f t="shared" si="415"/>
        <v>2.4182412868997839E-2</v>
      </c>
      <c r="N1250" s="27">
        <f t="shared" si="415"/>
        <v>2.4605006348844244E-2</v>
      </c>
      <c r="O1250" s="27">
        <f t="shared" si="415"/>
        <v>2.4944242822745925E-2</v>
      </c>
      <c r="P1250" s="27">
        <f t="shared" si="415"/>
        <v>2.5198104828966571E-2</v>
      </c>
      <c r="Q1250" s="27">
        <f t="shared" si="415"/>
        <v>2.5523625995077459E-2</v>
      </c>
      <c r="R1250" s="27">
        <f t="shared" si="415"/>
        <v>2.5862077897454101E-2</v>
      </c>
      <c r="S1250" s="27">
        <f t="shared" si="415"/>
        <v>2.4842542158273501E-2</v>
      </c>
      <c r="T1250" s="27">
        <f t="shared" si="415"/>
        <v>2.5753806533601667E-2</v>
      </c>
      <c r="U1250" s="27">
        <f t="shared" si="415"/>
        <v>5.7236201552992215E-2</v>
      </c>
      <c r="V1250" s="27">
        <f t="shared" si="415"/>
        <v>5.8494506476340941E-2</v>
      </c>
      <c r="W1250" s="27">
        <f t="shared" si="415"/>
        <v>5.9701208981511052E-2</v>
      </c>
      <c r="X1250" s="27">
        <f t="shared" si="415"/>
        <v>6.0845652039913642E-2</v>
      </c>
      <c r="Y1250" s="27">
        <f t="shared" si="415"/>
        <v>6.1913384085450655E-2</v>
      </c>
      <c r="Z1250" s="27">
        <f t="shared" si="415"/>
        <v>6.2899738646059397E-2</v>
      </c>
      <c r="AA1250" s="27">
        <f t="shared" si="415"/>
        <v>6.3799966711723347E-2</v>
      </c>
      <c r="AB1250" s="27">
        <f t="shared" si="415"/>
        <v>6.4609971647092854E-2</v>
      </c>
      <c r="AC1250" s="27">
        <f t="shared" si="415"/>
        <v>6.5326158516229374E-2</v>
      </c>
      <c r="AD1250" s="27">
        <f t="shared" si="415"/>
        <v>6.5945063808234589E-2</v>
      </c>
      <c r="AE1250" s="27">
        <f t="shared" si="415"/>
        <v>6.6463970587373244E-2</v>
      </c>
      <c r="AF1250" s="27">
        <f t="shared" si="415"/>
        <v>6.6880427805656326E-2</v>
      </c>
      <c r="AG1250" s="27">
        <f t="shared" si="415"/>
        <v>6.7192255511818053E-2</v>
      </c>
      <c r="AH1250" s="27">
        <f t="shared" si="415"/>
        <v>6.7398141293831301E-2</v>
      </c>
      <c r="AI1250" s="27">
        <f t="shared" si="415"/>
        <v>6.7497405924335729E-2</v>
      </c>
      <c r="AJ1250" s="27">
        <f t="shared" si="415"/>
        <v>8.7991886779588708E-3</v>
      </c>
      <c r="AK1250" s="27">
        <f t="shared" si="415"/>
        <v>8.8637689566539793E-3</v>
      </c>
      <c r="AL1250" s="27">
        <f t="shared" si="415"/>
        <v>8.9267483735029646E-3</v>
      </c>
      <c r="AM1250" s="27">
        <f t="shared" si="415"/>
        <v>8.9882218030821696E-3</v>
      </c>
      <c r="AN1250" s="27">
        <f t="shared" si="415"/>
        <v>9.0482986130435011E-3</v>
      </c>
      <c r="AO1250" s="27">
        <f t="shared" si="415"/>
        <v>9.1067324781659627E-3</v>
      </c>
      <c r="AP1250" s="27">
        <f t="shared" si="415"/>
        <v>9.1633611840193346E-3</v>
      </c>
      <c r="AQ1250" s="27">
        <f t="shared" si="415"/>
        <v>9.2181727841291489E-3</v>
      </c>
      <c r="AR1250" s="27">
        <f t="shared" si="415"/>
        <v>9.2709740520652353E-3</v>
      </c>
      <c r="AS1250" s="27">
        <f t="shared" si="415"/>
        <v>9.3215498773796274E-3</v>
      </c>
      <c r="AT1250" s="27">
        <f t="shared" si="415"/>
        <v>9.3698814479497017E-3</v>
      </c>
      <c r="AU1250" s="27">
        <f t="shared" si="415"/>
        <v>9.4160095285836763E-3</v>
      </c>
      <c r="AV1250" s="27">
        <f t="shared" si="415"/>
        <v>9.4599645533896878E-3</v>
      </c>
      <c r="AW1250" s="27">
        <f t="shared" si="415"/>
        <v>9.5015367589008064E-3</v>
      </c>
      <c r="AY1250" s="79"/>
      <c r="AZ1250" s="79"/>
    </row>
    <row r="1251" spans="1:52" x14ac:dyDescent="0.25">
      <c r="A1251" s="95" t="str">
        <f t="shared" si="384"/>
        <v>FSFAGSPQNIBDDSCM Poultry MMCH4</v>
      </c>
      <c r="B1251" s="95" t="s">
        <v>1375</v>
      </c>
      <c r="C1251" s="95" t="s">
        <v>1231</v>
      </c>
      <c r="D1251" t="s">
        <v>15</v>
      </c>
      <c r="E1251" t="s">
        <v>22</v>
      </c>
      <c r="F1251" t="s">
        <v>28</v>
      </c>
      <c r="G1251" t="s">
        <v>133</v>
      </c>
      <c r="H1251" t="s">
        <v>1227</v>
      </c>
      <c r="I1251" t="s">
        <v>121</v>
      </c>
      <c r="J1251" t="s">
        <v>286</v>
      </c>
      <c r="K1251" s="27">
        <f t="shared" ref="K1251:AW1251" si="416">IFERROR(K1410-((K1410-K35)+(K1410-K188)+(K1410-K341)+(K1410-K493)+(K1410-K645)+(K1410-K796)+(K1410-K947)+(K1410-K1098)),0)</f>
        <v>9.2084154088933889E-2</v>
      </c>
      <c r="L1251" s="27">
        <f t="shared" si="416"/>
        <v>9.3296737810214664E-2</v>
      </c>
      <c r="M1251" s="27">
        <f t="shared" si="416"/>
        <v>9.5244495094686882E-2</v>
      </c>
      <c r="N1251" s="27">
        <f t="shared" si="416"/>
        <v>9.5803753116994267E-2</v>
      </c>
      <c r="O1251" s="27">
        <f t="shared" si="416"/>
        <v>9.5460820340069155E-2</v>
      </c>
      <c r="P1251" s="27">
        <f t="shared" si="416"/>
        <v>9.4219345357912279E-2</v>
      </c>
      <c r="Q1251" s="27">
        <f t="shared" si="416"/>
        <v>9.3696712749775993E-2</v>
      </c>
      <c r="R1251" s="27">
        <f t="shared" si="416"/>
        <v>9.3292648760063338E-2</v>
      </c>
      <c r="S1251" s="27">
        <f t="shared" si="416"/>
        <v>8.1361686340733153E-2</v>
      </c>
      <c r="T1251" s="27">
        <f t="shared" si="416"/>
        <v>8.7519158525767499E-2</v>
      </c>
      <c r="U1251" s="27">
        <f t="shared" si="416"/>
        <v>0.38055522418312043</v>
      </c>
      <c r="V1251" s="27">
        <f t="shared" si="416"/>
        <v>0.38737794766400691</v>
      </c>
      <c r="W1251" s="27">
        <f t="shared" si="416"/>
        <v>0.39343920417290035</v>
      </c>
      <c r="X1251" s="27">
        <f t="shared" si="416"/>
        <v>0.39876487470149208</v>
      </c>
      <c r="Y1251" s="27">
        <f t="shared" si="416"/>
        <v>0.40342733598806829</v>
      </c>
      <c r="Z1251" s="27">
        <f t="shared" si="416"/>
        <v>0.40739161526609236</v>
      </c>
      <c r="AA1251" s="27">
        <f t="shared" si="416"/>
        <v>0.41063086290427719</v>
      </c>
      <c r="AB1251" s="27">
        <f t="shared" si="416"/>
        <v>0.41311868820096576</v>
      </c>
      <c r="AC1251" s="27">
        <f t="shared" si="416"/>
        <v>0.41483155404850092</v>
      </c>
      <c r="AD1251" s="27">
        <f t="shared" si="416"/>
        <v>0.4157534105968208</v>
      </c>
      <c r="AE1251" s="27">
        <f t="shared" si="416"/>
        <v>0.41586937761576692</v>
      </c>
      <c r="AF1251" s="27">
        <f t="shared" si="416"/>
        <v>0.41517143719283295</v>
      </c>
      <c r="AG1251" s="27">
        <f t="shared" si="416"/>
        <v>0.41365861505534796</v>
      </c>
      <c r="AH1251" s="27">
        <f t="shared" si="416"/>
        <v>0.41133079331280648</v>
      </c>
      <c r="AI1251" s="27">
        <f t="shared" si="416"/>
        <v>0.40819145890302061</v>
      </c>
      <c r="AJ1251" s="27">
        <f t="shared" si="416"/>
        <v>-8.7165642075574146E-2</v>
      </c>
      <c r="AK1251" s="27">
        <f t="shared" si="416"/>
        <v>-8.7288995420516255E-2</v>
      </c>
      <c r="AL1251" s="27">
        <f t="shared" si="416"/>
        <v>-8.7400689777532417E-2</v>
      </c>
      <c r="AM1251" s="27">
        <f t="shared" si="416"/>
        <v>-8.7501674968968782E-2</v>
      </c>
      <c r="AN1251" s="27">
        <f t="shared" si="416"/>
        <v>-8.759303690104156E-2</v>
      </c>
      <c r="AO1251" s="27">
        <f t="shared" si="416"/>
        <v>-8.7672225765400638E-2</v>
      </c>
      <c r="AP1251" s="27">
        <f t="shared" si="416"/>
        <v>-8.773761110126993E-2</v>
      </c>
      <c r="AQ1251" s="27">
        <f t="shared" si="416"/>
        <v>-8.7789118885945122E-2</v>
      </c>
      <c r="AR1251" s="27">
        <f t="shared" si="416"/>
        <v>-8.7824869446460341E-2</v>
      </c>
      <c r="AS1251" s="27">
        <f t="shared" si="416"/>
        <v>-8.7842812552050467E-2</v>
      </c>
      <c r="AT1251" s="27">
        <f t="shared" si="416"/>
        <v>-8.7842889451098083E-2</v>
      </c>
      <c r="AU1251" s="27">
        <f t="shared" si="416"/>
        <v>-8.7825632469861054E-2</v>
      </c>
      <c r="AV1251" s="27">
        <f t="shared" si="416"/>
        <v>-8.7791464656619661E-2</v>
      </c>
      <c r="AW1251" s="27">
        <f t="shared" si="416"/>
        <v>-8.7738464001201541E-2</v>
      </c>
      <c r="AY1251" s="79"/>
      <c r="AZ1251" s="79"/>
    </row>
    <row r="1252" spans="1:52" x14ac:dyDescent="0.25">
      <c r="A1252" s="95" t="str">
        <f t="shared" si="384"/>
        <v>FSFAGSPQNIBDDSCM Cattle MMN2O</v>
      </c>
      <c r="B1252" s="95" t="s">
        <v>1375</v>
      </c>
      <c r="C1252" s="95" t="s">
        <v>1232</v>
      </c>
      <c r="D1252" t="s">
        <v>15</v>
      </c>
      <c r="E1252" t="s">
        <v>657</v>
      </c>
      <c r="F1252" t="s">
        <v>6</v>
      </c>
      <c r="G1252" t="s">
        <v>136</v>
      </c>
      <c r="H1252" t="s">
        <v>1227</v>
      </c>
      <c r="I1252" t="s">
        <v>139</v>
      </c>
      <c r="J1252" t="s">
        <v>287</v>
      </c>
      <c r="K1252" s="27">
        <f t="shared" ref="K1252:AW1252" si="417">IFERROR(K1411-((K1411-K36)+(K1411-K189)+(K1411-K342)+(K1411-K494)+(K1411-K646)+(K1411-K797)+(K1411-K948)+(K1411-K1099)),0)</f>
        <v>5.9474079071945893E-2</v>
      </c>
      <c r="L1252" s="27">
        <f t="shared" si="417"/>
        <v>5.9806569587962537E-2</v>
      </c>
      <c r="M1252" s="27">
        <f t="shared" si="417"/>
        <v>6.0278316688762053E-2</v>
      </c>
      <c r="N1252" s="27">
        <f t="shared" si="417"/>
        <v>6.0581464452445992E-2</v>
      </c>
      <c r="O1252" s="27">
        <f t="shared" si="417"/>
        <v>6.0782907527895308E-2</v>
      </c>
      <c r="P1252" s="27">
        <f t="shared" si="417"/>
        <v>6.0880663265441164E-2</v>
      </c>
      <c r="Q1252" s="27">
        <f t="shared" si="417"/>
        <v>6.1096642070638009E-2</v>
      </c>
      <c r="R1252" s="27">
        <f t="shared" si="417"/>
        <v>6.1344406036983781E-2</v>
      </c>
      <c r="S1252" s="27">
        <f t="shared" si="417"/>
        <v>5.9601328930113273E-2</v>
      </c>
      <c r="T1252" s="27">
        <f t="shared" si="417"/>
        <v>6.0626854202705693E-2</v>
      </c>
      <c r="U1252" s="27">
        <f t="shared" si="417"/>
        <v>0.10431335111869787</v>
      </c>
      <c r="V1252" s="27">
        <f t="shared" si="417"/>
        <v>0.10557079987792001</v>
      </c>
      <c r="W1252" s="27">
        <f t="shared" si="417"/>
        <v>0.10677309385797164</v>
      </c>
      <c r="X1252" s="27">
        <f t="shared" si="417"/>
        <v>0.10789978230362134</v>
      </c>
      <c r="Y1252" s="27">
        <f t="shared" si="417"/>
        <v>0.10892077673602073</v>
      </c>
      <c r="Z1252" s="27">
        <f t="shared" si="417"/>
        <v>0.10983130908819148</v>
      </c>
      <c r="AA1252" s="27">
        <f t="shared" si="417"/>
        <v>0.11062607502856897</v>
      </c>
      <c r="AB1252" s="27">
        <f t="shared" si="417"/>
        <v>0.11130105996088024</v>
      </c>
      <c r="AC1252" s="27">
        <f t="shared" si="417"/>
        <v>0.11185308002540331</v>
      </c>
      <c r="AD1252" s="27">
        <f t="shared" si="417"/>
        <v>0.11227878827005904</v>
      </c>
      <c r="AE1252" s="27">
        <f t="shared" si="417"/>
        <v>0.11257618100536711</v>
      </c>
      <c r="AF1252" s="27">
        <f t="shared" si="417"/>
        <v>0.11274333624880213</v>
      </c>
      <c r="AG1252" s="27">
        <f t="shared" si="417"/>
        <v>0.11277839712706036</v>
      </c>
      <c r="AH1252" s="27">
        <f t="shared" si="417"/>
        <v>0.11268102453940491</v>
      </c>
      <c r="AI1252" s="27">
        <f t="shared" si="417"/>
        <v>0.11245177283662604</v>
      </c>
      <c r="AJ1252" s="27">
        <f t="shared" si="417"/>
        <v>3.5577796363991845E-2</v>
      </c>
      <c r="AK1252" s="27">
        <f t="shared" si="417"/>
        <v>3.5603767558276704E-2</v>
      </c>
      <c r="AL1252" s="27">
        <f t="shared" si="417"/>
        <v>3.5627869174539424E-2</v>
      </c>
      <c r="AM1252" s="27">
        <f t="shared" si="417"/>
        <v>3.5650264251912672E-2</v>
      </c>
      <c r="AN1252" s="27">
        <f t="shared" si="417"/>
        <v>3.5671153620438649E-2</v>
      </c>
      <c r="AO1252" s="27">
        <f t="shared" si="417"/>
        <v>3.5689881664317018E-2</v>
      </c>
      <c r="AP1252" s="27">
        <f t="shared" si="417"/>
        <v>3.5706008112300056E-2</v>
      </c>
      <c r="AQ1252" s="27">
        <f t="shared" si="417"/>
        <v>3.5719462361704167E-2</v>
      </c>
      <c r="AR1252" s="27">
        <f t="shared" si="417"/>
        <v>3.5729744862623404E-2</v>
      </c>
      <c r="AS1252" s="27">
        <f t="shared" si="417"/>
        <v>3.5736313260064892E-2</v>
      </c>
      <c r="AT1252" s="27">
        <f t="shared" si="417"/>
        <v>3.5739100565622635E-2</v>
      </c>
      <c r="AU1252" s="27">
        <f t="shared" si="417"/>
        <v>3.5738183814189306E-2</v>
      </c>
      <c r="AV1252" s="27">
        <f t="shared" si="417"/>
        <v>3.5733616728715514E-2</v>
      </c>
      <c r="AW1252" s="27">
        <f t="shared" si="417"/>
        <v>3.5724889195264529E-2</v>
      </c>
      <c r="AY1252" s="79"/>
      <c r="AZ1252" s="79"/>
    </row>
    <row r="1253" spans="1:52" x14ac:dyDescent="0.25">
      <c r="A1253" s="95" t="str">
        <f t="shared" si="384"/>
        <v>FSFAGSPQNIBDDSCM Cattle MMN2O</v>
      </c>
      <c r="B1253" s="95" t="s">
        <v>1375</v>
      </c>
      <c r="C1253" s="95" t="s">
        <v>1232</v>
      </c>
      <c r="D1253" t="s">
        <v>15</v>
      </c>
      <c r="E1253" t="s">
        <v>657</v>
      </c>
      <c r="F1253" t="s">
        <v>6</v>
      </c>
      <c r="G1253" t="s">
        <v>137</v>
      </c>
      <c r="H1253" t="s">
        <v>1227</v>
      </c>
      <c r="I1253" t="s">
        <v>139</v>
      </c>
      <c r="J1253" t="s">
        <v>287</v>
      </c>
      <c r="K1253" s="27">
        <f t="shared" ref="K1253:AW1253" si="418">IFERROR(K1412-((K1412-K37)+(K1412-K190)+(K1412-K343)+(K1412-K495)+(K1412-K647)+(K1412-K798)+(K1412-K949)+(K1412-K1100)),0)</f>
        <v>0.26041511380118898</v>
      </c>
      <c r="L1253" s="27">
        <f t="shared" si="418"/>
        <v>0.26187096745907495</v>
      </c>
      <c r="M1253" s="27">
        <f t="shared" si="418"/>
        <v>0.26393657447404822</v>
      </c>
      <c r="N1253" s="27">
        <f t="shared" si="418"/>
        <v>0.26526394701365208</v>
      </c>
      <c r="O1253" s="27">
        <f t="shared" si="418"/>
        <v>0.26614599213711054</v>
      </c>
      <c r="P1253" s="27">
        <f t="shared" si="418"/>
        <v>0.26657402855087214</v>
      </c>
      <c r="Q1253" s="27">
        <f t="shared" si="418"/>
        <v>0.26751972028770321</v>
      </c>
      <c r="R1253" s="27">
        <f t="shared" si="418"/>
        <v>0.26860458755254507</v>
      </c>
      <c r="S1253" s="27">
        <f t="shared" si="418"/>
        <v>0.26097229411928624</v>
      </c>
      <c r="T1253" s="27">
        <f t="shared" si="418"/>
        <v>0.26546269203272144</v>
      </c>
      <c r="U1253" s="27">
        <f t="shared" si="418"/>
        <v>0.45674979127794169</v>
      </c>
      <c r="V1253" s="27">
        <f t="shared" si="418"/>
        <v>0.46225569682270645</v>
      </c>
      <c r="W1253" s="27">
        <f t="shared" si="418"/>
        <v>0.46752009987901733</v>
      </c>
      <c r="X1253" s="27">
        <f t="shared" si="418"/>
        <v>0.47245345411284095</v>
      </c>
      <c r="Y1253" s="27">
        <f t="shared" si="418"/>
        <v>0.47692401314381044</v>
      </c>
      <c r="Z1253" s="27">
        <f t="shared" si="418"/>
        <v>0.48091089936063391</v>
      </c>
      <c r="AA1253" s="27">
        <f t="shared" si="418"/>
        <v>0.48439088704666999</v>
      </c>
      <c r="AB1253" s="27">
        <f t="shared" si="418"/>
        <v>0.48734639776167055</v>
      </c>
      <c r="AC1253" s="27">
        <f t="shared" si="418"/>
        <v>0.48976349055514479</v>
      </c>
      <c r="AD1253" s="27">
        <f t="shared" si="418"/>
        <v>0.49162751035516583</v>
      </c>
      <c r="AE1253" s="27">
        <f t="shared" si="418"/>
        <v>0.49292968374258739</v>
      </c>
      <c r="AF1253" s="27">
        <f t="shared" si="418"/>
        <v>0.49366159506296176</v>
      </c>
      <c r="AG1253" s="27">
        <f t="shared" si="418"/>
        <v>0.49381511375117121</v>
      </c>
      <c r="AH1253" s="27">
        <f t="shared" si="418"/>
        <v>0.4933887550098322</v>
      </c>
      <c r="AI1253" s="27">
        <f t="shared" si="418"/>
        <v>0.49238494613712885</v>
      </c>
      <c r="AJ1253" s="27">
        <f t="shared" si="418"/>
        <v>0.15578208243824307</v>
      </c>
      <c r="AK1253" s="27">
        <f t="shared" si="418"/>
        <v>0.15589580074411316</v>
      </c>
      <c r="AL1253" s="27">
        <f t="shared" si="418"/>
        <v>0.15600133285557738</v>
      </c>
      <c r="AM1253" s="27">
        <f t="shared" si="418"/>
        <v>0.1560993926610211</v>
      </c>
      <c r="AN1253" s="27">
        <f t="shared" si="418"/>
        <v>0.15619085952132081</v>
      </c>
      <c r="AO1253" s="27">
        <f t="shared" si="418"/>
        <v>0.15627286273606522</v>
      </c>
      <c r="AP1253" s="27">
        <f t="shared" si="418"/>
        <v>0.15634347451942091</v>
      </c>
      <c r="AQ1253" s="27">
        <f t="shared" si="418"/>
        <v>0.15640238572820886</v>
      </c>
      <c r="AR1253" s="27">
        <f t="shared" si="418"/>
        <v>0.15644740901715809</v>
      </c>
      <c r="AS1253" s="27">
        <f t="shared" si="418"/>
        <v>0.15647616961326835</v>
      </c>
      <c r="AT1253" s="27">
        <f t="shared" si="418"/>
        <v>0.15648837419895245</v>
      </c>
      <c r="AU1253" s="27">
        <f t="shared" si="418"/>
        <v>0.15648436008166708</v>
      </c>
      <c r="AV1253" s="27">
        <f t="shared" si="418"/>
        <v>0.15646436249445</v>
      </c>
      <c r="AW1253" s="27">
        <f t="shared" si="418"/>
        <v>0.15642614783602549</v>
      </c>
      <c r="AY1253" s="79"/>
      <c r="AZ1253" s="79"/>
    </row>
    <row r="1254" spans="1:52" x14ac:dyDescent="0.25">
      <c r="A1254" s="95" t="str">
        <f t="shared" si="384"/>
        <v>FSFAGSPQNIBDDSCM Cattle MMN2O</v>
      </c>
      <c r="B1254" s="95" t="s">
        <v>1375</v>
      </c>
      <c r="C1254" s="95" t="s">
        <v>1232</v>
      </c>
      <c r="D1254" t="s">
        <v>15</v>
      </c>
      <c r="E1254" t="s">
        <v>657</v>
      </c>
      <c r="F1254" t="s">
        <v>67</v>
      </c>
      <c r="G1254" t="s">
        <v>307</v>
      </c>
      <c r="H1254" t="s">
        <v>1227</v>
      </c>
      <c r="I1254" t="s">
        <v>139</v>
      </c>
      <c r="J1254" t="s">
        <v>287</v>
      </c>
      <c r="K1254" s="27">
        <f t="shared" ref="K1254:AW1254" si="419">IFERROR(K1413-((K1413-K38)+(K1413-K191)+(K1413-K344)+(K1413-K496)+(K1413-K648)+(K1413-K799)+(K1413-K950)+(K1413-K1101)),0)</f>
        <v>1.1586934798802538E-2</v>
      </c>
      <c r="L1254" s="27">
        <f t="shared" si="419"/>
        <v>1.1651711689683767E-2</v>
      </c>
      <c r="M1254" s="27">
        <f t="shared" si="419"/>
        <v>1.1743619004328788E-2</v>
      </c>
      <c r="N1254" s="27">
        <f t="shared" si="419"/>
        <v>1.1802679244134426E-2</v>
      </c>
      <c r="O1254" s="27">
        <f t="shared" si="419"/>
        <v>1.1841925043604104E-2</v>
      </c>
      <c r="P1254" s="27">
        <f t="shared" si="419"/>
        <v>1.186097013643829E-2</v>
      </c>
      <c r="Q1254" s="27">
        <f t="shared" si="419"/>
        <v>1.1903047834366352E-2</v>
      </c>
      <c r="R1254" s="27">
        <f t="shared" si="419"/>
        <v>1.1951318021451862E-2</v>
      </c>
      <c r="S1254" s="27">
        <f t="shared" si="419"/>
        <v>1.1611726032777913E-2</v>
      </c>
      <c r="T1254" s="27">
        <f t="shared" si="419"/>
        <v>1.1811522223882912E-2</v>
      </c>
      <c r="U1254" s="27">
        <f t="shared" si="419"/>
        <v>2.0322668579614574E-2</v>
      </c>
      <c r="V1254" s="27">
        <f t="shared" si="419"/>
        <v>2.0567648863686182E-2</v>
      </c>
      <c r="W1254" s="27">
        <f t="shared" si="419"/>
        <v>2.0801883713106869E-2</v>
      </c>
      <c r="X1254" s="27">
        <f t="shared" si="419"/>
        <v>2.1021388844788085E-2</v>
      </c>
      <c r="Y1254" s="27">
        <f t="shared" si="419"/>
        <v>2.1220302322773034E-2</v>
      </c>
      <c r="Z1254" s="27">
        <f t="shared" si="419"/>
        <v>2.1397695216642653E-2</v>
      </c>
      <c r="AA1254" s="27">
        <f t="shared" si="419"/>
        <v>2.1552534119155507E-2</v>
      </c>
      <c r="AB1254" s="27">
        <f t="shared" si="419"/>
        <v>2.1684036893522194E-2</v>
      </c>
      <c r="AC1254" s="27">
        <f t="shared" si="419"/>
        <v>2.1791583249767946E-2</v>
      </c>
      <c r="AD1254" s="27">
        <f t="shared" si="419"/>
        <v>2.1874521123731019E-2</v>
      </c>
      <c r="AE1254" s="27">
        <f t="shared" si="419"/>
        <v>2.1932460150066901E-2</v>
      </c>
      <c r="AF1254" s="27">
        <f t="shared" si="419"/>
        <v>2.1965025881847573E-2</v>
      </c>
      <c r="AG1254" s="27">
        <f t="shared" si="419"/>
        <v>2.1971856556936734E-2</v>
      </c>
      <c r="AH1254" s="27">
        <f t="shared" si="419"/>
        <v>2.1952886110618599E-2</v>
      </c>
      <c r="AI1254" s="27">
        <f t="shared" si="419"/>
        <v>2.190822254332906E-2</v>
      </c>
      <c r="AJ1254" s="27">
        <f t="shared" si="419"/>
        <v>6.931382766868284E-3</v>
      </c>
      <c r="AK1254" s="27">
        <f t="shared" si="419"/>
        <v>6.9364425599667493E-3</v>
      </c>
      <c r="AL1254" s="27">
        <f t="shared" si="419"/>
        <v>6.9411381157540699E-3</v>
      </c>
      <c r="AM1254" s="27">
        <f t="shared" si="419"/>
        <v>6.9455011980478565E-3</v>
      </c>
      <c r="AN1254" s="27">
        <f t="shared" si="419"/>
        <v>6.9495709332144289E-3</v>
      </c>
      <c r="AO1254" s="27">
        <f t="shared" si="419"/>
        <v>6.9532195920371295E-3</v>
      </c>
      <c r="AP1254" s="27">
        <f t="shared" si="419"/>
        <v>6.9563613994300545E-3</v>
      </c>
      <c r="AQ1254" s="27">
        <f t="shared" si="419"/>
        <v>6.9589826003472414E-3</v>
      </c>
      <c r="AR1254" s="27">
        <f t="shared" si="419"/>
        <v>6.9609858708405197E-3</v>
      </c>
      <c r="AS1254" s="27">
        <f t="shared" si="419"/>
        <v>6.9622655475345486E-3</v>
      </c>
      <c r="AT1254" s="27">
        <f t="shared" si="419"/>
        <v>6.9628085795287523E-3</v>
      </c>
      <c r="AU1254" s="27">
        <f t="shared" si="419"/>
        <v>6.9626299750131342E-3</v>
      </c>
      <c r="AV1254" s="27">
        <f t="shared" si="419"/>
        <v>6.9617402004688092E-3</v>
      </c>
      <c r="AW1254" s="27">
        <f t="shared" si="419"/>
        <v>6.960039873828548E-3</v>
      </c>
      <c r="AY1254" s="79"/>
      <c r="AZ1254" s="79"/>
    </row>
    <row r="1255" spans="1:52" x14ac:dyDescent="0.25">
      <c r="A1255" s="95" t="str">
        <f t="shared" si="384"/>
        <v>FSFAGSPQNIBDDSCM Cattle MMN2O</v>
      </c>
      <c r="B1255" s="95" t="s">
        <v>1375</v>
      </c>
      <c r="C1255" s="95" t="s">
        <v>1232</v>
      </c>
      <c r="D1255" t="s">
        <v>15</v>
      </c>
      <c r="E1255" t="s">
        <v>657</v>
      </c>
      <c r="F1255" t="s">
        <v>67</v>
      </c>
      <c r="G1255" t="s">
        <v>122</v>
      </c>
      <c r="H1255" t="s">
        <v>1227</v>
      </c>
      <c r="I1255" t="s">
        <v>139</v>
      </c>
      <c r="J1255" t="s">
        <v>287</v>
      </c>
      <c r="K1255" s="27">
        <f t="shared" ref="K1255:AW1255" si="420">IFERROR(K1414-((K1414-K39)+(K1414-K192)+(K1414-K345)+(K1414-K497)+(K1414-K649)+(K1414-K800)+(K1414-K951)+(K1414-K1102)),0)</f>
        <v>0.52525224947331295</v>
      </c>
      <c r="L1255" s="27">
        <f t="shared" si="420"/>
        <v>0.5206969044571037</v>
      </c>
      <c r="M1255" s="27">
        <f t="shared" si="420"/>
        <v>0.51896282251134873</v>
      </c>
      <c r="N1255" s="27">
        <f t="shared" si="420"/>
        <v>0.51203275332440923</v>
      </c>
      <c r="O1255" s="27">
        <f t="shared" si="420"/>
        <v>0.50197358865556674</v>
      </c>
      <c r="P1255" s="27">
        <f t="shared" si="420"/>
        <v>0.48899333628247277</v>
      </c>
      <c r="Q1255" s="27">
        <f t="shared" si="420"/>
        <v>0.47875543160314166</v>
      </c>
      <c r="R1255" s="27">
        <f t="shared" si="420"/>
        <v>0.46906920988966783</v>
      </c>
      <c r="S1255" s="27">
        <f t="shared" si="420"/>
        <v>0.41949739097667643</v>
      </c>
      <c r="T1255" s="27">
        <f t="shared" si="420"/>
        <v>0.43565935064957972</v>
      </c>
      <c r="U1255" s="27">
        <f t="shared" si="420"/>
        <v>1.3730656770552265</v>
      </c>
      <c r="V1255" s="27">
        <f t="shared" si="420"/>
        <v>1.3796884935069886</v>
      </c>
      <c r="W1255" s="27">
        <f t="shared" si="420"/>
        <v>1.3839270796629521</v>
      </c>
      <c r="X1255" s="27">
        <f t="shared" si="420"/>
        <v>1.3857805722044871</v>
      </c>
      <c r="Y1255" s="27">
        <f t="shared" si="420"/>
        <v>1.3852882351123565</v>
      </c>
      <c r="Z1255" s="27">
        <f t="shared" si="420"/>
        <v>1.3824264694708266</v>
      </c>
      <c r="AA1255" s="27">
        <f t="shared" si="420"/>
        <v>1.3771882651473364</v>
      </c>
      <c r="AB1255" s="27">
        <f t="shared" si="420"/>
        <v>1.3695779562696064</v>
      </c>
      <c r="AC1255" s="27">
        <f t="shared" si="420"/>
        <v>1.3596126553947701</v>
      </c>
      <c r="AD1255" s="27">
        <f t="shared" si="420"/>
        <v>1.33600285419975</v>
      </c>
      <c r="AE1255" s="27">
        <f t="shared" si="420"/>
        <v>1.3101691590672178</v>
      </c>
      <c r="AF1255" s="27">
        <f t="shared" si="420"/>
        <v>1.2822276459176047</v>
      </c>
      <c r="AG1255" s="27">
        <f t="shared" si="420"/>
        <v>1.2523075801974097</v>
      </c>
      <c r="AH1255" s="27">
        <f t="shared" si="420"/>
        <v>1.2205465760046283</v>
      </c>
      <c r="AI1255" s="27">
        <f t="shared" si="420"/>
        <v>1.1870911726481781</v>
      </c>
      <c r="AJ1255" s="27">
        <f t="shared" si="420"/>
        <v>-9.1659099684125458E-2</v>
      </c>
      <c r="AK1255" s="27">
        <f t="shared" si="420"/>
        <v>-8.9452213438823466E-2</v>
      </c>
      <c r="AL1255" s="27">
        <f t="shared" si="420"/>
        <v>-8.7268288718690495E-2</v>
      </c>
      <c r="AM1255" s="27">
        <f t="shared" si="420"/>
        <v>-8.5107099964586319E-2</v>
      </c>
      <c r="AN1255" s="27">
        <f t="shared" si="420"/>
        <v>-8.3391821536204336E-2</v>
      </c>
      <c r="AO1255" s="27">
        <f t="shared" si="420"/>
        <v>-8.1692814399719135E-2</v>
      </c>
      <c r="AP1255" s="27">
        <f t="shared" si="420"/>
        <v>-8.0008814881266738E-2</v>
      </c>
      <c r="AQ1255" s="27">
        <f t="shared" si="420"/>
        <v>-7.8339405843548718E-2</v>
      </c>
      <c r="AR1255" s="27">
        <f t="shared" si="420"/>
        <v>-7.6683366781164067E-2</v>
      </c>
      <c r="AS1255" s="27">
        <f t="shared" si="420"/>
        <v>-7.5039502453707246E-2</v>
      </c>
      <c r="AT1255" s="27">
        <f t="shared" si="420"/>
        <v>-7.3407620898571099E-2</v>
      </c>
      <c r="AU1255" s="27">
        <f t="shared" si="420"/>
        <v>-7.1787822935495418E-2</v>
      </c>
      <c r="AV1255" s="27">
        <f t="shared" si="420"/>
        <v>-7.0180170412069726E-2</v>
      </c>
      <c r="AW1255" s="27">
        <f t="shared" si="420"/>
        <v>-6.8583739954492046E-2</v>
      </c>
      <c r="AY1255" s="79"/>
      <c r="AZ1255" s="79"/>
    </row>
    <row r="1256" spans="1:52" x14ac:dyDescent="0.25">
      <c r="A1256" s="95" t="str">
        <f t="shared" si="384"/>
        <v>FSFAGSPQNIBDDSCM Cattle MMN2O</v>
      </c>
      <c r="B1256" s="95" t="s">
        <v>1375</v>
      </c>
      <c r="C1256" s="95" t="s">
        <v>1232</v>
      </c>
      <c r="D1256" t="s">
        <v>15</v>
      </c>
      <c r="E1256" t="s">
        <v>657</v>
      </c>
      <c r="F1256" t="s">
        <v>67</v>
      </c>
      <c r="G1256" t="s">
        <v>123</v>
      </c>
      <c r="H1256" t="s">
        <v>1227</v>
      </c>
      <c r="I1256" t="s">
        <v>139</v>
      </c>
      <c r="J1256" t="s">
        <v>287</v>
      </c>
      <c r="K1256" s="27">
        <f t="shared" ref="K1256:AW1256" si="421">IFERROR(K1415-((K1415-K40)+(K1415-K193)+(K1415-K346)+(K1415-K498)+(K1415-K650)+(K1415-K801)+(K1415-K952)+(K1415-K1103)),0)</f>
        <v>0.80452586370517853</v>
      </c>
      <c r="L1256" s="27">
        <f t="shared" si="421"/>
        <v>0.79754846782098077</v>
      </c>
      <c r="M1256" s="27">
        <f t="shared" si="421"/>
        <v>0.79489238443144161</v>
      </c>
      <c r="N1256" s="27">
        <f t="shared" si="421"/>
        <v>0.78427763712907461</v>
      </c>
      <c r="O1256" s="27">
        <f t="shared" si="421"/>
        <v>0.76887007218962322</v>
      </c>
      <c r="P1256" s="27">
        <f t="shared" si="421"/>
        <v>0.74898829393537247</v>
      </c>
      <c r="Q1256" s="27">
        <f t="shared" si="421"/>
        <v>0.73330695394505496</v>
      </c>
      <c r="R1256" s="27">
        <f t="shared" si="421"/>
        <v>0.71847062359542468</v>
      </c>
      <c r="S1256" s="27">
        <f t="shared" si="421"/>
        <v>0.64254175234089539</v>
      </c>
      <c r="T1256" s="27">
        <f t="shared" si="421"/>
        <v>0.66729693345254038</v>
      </c>
      <c r="U1256" s="27">
        <f t="shared" si="421"/>
        <v>2.1031168374137881</v>
      </c>
      <c r="V1256" s="27">
        <f t="shared" si="421"/>
        <v>2.1132609674605565</v>
      </c>
      <c r="W1256" s="27">
        <f t="shared" si="421"/>
        <v>2.1197531856118057</v>
      </c>
      <c r="X1256" s="27">
        <f t="shared" si="421"/>
        <v>2.1225921695273335</v>
      </c>
      <c r="Y1256" s="27">
        <f t="shared" si="421"/>
        <v>2.1218380596217075</v>
      </c>
      <c r="Z1256" s="27">
        <f t="shared" si="421"/>
        <v>2.1174547095707896</v>
      </c>
      <c r="AA1256" s="27">
        <f t="shared" si="421"/>
        <v>2.1094313819946655</v>
      </c>
      <c r="AB1256" s="27">
        <f t="shared" si="421"/>
        <v>2.0977747154519557</v>
      </c>
      <c r="AC1256" s="27">
        <f t="shared" si="421"/>
        <v>2.0825109211484589</v>
      </c>
      <c r="AD1256" s="27">
        <f t="shared" si="421"/>
        <v>2.0463479238126498</v>
      </c>
      <c r="AE1256" s="27">
        <f t="shared" si="421"/>
        <v>2.0067786008634618</v>
      </c>
      <c r="AF1256" s="27">
        <f t="shared" si="421"/>
        <v>1.9639807451237425</v>
      </c>
      <c r="AG1256" s="27">
        <f t="shared" si="421"/>
        <v>1.9181523517379118</v>
      </c>
      <c r="AH1256" s="27">
        <f t="shared" si="421"/>
        <v>1.8695042034320957</v>
      </c>
      <c r="AI1256" s="27">
        <f t="shared" si="421"/>
        <v>1.8182607536268967</v>
      </c>
      <c r="AJ1256" s="27">
        <f t="shared" si="421"/>
        <v>-0.14039371828250841</v>
      </c>
      <c r="AK1256" s="27">
        <f t="shared" si="421"/>
        <v>-0.13701344325392734</v>
      </c>
      <c r="AL1256" s="27">
        <f t="shared" si="421"/>
        <v>-0.13366833826200414</v>
      </c>
      <c r="AM1256" s="27">
        <f t="shared" si="421"/>
        <v>-0.13035805781909493</v>
      </c>
      <c r="AN1256" s="27">
        <f t="shared" si="421"/>
        <v>-0.12773077566947513</v>
      </c>
      <c r="AO1256" s="27">
        <f t="shared" si="421"/>
        <v>-0.12512841616450843</v>
      </c>
      <c r="AP1256" s="27">
        <f t="shared" si="421"/>
        <v>-0.12254904374217125</v>
      </c>
      <c r="AQ1256" s="27">
        <f t="shared" si="421"/>
        <v>-0.11999201947565157</v>
      </c>
      <c r="AR1256" s="27">
        <f t="shared" si="421"/>
        <v>-0.11745547392381339</v>
      </c>
      <c r="AS1256" s="27">
        <f t="shared" si="421"/>
        <v>-0.11493757634376978</v>
      </c>
      <c r="AT1256" s="27">
        <f t="shared" si="421"/>
        <v>-0.11243803270749411</v>
      </c>
      <c r="AU1256" s="27">
        <f t="shared" si="421"/>
        <v>-0.10995699744000494</v>
      </c>
      <c r="AV1256" s="27">
        <f t="shared" si="421"/>
        <v>-0.10749456527290084</v>
      </c>
      <c r="AW1256" s="27">
        <f t="shared" si="421"/>
        <v>-0.10504932187981528</v>
      </c>
      <c r="AY1256" s="79"/>
      <c r="AZ1256" s="79"/>
    </row>
    <row r="1257" spans="1:52" x14ac:dyDescent="0.25">
      <c r="A1257" s="95" t="str">
        <f t="shared" si="384"/>
        <v>FSFAGSPQNIBDDSCM Cattle MMN2O</v>
      </c>
      <c r="B1257" s="95" t="s">
        <v>1375</v>
      </c>
      <c r="C1257" s="95" t="s">
        <v>1232</v>
      </c>
      <c r="D1257" t="s">
        <v>15</v>
      </c>
      <c r="E1257" t="s">
        <v>657</v>
      </c>
      <c r="F1257" t="s">
        <v>67</v>
      </c>
      <c r="G1257" t="s">
        <v>135</v>
      </c>
      <c r="H1257" t="s">
        <v>1227</v>
      </c>
      <c r="I1257" t="s">
        <v>139</v>
      </c>
      <c r="J1257" t="s">
        <v>287</v>
      </c>
      <c r="K1257" s="27">
        <f t="shared" ref="K1257:AW1257" si="422">IFERROR(K1416-((K1416-K41)+(K1416-K194)+(K1416-K347)+(K1416-K499)+(K1416-K651)+(K1416-K802)+(K1416-K953)+(K1416-K1104)),0)</f>
        <v>0.97926119892671493</v>
      </c>
      <c r="L1257" s="27">
        <f t="shared" si="422"/>
        <v>1.0122801448609147</v>
      </c>
      <c r="M1257" s="27">
        <f t="shared" si="422"/>
        <v>1.0514701788925804</v>
      </c>
      <c r="N1257" s="27">
        <f t="shared" si="422"/>
        <v>1.0806972456941155</v>
      </c>
      <c r="O1257" s="27">
        <f t="shared" si="422"/>
        <v>1.1032367943433714</v>
      </c>
      <c r="P1257" s="27">
        <f t="shared" si="422"/>
        <v>1.1187666946803869</v>
      </c>
      <c r="Q1257" s="27">
        <f t="shared" si="422"/>
        <v>1.1399714801203364</v>
      </c>
      <c r="R1257" s="27">
        <f t="shared" si="422"/>
        <v>1.1622002864669057</v>
      </c>
      <c r="S1257" s="27">
        <f t="shared" si="422"/>
        <v>1.0813845600959935</v>
      </c>
      <c r="T1257" s="27">
        <f t="shared" si="422"/>
        <v>1.1501042489069657</v>
      </c>
      <c r="U1257" s="27">
        <f t="shared" si="422"/>
        <v>3.7109100106027491</v>
      </c>
      <c r="V1257" s="27">
        <f t="shared" si="422"/>
        <v>3.81628643561459</v>
      </c>
      <c r="W1257" s="27">
        <f t="shared" si="422"/>
        <v>3.9167580657264067</v>
      </c>
      <c r="X1257" s="27">
        <f t="shared" si="422"/>
        <v>4.0119388397207816</v>
      </c>
      <c r="Y1257" s="27">
        <f t="shared" si="422"/>
        <v>4.1015489666041693</v>
      </c>
      <c r="Z1257" s="27">
        <f t="shared" si="422"/>
        <v>4.185115809425092</v>
      </c>
      <c r="AA1257" s="27">
        <f t="shared" si="422"/>
        <v>4.2621982223461794</v>
      </c>
      <c r="AB1257" s="27">
        <f t="shared" si="422"/>
        <v>4.332374707921506</v>
      </c>
      <c r="AC1257" s="27">
        <f t="shared" si="422"/>
        <v>4.3952511811697104</v>
      </c>
      <c r="AD1257" s="27">
        <f t="shared" si="422"/>
        <v>4.4621545606882416</v>
      </c>
      <c r="AE1257" s="27">
        <f t="shared" si="422"/>
        <v>4.5212658165225097</v>
      </c>
      <c r="AF1257" s="27">
        <f t="shared" si="422"/>
        <v>4.572238941429692</v>
      </c>
      <c r="AG1257" s="27">
        <f t="shared" si="422"/>
        <v>4.6147735825145579</v>
      </c>
      <c r="AH1257" s="27">
        <f t="shared" si="422"/>
        <v>4.6486045920264791</v>
      </c>
      <c r="AI1257" s="27">
        <f t="shared" si="422"/>
        <v>4.6735101171168392</v>
      </c>
      <c r="AJ1257" s="27">
        <f t="shared" si="422"/>
        <v>-0.37307516132200708</v>
      </c>
      <c r="AK1257" s="27">
        <f t="shared" si="422"/>
        <v>-0.37648970355727795</v>
      </c>
      <c r="AL1257" s="27">
        <f t="shared" si="422"/>
        <v>-0.37988166723122341</v>
      </c>
      <c r="AM1257" s="27">
        <f t="shared" si="422"/>
        <v>-0.38325274179247815</v>
      </c>
      <c r="AN1257" s="27">
        <f t="shared" si="422"/>
        <v>-0.3861241570916577</v>
      </c>
      <c r="AO1257" s="27">
        <f t="shared" si="422"/>
        <v>-0.38896686054418655</v>
      </c>
      <c r="AP1257" s="27">
        <f t="shared" si="422"/>
        <v>-0.39177650128046815</v>
      </c>
      <c r="AQ1257" s="27">
        <f t="shared" si="422"/>
        <v>-0.39455230658450102</v>
      </c>
      <c r="AR1257" s="27">
        <f t="shared" si="422"/>
        <v>-0.39728909714720628</v>
      </c>
      <c r="AS1257" s="27">
        <f t="shared" si="422"/>
        <v>-0.39998109146847105</v>
      </c>
      <c r="AT1257" s="27">
        <f t="shared" si="422"/>
        <v>-0.40262723351695445</v>
      </c>
      <c r="AU1257" s="27">
        <f t="shared" si="422"/>
        <v>-0.4052279233246403</v>
      </c>
      <c r="AV1257" s="27">
        <f t="shared" si="422"/>
        <v>-0.40778332090512204</v>
      </c>
      <c r="AW1257" s="27">
        <f t="shared" si="422"/>
        <v>-0.41028765697691083</v>
      </c>
      <c r="AY1257" s="79"/>
      <c r="AZ1257" s="79"/>
    </row>
    <row r="1258" spans="1:52" x14ac:dyDescent="0.25">
      <c r="A1258" s="95" t="str">
        <f t="shared" si="384"/>
        <v>FSFAGSPQNIBDDSCM Sheep MMN2O</v>
      </c>
      <c r="B1258" s="95" t="s">
        <v>1375</v>
      </c>
      <c r="C1258" s="95" t="s">
        <v>1328</v>
      </c>
      <c r="D1258" t="s">
        <v>15</v>
      </c>
      <c r="E1258" t="s">
        <v>657</v>
      </c>
      <c r="F1258" t="s">
        <v>18</v>
      </c>
      <c r="G1258" t="s">
        <v>122</v>
      </c>
      <c r="H1258" t="s">
        <v>1227</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0.11888990250365807</v>
      </c>
      <c r="T1258" s="27">
        <f t="shared" si="423"/>
        <v>0.1189690287837306</v>
      </c>
      <c r="U1258" s="27">
        <f t="shared" si="423"/>
        <v>0.12051861082287679</v>
      </c>
      <c r="V1258" s="27">
        <f t="shared" si="423"/>
        <v>0.1205564116673056</v>
      </c>
      <c r="W1258" s="27">
        <f t="shared" si="423"/>
        <v>0.1207181038170992</v>
      </c>
      <c r="X1258" s="27">
        <f t="shared" si="423"/>
        <v>0.1209518337442019</v>
      </c>
      <c r="Y1258" s="27">
        <f t="shared" si="423"/>
        <v>0.12116896083678347</v>
      </c>
      <c r="Z1258" s="27">
        <f t="shared" si="423"/>
        <v>0.12137217342001694</v>
      </c>
      <c r="AA1258" s="27">
        <f t="shared" si="423"/>
        <v>0.1215603878714394</v>
      </c>
      <c r="AB1258" s="27">
        <f t="shared" si="423"/>
        <v>0.12173530001872475</v>
      </c>
      <c r="AC1258" s="27">
        <f t="shared" si="423"/>
        <v>0.12189956310100271</v>
      </c>
      <c r="AD1258" s="27">
        <f t="shared" si="423"/>
        <v>0.12205302234453672</v>
      </c>
      <c r="AE1258" s="27">
        <f t="shared" si="423"/>
        <v>0.12219813225383717</v>
      </c>
      <c r="AF1258" s="27">
        <f t="shared" si="423"/>
        <v>0.12233524409037175</v>
      </c>
      <c r="AG1258" s="27">
        <f t="shared" si="423"/>
        <v>0.12246247857835596</v>
      </c>
      <c r="AH1258" s="27">
        <f t="shared" si="423"/>
        <v>0.12258099962950754</v>
      </c>
      <c r="AI1258" s="27">
        <f t="shared" si="423"/>
        <v>0.1226926980528978</v>
      </c>
      <c r="AJ1258" s="27">
        <f t="shared" si="423"/>
        <v>0.12000006421083369</v>
      </c>
      <c r="AK1258" s="27">
        <f t="shared" si="423"/>
        <v>0.12011041514130365</v>
      </c>
      <c r="AL1258" s="27">
        <f t="shared" si="423"/>
        <v>0.12021334415571779</v>
      </c>
      <c r="AM1258" s="27">
        <f t="shared" si="423"/>
        <v>0.12030948030331916</v>
      </c>
      <c r="AN1258" s="27">
        <f t="shared" si="423"/>
        <v>0.12039958826810335</v>
      </c>
      <c r="AO1258" s="27">
        <f t="shared" si="423"/>
        <v>0.12048129784431058</v>
      </c>
      <c r="AP1258" s="27">
        <f t="shared" si="423"/>
        <v>0.12055302618273207</v>
      </c>
      <c r="AQ1258" s="27">
        <f t="shared" si="423"/>
        <v>0.12061454144456668</v>
      </c>
      <c r="AR1258" s="27">
        <f t="shared" si="423"/>
        <v>0.12066404237348154</v>
      </c>
      <c r="AS1258" s="27">
        <f t="shared" si="423"/>
        <v>0.12069957105311468</v>
      </c>
      <c r="AT1258" s="27">
        <f t="shared" si="423"/>
        <v>0.12072090668873016</v>
      </c>
      <c r="AU1258" s="27">
        <f t="shared" si="423"/>
        <v>0.12072835361242823</v>
      </c>
      <c r="AV1258" s="27">
        <f t="shared" si="423"/>
        <v>0.12072212964886384</v>
      </c>
      <c r="AW1258" s="27">
        <f t="shared" si="423"/>
        <v>0.12070039195556491</v>
      </c>
      <c r="AY1258" s="79"/>
      <c r="AZ1258" s="79"/>
    </row>
    <row r="1259" spans="1:52" x14ac:dyDescent="0.25">
      <c r="A1259" s="95" t="str">
        <f t="shared" si="384"/>
        <v>FSFAGSPQNIBDDSCM Sheep MMN2O</v>
      </c>
      <c r="B1259" s="95" t="s">
        <v>1375</v>
      </c>
      <c r="C1259" s="95" t="s">
        <v>1328</v>
      </c>
      <c r="D1259" t="s">
        <v>15</v>
      </c>
      <c r="E1259" t="s">
        <v>657</v>
      </c>
      <c r="F1259" t="s">
        <v>18</v>
      </c>
      <c r="G1259" t="s">
        <v>123</v>
      </c>
      <c r="H1259" t="s">
        <v>1227</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6.3575358075834407E-2</v>
      </c>
      <c r="T1259" s="27">
        <f t="shared" si="424"/>
        <v>6.3617670177054816E-2</v>
      </c>
      <c r="U1259" s="27">
        <f t="shared" si="424"/>
        <v>6.4446295913404186E-2</v>
      </c>
      <c r="V1259" s="27">
        <f t="shared" si="424"/>
        <v>6.4466509591517507E-2</v>
      </c>
      <c r="W1259" s="27">
        <f t="shared" si="424"/>
        <v>6.4552973085091836E-2</v>
      </c>
      <c r="X1259" s="27">
        <f t="shared" si="424"/>
        <v>6.4677958163687016E-2</v>
      </c>
      <c r="Y1259" s="27">
        <f t="shared" si="424"/>
        <v>6.479406501858509E-2</v>
      </c>
      <c r="Z1259" s="27">
        <f t="shared" si="424"/>
        <v>6.4902731208669517E-2</v>
      </c>
      <c r="AA1259" s="27">
        <f t="shared" si="424"/>
        <v>6.500337727610038E-2</v>
      </c>
      <c r="AB1259" s="27">
        <f t="shared" si="424"/>
        <v>6.5096910050215798E-2</v>
      </c>
      <c r="AC1259" s="27">
        <f t="shared" si="424"/>
        <v>6.518474832793783E-2</v>
      </c>
      <c r="AD1259" s="27">
        <f t="shared" si="424"/>
        <v>6.5266809345335172E-2</v>
      </c>
      <c r="AE1259" s="27">
        <f t="shared" si="424"/>
        <v>6.5344405627692656E-2</v>
      </c>
      <c r="AF1259" s="27">
        <f t="shared" si="424"/>
        <v>6.5417725009074529E-2</v>
      </c>
      <c r="AG1259" s="27">
        <f t="shared" si="424"/>
        <v>6.5485762562835198E-2</v>
      </c>
      <c r="AH1259" s="27">
        <f t="shared" si="424"/>
        <v>6.5549140680806597E-2</v>
      </c>
      <c r="AI1259" s="27">
        <f t="shared" si="424"/>
        <v>6.560887045696083E-2</v>
      </c>
      <c r="AJ1259" s="27">
        <f t="shared" si="424"/>
        <v>6.4169007549586779E-2</v>
      </c>
      <c r="AK1259" s="27">
        <f t="shared" si="424"/>
        <v>6.42280167654318E-2</v>
      </c>
      <c r="AL1259" s="27">
        <f t="shared" si="424"/>
        <v>6.4283057175171951E-2</v>
      </c>
      <c r="AM1259" s="27">
        <f t="shared" si="424"/>
        <v>6.4334465157507542E-2</v>
      </c>
      <c r="AN1259" s="27">
        <f t="shared" si="424"/>
        <v>6.4382649620662147E-2</v>
      </c>
      <c r="AO1259" s="27">
        <f t="shared" si="424"/>
        <v>6.4426343117386445E-2</v>
      </c>
      <c r="AP1259" s="27">
        <f t="shared" si="424"/>
        <v>6.4464699232609876E-2</v>
      </c>
      <c r="AQ1259" s="27">
        <f t="shared" si="424"/>
        <v>6.4497593992517213E-2</v>
      </c>
      <c r="AR1259" s="27">
        <f t="shared" si="424"/>
        <v>6.452406419069702E-2</v>
      </c>
      <c r="AS1259" s="27">
        <f t="shared" si="424"/>
        <v>6.4543062848127733E-2</v>
      </c>
      <c r="AT1259" s="27">
        <f t="shared" si="424"/>
        <v>6.4554471896713567E-2</v>
      </c>
      <c r="AU1259" s="27">
        <f t="shared" si="424"/>
        <v>6.4558454075441099E-2</v>
      </c>
      <c r="AV1259" s="27">
        <f t="shared" si="424"/>
        <v>6.4555125864180746E-2</v>
      </c>
      <c r="AW1259" s="27">
        <f t="shared" si="424"/>
        <v>6.4543501818688898E-2</v>
      </c>
      <c r="AY1259" s="79"/>
      <c r="AZ1259" s="79"/>
    </row>
    <row r="1260" spans="1:52" x14ac:dyDescent="0.25">
      <c r="A1260" s="95" t="str">
        <f t="shared" si="384"/>
        <v>FSFAGSPQNIBDDSCM Goats MMN2O</v>
      </c>
      <c r="B1260" s="95" t="s">
        <v>1375</v>
      </c>
      <c r="C1260" s="95" t="s">
        <v>1329</v>
      </c>
      <c r="D1260" t="s">
        <v>15</v>
      </c>
      <c r="E1260" t="s">
        <v>657</v>
      </c>
      <c r="F1260" t="s">
        <v>19</v>
      </c>
      <c r="G1260" t="s">
        <v>122</v>
      </c>
      <c r="H1260" t="s">
        <v>1227</v>
      </c>
      <c r="I1260" t="s">
        <v>139</v>
      </c>
      <c r="J1260" t="s">
        <v>287</v>
      </c>
      <c r="K1260" s="27">
        <f t="shared" ref="K1260:AW1260" si="425">IFERROR(K1419-((K1419-K44)+(K1419-K197)+(K1419-K350)+(K1419-K502)+(K1419-K654)+(K1419-K805)+(K1419-K956)+(K1419-K1107)),0)</f>
        <v>1.4486129996083084E-2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1.4890706011157261E-2</v>
      </c>
      <c r="R1260" s="27">
        <f t="shared" si="425"/>
        <v>1.4988675221399694E-2</v>
      </c>
      <c r="S1260" s="27">
        <f t="shared" si="425"/>
        <v>1.4952125307683931E-2</v>
      </c>
      <c r="T1260" s="27">
        <f t="shared" si="425"/>
        <v>1.497659485650934E-2</v>
      </c>
      <c r="U1260" s="27">
        <f t="shared" si="425"/>
        <v>1.5280249217669807E-2</v>
      </c>
      <c r="V1260" s="27">
        <f t="shared" si="425"/>
        <v>1.5293967954982137E-2</v>
      </c>
      <c r="W1260" s="27">
        <f t="shared" si="425"/>
        <v>1.5330288500558316E-2</v>
      </c>
      <c r="X1260" s="27">
        <f t="shared" si="425"/>
        <v>1.5379307775042967E-2</v>
      </c>
      <c r="Y1260" s="27">
        <f t="shared" si="425"/>
        <v>1.5424265287422665E-2</v>
      </c>
      <c r="Z1260" s="27">
        <f t="shared" si="425"/>
        <v>1.5465755297522263E-2</v>
      </c>
      <c r="AA1260" s="27">
        <f t="shared" si="425"/>
        <v>1.5503650543984475E-2</v>
      </c>
      <c r="AB1260" s="27">
        <f t="shared" si="425"/>
        <v>1.5538340165319426E-2</v>
      </c>
      <c r="AC1260" s="27">
        <f t="shared" si="425"/>
        <v>1.5570383853796523E-2</v>
      </c>
      <c r="AD1260" s="27">
        <f t="shared" si="425"/>
        <v>1.5599807426957595E-2</v>
      </c>
      <c r="AE1260" s="27">
        <f t="shared" si="425"/>
        <v>1.5627118939580072E-2</v>
      </c>
      <c r="AF1260" s="27">
        <f t="shared" si="425"/>
        <v>1.5652427506297684E-2</v>
      </c>
      <c r="AG1260" s="27">
        <f t="shared" si="425"/>
        <v>1.5675424120776597E-2</v>
      </c>
      <c r="AH1260" s="27">
        <f t="shared" si="425"/>
        <v>1.5696363462061685E-2</v>
      </c>
      <c r="AI1260" s="27">
        <f t="shared" si="425"/>
        <v>1.5715630256505467E-2</v>
      </c>
      <c r="AJ1260" s="27">
        <f t="shared" si="425"/>
        <v>1.5216731234132433E-2</v>
      </c>
      <c r="AK1260" s="27">
        <f t="shared" si="425"/>
        <v>1.5235961154748286E-2</v>
      </c>
      <c r="AL1260" s="27">
        <f t="shared" si="425"/>
        <v>1.5253469736089939E-2</v>
      </c>
      <c r="AM1260" s="27">
        <f t="shared" si="425"/>
        <v>1.5269398678749371E-2</v>
      </c>
      <c r="AN1260" s="27">
        <f t="shared" si="425"/>
        <v>1.5283912082079585E-2</v>
      </c>
      <c r="AO1260" s="27">
        <f t="shared" si="425"/>
        <v>1.5296597939016455E-2</v>
      </c>
      <c r="AP1260" s="27">
        <f t="shared" si="425"/>
        <v>1.530718972818932E-2</v>
      </c>
      <c r="AQ1260" s="27">
        <f t="shared" si="425"/>
        <v>1.5315667991874672E-2</v>
      </c>
      <c r="AR1260" s="27">
        <f t="shared" si="425"/>
        <v>1.5321726619352006E-2</v>
      </c>
      <c r="AS1260" s="27">
        <f t="shared" si="425"/>
        <v>1.5325032079315765E-2</v>
      </c>
      <c r="AT1260" s="27">
        <f t="shared" si="425"/>
        <v>1.5325567315367106E-2</v>
      </c>
      <c r="AU1260" s="27">
        <f t="shared" si="425"/>
        <v>1.5323409630922659E-2</v>
      </c>
      <c r="AV1260" s="27">
        <f t="shared" si="425"/>
        <v>1.5318619367085746E-2</v>
      </c>
      <c r="AW1260" s="27">
        <f t="shared" si="425"/>
        <v>1.5310883587655623E-2</v>
      </c>
      <c r="AY1260" s="79"/>
      <c r="AZ1260" s="79"/>
    </row>
    <row r="1261" spans="1:52" x14ac:dyDescent="0.25">
      <c r="A1261" s="95" t="str">
        <f t="shared" si="384"/>
        <v>FSFAGSPQNIBDDSCM Goats MMN2O</v>
      </c>
      <c r="B1261" s="95" t="s">
        <v>1375</v>
      </c>
      <c r="C1261" s="95" t="s">
        <v>1329</v>
      </c>
      <c r="D1261" t="s">
        <v>15</v>
      </c>
      <c r="E1261" t="s">
        <v>657</v>
      </c>
      <c r="F1261" t="s">
        <v>19</v>
      </c>
      <c r="G1261" t="s">
        <v>123</v>
      </c>
      <c r="H1261" t="s">
        <v>1227</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0.11664735601685972</v>
      </c>
      <c r="P1261" s="27">
        <f t="shared" si="426"/>
        <v>0.11732381389682567</v>
      </c>
      <c r="Q1261" s="27">
        <f t="shared" si="426"/>
        <v>0.11805182815822728</v>
      </c>
      <c r="R1261" s="27">
        <f t="shared" si="426"/>
        <v>0.11882851694408277</v>
      </c>
      <c r="S1261" s="27">
        <f t="shared" si="426"/>
        <v>0.11853875337411246</v>
      </c>
      <c r="T1261" s="27">
        <f t="shared" si="426"/>
        <v>0.11873274518154472</v>
      </c>
      <c r="U1261" s="27">
        <f t="shared" si="426"/>
        <v>0.12114008251238399</v>
      </c>
      <c r="V1261" s="27">
        <f t="shared" si="426"/>
        <v>0.12124884310563787</v>
      </c>
      <c r="W1261" s="27">
        <f t="shared" si="426"/>
        <v>0.12153678827101554</v>
      </c>
      <c r="X1261" s="27">
        <f t="shared" si="426"/>
        <v>0.12192540751872388</v>
      </c>
      <c r="Y1261" s="27">
        <f t="shared" si="426"/>
        <v>0.12228182557720234</v>
      </c>
      <c r="Z1261" s="27">
        <f t="shared" si="426"/>
        <v>0.12261075367093349</v>
      </c>
      <c r="AA1261" s="27">
        <f t="shared" si="426"/>
        <v>0.12291118288631245</v>
      </c>
      <c r="AB1261" s="27">
        <f t="shared" si="426"/>
        <v>0.12318619826930632</v>
      </c>
      <c r="AC1261" s="27">
        <f t="shared" si="426"/>
        <v>0.12344023699673938</v>
      </c>
      <c r="AD1261" s="27">
        <f t="shared" si="426"/>
        <v>0.12367350374715462</v>
      </c>
      <c r="AE1261" s="27">
        <f t="shared" si="426"/>
        <v>0.12389002632119744</v>
      </c>
      <c r="AF1261" s="27">
        <f t="shared" si="426"/>
        <v>0.12409066976730669</v>
      </c>
      <c r="AG1261" s="27">
        <f t="shared" si="426"/>
        <v>0.12427298431831933</v>
      </c>
      <c r="AH1261" s="27">
        <f t="shared" si="426"/>
        <v>0.12443898904081413</v>
      </c>
      <c r="AI1261" s="27">
        <f t="shared" si="426"/>
        <v>0.12459173400167312</v>
      </c>
      <c r="AJ1261" s="27">
        <f t="shared" si="426"/>
        <v>0.12063651914393841</v>
      </c>
      <c r="AK1261" s="27">
        <f t="shared" si="426"/>
        <v>0.12078897177327232</v>
      </c>
      <c r="AL1261" s="27">
        <f t="shared" si="426"/>
        <v>0.12092777782009714</v>
      </c>
      <c r="AM1261" s="27">
        <f t="shared" si="426"/>
        <v>0.12105406067063253</v>
      </c>
      <c r="AN1261" s="27">
        <f t="shared" si="426"/>
        <v>0.12116912128593484</v>
      </c>
      <c r="AO1261" s="27">
        <f t="shared" si="426"/>
        <v>0.12126969332073484</v>
      </c>
      <c r="AP1261" s="27">
        <f t="shared" si="426"/>
        <v>0.12135366382383837</v>
      </c>
      <c r="AQ1261" s="27">
        <f t="shared" si="426"/>
        <v>0.12142087853662052</v>
      </c>
      <c r="AR1261" s="27">
        <f t="shared" si="426"/>
        <v>0.12146891064801223</v>
      </c>
      <c r="AS1261" s="27">
        <f t="shared" si="426"/>
        <v>0.12149511595965648</v>
      </c>
      <c r="AT1261" s="27">
        <f t="shared" si="426"/>
        <v>0.12149935925035804</v>
      </c>
      <c r="AU1261" s="27">
        <f t="shared" si="426"/>
        <v>0.12148225337283523</v>
      </c>
      <c r="AV1261" s="27">
        <f t="shared" si="426"/>
        <v>0.12144427670451041</v>
      </c>
      <c r="AW1261" s="27">
        <f t="shared" si="426"/>
        <v>0.12138294832268144</v>
      </c>
      <c r="AY1261" s="79"/>
      <c r="AZ1261" s="79"/>
    </row>
    <row r="1262" spans="1:52" x14ac:dyDescent="0.25">
      <c r="A1262" s="95" t="str">
        <f t="shared" si="384"/>
        <v>FSFAGSPQNIBDDSCM Horses MMN2O</v>
      </c>
      <c r="B1262" s="95" t="s">
        <v>1375</v>
      </c>
      <c r="C1262" s="95" t="s">
        <v>1330</v>
      </c>
      <c r="D1262" t="s">
        <v>15</v>
      </c>
      <c r="E1262" t="s">
        <v>657</v>
      </c>
      <c r="F1262" t="s">
        <v>20</v>
      </c>
      <c r="G1262" t="s">
        <v>3</v>
      </c>
      <c r="H1262" t="s">
        <v>1227</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25">
      <c r="A1263" s="95" t="str">
        <f t="shared" si="384"/>
        <v>FSFAGSPQNIBDDSCM Mules MMN2O</v>
      </c>
      <c r="B1263" s="95" t="s">
        <v>1375</v>
      </c>
      <c r="C1263" s="95" t="s">
        <v>1331</v>
      </c>
      <c r="D1263" t="s">
        <v>15</v>
      </c>
      <c r="E1263" t="s">
        <v>657</v>
      </c>
      <c r="F1263" t="s">
        <v>140</v>
      </c>
      <c r="G1263" t="s">
        <v>124</v>
      </c>
      <c r="H1263" t="s">
        <v>1227</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25">
      <c r="A1264" s="95" t="str">
        <f t="shared" si="384"/>
        <v>FSFAGSPQNIBDDSCM Swine MMN2O</v>
      </c>
      <c r="B1264" s="95" t="s">
        <v>1375</v>
      </c>
      <c r="C1264" s="95" t="s">
        <v>1233</v>
      </c>
      <c r="D1264" t="s">
        <v>15</v>
      </c>
      <c r="E1264" t="s">
        <v>657</v>
      </c>
      <c r="F1264" t="s">
        <v>21</v>
      </c>
      <c r="G1264" t="s">
        <v>122</v>
      </c>
      <c r="H1264" t="s">
        <v>1227</v>
      </c>
      <c r="I1264" t="s">
        <v>139</v>
      </c>
      <c r="J1264" t="s">
        <v>287</v>
      </c>
      <c r="K1264" s="27">
        <f t="shared" ref="K1264:AW1264" si="429">IFERROR(K1423-((K1423-K48)+(K1423-K201)+(K1423-K354)+(K1423-K506)+(K1423-K658)+(K1423-K809)+(K1423-K960)+(K1423-K1111)),0)</f>
        <v>9.7466979224281824E-2</v>
      </c>
      <c r="L1264" s="27">
        <f t="shared" si="429"/>
        <v>9.6937181363551519E-2</v>
      </c>
      <c r="M1264" s="27">
        <f t="shared" si="429"/>
        <v>9.6980665528366608E-2</v>
      </c>
      <c r="N1264" s="27">
        <f t="shared" si="429"/>
        <v>9.6090308702663593E-2</v>
      </c>
      <c r="O1264" s="27">
        <f t="shared" si="429"/>
        <v>9.4636150647850484E-2</v>
      </c>
      <c r="P1264" s="27">
        <f t="shared" si="429"/>
        <v>9.2641437622218339E-2</v>
      </c>
      <c r="Q1264" s="27">
        <f t="shared" si="429"/>
        <v>9.1193054757597189E-2</v>
      </c>
      <c r="R1264" s="27">
        <f t="shared" si="429"/>
        <v>8.9872834352323558E-2</v>
      </c>
      <c r="S1264" s="27">
        <f t="shared" si="429"/>
        <v>8.0860772779409465E-2</v>
      </c>
      <c r="T1264" s="27">
        <f t="shared" si="429"/>
        <v>8.3748164551472229E-2</v>
      </c>
      <c r="U1264" s="27">
        <f t="shared" si="429"/>
        <v>0.26770254430249885</v>
      </c>
      <c r="V1264" s="27">
        <f t="shared" si="429"/>
        <v>0.26843638329557273</v>
      </c>
      <c r="W1264" s="27">
        <f t="shared" si="429"/>
        <v>0.26870741156063732</v>
      </c>
      <c r="X1264" s="27">
        <f t="shared" si="429"/>
        <v>0.26852785801231227</v>
      </c>
      <c r="Y1264" s="27">
        <f t="shared" si="429"/>
        <v>0.26792481068861962</v>
      </c>
      <c r="Z1264" s="27">
        <f t="shared" si="429"/>
        <v>0.26689273021889548</v>
      </c>
      <c r="AA1264" s="27">
        <f t="shared" si="429"/>
        <v>0.26543013343256128</v>
      </c>
      <c r="AB1264" s="27">
        <f t="shared" si="429"/>
        <v>0.26353715747778594</v>
      </c>
      <c r="AC1264" s="27">
        <f t="shared" si="429"/>
        <v>0.26121623026966229</v>
      </c>
      <c r="AD1264" s="27">
        <f t="shared" si="429"/>
        <v>0.25847332541622875</v>
      </c>
      <c r="AE1264" s="27">
        <f t="shared" si="429"/>
        <v>0.25531599764072704</v>
      </c>
      <c r="AF1264" s="27">
        <f t="shared" si="429"/>
        <v>0.25175492240639524</v>
      </c>
      <c r="AG1264" s="27">
        <f t="shared" si="429"/>
        <v>0.2478037797344021</v>
      </c>
      <c r="AH1264" s="27">
        <f t="shared" si="429"/>
        <v>0.24347738783336567</v>
      </c>
      <c r="AI1264" s="27">
        <f t="shared" si="429"/>
        <v>0.23879237534138331</v>
      </c>
      <c r="AJ1264" s="27">
        <f t="shared" si="429"/>
        <v>-2.2251219051901461E-2</v>
      </c>
      <c r="AK1264" s="27">
        <f t="shared" si="429"/>
        <v>-2.2010329292297307E-2</v>
      </c>
      <c r="AL1264" s="27">
        <f t="shared" si="429"/>
        <v>-2.1768586076349947E-2</v>
      </c>
      <c r="AM1264" s="27">
        <f t="shared" si="429"/>
        <v>-2.1526240200831197E-2</v>
      </c>
      <c r="AN1264" s="27">
        <f t="shared" si="429"/>
        <v>-2.1283568844564598E-2</v>
      </c>
      <c r="AO1264" s="27">
        <f t="shared" si="429"/>
        <v>-2.1039928732674035E-2</v>
      </c>
      <c r="AP1264" s="27">
        <f t="shared" si="429"/>
        <v>-2.0794940089199746E-2</v>
      </c>
      <c r="AQ1264" s="27">
        <f t="shared" si="429"/>
        <v>-2.054862658012397E-2</v>
      </c>
      <c r="AR1264" s="27">
        <f t="shared" si="429"/>
        <v>-2.0300580022227385E-2</v>
      </c>
      <c r="AS1264" s="27">
        <f t="shared" si="429"/>
        <v>-2.0050376976853562E-2</v>
      </c>
      <c r="AT1264" s="27">
        <f t="shared" si="429"/>
        <v>-1.9798088456072588E-2</v>
      </c>
      <c r="AU1264" s="27">
        <f t="shared" si="429"/>
        <v>-1.9543924397373666E-2</v>
      </c>
      <c r="AV1264" s="27">
        <f t="shared" si="429"/>
        <v>-1.9288064378450123E-2</v>
      </c>
      <c r="AW1264" s="27">
        <f t="shared" si="429"/>
        <v>-1.9030154173993289E-2</v>
      </c>
      <c r="AY1264" s="79"/>
      <c r="AZ1264" s="79"/>
    </row>
    <row r="1265" spans="1:52" x14ac:dyDescent="0.25">
      <c r="A1265" s="95" t="str">
        <f t="shared" si="384"/>
        <v>FSFAGSPQNIBDDSCM Swine MMN2O</v>
      </c>
      <c r="B1265" s="95" t="s">
        <v>1375</v>
      </c>
      <c r="C1265" s="95" t="s">
        <v>1233</v>
      </c>
      <c r="D1265" t="s">
        <v>15</v>
      </c>
      <c r="E1265" t="s">
        <v>657</v>
      </c>
      <c r="F1265" t="s">
        <v>21</v>
      </c>
      <c r="G1265" t="s">
        <v>123</v>
      </c>
      <c r="H1265" t="s">
        <v>1227</v>
      </c>
      <c r="I1265" t="s">
        <v>139</v>
      </c>
      <c r="J1265" t="s">
        <v>287</v>
      </c>
      <c r="K1265" s="27">
        <f t="shared" ref="K1265:AW1265" si="430">IFERROR(K1424-((K1424-K49)+(K1424-K202)+(K1424-K355)+(K1424-K507)+(K1424-K659)+(K1424-K810)+(K1424-K961)+(K1424-K1112)),0)</f>
        <v>3.8131055665722169E-2</v>
      </c>
      <c r="L1265" s="27">
        <f t="shared" si="430"/>
        <v>3.7923788015899962E-2</v>
      </c>
      <c r="M1265" s="27">
        <f t="shared" si="430"/>
        <v>3.7940799901590251E-2</v>
      </c>
      <c r="N1265" s="27">
        <f t="shared" si="430"/>
        <v>3.759247428451009E-2</v>
      </c>
      <c r="O1265" s="27">
        <f t="shared" si="430"/>
        <v>3.7023578211438569E-2</v>
      </c>
      <c r="P1265" s="27">
        <f t="shared" si="430"/>
        <v>3.6243206089281214E-2</v>
      </c>
      <c r="Q1265" s="27">
        <f t="shared" si="430"/>
        <v>3.567656938754183E-2</v>
      </c>
      <c r="R1265" s="27">
        <f t="shared" si="430"/>
        <v>3.5160072434777256E-2</v>
      </c>
      <c r="S1265" s="27">
        <f t="shared" si="430"/>
        <v>3.1634371482160743E-2</v>
      </c>
      <c r="T1265" s="27">
        <f t="shared" si="430"/>
        <v>3.2763977603798337E-2</v>
      </c>
      <c r="U1265" s="27">
        <f t="shared" si="430"/>
        <v>0.10473065544757326</v>
      </c>
      <c r="V1265" s="27">
        <f t="shared" si="430"/>
        <v>0.10501774811954566</v>
      </c>
      <c r="W1265" s="27">
        <f t="shared" si="430"/>
        <v>0.10512377986429053</v>
      </c>
      <c r="X1265" s="27">
        <f t="shared" si="430"/>
        <v>0.10505353488080327</v>
      </c>
      <c r="Y1265" s="27">
        <f t="shared" si="430"/>
        <v>0.10481761055800391</v>
      </c>
      <c r="Z1265" s="27">
        <f t="shared" si="430"/>
        <v>0.10441383978193423</v>
      </c>
      <c r="AA1265" s="27">
        <f t="shared" si="430"/>
        <v>0.10384164230623445</v>
      </c>
      <c r="AB1265" s="27">
        <f t="shared" si="430"/>
        <v>0.10310107178604509</v>
      </c>
      <c r="AC1265" s="27">
        <f t="shared" si="430"/>
        <v>0.10219307807090795</v>
      </c>
      <c r="AD1265" s="27">
        <f t="shared" si="430"/>
        <v>0.10111999815723396</v>
      </c>
      <c r="AE1265" s="27">
        <f t="shared" si="430"/>
        <v>9.9884787605714245E-2</v>
      </c>
      <c r="AF1265" s="27">
        <f t="shared" si="430"/>
        <v>9.8491622873711313E-2</v>
      </c>
      <c r="AG1265" s="27">
        <f t="shared" si="430"/>
        <v>9.6945855862482944E-2</v>
      </c>
      <c r="AH1265" s="27">
        <f t="shared" si="430"/>
        <v>9.5253283755261486E-2</v>
      </c>
      <c r="AI1265" s="27">
        <f t="shared" si="430"/>
        <v>9.3420412011947257E-2</v>
      </c>
      <c r="AJ1265" s="27">
        <f t="shared" si="430"/>
        <v>-8.7051274087999644E-3</v>
      </c>
      <c r="AK1265" s="27">
        <f t="shared" si="430"/>
        <v>-8.6108864575991286E-3</v>
      </c>
      <c r="AL1265" s="27">
        <f t="shared" si="430"/>
        <v>-8.5163116169970788E-3</v>
      </c>
      <c r="AM1265" s="27">
        <f t="shared" si="430"/>
        <v>-8.4215010037687853E-3</v>
      </c>
      <c r="AN1265" s="27">
        <f t="shared" si="430"/>
        <v>-8.3265630558819938E-3</v>
      </c>
      <c r="AO1265" s="27">
        <f t="shared" si="430"/>
        <v>-8.2312461111809163E-3</v>
      </c>
      <c r="AP1265" s="27">
        <f t="shared" si="430"/>
        <v>-8.135401593620856E-3</v>
      </c>
      <c r="AQ1265" s="27">
        <f t="shared" si="430"/>
        <v>-8.0390387618132202E-3</v>
      </c>
      <c r="AR1265" s="27">
        <f t="shared" si="430"/>
        <v>-7.9419979262182108E-3</v>
      </c>
      <c r="AS1265" s="27">
        <f t="shared" si="430"/>
        <v>-7.8441134290601709E-3</v>
      </c>
      <c r="AT1265" s="27">
        <f t="shared" si="430"/>
        <v>-7.7454130516986675E-3</v>
      </c>
      <c r="AU1265" s="27">
        <f t="shared" si="430"/>
        <v>-7.6459789259300508E-3</v>
      </c>
      <c r="AV1265" s="27">
        <f t="shared" si="430"/>
        <v>-7.5458813061838152E-3</v>
      </c>
      <c r="AW1265" s="27">
        <f t="shared" si="430"/>
        <v>-7.444981612347289E-3</v>
      </c>
      <c r="AY1265" s="79"/>
      <c r="AZ1265" s="79"/>
    </row>
    <row r="1266" spans="1:52" x14ac:dyDescent="0.25">
      <c r="A1266" s="95" t="str">
        <f t="shared" si="384"/>
        <v>FSFAGSPQNIBDDSCM Poultry MMN2O</v>
      </c>
      <c r="B1266" s="95" t="s">
        <v>1375</v>
      </c>
      <c r="C1266" s="95" t="s">
        <v>1234</v>
      </c>
      <c r="D1266" t="s">
        <v>15</v>
      </c>
      <c r="E1266" t="s">
        <v>657</v>
      </c>
      <c r="F1266" t="s">
        <v>28</v>
      </c>
      <c r="G1266" t="s">
        <v>131</v>
      </c>
      <c r="H1266" t="s">
        <v>1227</v>
      </c>
      <c r="I1266" t="s">
        <v>139</v>
      </c>
      <c r="J1266" t="s">
        <v>287</v>
      </c>
      <c r="K1266" s="27">
        <f t="shared" ref="K1266:AW1266" si="431">IFERROR(K1425-((K1425-K50)+(K1425-K203)+(K1425-K356)+(K1425-K508)+(K1425-K660)+(K1425-K811)+(K1425-K962)+(K1425-K1113)),0)</f>
        <v>0.3278422472608899</v>
      </c>
      <c r="L1266" s="27">
        <f t="shared" si="431"/>
        <v>0.33450793008613738</v>
      </c>
      <c r="M1266" s="27">
        <f t="shared" si="431"/>
        <v>0.34229948156355033</v>
      </c>
      <c r="N1266" s="27">
        <f t="shared" si="431"/>
        <v>0.34828124731402305</v>
      </c>
      <c r="O1266" s="27">
        <f t="shared" si="431"/>
        <v>0.35308310351311478</v>
      </c>
      <c r="P1266" s="27">
        <f t="shared" si="431"/>
        <v>0.35667649320457162</v>
      </c>
      <c r="Q1266" s="27">
        <f t="shared" si="431"/>
        <v>0.36128421068096001</v>
      </c>
      <c r="R1266" s="27">
        <f t="shared" si="431"/>
        <v>0.36607496135357975</v>
      </c>
      <c r="S1266" s="27">
        <f t="shared" si="431"/>
        <v>0.35164354142672727</v>
      </c>
      <c r="T1266" s="27">
        <f t="shared" si="431"/>
        <v>0.36454239171647873</v>
      </c>
      <c r="U1266" s="27">
        <f t="shared" si="431"/>
        <v>0.81017234402499216</v>
      </c>
      <c r="V1266" s="27">
        <f t="shared" si="431"/>
        <v>0.82798351635276735</v>
      </c>
      <c r="W1266" s="27">
        <f t="shared" si="431"/>
        <v>0.84506426194084328</v>
      </c>
      <c r="X1266" s="27">
        <f t="shared" si="431"/>
        <v>0.86126373168327053</v>
      </c>
      <c r="Y1266" s="27">
        <f t="shared" si="431"/>
        <v>0.8763773651993314</v>
      </c>
      <c r="Z1266" s="27">
        <f t="shared" si="431"/>
        <v>0.89033910907341196</v>
      </c>
      <c r="AA1266" s="27">
        <f t="shared" si="431"/>
        <v>0.90308174157394194</v>
      </c>
      <c r="AB1266" s="27">
        <f t="shared" si="431"/>
        <v>0.91454727526335933</v>
      </c>
      <c r="AC1266" s="27">
        <f t="shared" si="431"/>
        <v>0.92468482420589437</v>
      </c>
      <c r="AD1266" s="27">
        <f t="shared" si="431"/>
        <v>0.93344536277323964</v>
      </c>
      <c r="AE1266" s="27">
        <f t="shared" si="431"/>
        <v>0.94079043302909848</v>
      </c>
      <c r="AF1266" s="27">
        <f t="shared" si="431"/>
        <v>0.94668534064993604</v>
      </c>
      <c r="AG1266" s="27">
        <f t="shared" si="431"/>
        <v>0.95109922865749519</v>
      </c>
      <c r="AH1266" s="27">
        <f t="shared" si="431"/>
        <v>0.95401351999914974</v>
      </c>
      <c r="AI1266" s="27">
        <f t="shared" si="431"/>
        <v>0.95541860028387315</v>
      </c>
      <c r="AJ1266" s="27">
        <f t="shared" si="431"/>
        <v>0.12455157965260578</v>
      </c>
      <c r="AK1266" s="27">
        <f t="shared" si="431"/>
        <v>0.12546570662729262</v>
      </c>
      <c r="AL1266" s="27">
        <f t="shared" si="431"/>
        <v>0.12635717357285206</v>
      </c>
      <c r="AM1266" s="27">
        <f t="shared" si="431"/>
        <v>0.12722732342881915</v>
      </c>
      <c r="AN1266" s="27">
        <f t="shared" si="431"/>
        <v>0.12807770428267184</v>
      </c>
      <c r="AO1266" s="27">
        <f t="shared" si="431"/>
        <v>0.12890482942711159</v>
      </c>
      <c r="AP1266" s="27">
        <f t="shared" si="431"/>
        <v>0.12970640273413572</v>
      </c>
      <c r="AQ1266" s="27">
        <f t="shared" si="431"/>
        <v>0.13048225510266878</v>
      </c>
      <c r="AR1266" s="27">
        <f t="shared" si="431"/>
        <v>0.13122965143314799</v>
      </c>
      <c r="AS1266" s="27">
        <f t="shared" si="431"/>
        <v>0.13194554686006624</v>
      </c>
      <c r="AT1266" s="27">
        <f t="shared" si="431"/>
        <v>0.1326296750998292</v>
      </c>
      <c r="AU1266" s="27">
        <f t="shared" si="431"/>
        <v>0.13328261317396048</v>
      </c>
      <c r="AV1266" s="27">
        <f t="shared" si="431"/>
        <v>0.1339047918740231</v>
      </c>
      <c r="AW1266" s="27">
        <f t="shared" si="431"/>
        <v>0.13449324202045793</v>
      </c>
      <c r="AY1266" s="79"/>
      <c r="AZ1266" s="79"/>
    </row>
    <row r="1267" spans="1:52" x14ac:dyDescent="0.25">
      <c r="A1267" s="95" t="str">
        <f t="shared" si="384"/>
        <v>FSFAGSPQNIBDDSCM Poultry MMN2O</v>
      </c>
      <c r="B1267" s="95" t="s">
        <v>1375</v>
      </c>
      <c r="C1267" s="95" t="s">
        <v>1234</v>
      </c>
      <c r="D1267" t="s">
        <v>15</v>
      </c>
      <c r="E1267" t="s">
        <v>657</v>
      </c>
      <c r="F1267" t="s">
        <v>28</v>
      </c>
      <c r="G1267" t="s">
        <v>132</v>
      </c>
      <c r="H1267" t="s">
        <v>1227</v>
      </c>
      <c r="I1267" t="s">
        <v>139</v>
      </c>
      <c r="J1267" t="s">
        <v>287</v>
      </c>
      <c r="K1267" s="27">
        <f t="shared" ref="K1267:AW1267" si="432">IFERROR(K1426-((K1426-K51)+(K1426-K204)+(K1426-K357)+(K1426-K509)+(K1426-K661)+(K1426-K812)+(K1426-K963)+(K1426-K1114)),0)</f>
        <v>1.7017151675634967</v>
      </c>
      <c r="L1267" s="27">
        <f t="shared" si="432"/>
        <v>1.724123714732765</v>
      </c>
      <c r="M1267" s="27">
        <f t="shared" si="432"/>
        <v>1.7601182693498119</v>
      </c>
      <c r="N1267" s="27">
        <f t="shared" si="432"/>
        <v>1.7704533576020518</v>
      </c>
      <c r="O1267" s="27">
        <f t="shared" si="432"/>
        <v>1.7641159598844758</v>
      </c>
      <c r="P1267" s="27">
        <f t="shared" si="432"/>
        <v>1.741173502214217</v>
      </c>
      <c r="Q1267" s="27">
        <f t="shared" si="432"/>
        <v>1.7315152516158581</v>
      </c>
      <c r="R1267" s="27">
        <f t="shared" si="432"/>
        <v>1.7240481490859689</v>
      </c>
      <c r="S1267" s="27">
        <f t="shared" si="432"/>
        <v>1.5035639635767468</v>
      </c>
      <c r="T1267" s="27">
        <f t="shared" si="432"/>
        <v>1.6173540495561818</v>
      </c>
      <c r="U1267" s="27">
        <f t="shared" si="432"/>
        <v>7.0326605429040603</v>
      </c>
      <c r="V1267" s="27">
        <f t="shared" si="432"/>
        <v>7.1587444728308389</v>
      </c>
      <c r="W1267" s="27">
        <f t="shared" si="432"/>
        <v>7.2707564931151909</v>
      </c>
      <c r="X1267" s="27">
        <f t="shared" si="432"/>
        <v>7.3691748844835665</v>
      </c>
      <c r="Y1267" s="27">
        <f t="shared" si="432"/>
        <v>7.4553371690594963</v>
      </c>
      <c r="Z1267" s="27">
        <f t="shared" si="432"/>
        <v>7.5285970501173791</v>
      </c>
      <c r="AA1267" s="27">
        <f t="shared" si="432"/>
        <v>7.5884583464710351</v>
      </c>
      <c r="AB1267" s="27">
        <f t="shared" si="432"/>
        <v>7.6344333579538368</v>
      </c>
      <c r="AC1267" s="27">
        <f t="shared" si="432"/>
        <v>7.6660871188162911</v>
      </c>
      <c r="AD1267" s="27">
        <f t="shared" si="432"/>
        <v>7.6831230278292386</v>
      </c>
      <c r="AE1267" s="27">
        <f t="shared" si="432"/>
        <v>7.6852660983393646</v>
      </c>
      <c r="AF1267" s="27">
        <f t="shared" si="432"/>
        <v>7.6723681593235442</v>
      </c>
      <c r="AG1267" s="27">
        <f t="shared" si="432"/>
        <v>7.6444112062228218</v>
      </c>
      <c r="AH1267" s="27">
        <f t="shared" si="432"/>
        <v>7.601393060420655</v>
      </c>
      <c r="AI1267" s="27">
        <f t="shared" si="432"/>
        <v>7.5433781605278138</v>
      </c>
      <c r="AJ1267" s="27">
        <f t="shared" si="432"/>
        <v>-1.6108210655566082</v>
      </c>
      <c r="AK1267" s="27">
        <f t="shared" si="432"/>
        <v>-1.613100635371139</v>
      </c>
      <c r="AL1267" s="27">
        <f t="shared" si="432"/>
        <v>-1.6151647470887973</v>
      </c>
      <c r="AM1267" s="27">
        <f t="shared" si="432"/>
        <v>-1.6170309534265412</v>
      </c>
      <c r="AN1267" s="27">
        <f t="shared" si="432"/>
        <v>-1.6187193219312461</v>
      </c>
      <c r="AO1267" s="27">
        <f t="shared" si="432"/>
        <v>-1.6201827321446018</v>
      </c>
      <c r="AP1267" s="27">
        <f t="shared" si="432"/>
        <v>-1.6213910531514668</v>
      </c>
      <c r="AQ1267" s="27">
        <f t="shared" si="432"/>
        <v>-1.6223429170122639</v>
      </c>
      <c r="AR1267" s="27">
        <f t="shared" si="432"/>
        <v>-1.623003587370585</v>
      </c>
      <c r="AS1267" s="27">
        <f t="shared" si="432"/>
        <v>-1.6233351759618906</v>
      </c>
      <c r="AT1267" s="27">
        <f t="shared" si="432"/>
        <v>-1.623336597056291</v>
      </c>
      <c r="AU1267" s="27">
        <f t="shared" si="432"/>
        <v>-1.6230176880430305</v>
      </c>
      <c r="AV1267" s="27">
        <f t="shared" si="432"/>
        <v>-1.6223862668543294</v>
      </c>
      <c r="AW1267" s="27">
        <f t="shared" si="432"/>
        <v>-1.6214068147422027</v>
      </c>
      <c r="AY1267" s="79"/>
      <c r="AZ1267" s="79"/>
    </row>
    <row r="1268" spans="1:52" x14ac:dyDescent="0.25">
      <c r="A1268" s="95" t="str">
        <f t="shared" si="384"/>
        <v>FSFAGSPQNIBDDSCM Poultry MMN2O</v>
      </c>
      <c r="B1268" s="95" t="s">
        <v>1375</v>
      </c>
      <c r="C1268" s="95" t="s">
        <v>1234</v>
      </c>
      <c r="D1268" t="s">
        <v>15</v>
      </c>
      <c r="E1268" t="s">
        <v>657</v>
      </c>
      <c r="F1268" t="s">
        <v>28</v>
      </c>
      <c r="G1268" t="s">
        <v>134</v>
      </c>
      <c r="H1268" t="s">
        <v>1227</v>
      </c>
      <c r="I1268" t="s">
        <v>139</v>
      </c>
      <c r="J1268" t="s">
        <v>287</v>
      </c>
      <c r="K1268" s="27">
        <f t="shared" ref="K1268:AW1268" si="433">IFERROR(K1427-((K1427-K52)+(K1427-K205)+(K1427-K358)+(K1427-K510)+(K1427-K662)+(K1427-K813)+(K1427-K964)+(K1427-K1115)),0)</f>
        <v>1.3660093635870426E-2</v>
      </c>
      <c r="L1268" s="27">
        <f t="shared" si="433"/>
        <v>1.3937830420255738E-2</v>
      </c>
      <c r="M1268" s="27">
        <f t="shared" si="433"/>
        <v>1.4262478398481276E-2</v>
      </c>
      <c r="N1268" s="27">
        <f t="shared" si="433"/>
        <v>1.4511718638084306E-2</v>
      </c>
      <c r="O1268" s="27">
        <f t="shared" si="433"/>
        <v>1.4711795979713132E-2</v>
      </c>
      <c r="P1268" s="27">
        <f t="shared" si="433"/>
        <v>1.4861520550190495E-2</v>
      </c>
      <c r="Q1268" s="27">
        <f t="shared" si="433"/>
        <v>1.5053508778373347E-2</v>
      </c>
      <c r="R1268" s="27">
        <f t="shared" si="433"/>
        <v>1.5253123389732505E-2</v>
      </c>
      <c r="S1268" s="27">
        <f t="shared" si="433"/>
        <v>1.4651814226113646E-2</v>
      </c>
      <c r="T1268" s="27">
        <f t="shared" si="433"/>
        <v>1.5189266321519962E-2</v>
      </c>
      <c r="U1268" s="27">
        <f t="shared" si="433"/>
        <v>3.3757181001041366E-2</v>
      </c>
      <c r="V1268" s="27">
        <f t="shared" si="433"/>
        <v>3.4499313181365336E-2</v>
      </c>
      <c r="W1268" s="27">
        <f t="shared" si="433"/>
        <v>3.5211010914201833E-2</v>
      </c>
      <c r="X1268" s="27">
        <f t="shared" si="433"/>
        <v>3.5885988820136307E-2</v>
      </c>
      <c r="Y1268" s="27">
        <f t="shared" si="433"/>
        <v>3.6515723549972179E-2</v>
      </c>
      <c r="Z1268" s="27">
        <f t="shared" si="433"/>
        <v>3.7097462878058866E-2</v>
      </c>
      <c r="AA1268" s="27">
        <f t="shared" si="433"/>
        <v>3.7628405898914287E-2</v>
      </c>
      <c r="AB1268" s="27">
        <f t="shared" si="433"/>
        <v>3.8106136469306676E-2</v>
      </c>
      <c r="AC1268" s="27">
        <f t="shared" si="433"/>
        <v>3.85285343419123E-2</v>
      </c>
      <c r="AD1268" s="27">
        <f t="shared" si="433"/>
        <v>3.8893556782218362E-2</v>
      </c>
      <c r="AE1268" s="27">
        <f t="shared" si="433"/>
        <v>3.9199601376212471E-2</v>
      </c>
      <c r="AF1268" s="27">
        <f t="shared" si="433"/>
        <v>3.9445222527080714E-2</v>
      </c>
      <c r="AG1268" s="27">
        <f t="shared" si="433"/>
        <v>3.9629134527395672E-2</v>
      </c>
      <c r="AH1268" s="27">
        <f t="shared" si="433"/>
        <v>3.9750563333297947E-2</v>
      </c>
      <c r="AI1268" s="27">
        <f t="shared" si="433"/>
        <v>3.9809108345161416E-2</v>
      </c>
      <c r="AJ1268" s="27">
        <f t="shared" si="433"/>
        <v>5.189649152191912E-3</v>
      </c>
      <c r="AK1268" s="27">
        <f t="shared" si="433"/>
        <v>5.2277377761371976E-3</v>
      </c>
      <c r="AL1268" s="27">
        <f t="shared" si="433"/>
        <v>5.2648822322021753E-3</v>
      </c>
      <c r="AM1268" s="27">
        <f t="shared" si="433"/>
        <v>5.3011384762008023E-3</v>
      </c>
      <c r="AN1268" s="27">
        <f t="shared" si="433"/>
        <v>5.3365710117779979E-3</v>
      </c>
      <c r="AO1268" s="27">
        <f t="shared" si="433"/>
        <v>5.3710345594629892E-3</v>
      </c>
      <c r="AP1268" s="27">
        <f t="shared" si="433"/>
        <v>5.4044334472556589E-3</v>
      </c>
      <c r="AQ1268" s="27">
        <f t="shared" si="433"/>
        <v>5.4367606292778717E-3</v>
      </c>
      <c r="AR1268" s="27">
        <f t="shared" si="433"/>
        <v>5.4679021430478368E-3</v>
      </c>
      <c r="AS1268" s="27">
        <f t="shared" si="433"/>
        <v>5.4977311191694326E-3</v>
      </c>
      <c r="AT1268" s="27">
        <f t="shared" si="433"/>
        <v>5.5262364624928872E-3</v>
      </c>
      <c r="AU1268" s="27">
        <f t="shared" si="433"/>
        <v>5.5534422155816918E-3</v>
      </c>
      <c r="AV1268" s="27">
        <f t="shared" si="433"/>
        <v>5.5793663280842998E-3</v>
      </c>
      <c r="AW1268" s="27">
        <f t="shared" si="433"/>
        <v>5.6038850841857524E-3</v>
      </c>
      <c r="AY1268" s="79"/>
      <c r="AZ1268" s="79"/>
    </row>
    <row r="1269" spans="1:52" x14ac:dyDescent="0.25">
      <c r="A1269" s="95" t="str">
        <f t="shared" si="384"/>
        <v>FSFAGSPQNIBDDSCM Poultry MMN2O</v>
      </c>
      <c r="B1269" s="95" t="s">
        <v>1375</v>
      </c>
      <c r="C1269" s="95" t="s">
        <v>1234</v>
      </c>
      <c r="D1269" t="s">
        <v>15</v>
      </c>
      <c r="E1269" t="s">
        <v>657</v>
      </c>
      <c r="F1269" t="s">
        <v>28</v>
      </c>
      <c r="G1269" t="s">
        <v>133</v>
      </c>
      <c r="H1269" t="s">
        <v>1227</v>
      </c>
      <c r="I1269" t="s">
        <v>139</v>
      </c>
      <c r="J1269" t="s">
        <v>287</v>
      </c>
      <c r="K1269" s="27">
        <f t="shared" ref="K1269:AW1269" si="434">IFERROR(K1428-((K1428-K53)+(K1428-K206)+(K1428-K359)+(K1428-K511)+(K1428-K663)+(K1428-K814)+(K1428-K965)+(K1428-K1116)),0)</f>
        <v>7.0904798648479081E-2</v>
      </c>
      <c r="L1269" s="27">
        <f t="shared" si="434"/>
        <v>7.183848811386527E-2</v>
      </c>
      <c r="M1269" s="27">
        <f t="shared" si="434"/>
        <v>7.3338261222908901E-2</v>
      </c>
      <c r="N1269" s="27">
        <f t="shared" si="434"/>
        <v>7.3768889900085566E-2</v>
      </c>
      <c r="O1269" s="27">
        <f t="shared" si="434"/>
        <v>7.3504831661853232E-2</v>
      </c>
      <c r="P1269" s="27">
        <f t="shared" si="434"/>
        <v>7.2548895925592438E-2</v>
      </c>
      <c r="Q1269" s="27">
        <f t="shared" si="434"/>
        <v>7.2146468817327503E-2</v>
      </c>
      <c r="R1269" s="27">
        <f t="shared" si="434"/>
        <v>7.1835339545248775E-2</v>
      </c>
      <c r="S1269" s="27">
        <f t="shared" si="434"/>
        <v>6.264849848236452E-2</v>
      </c>
      <c r="T1269" s="27">
        <f t="shared" si="434"/>
        <v>6.7389752064840963E-2</v>
      </c>
      <c r="U1269" s="27">
        <f t="shared" si="434"/>
        <v>0.29302752262100273</v>
      </c>
      <c r="V1269" s="27">
        <f t="shared" si="434"/>
        <v>0.29828101970128529</v>
      </c>
      <c r="W1269" s="27">
        <f t="shared" si="434"/>
        <v>0.30294818721313321</v>
      </c>
      <c r="X1269" s="27">
        <f t="shared" si="434"/>
        <v>0.30704895352014883</v>
      </c>
      <c r="Y1269" s="27">
        <f t="shared" si="434"/>
        <v>0.31063904871081255</v>
      </c>
      <c r="Z1269" s="27">
        <f t="shared" si="434"/>
        <v>0.31369154375489111</v>
      </c>
      <c r="AA1269" s="27">
        <f t="shared" si="434"/>
        <v>0.31618576443629343</v>
      </c>
      <c r="AB1269" s="27">
        <f t="shared" si="434"/>
        <v>0.31810138991474352</v>
      </c>
      <c r="AC1269" s="27">
        <f t="shared" si="434"/>
        <v>0.31942029661734572</v>
      </c>
      <c r="AD1269" s="27">
        <f t="shared" si="434"/>
        <v>0.320130126159552</v>
      </c>
      <c r="AE1269" s="27">
        <f t="shared" si="434"/>
        <v>0.32021942076414051</v>
      </c>
      <c r="AF1269" s="27">
        <f t="shared" si="434"/>
        <v>0.31968200663848134</v>
      </c>
      <c r="AG1269" s="27">
        <f t="shared" si="434"/>
        <v>0.31851713359261785</v>
      </c>
      <c r="AH1269" s="27">
        <f t="shared" si="434"/>
        <v>0.31672471085086101</v>
      </c>
      <c r="AI1269" s="27">
        <f t="shared" si="434"/>
        <v>0.31430742335532585</v>
      </c>
      <c r="AJ1269" s="27">
        <f t="shared" si="434"/>
        <v>-6.7117544398192078E-2</v>
      </c>
      <c r="AK1269" s="27">
        <f t="shared" si="434"/>
        <v>-6.7212526473797524E-2</v>
      </c>
      <c r="AL1269" s="27">
        <f t="shared" si="434"/>
        <v>-6.7298531128699962E-2</v>
      </c>
      <c r="AM1269" s="27">
        <f t="shared" si="434"/>
        <v>-6.7376289726105959E-2</v>
      </c>
      <c r="AN1269" s="27">
        <f t="shared" si="434"/>
        <v>-6.7446638413801982E-2</v>
      </c>
      <c r="AO1269" s="27">
        <f t="shared" si="434"/>
        <v>-6.750761383935848E-2</v>
      </c>
      <c r="AP1269" s="27">
        <f t="shared" si="434"/>
        <v>-6.7557960547977858E-2</v>
      </c>
      <c r="AQ1269" s="27">
        <f t="shared" si="434"/>
        <v>-6.759762154217773E-2</v>
      </c>
      <c r="AR1269" s="27">
        <f t="shared" si="434"/>
        <v>-6.7625149473774446E-2</v>
      </c>
      <c r="AS1269" s="27">
        <f t="shared" si="434"/>
        <v>-6.7638965665078848E-2</v>
      </c>
      <c r="AT1269" s="27">
        <f t="shared" si="434"/>
        <v>-6.7639024877345522E-2</v>
      </c>
      <c r="AU1269" s="27">
        <f t="shared" si="434"/>
        <v>-6.7625737001792988E-2</v>
      </c>
      <c r="AV1269" s="27">
        <f t="shared" si="434"/>
        <v>-6.7599427785597133E-2</v>
      </c>
      <c r="AW1269" s="27">
        <f t="shared" si="434"/>
        <v>-6.7558617280925187E-2</v>
      </c>
      <c r="AY1269" s="79"/>
      <c r="AZ1269" s="79"/>
    </row>
    <row r="1270" spans="1:52" x14ac:dyDescent="0.25">
      <c r="A1270" s="95" t="str">
        <f t="shared" si="384"/>
        <v>FSFAGSPQNIBDDSCM Synthetic</v>
      </c>
      <c r="B1270" s="95" t="s">
        <v>1375</v>
      </c>
      <c r="C1270" s="95" t="s">
        <v>1126</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6.6035651430821094</v>
      </c>
      <c r="U1270" s="27">
        <f t="shared" si="435"/>
        <v>6.6008394987584191</v>
      </c>
      <c r="V1270" s="27">
        <f t="shared" si="435"/>
        <v>6.5354261970149441</v>
      </c>
      <c r="W1270" s="27">
        <f t="shared" si="435"/>
        <v>6.5337920332710731</v>
      </c>
      <c r="X1270" s="27">
        <f t="shared" si="435"/>
        <v>6.5322793572104443</v>
      </c>
      <c r="Y1270" s="27">
        <f t="shared" si="435"/>
        <v>6.5308880056970544</v>
      </c>
      <c r="Z1270" s="27">
        <f t="shared" si="435"/>
        <v>6.5296169227266478</v>
      </c>
      <c r="AA1270" s="27">
        <f t="shared" si="435"/>
        <v>6.5284672118777083</v>
      </c>
      <c r="AB1270" s="27">
        <f t="shared" si="435"/>
        <v>6.5274397960506132</v>
      </c>
      <c r="AC1270" s="27">
        <f t="shared" si="435"/>
        <v>6.5265355793719113</v>
      </c>
      <c r="AD1270" s="27">
        <f t="shared" si="435"/>
        <v>6.5257554079256641</v>
      </c>
      <c r="AE1270" s="27">
        <f t="shared" si="435"/>
        <v>6.5250999875184093</v>
      </c>
      <c r="AF1270" s="27">
        <f t="shared" si="435"/>
        <v>6.524570013447069</v>
      </c>
      <c r="AG1270" s="27">
        <f t="shared" si="435"/>
        <v>6.524166065107158</v>
      </c>
      <c r="AH1270" s="27">
        <f t="shared" si="435"/>
        <v>6.5238886062718322</v>
      </c>
      <c r="AI1270" s="27">
        <f t="shared" si="435"/>
        <v>6.523738107982866</v>
      </c>
      <c r="AJ1270" s="27">
        <f t="shared" si="435"/>
        <v>6.5237149971504902</v>
      </c>
      <c r="AK1270" s="27">
        <f t="shared" si="435"/>
        <v>6.7170770118746468</v>
      </c>
      <c r="AL1270" s="27">
        <f t="shared" si="435"/>
        <v>6.7172409254060446</v>
      </c>
      <c r="AM1270" s="27">
        <f t="shared" si="435"/>
        <v>6.7174011054610014</v>
      </c>
      <c r="AN1270" s="27">
        <f t="shared" si="435"/>
        <v>6.717557770633813</v>
      </c>
      <c r="AO1270" s="27">
        <f t="shared" si="435"/>
        <v>6.7177111790148194</v>
      </c>
      <c r="AP1270" s="27">
        <f t="shared" si="435"/>
        <v>6.7178606782023653</v>
      </c>
      <c r="AQ1270" s="27">
        <f t="shared" si="435"/>
        <v>6.7180058277133394</v>
      </c>
      <c r="AR1270" s="27">
        <f t="shared" si="435"/>
        <v>6.7181465717092257</v>
      </c>
      <c r="AS1270" s="27">
        <f t="shared" si="435"/>
        <v>6.7182823869267976</v>
      </c>
      <c r="AT1270" s="27">
        <f t="shared" si="435"/>
        <v>6.7184126908492701</v>
      </c>
      <c r="AU1270" s="27">
        <f t="shared" si="435"/>
        <v>6.7185374065365453</v>
      </c>
      <c r="AV1270" s="27">
        <f t="shared" si="435"/>
        <v>6.7186566123512304</v>
      </c>
      <c r="AW1270" s="27">
        <f t="shared" si="435"/>
        <v>6.7187703615819192</v>
      </c>
      <c r="AY1270" s="79"/>
      <c r="AZ1270" s="79"/>
    </row>
    <row r="1271" spans="1:52" x14ac:dyDescent="0.25">
      <c r="A1271" s="95" t="str">
        <f t="shared" si="384"/>
        <v>FSFAGSPQNIBDDSCM Organic</v>
      </c>
      <c r="B1271" s="95" t="s">
        <v>1375</v>
      </c>
      <c r="C1271" s="95" t="s">
        <v>1127</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4.358352994434192E-2</v>
      </c>
      <c r="U1271" s="27">
        <f t="shared" si="436"/>
        <v>4.3565540691805578E-2</v>
      </c>
      <c r="V1271" s="27">
        <f t="shared" si="436"/>
        <v>4.3133812900298642E-2</v>
      </c>
      <c r="W1271" s="27">
        <f t="shared" si="436"/>
        <v>4.312302741958908E-2</v>
      </c>
      <c r="X1271" s="27">
        <f t="shared" si="436"/>
        <v>4.3113043757588947E-2</v>
      </c>
      <c r="Y1271" s="27">
        <f t="shared" si="436"/>
        <v>4.3103860837600566E-2</v>
      </c>
      <c r="Z1271" s="27">
        <f t="shared" si="436"/>
        <v>4.3095471689995883E-2</v>
      </c>
      <c r="AA1271" s="27">
        <f t="shared" si="436"/>
        <v>4.3087883598392877E-2</v>
      </c>
      <c r="AB1271" s="27">
        <f t="shared" si="436"/>
        <v>4.3081102653934056E-2</v>
      </c>
      <c r="AC1271" s="27">
        <f t="shared" si="436"/>
        <v>4.3075134823854618E-2</v>
      </c>
      <c r="AD1271" s="27">
        <f t="shared" si="436"/>
        <v>4.3069985692309382E-2</v>
      </c>
      <c r="AE1271" s="27">
        <f t="shared" si="436"/>
        <v>4.3065659917621506E-2</v>
      </c>
      <c r="AF1271" s="27">
        <f t="shared" si="436"/>
        <v>4.3062162088750661E-2</v>
      </c>
      <c r="AG1271" s="27">
        <f t="shared" si="436"/>
        <v>4.3059496029707253E-2</v>
      </c>
      <c r="AH1271" s="27">
        <f t="shared" si="436"/>
        <v>4.3057664801394106E-2</v>
      </c>
      <c r="AI1271" s="27">
        <f t="shared" si="436"/>
        <v>4.3056671512686932E-2</v>
      </c>
      <c r="AJ1271" s="27">
        <f t="shared" si="436"/>
        <v>4.3056518981193247E-2</v>
      </c>
      <c r="AK1271" s="27">
        <f t="shared" si="436"/>
        <v>4.4332708278372678E-2</v>
      </c>
      <c r="AL1271" s="27">
        <f t="shared" si="436"/>
        <v>4.4333790107679898E-2</v>
      </c>
      <c r="AM1271" s="27">
        <f t="shared" si="436"/>
        <v>4.4334847296042611E-2</v>
      </c>
      <c r="AN1271" s="27">
        <f t="shared" si="436"/>
        <v>4.4335881286183175E-2</v>
      </c>
      <c r="AO1271" s="27">
        <f t="shared" si="436"/>
        <v>4.433689378149782E-2</v>
      </c>
      <c r="AP1271" s="27">
        <f t="shared" si="436"/>
        <v>4.433788047613562E-2</v>
      </c>
      <c r="AQ1271" s="27">
        <f t="shared" si="436"/>
        <v>4.4338838462908037E-2</v>
      </c>
      <c r="AR1271" s="27">
        <f t="shared" si="436"/>
        <v>4.4339767373280901E-2</v>
      </c>
      <c r="AS1271" s="27">
        <f t="shared" si="436"/>
        <v>4.4340663753716876E-2</v>
      </c>
      <c r="AT1271" s="27">
        <f t="shared" si="436"/>
        <v>4.4341523759605192E-2</v>
      </c>
      <c r="AU1271" s="27">
        <f t="shared" si="436"/>
        <v>4.4342346883141204E-2</v>
      </c>
      <c r="AV1271" s="27">
        <f t="shared" si="436"/>
        <v>4.4343133641518123E-2</v>
      </c>
      <c r="AW1271" s="27">
        <f t="shared" si="436"/>
        <v>4.4343884386440678E-2</v>
      </c>
      <c r="AY1271" s="79"/>
      <c r="AZ1271" s="79"/>
    </row>
    <row r="1272" spans="1:52" x14ac:dyDescent="0.25">
      <c r="A1272" s="95" t="str">
        <f t="shared" si="384"/>
        <v>FSFAGSPQNIBDDSCM Crop residues</v>
      </c>
      <c r="B1272" s="95" t="s">
        <v>1375</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2.9710792197336011</v>
      </c>
      <c r="U1272" s="27">
        <f t="shared" si="438"/>
        <v>2.9914277552243997</v>
      </c>
      <c r="V1272" s="27">
        <f t="shared" si="438"/>
        <v>3.4797764662170874</v>
      </c>
      <c r="W1272" s="27">
        <f t="shared" si="438"/>
        <v>3.4919764582156594</v>
      </c>
      <c r="X1272" s="27">
        <f t="shared" si="438"/>
        <v>3.5032694733160721</v>
      </c>
      <c r="Y1272" s="27">
        <f t="shared" si="438"/>
        <v>3.5136567294244192</v>
      </c>
      <c r="Z1272" s="27">
        <f t="shared" si="438"/>
        <v>3.5231461102325734</v>
      </c>
      <c r="AA1272" s="27">
        <f t="shared" si="438"/>
        <v>3.5317293768790967</v>
      </c>
      <c r="AB1272" s="27">
        <f t="shared" si="438"/>
        <v>3.539399639370707</v>
      </c>
      <c r="AC1272" s="27">
        <f t="shared" si="438"/>
        <v>3.5461501478717818</v>
      </c>
      <c r="AD1272" s="27">
        <f t="shared" si="438"/>
        <v>3.5519745858679355</v>
      </c>
      <c r="AE1272" s="27">
        <f t="shared" si="438"/>
        <v>3.5568676840988758</v>
      </c>
      <c r="AF1272" s="27">
        <f t="shared" si="438"/>
        <v>3.5608242517647808</v>
      </c>
      <c r="AG1272" s="27">
        <f t="shared" si="438"/>
        <v>3.5638399633378826</v>
      </c>
      <c r="AH1272" s="27">
        <f t="shared" si="438"/>
        <v>3.5659113564792468</v>
      </c>
      <c r="AI1272" s="27">
        <f t="shared" si="438"/>
        <v>3.5670349145853852</v>
      </c>
      <c r="AJ1272" s="27">
        <f t="shared" si="438"/>
        <v>3.5672074505207347</v>
      </c>
      <c r="AK1272" s="27">
        <f t="shared" si="438"/>
        <v>2.1236464601919001</v>
      </c>
      <c r="AL1272" s="27">
        <f t="shared" si="438"/>
        <v>2.122422749423007</v>
      </c>
      <c r="AM1272" s="27">
        <f t="shared" si="438"/>
        <v>2.1212269112482072</v>
      </c>
      <c r="AN1272" s="27">
        <f t="shared" si="438"/>
        <v>2.1200573137327008</v>
      </c>
      <c r="AO1272" s="27">
        <f t="shared" si="438"/>
        <v>2.1189120300805597</v>
      </c>
      <c r="AP1272" s="27">
        <f t="shared" si="438"/>
        <v>2.1177959308532275</v>
      </c>
      <c r="AQ1272" s="27">
        <f t="shared" si="438"/>
        <v>2.1167123045158354</v>
      </c>
      <c r="AR1272" s="27">
        <f t="shared" si="438"/>
        <v>2.1156615679356672</v>
      </c>
      <c r="AS1272" s="27">
        <f t="shared" si="438"/>
        <v>2.1146476275800086</v>
      </c>
      <c r="AT1272" s="27">
        <f t="shared" si="438"/>
        <v>2.1136748322787415</v>
      </c>
      <c r="AU1272" s="27">
        <f t="shared" si="438"/>
        <v>2.1127437564348668</v>
      </c>
      <c r="AV1272" s="27">
        <f t="shared" si="438"/>
        <v>2.111853815025504</v>
      </c>
      <c r="AW1272" s="27">
        <f t="shared" si="438"/>
        <v>2.1110046102200224</v>
      </c>
      <c r="AY1272" s="79"/>
      <c r="AZ1272" s="79"/>
    </row>
    <row r="1273" spans="1:52" x14ac:dyDescent="0.25">
      <c r="A1273" s="95" t="str">
        <f t="shared" si="384"/>
        <v>FSFAGSPQNIBDDSCM Organic</v>
      </c>
      <c r="B1273" s="95" t="s">
        <v>1375</v>
      </c>
      <c r="C1273" s="95" t="s">
        <v>1127</v>
      </c>
      <c r="D1273" t="s">
        <v>369</v>
      </c>
      <c r="E1273" t="s">
        <v>55</v>
      </c>
      <c r="F1273" t="s">
        <v>421</v>
      </c>
      <c r="G1273" t="s">
        <v>1152</v>
      </c>
      <c r="H1273" t="s">
        <v>1153</v>
      </c>
      <c r="I1273" t="s">
        <v>139</v>
      </c>
      <c r="J1273" t="s">
        <v>287</v>
      </c>
      <c r="K1273" s="27">
        <f t="shared" ref="K1273:AW1273" si="439">IFERROR(K1466-((K1466-K57)+(K1466-K210)+(K1466-K363)+(K1466-K515)+(K1466-K667)+(K1466-K818)+(K1466-K969)+(K1466-K1120)),0)</f>
        <v>0.31878106382562998</v>
      </c>
      <c r="L1273" s="27">
        <f t="shared" si="439"/>
        <v>0.32056321299147922</v>
      </c>
      <c r="M1273" s="27">
        <f t="shared" si="439"/>
        <v>0.32309177745176459</v>
      </c>
      <c r="N1273" s="27">
        <f t="shared" si="439"/>
        <v>0.32471664946511047</v>
      </c>
      <c r="O1273" s="27">
        <f t="shared" si="439"/>
        <v>0.32579638434951891</v>
      </c>
      <c r="P1273" s="27">
        <f t="shared" si="439"/>
        <v>0.32632035510276458</v>
      </c>
      <c r="Q1273" s="27">
        <f t="shared" si="439"/>
        <v>0.32747800149861978</v>
      </c>
      <c r="R1273" s="27">
        <f t="shared" si="439"/>
        <v>0.32880601635823309</v>
      </c>
      <c r="S1273" s="27">
        <f t="shared" si="439"/>
        <v>0.3194631230654072</v>
      </c>
      <c r="T1273" s="27">
        <f t="shared" si="439"/>
        <v>0.32495993852650251</v>
      </c>
      <c r="U1273" s="27">
        <f t="shared" si="439"/>
        <v>0.55911956199622048</v>
      </c>
      <c r="V1273" s="27">
        <f t="shared" si="439"/>
        <v>0.56585948734565139</v>
      </c>
      <c r="W1273" s="27">
        <f t="shared" si="439"/>
        <v>0.57230378307872798</v>
      </c>
      <c r="X1273" s="27">
        <f t="shared" si="439"/>
        <v>0.57834283314741031</v>
      </c>
      <c r="Y1273" s="27">
        <f t="shared" si="439"/>
        <v>0.58381536330507111</v>
      </c>
      <c r="Z1273" s="27">
        <f t="shared" si="439"/>
        <v>0.58869581671270654</v>
      </c>
      <c r="AA1273" s="27">
        <f t="shared" si="439"/>
        <v>0.59295576215312973</v>
      </c>
      <c r="AB1273" s="27">
        <f t="shared" si="439"/>
        <v>0.59657368139031808</v>
      </c>
      <c r="AC1273" s="27">
        <f t="shared" si="439"/>
        <v>0.59953250893616183</v>
      </c>
      <c r="AD1273" s="27">
        <f t="shared" si="439"/>
        <v>0.60181430512751644</v>
      </c>
      <c r="AE1273" s="27">
        <f t="shared" si="439"/>
        <v>0.60340833018876772</v>
      </c>
      <c r="AF1273" s="27">
        <f t="shared" si="439"/>
        <v>0.60430428229357946</v>
      </c>
      <c r="AG1273" s="27">
        <f t="shared" si="439"/>
        <v>0.60449220860104358</v>
      </c>
      <c r="AH1273" s="27">
        <f t="shared" si="439"/>
        <v>0.60397029153121029</v>
      </c>
      <c r="AI1273" s="27">
        <f t="shared" si="439"/>
        <v>0.60274150240431557</v>
      </c>
      <c r="AJ1273" s="27">
        <f t="shared" si="439"/>
        <v>0.19069698851099628</v>
      </c>
      <c r="AK1273" s="27">
        <f t="shared" si="439"/>
        <v>0.19083619411236313</v>
      </c>
      <c r="AL1273" s="27">
        <f t="shared" si="439"/>
        <v>0.19096537877553132</v>
      </c>
      <c r="AM1273" s="27">
        <f t="shared" si="439"/>
        <v>0.19108541639025195</v>
      </c>
      <c r="AN1273" s="27">
        <f t="shared" si="439"/>
        <v>0.19119738340555115</v>
      </c>
      <c r="AO1273" s="27">
        <f t="shared" si="439"/>
        <v>0.19129776572073925</v>
      </c>
      <c r="AP1273" s="27">
        <f t="shared" si="439"/>
        <v>0.19138420348192833</v>
      </c>
      <c r="AQ1273" s="27">
        <f t="shared" si="439"/>
        <v>0.19145631825873433</v>
      </c>
      <c r="AR1273" s="27">
        <f t="shared" si="439"/>
        <v>0.19151143246366148</v>
      </c>
      <c r="AS1273" s="27">
        <f t="shared" si="439"/>
        <v>0.19154663907394784</v>
      </c>
      <c r="AT1273" s="27">
        <f t="shared" si="439"/>
        <v>0.19156157903173729</v>
      </c>
      <c r="AU1273" s="27">
        <f t="shared" si="439"/>
        <v>0.19155666524405471</v>
      </c>
      <c r="AV1273" s="27">
        <f t="shared" si="439"/>
        <v>0.19153218566591518</v>
      </c>
      <c r="AW1273" s="27">
        <f t="shared" si="439"/>
        <v>0.1914854060866179</v>
      </c>
      <c r="AY1273" s="79"/>
      <c r="AZ1273" s="79"/>
    </row>
    <row r="1274" spans="1:52" x14ac:dyDescent="0.25">
      <c r="A1274" s="95" t="str">
        <f t="shared" si="384"/>
        <v>FSFAGSPQNIBDDSCM Organic</v>
      </c>
      <c r="B1274" s="95" t="s">
        <v>1375</v>
      </c>
      <c r="C1274" s="95" t="s">
        <v>1127</v>
      </c>
      <c r="D1274" t="s">
        <v>369</v>
      </c>
      <c r="E1274" t="s">
        <v>55</v>
      </c>
      <c r="F1274" t="s">
        <v>421</v>
      </c>
      <c r="G1274" t="s">
        <v>1154</v>
      </c>
      <c r="H1274" t="s">
        <v>1155</v>
      </c>
      <c r="I1274" t="s">
        <v>139</v>
      </c>
      <c r="J1274" t="s">
        <v>287</v>
      </c>
      <c r="K1274" s="27">
        <f t="shared" ref="K1274:AW1274" si="440">IFERROR(K1467-((K1467-K58)+(K1467-K211)+(K1467-K364)+(K1467-K516)+(K1467-K668)+(K1467-K819)+(K1467-K970)+(K1467-K1121)),0)</f>
        <v>0.93210651077804862</v>
      </c>
      <c r="L1274" s="27">
        <f t="shared" si="440"/>
        <v>0.93731746283627526</v>
      </c>
      <c r="M1274" s="27">
        <f t="shared" si="440"/>
        <v>0.94471091139331731</v>
      </c>
      <c r="N1274" s="27">
        <f t="shared" si="440"/>
        <v>0.94946198965576145</v>
      </c>
      <c r="O1274" s="27">
        <f t="shared" si="440"/>
        <v>0.95261910289076102</v>
      </c>
      <c r="P1274" s="27">
        <f t="shared" si="440"/>
        <v>0.954151178054501</v>
      </c>
      <c r="Q1274" s="27">
        <f t="shared" si="440"/>
        <v>0.95753610227115837</v>
      </c>
      <c r="R1274" s="27">
        <f t="shared" si="440"/>
        <v>0.96141917889497153</v>
      </c>
      <c r="S1274" s="27">
        <f t="shared" si="440"/>
        <v>0.93410083205454864</v>
      </c>
      <c r="T1274" s="27">
        <f t="shared" si="440"/>
        <v>0.95017335975849948</v>
      </c>
      <c r="U1274" s="27">
        <f t="shared" si="440"/>
        <v>1.6348492529189775</v>
      </c>
      <c r="V1274" s="27">
        <f t="shared" si="440"/>
        <v>1.654556597592997</v>
      </c>
      <c r="W1274" s="27">
        <f t="shared" si="440"/>
        <v>1.6733995299117927</v>
      </c>
      <c r="X1274" s="27">
        <f t="shared" si="440"/>
        <v>1.6910575357556168</v>
      </c>
      <c r="Y1274" s="27">
        <f t="shared" si="440"/>
        <v>1.7070590539423278</v>
      </c>
      <c r="Z1274" s="27">
        <f t="shared" si="440"/>
        <v>1.7213293570218551</v>
      </c>
      <c r="AA1274" s="27">
        <f t="shared" si="440"/>
        <v>1.7337853129463565</v>
      </c>
      <c r="AB1274" s="27">
        <f t="shared" si="440"/>
        <v>1.7443640030228067</v>
      </c>
      <c r="AC1274" s="27">
        <f t="shared" si="440"/>
        <v>1.753015528262897</v>
      </c>
      <c r="AD1274" s="27">
        <f t="shared" si="440"/>
        <v>1.7596874336160764</v>
      </c>
      <c r="AE1274" s="27">
        <f t="shared" si="440"/>
        <v>1.7643483162924332</v>
      </c>
      <c r="AF1274" s="27">
        <f t="shared" si="440"/>
        <v>1.7669680540529458</v>
      </c>
      <c r="AG1274" s="27">
        <f t="shared" si="440"/>
        <v>1.7675175450817782</v>
      </c>
      <c r="AH1274" s="27">
        <f t="shared" si="440"/>
        <v>1.7659914748282959</v>
      </c>
      <c r="AI1274" s="27">
        <f t="shared" si="440"/>
        <v>1.7623985313459991</v>
      </c>
      <c r="AJ1274" s="27">
        <f t="shared" si="440"/>
        <v>0.55759241920998737</v>
      </c>
      <c r="AK1274" s="27">
        <f t="shared" si="440"/>
        <v>0.55799945231858428</v>
      </c>
      <c r="AL1274" s="27">
        <f t="shared" si="440"/>
        <v>0.55837718449685969</v>
      </c>
      <c r="AM1274" s="27">
        <f t="shared" si="440"/>
        <v>0.55872817097289618</v>
      </c>
      <c r="AN1274" s="27">
        <f t="shared" si="440"/>
        <v>0.55905555925217576</v>
      </c>
      <c r="AO1274" s="27">
        <f t="shared" si="440"/>
        <v>0.55934907420701951</v>
      </c>
      <c r="AP1274" s="27">
        <f t="shared" si="440"/>
        <v>0.55960181569365119</v>
      </c>
      <c r="AQ1274" s="27">
        <f t="shared" si="440"/>
        <v>0.55981267719269234</v>
      </c>
      <c r="AR1274" s="27">
        <f t="shared" si="440"/>
        <v>0.55997382951658647</v>
      </c>
      <c r="AS1274" s="27">
        <f t="shared" si="440"/>
        <v>0.56007677261576738</v>
      </c>
      <c r="AT1274" s="27">
        <f t="shared" si="440"/>
        <v>0.56012045661556076</v>
      </c>
      <c r="AU1274" s="27">
        <f t="shared" si="440"/>
        <v>0.56010608884403601</v>
      </c>
      <c r="AV1274" s="27">
        <f t="shared" si="440"/>
        <v>0.56003451127323822</v>
      </c>
      <c r="AW1274" s="27">
        <f t="shared" si="440"/>
        <v>0.55989772915101532</v>
      </c>
      <c r="AY1274" s="79"/>
      <c r="AZ1274" s="79"/>
    </row>
    <row r="1275" spans="1:52" x14ac:dyDescent="0.25">
      <c r="A1275" s="95" t="str">
        <f t="shared" si="384"/>
        <v>FSFAGSPQNIBDDSCM Organic</v>
      </c>
      <c r="B1275" s="95" t="s">
        <v>1375</v>
      </c>
      <c r="C1275" s="95" t="s">
        <v>1127</v>
      </c>
      <c r="D1275" t="s">
        <v>369</v>
      </c>
      <c r="E1275" t="s">
        <v>55</v>
      </c>
      <c r="F1275" t="s">
        <v>421</v>
      </c>
      <c r="G1275" t="s">
        <v>1156</v>
      </c>
      <c r="H1275" t="s">
        <v>1157</v>
      </c>
      <c r="I1275" t="s">
        <v>139</v>
      </c>
      <c r="J1275" t="s">
        <v>287</v>
      </c>
      <c r="K1275" s="27">
        <f t="shared" ref="K1275:AW1275" si="441">IFERROR(K1468-((K1468-K59)+(K1468-K212)+(K1468-K365)+(K1468-K517)+(K1468-K669)+(K1468-K820)+(K1468-K971)+(K1468-K1122)),0)</f>
        <v>4.9862442750846919E-2</v>
      </c>
      <c r="L1275" s="27">
        <f t="shared" si="441"/>
        <v>5.0141199304605817E-2</v>
      </c>
      <c r="M1275" s="27">
        <f t="shared" si="441"/>
        <v>5.0536707115294892E-2</v>
      </c>
      <c r="N1275" s="27">
        <f t="shared" si="441"/>
        <v>5.0790863013925151E-2</v>
      </c>
      <c r="O1275" s="27">
        <f t="shared" si="441"/>
        <v>5.0959750770976343E-2</v>
      </c>
      <c r="P1275" s="27">
        <f t="shared" si="441"/>
        <v>5.1041708153806126E-2</v>
      </c>
      <c r="Q1275" s="27">
        <f t="shared" si="441"/>
        <v>5.122278251388987E-2</v>
      </c>
      <c r="R1275" s="27">
        <f t="shared" si="441"/>
        <v>5.1430505218981189E-2</v>
      </c>
      <c r="S1275" s="27">
        <f t="shared" si="441"/>
        <v>4.9969127694387626E-2</v>
      </c>
      <c r="T1275" s="27">
        <f t="shared" si="441"/>
        <v>5.08289173034428E-2</v>
      </c>
      <c r="U1275" s="27">
        <f t="shared" si="441"/>
        <v>8.7455217120941425E-2</v>
      </c>
      <c r="V1275" s="27">
        <f t="shared" si="441"/>
        <v>8.8509448943396227E-2</v>
      </c>
      <c r="W1275" s="27">
        <f t="shared" si="441"/>
        <v>8.9517439578736563E-2</v>
      </c>
      <c r="X1275" s="27">
        <f t="shared" si="441"/>
        <v>9.0462043328738057E-2</v>
      </c>
      <c r="Y1275" s="27">
        <f t="shared" si="441"/>
        <v>9.1318034328999972E-2</v>
      </c>
      <c r="Z1275" s="27">
        <f t="shared" si="441"/>
        <v>9.2081415082285539E-2</v>
      </c>
      <c r="AA1275" s="27">
        <f t="shared" si="441"/>
        <v>9.2747738492765894E-2</v>
      </c>
      <c r="AB1275" s="27">
        <f t="shared" si="441"/>
        <v>9.3313638765123857E-2</v>
      </c>
      <c r="AC1275" s="27">
        <f t="shared" si="441"/>
        <v>9.3776446584834763E-2</v>
      </c>
      <c r="AD1275" s="27">
        <f t="shared" si="441"/>
        <v>9.4133355902455834E-2</v>
      </c>
      <c r="AE1275" s="27">
        <f t="shared" si="441"/>
        <v>9.4382686845787919E-2</v>
      </c>
      <c r="AF1275" s="27">
        <f t="shared" si="441"/>
        <v>9.4522828044884072E-2</v>
      </c>
      <c r="AG1275" s="27">
        <f t="shared" si="441"/>
        <v>9.4552222716684439E-2</v>
      </c>
      <c r="AH1275" s="27">
        <f t="shared" si="441"/>
        <v>9.4470586562695413E-2</v>
      </c>
      <c r="AI1275" s="27">
        <f t="shared" si="441"/>
        <v>9.4278384344792743E-2</v>
      </c>
      <c r="AJ1275" s="27">
        <f t="shared" si="441"/>
        <v>2.9828050506756527E-2</v>
      </c>
      <c r="AK1275" s="27">
        <f t="shared" si="441"/>
        <v>2.9849824483056911E-2</v>
      </c>
      <c r="AL1275" s="27">
        <f t="shared" si="441"/>
        <v>2.9870031024795022E-2</v>
      </c>
      <c r="AM1275" s="27">
        <f t="shared" si="441"/>
        <v>2.9888806822265943E-2</v>
      </c>
      <c r="AN1275" s="27">
        <f t="shared" si="441"/>
        <v>2.9906320249266097E-2</v>
      </c>
      <c r="AO1275" s="27">
        <f t="shared" si="441"/>
        <v>2.9922021644399784E-2</v>
      </c>
      <c r="AP1275" s="27">
        <f t="shared" si="441"/>
        <v>2.9935541888880673E-2</v>
      </c>
      <c r="AQ1275" s="27">
        <f t="shared" si="441"/>
        <v>2.9946821790160959E-2</v>
      </c>
      <c r="AR1275" s="27">
        <f t="shared" si="441"/>
        <v>2.995544253085038E-2</v>
      </c>
      <c r="AS1275" s="27">
        <f t="shared" si="441"/>
        <v>2.9960949406223684E-2</v>
      </c>
      <c r="AT1275" s="27">
        <f t="shared" si="441"/>
        <v>2.9963286253905406E-2</v>
      </c>
      <c r="AU1275" s="27">
        <f t="shared" si="441"/>
        <v>2.9962517659139858E-2</v>
      </c>
      <c r="AV1275" s="27">
        <f t="shared" si="441"/>
        <v>2.995868866268411E-2</v>
      </c>
      <c r="AW1275" s="27">
        <f t="shared" si="441"/>
        <v>2.9951371590375517E-2</v>
      </c>
      <c r="AY1275" s="79"/>
      <c r="AZ1275" s="79"/>
    </row>
    <row r="1276" spans="1:52" x14ac:dyDescent="0.25">
      <c r="A1276" s="95" t="str">
        <f t="shared" si="384"/>
        <v>FSFAGSPQNIBDDSCM Organic</v>
      </c>
      <c r="B1276" s="95" t="s">
        <v>1375</v>
      </c>
      <c r="C1276" s="95" t="s">
        <v>1127</v>
      </c>
      <c r="D1276" t="s">
        <v>369</v>
      </c>
      <c r="E1276" t="s">
        <v>55</v>
      </c>
      <c r="F1276" t="s">
        <v>421</v>
      </c>
      <c r="G1276" t="s">
        <v>1158</v>
      </c>
      <c r="H1276" t="s">
        <v>1159</v>
      </c>
      <c r="I1276" t="s">
        <v>139</v>
      </c>
      <c r="J1276" t="s">
        <v>287</v>
      </c>
      <c r="K1276" s="27">
        <f t="shared" ref="K1276:AW1276" si="442">IFERROR(K1469-((K1469-K60)+(K1469-K213)+(K1469-K366)+(K1469-K518)+(K1469-K670)+(K1469-K821)+(K1469-K972)+(K1469-K1123)),0)</f>
        <v>0.39999978998352292</v>
      </c>
      <c r="L1276" s="27">
        <f t="shared" si="442"/>
        <v>0.39653071954810204</v>
      </c>
      <c r="M1276" s="27">
        <f t="shared" si="442"/>
        <v>0.39521014945095018</v>
      </c>
      <c r="N1276" s="27">
        <f t="shared" si="442"/>
        <v>0.38993263522397326</v>
      </c>
      <c r="O1276" s="27">
        <f t="shared" si="442"/>
        <v>0.382272194437701</v>
      </c>
      <c r="P1276" s="27">
        <f t="shared" si="442"/>
        <v>0.37238723301511389</v>
      </c>
      <c r="Q1276" s="27">
        <f t="shared" si="442"/>
        <v>0.36459067483623864</v>
      </c>
      <c r="R1276" s="27">
        <f t="shared" si="442"/>
        <v>0.35721424445443944</v>
      </c>
      <c r="S1276" s="27">
        <f t="shared" si="442"/>
        <v>0.31946339774377674</v>
      </c>
      <c r="T1276" s="27">
        <f t="shared" si="442"/>
        <v>0.33177135164852617</v>
      </c>
      <c r="U1276" s="27">
        <f t="shared" si="442"/>
        <v>1.0456423232959036</v>
      </c>
      <c r="V1276" s="27">
        <f t="shared" si="442"/>
        <v>1.0506858527476302</v>
      </c>
      <c r="W1276" s="27">
        <f t="shared" si="442"/>
        <v>1.0539136991279403</v>
      </c>
      <c r="X1276" s="27">
        <f t="shared" si="442"/>
        <v>1.0553252049864941</v>
      </c>
      <c r="Y1276" s="27">
        <f t="shared" si="442"/>
        <v>1.0549502713547947</v>
      </c>
      <c r="Z1276" s="27">
        <f t="shared" si="442"/>
        <v>1.0527709267508603</v>
      </c>
      <c r="AA1276" s="27">
        <f t="shared" si="442"/>
        <v>1.0487818326891256</v>
      </c>
      <c r="AB1276" s="27">
        <f t="shared" si="442"/>
        <v>1.0429862897745465</v>
      </c>
      <c r="AC1276" s="27">
        <f t="shared" si="442"/>
        <v>1.0353973298775558</v>
      </c>
      <c r="AD1276" s="27">
        <f t="shared" si="442"/>
        <v>1.0174175581982712</v>
      </c>
      <c r="AE1276" s="27">
        <f t="shared" si="442"/>
        <v>0.99774420575118894</v>
      </c>
      <c r="AF1276" s="27">
        <f t="shared" si="442"/>
        <v>0.97646566881417607</v>
      </c>
      <c r="AG1276" s="27">
        <f t="shared" si="442"/>
        <v>0.95368038799648891</v>
      </c>
      <c r="AH1276" s="27">
        <f t="shared" si="442"/>
        <v>0.92949316172660157</v>
      </c>
      <c r="AI1276" s="27">
        <f t="shared" si="442"/>
        <v>0.90401558532438187</v>
      </c>
      <c r="AJ1276" s="27">
        <f t="shared" si="442"/>
        <v>-6.9801929759449391E-2</v>
      </c>
      <c r="AK1276" s="27">
        <f t="shared" si="442"/>
        <v>-6.8121301003411724E-2</v>
      </c>
      <c r="AL1276" s="27">
        <f t="shared" si="442"/>
        <v>-6.6458158331925851E-2</v>
      </c>
      <c r="AM1276" s="27">
        <f t="shared" si="442"/>
        <v>-6.481232997303113E-2</v>
      </c>
      <c r="AN1276" s="27">
        <f t="shared" si="442"/>
        <v>-6.3506079477571004E-2</v>
      </c>
      <c r="AO1276" s="27">
        <f t="shared" si="442"/>
        <v>-6.2212220196709189E-2</v>
      </c>
      <c r="AP1276" s="27">
        <f t="shared" si="442"/>
        <v>-6.0929789794195444E-2</v>
      </c>
      <c r="AQ1276" s="27">
        <f t="shared" si="442"/>
        <v>-5.9658470603933263E-2</v>
      </c>
      <c r="AR1276" s="27">
        <f t="shared" si="442"/>
        <v>-5.839733316411725E-2</v>
      </c>
      <c r="AS1276" s="27">
        <f t="shared" si="442"/>
        <v>-5.7145467253207828E-2</v>
      </c>
      <c r="AT1276" s="27">
        <f t="shared" si="442"/>
        <v>-5.590272668429646E-2</v>
      </c>
      <c r="AU1276" s="27">
        <f t="shared" si="442"/>
        <v>-5.4669188235492674E-2</v>
      </c>
      <c r="AV1276" s="27">
        <f t="shared" si="442"/>
        <v>-5.3444899006114648E-2</v>
      </c>
      <c r="AW1276" s="27">
        <f t="shared" si="442"/>
        <v>-5.2229155811497792E-2</v>
      </c>
      <c r="AY1276" s="79"/>
      <c r="AZ1276" s="79"/>
    </row>
    <row r="1277" spans="1:52" x14ac:dyDescent="0.25">
      <c r="A1277" s="95" t="str">
        <f t="shared" si="384"/>
        <v>FSFAGSPQNIBDDSCM Organic</v>
      </c>
      <c r="B1277" s="95" t="s">
        <v>1375</v>
      </c>
      <c r="C1277" s="95" t="s">
        <v>1127</v>
      </c>
      <c r="D1277" t="s">
        <v>369</v>
      </c>
      <c r="E1277" t="s">
        <v>55</v>
      </c>
      <c r="F1277" t="s">
        <v>421</v>
      </c>
      <c r="G1277" t="s">
        <v>1160</v>
      </c>
      <c r="H1277" t="s">
        <v>1161</v>
      </c>
      <c r="I1277" t="s">
        <v>139</v>
      </c>
      <c r="J1277" t="s">
        <v>287</v>
      </c>
      <c r="K1277" s="27">
        <f t="shared" ref="K1277:AW1277" si="443">IFERROR(K1470-((K1470-K61)+(K1470-K214)+(K1470-K367)+(K1470-K519)+(K1470-K671)+(K1470-K822)+(K1470-K973)+(K1470-K1124)),0)</f>
        <v>2.6602988559851242</v>
      </c>
      <c r="L1277" s="27">
        <f t="shared" si="443"/>
        <v>2.6372269335947092</v>
      </c>
      <c r="M1277" s="27">
        <f t="shared" si="443"/>
        <v>2.6284441511866339</v>
      </c>
      <c r="N1277" s="27">
        <f t="shared" si="443"/>
        <v>2.5933447201068063</v>
      </c>
      <c r="O1277" s="27">
        <f t="shared" si="443"/>
        <v>2.5423970387070201</v>
      </c>
      <c r="P1277" s="27">
        <f t="shared" si="443"/>
        <v>2.4766546252796315</v>
      </c>
      <c r="Q1277" s="27">
        <f t="shared" si="443"/>
        <v>2.4248016610449814</v>
      </c>
      <c r="R1277" s="27">
        <f t="shared" si="443"/>
        <v>2.3757428620222041</v>
      </c>
      <c r="S1277" s="27">
        <f t="shared" si="443"/>
        <v>2.1246713944072271</v>
      </c>
      <c r="T1277" s="27">
        <f t="shared" si="443"/>
        <v>2.2065285266163999</v>
      </c>
      <c r="U1277" s="27">
        <f t="shared" si="443"/>
        <v>6.9543063423815932</v>
      </c>
      <c r="V1277" s="27">
        <f t="shared" si="443"/>
        <v>6.9878495990695715</v>
      </c>
      <c r="W1277" s="27">
        <f t="shared" si="443"/>
        <v>7.0093172004230366</v>
      </c>
      <c r="X1277" s="27">
        <f t="shared" si="443"/>
        <v>7.0187047739037158</v>
      </c>
      <c r="Y1277" s="27">
        <f t="shared" si="443"/>
        <v>7.0162111838157779</v>
      </c>
      <c r="Z1277" s="27">
        <f t="shared" si="443"/>
        <v>7.0017169063140772</v>
      </c>
      <c r="AA1277" s="27">
        <f t="shared" si="443"/>
        <v>6.9751864364623621</v>
      </c>
      <c r="AB1277" s="27">
        <f t="shared" si="443"/>
        <v>6.9366417257611337</v>
      </c>
      <c r="AC1277" s="27">
        <f t="shared" si="443"/>
        <v>6.8861694459309035</v>
      </c>
      <c r="AD1277" s="27">
        <f t="shared" si="443"/>
        <v>6.7665904680738294</v>
      </c>
      <c r="AE1277" s="27">
        <f t="shared" si="443"/>
        <v>6.6357479068551806</v>
      </c>
      <c r="AF1277" s="27">
        <f t="shared" si="443"/>
        <v>6.4942296638758421</v>
      </c>
      <c r="AG1277" s="27">
        <f t="shared" si="443"/>
        <v>6.3426904430800271</v>
      </c>
      <c r="AH1277" s="27">
        <f t="shared" si="443"/>
        <v>6.181827232682128</v>
      </c>
      <c r="AI1277" s="27">
        <f t="shared" si="443"/>
        <v>6.0123822253262711</v>
      </c>
      <c r="AJ1277" s="27">
        <f t="shared" si="443"/>
        <v>-0.46423522845416099</v>
      </c>
      <c r="AK1277" s="27">
        <f t="shared" si="443"/>
        <v>-0.45305778569298638</v>
      </c>
      <c r="AL1277" s="27">
        <f t="shared" si="443"/>
        <v>-0.44199663851969367</v>
      </c>
      <c r="AM1277" s="27">
        <f t="shared" si="443"/>
        <v>-0.43105064452180719</v>
      </c>
      <c r="AN1277" s="27">
        <f t="shared" si="443"/>
        <v>-0.42236309821373103</v>
      </c>
      <c r="AO1277" s="27">
        <f t="shared" si="443"/>
        <v>-0.41375796278397442</v>
      </c>
      <c r="AP1277" s="27">
        <f t="shared" si="443"/>
        <v>-0.40522883797411285</v>
      </c>
      <c r="AQ1277" s="27">
        <f t="shared" si="443"/>
        <v>-0.3967736110661545</v>
      </c>
      <c r="AR1277" s="27">
        <f t="shared" si="443"/>
        <v>-0.38838610044140948</v>
      </c>
      <c r="AS1277" s="27">
        <f t="shared" si="443"/>
        <v>-0.38006025244339864</v>
      </c>
      <c r="AT1277" s="27">
        <f t="shared" si="443"/>
        <v>-0.37179509481944717</v>
      </c>
      <c r="AU1277" s="27">
        <f t="shared" si="443"/>
        <v>-0.36359113820161632</v>
      </c>
      <c r="AV1277" s="27">
        <f t="shared" si="443"/>
        <v>-0.35544869583572547</v>
      </c>
      <c r="AW1277" s="27">
        <f t="shared" si="443"/>
        <v>-0.34736309101592239</v>
      </c>
      <c r="AY1277" s="79"/>
      <c r="AZ1277" s="79"/>
    </row>
    <row r="1278" spans="1:52" x14ac:dyDescent="0.25">
      <c r="A1278" s="95" t="str">
        <f t="shared" si="384"/>
        <v>FSFAGSPQNIBDDSCM Organic</v>
      </c>
      <c r="B1278" s="95" t="s">
        <v>1375</v>
      </c>
      <c r="C1278" s="95" t="s">
        <v>1127</v>
      </c>
      <c r="D1278" t="s">
        <v>369</v>
      </c>
      <c r="E1278" t="s">
        <v>55</v>
      </c>
      <c r="F1278" t="s">
        <v>421</v>
      </c>
      <c r="G1278" t="s">
        <v>1162</v>
      </c>
      <c r="H1278" t="s">
        <v>1163</v>
      </c>
      <c r="I1278" t="s">
        <v>139</v>
      </c>
      <c r="J1278" t="s">
        <v>287</v>
      </c>
      <c r="K1278" s="27">
        <f t="shared" ref="K1278:AW1278" si="444">IFERROR(K1471-((K1471-K62)+(K1471-K215)+(K1471-K368)+(K1471-K520)+(K1471-K672)+(K1471-K823)+(K1471-K974)+(K1471-K1125)),0)</f>
        <v>0.34358078636628736</v>
      </c>
      <c r="L1278" s="27">
        <f t="shared" si="444"/>
        <v>0.35516571939691516</v>
      </c>
      <c r="M1278" s="27">
        <f t="shared" si="444"/>
        <v>0.36891582276573964</v>
      </c>
      <c r="N1278" s="27">
        <f t="shared" si="444"/>
        <v>0.379170347917821</v>
      </c>
      <c r="O1278" s="27">
        <f t="shared" si="444"/>
        <v>0.38707850955818851</v>
      </c>
      <c r="P1278" s="27">
        <f t="shared" si="444"/>
        <v>0.39252728601928999</v>
      </c>
      <c r="Q1278" s="27">
        <f t="shared" si="444"/>
        <v>0.3999671364536494</v>
      </c>
      <c r="R1278" s="27">
        <f t="shared" si="444"/>
        <v>0.40776627193753145</v>
      </c>
      <c r="S1278" s="27">
        <f t="shared" si="444"/>
        <v>0.37941149708510857</v>
      </c>
      <c r="T1278" s="27">
        <f t="shared" si="444"/>
        <v>0.40352229075935825</v>
      </c>
      <c r="U1278" s="27">
        <f t="shared" si="444"/>
        <v>1.3019992837200502</v>
      </c>
      <c r="V1278" s="27">
        <f t="shared" si="444"/>
        <v>1.3389713551242044</v>
      </c>
      <c r="W1278" s="27">
        <f t="shared" si="444"/>
        <v>1.3742225442034364</v>
      </c>
      <c r="X1278" s="27">
        <f t="shared" si="444"/>
        <v>1.4076173986220344</v>
      </c>
      <c r="Y1278" s="27">
        <f t="shared" si="444"/>
        <v>1.4390577517114058</v>
      </c>
      <c r="Z1278" s="27">
        <f t="shared" si="444"/>
        <v>1.4683777754211462</v>
      </c>
      <c r="AA1278" s="27">
        <f t="shared" si="444"/>
        <v>1.4954226905831736</v>
      </c>
      <c r="AB1278" s="27">
        <f t="shared" si="444"/>
        <v>1.5200446118078883</v>
      </c>
      <c r="AC1278" s="27">
        <f t="shared" si="444"/>
        <v>1.5421052715646864</v>
      </c>
      <c r="AD1278" s="27">
        <f t="shared" si="444"/>
        <v>1.5655788001500457</v>
      </c>
      <c r="AE1278" s="27">
        <f t="shared" si="444"/>
        <v>1.5863184064827547</v>
      </c>
      <c r="AF1278" s="27">
        <f t="shared" si="444"/>
        <v>1.604202691450189</v>
      </c>
      <c r="AG1278" s="27">
        <f t="shared" si="444"/>
        <v>1.6191262740936789</v>
      </c>
      <c r="AH1278" s="27">
        <f t="shared" si="444"/>
        <v>1.6309961254310048</v>
      </c>
      <c r="AI1278" s="27">
        <f t="shared" si="444"/>
        <v>1.6397344068055653</v>
      </c>
      <c r="AJ1278" s="27">
        <f t="shared" si="444"/>
        <v>-0.13089608517240703</v>
      </c>
      <c r="AK1278" s="27">
        <f t="shared" si="444"/>
        <v>-0.13209410170523925</v>
      </c>
      <c r="AL1278" s="27">
        <f t="shared" si="444"/>
        <v>-0.13328419638855493</v>
      </c>
      <c r="AM1278" s="27">
        <f t="shared" si="444"/>
        <v>-0.13446696197747518</v>
      </c>
      <c r="AN1278" s="27">
        <f t="shared" si="444"/>
        <v>-0.13547441854530159</v>
      </c>
      <c r="AO1278" s="27">
        <f t="shared" si="444"/>
        <v>-0.13647180135664599</v>
      </c>
      <c r="AP1278" s="27">
        <f t="shared" si="444"/>
        <v>-0.1374575838778328</v>
      </c>
      <c r="AQ1278" s="27">
        <f t="shared" si="444"/>
        <v>-0.13843149499593352</v>
      </c>
      <c r="AR1278" s="27">
        <f t="shared" si="444"/>
        <v>-0.13939171751336263</v>
      </c>
      <c r="AS1278" s="27">
        <f t="shared" si="444"/>
        <v>-0.14033622294950923</v>
      </c>
      <c r="AT1278" s="27">
        <f t="shared" si="444"/>
        <v>-0.14126464078823431</v>
      </c>
      <c r="AU1278" s="27">
        <f t="shared" si="444"/>
        <v>-0.14217711138361663</v>
      </c>
      <c r="AV1278" s="27">
        <f t="shared" si="444"/>
        <v>-0.14307369087756849</v>
      </c>
      <c r="AW1278" s="27">
        <f t="shared" si="444"/>
        <v>-0.14395235507647042</v>
      </c>
      <c r="AY1278" s="79"/>
      <c r="AZ1278" s="79"/>
    </row>
    <row r="1279" spans="1:52" x14ac:dyDescent="0.25">
      <c r="A1279" s="95" t="str">
        <f t="shared" si="384"/>
        <v>FSFAGSPQNIBDDSCM Organic</v>
      </c>
      <c r="B1279" s="95" t="s">
        <v>1375</v>
      </c>
      <c r="C1279" s="95" t="s">
        <v>1127</v>
      </c>
      <c r="D1279" t="s">
        <v>369</v>
      </c>
      <c r="E1279" t="s">
        <v>55</v>
      </c>
      <c r="F1279" t="s">
        <v>421</v>
      </c>
      <c r="G1279" t="s">
        <v>1164</v>
      </c>
      <c r="H1279" t="s">
        <v>1165</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5.9207171446821721E-2</v>
      </c>
      <c r="T1279" s="27">
        <f t="shared" si="445"/>
        <v>5.9246576334297835E-2</v>
      </c>
      <c r="U1279" s="27">
        <f t="shared" si="445"/>
        <v>6.0018268189792646E-2</v>
      </c>
      <c r="V1279" s="27">
        <f t="shared" si="445"/>
        <v>6.0037093010318184E-2</v>
      </c>
      <c r="W1279" s="27">
        <f t="shared" si="445"/>
        <v>6.0117615700915394E-2</v>
      </c>
      <c r="X1279" s="27">
        <f t="shared" si="445"/>
        <v>6.0234013204612538E-2</v>
      </c>
      <c r="Y1279" s="27">
        <f t="shared" si="445"/>
        <v>6.0342142496718161E-2</v>
      </c>
      <c r="Z1279" s="27">
        <f t="shared" si="445"/>
        <v>6.0443342363168437E-2</v>
      </c>
      <c r="AA1279" s="27">
        <f t="shared" si="445"/>
        <v>6.0537073159976813E-2</v>
      </c>
      <c r="AB1279" s="27">
        <f t="shared" si="445"/>
        <v>6.0624179409324928E-2</v>
      </c>
      <c r="AC1279" s="27">
        <f t="shared" si="445"/>
        <v>6.0705982424299358E-2</v>
      </c>
      <c r="AD1279" s="27">
        <f t="shared" si="445"/>
        <v>6.0782405127579278E-2</v>
      </c>
      <c r="AE1279" s="27">
        <f t="shared" si="445"/>
        <v>6.0854669862410914E-2</v>
      </c>
      <c r="AF1279" s="27">
        <f t="shared" si="445"/>
        <v>6.0922951557005132E-2</v>
      </c>
      <c r="AG1279" s="27">
        <f t="shared" si="445"/>
        <v>6.0986314332021271E-2</v>
      </c>
      <c r="AH1279" s="27">
        <f t="shared" si="445"/>
        <v>6.1045337815494746E-2</v>
      </c>
      <c r="AI1279" s="27">
        <f t="shared" si="445"/>
        <v>6.1100963630343091E-2</v>
      </c>
      <c r="AJ1279" s="27">
        <f t="shared" si="445"/>
        <v>5.9760031976995184E-2</v>
      </c>
      <c r="AK1279" s="27">
        <f t="shared" si="445"/>
        <v>5.9814986740369232E-2</v>
      </c>
      <c r="AL1279" s="27">
        <f t="shared" si="445"/>
        <v>5.9866245389547455E-2</v>
      </c>
      <c r="AM1279" s="27">
        <f t="shared" si="445"/>
        <v>5.9914121191052938E-2</v>
      </c>
      <c r="AN1279" s="27">
        <f t="shared" si="445"/>
        <v>5.9958994957515464E-2</v>
      </c>
      <c r="AO1279" s="27">
        <f t="shared" si="445"/>
        <v>5.9999686326466663E-2</v>
      </c>
      <c r="AP1279" s="27">
        <f t="shared" si="445"/>
        <v>6.0035407039000573E-2</v>
      </c>
      <c r="AQ1279" s="27">
        <f t="shared" si="445"/>
        <v>6.0066041639394212E-2</v>
      </c>
      <c r="AR1279" s="27">
        <f t="shared" si="445"/>
        <v>6.0090693101993796E-2</v>
      </c>
      <c r="AS1279" s="27">
        <f t="shared" si="445"/>
        <v>6.010838638445111E-2</v>
      </c>
      <c r="AT1279" s="27">
        <f t="shared" si="445"/>
        <v>6.0119011530987615E-2</v>
      </c>
      <c r="AU1279" s="27">
        <f t="shared" si="445"/>
        <v>6.0122720098989259E-2</v>
      </c>
      <c r="AV1279" s="27">
        <f t="shared" si="445"/>
        <v>6.0119620565134202E-2</v>
      </c>
      <c r="AW1279" s="27">
        <f t="shared" si="445"/>
        <v>6.0108795193871321E-2</v>
      </c>
      <c r="AY1279" s="79"/>
      <c r="AZ1279" s="79"/>
    </row>
    <row r="1280" spans="1:52" x14ac:dyDescent="0.25">
      <c r="A1280" s="95" t="str">
        <f t="shared" si="384"/>
        <v>FSFAGSPQNIBDDSCM Organic</v>
      </c>
      <c r="B1280" s="95" t="s">
        <v>1375</v>
      </c>
      <c r="C1280" s="95" t="s">
        <v>1127</v>
      </c>
      <c r="D1280" t="s">
        <v>369</v>
      </c>
      <c r="E1280" t="s">
        <v>55</v>
      </c>
      <c r="F1280" t="s">
        <v>421</v>
      </c>
      <c r="G1280" t="s">
        <v>1166</v>
      </c>
      <c r="H1280" t="s">
        <v>1167</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4.8186589457144935E-2</v>
      </c>
      <c r="T1280" s="27">
        <f t="shared" si="446"/>
        <v>4.8218659679197723E-2</v>
      </c>
      <c r="U1280" s="27">
        <f t="shared" si="446"/>
        <v>4.884671195258742E-2</v>
      </c>
      <c r="V1280" s="27">
        <f t="shared" si="446"/>
        <v>4.8862032797615189E-2</v>
      </c>
      <c r="W1280" s="27">
        <f t="shared" si="446"/>
        <v>4.8927567322217112E-2</v>
      </c>
      <c r="X1280" s="27">
        <f t="shared" si="446"/>
        <v>4.9022299068176782E-2</v>
      </c>
      <c r="Y1280" s="27">
        <f t="shared" si="446"/>
        <v>4.9110301613808693E-2</v>
      </c>
      <c r="Z1280" s="27">
        <f t="shared" si="446"/>
        <v>4.9192664548882145E-2</v>
      </c>
      <c r="AA1280" s="27">
        <f t="shared" si="446"/>
        <v>4.9268948676546534E-2</v>
      </c>
      <c r="AB1280" s="27">
        <f t="shared" si="446"/>
        <v>4.9339841323060789E-2</v>
      </c>
      <c r="AC1280" s="27">
        <f t="shared" si="446"/>
        <v>4.9406417857669777E-2</v>
      </c>
      <c r="AD1280" s="27">
        <f t="shared" si="446"/>
        <v>4.9468615549911547E-2</v>
      </c>
      <c r="AE1280" s="27">
        <f t="shared" si="446"/>
        <v>4.9527429221033953E-2</v>
      </c>
      <c r="AF1280" s="27">
        <f t="shared" si="446"/>
        <v>4.9583001238822449E-2</v>
      </c>
      <c r="AG1280" s="27">
        <f t="shared" si="446"/>
        <v>4.9634569924708931E-2</v>
      </c>
      <c r="AH1280" s="27">
        <f t="shared" si="446"/>
        <v>4.9682607017124701E-2</v>
      </c>
      <c r="AI1280" s="27">
        <f t="shared" si="446"/>
        <v>4.972787886912871E-2</v>
      </c>
      <c r="AJ1280" s="27">
        <f t="shared" si="446"/>
        <v>4.8636542777722926E-2</v>
      </c>
      <c r="AK1280" s="27">
        <f t="shared" si="446"/>
        <v>4.8681268485043679E-2</v>
      </c>
      <c r="AL1280" s="27">
        <f t="shared" si="446"/>
        <v>4.872298605782617E-2</v>
      </c>
      <c r="AM1280" s="27">
        <f t="shared" si="446"/>
        <v>4.8761950452437537E-2</v>
      </c>
      <c r="AN1280" s="27">
        <f t="shared" si="446"/>
        <v>4.8798471598594094E-2</v>
      </c>
      <c r="AO1280" s="27">
        <f t="shared" si="446"/>
        <v>4.8831588841694647E-2</v>
      </c>
      <c r="AP1280" s="27">
        <f t="shared" si="446"/>
        <v>4.8860660646138712E-2</v>
      </c>
      <c r="AQ1280" s="27">
        <f t="shared" si="446"/>
        <v>4.8885593046661804E-2</v>
      </c>
      <c r="AR1280" s="27">
        <f t="shared" si="446"/>
        <v>4.8905655986315542E-2</v>
      </c>
      <c r="AS1280" s="27">
        <f t="shared" si="446"/>
        <v>4.8920055913167046E-2</v>
      </c>
      <c r="AT1280" s="27">
        <f t="shared" si="446"/>
        <v>4.8928703338159067E-2</v>
      </c>
      <c r="AU1280" s="27">
        <f t="shared" si="446"/>
        <v>4.8931721608402395E-2</v>
      </c>
      <c r="AV1280" s="27">
        <f t="shared" si="446"/>
        <v>4.8929199009167666E-2</v>
      </c>
      <c r="AW1280" s="27">
        <f t="shared" si="446"/>
        <v>4.892038862846515E-2</v>
      </c>
      <c r="AY1280" s="79"/>
      <c r="AZ1280" s="79"/>
    </row>
    <row r="1281" spans="1:52" x14ac:dyDescent="0.25">
      <c r="A1281" s="95" t="str">
        <f t="shared" si="384"/>
        <v>FSFAGSPQNIBDDSCM Organic</v>
      </c>
      <c r="B1281" s="95" t="s">
        <v>1375</v>
      </c>
      <c r="C1281" s="95" t="s">
        <v>1127</v>
      </c>
      <c r="D1281" t="s">
        <v>369</v>
      </c>
      <c r="E1281" t="s">
        <v>55</v>
      </c>
      <c r="F1281" t="s">
        <v>421</v>
      </c>
      <c r="G1281" t="s">
        <v>1168</v>
      </c>
      <c r="H1281" t="s">
        <v>1169</v>
      </c>
      <c r="I1281" t="s">
        <v>139</v>
      </c>
      <c r="J1281" t="s">
        <v>287</v>
      </c>
      <c r="K1281" s="27">
        <f t="shared" ref="K1281:AW1281" si="447">IFERROR(K1474-((K1474-K65)+(K1474-K218)+(K1474-K371)+(K1474-K523)+(K1474-K675)+(K1474-K826)+(K1474-K977)+(K1474-K1128)),0)</f>
        <v>7.214092738049376E-3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7.4155715935563154E-3</v>
      </c>
      <c r="R1281" s="27">
        <f t="shared" si="447"/>
        <v>7.4643602602570466E-3</v>
      </c>
      <c r="S1281" s="27">
        <f t="shared" si="447"/>
        <v>7.4461584032265975E-3</v>
      </c>
      <c r="T1281" s="27">
        <f t="shared" si="447"/>
        <v>7.4583442385416504E-3</v>
      </c>
      <c r="U1281" s="27">
        <f t="shared" si="447"/>
        <v>7.6095641103995637E-3</v>
      </c>
      <c r="V1281" s="27">
        <f t="shared" si="447"/>
        <v>7.616396041581105E-3</v>
      </c>
      <c r="W1281" s="27">
        <f t="shared" si="447"/>
        <v>7.6344836732780402E-3</v>
      </c>
      <c r="X1281" s="27">
        <f t="shared" si="447"/>
        <v>7.6588952719713966E-3</v>
      </c>
      <c r="Y1281" s="27">
        <f t="shared" si="447"/>
        <v>7.6812841131364881E-3</v>
      </c>
      <c r="Z1281" s="27">
        <f t="shared" si="447"/>
        <v>7.7019461381660883E-3</v>
      </c>
      <c r="AA1281" s="27">
        <f t="shared" si="447"/>
        <v>7.7208179709042681E-3</v>
      </c>
      <c r="AB1281" s="27">
        <f t="shared" si="447"/>
        <v>7.7380934023290734E-3</v>
      </c>
      <c r="AC1281" s="27">
        <f t="shared" si="447"/>
        <v>7.754051159190669E-3</v>
      </c>
      <c r="AD1281" s="27">
        <f t="shared" si="447"/>
        <v>7.7687040986248812E-3</v>
      </c>
      <c r="AE1281" s="27">
        <f t="shared" si="447"/>
        <v>7.7823052319108766E-3</v>
      </c>
      <c r="AF1281" s="27">
        <f t="shared" si="447"/>
        <v>7.7949088981362474E-3</v>
      </c>
      <c r="AG1281" s="27">
        <f t="shared" si="447"/>
        <v>7.8063612121467459E-3</v>
      </c>
      <c r="AH1281" s="27">
        <f t="shared" si="447"/>
        <v>7.8167890041067195E-3</v>
      </c>
      <c r="AI1281" s="27">
        <f t="shared" si="447"/>
        <v>7.8263838677397213E-3</v>
      </c>
      <c r="AJ1281" s="27">
        <f t="shared" si="447"/>
        <v>7.5779321545979533E-3</v>
      </c>
      <c r="AK1281" s="27">
        <f t="shared" si="447"/>
        <v>7.5875086550646472E-3</v>
      </c>
      <c r="AL1281" s="27">
        <f t="shared" si="447"/>
        <v>7.5962279285727895E-3</v>
      </c>
      <c r="AM1281" s="27">
        <f t="shared" si="447"/>
        <v>7.6041605420171859E-3</v>
      </c>
      <c r="AN1281" s="27">
        <f t="shared" si="447"/>
        <v>7.6113882168756348E-3</v>
      </c>
      <c r="AO1281" s="27">
        <f t="shared" si="447"/>
        <v>7.6177057736301935E-3</v>
      </c>
      <c r="AP1281" s="27">
        <f t="shared" si="447"/>
        <v>7.6229804846382823E-3</v>
      </c>
      <c r="AQ1281" s="27">
        <f t="shared" si="447"/>
        <v>7.6272026599535862E-3</v>
      </c>
      <c r="AR1281" s="27">
        <f t="shared" si="447"/>
        <v>7.6302198564372984E-3</v>
      </c>
      <c r="AS1281" s="27">
        <f t="shared" si="447"/>
        <v>7.6318659754992515E-3</v>
      </c>
      <c r="AT1281" s="27">
        <f t="shared" si="447"/>
        <v>7.6321325230528187E-3</v>
      </c>
      <c r="AU1281" s="27">
        <f t="shared" si="447"/>
        <v>7.631057996199485E-3</v>
      </c>
      <c r="AV1281" s="27">
        <f t="shared" si="447"/>
        <v>7.6286724448087007E-3</v>
      </c>
      <c r="AW1281" s="27">
        <f t="shared" si="447"/>
        <v>7.6248200266524988E-3</v>
      </c>
      <c r="AY1281" s="79"/>
      <c r="AZ1281" s="79"/>
    </row>
    <row r="1282" spans="1:52" x14ac:dyDescent="0.25">
      <c r="A1282" s="95" t="str">
        <f t="shared" si="384"/>
        <v>FSFAGSPQNIBDDSCM Organic</v>
      </c>
      <c r="B1282" s="95" t="s">
        <v>1375</v>
      </c>
      <c r="C1282" s="95" t="s">
        <v>1127</v>
      </c>
      <c r="D1282" t="s">
        <v>369</v>
      </c>
      <c r="E1282" t="s">
        <v>55</v>
      </c>
      <c r="F1282" t="s">
        <v>421</v>
      </c>
      <c r="G1282" t="s">
        <v>1170</v>
      </c>
      <c r="H1282" t="s">
        <v>1171</v>
      </c>
      <c r="I1282" t="s">
        <v>139</v>
      </c>
      <c r="J1282" t="s">
        <v>287</v>
      </c>
      <c r="K1282" s="27">
        <f t="shared" ref="K1282:AW1282" si="448">IFERROR(K1475-((K1475-K66)+(K1475-K219)+(K1475-K372)+(K1475-K524)+(K1475-K676)+(K1475-K827)+(K1475-K978)+(K1475-K1129)),0)</f>
        <v>8.7045671471293537E-2</v>
      </c>
      <c r="L1282" s="27">
        <f t="shared" si="448"/>
        <v>8.7271948200639354E-2</v>
      </c>
      <c r="M1282" s="27">
        <f t="shared" si="448"/>
        <v>8.7584088952434122E-2</v>
      </c>
      <c r="N1282" s="27">
        <f t="shared" si="448"/>
        <v>8.7964358824768801E-2</v>
      </c>
      <c r="O1282" s="27">
        <f t="shared" si="448"/>
        <v>8.8412215452112072E-2</v>
      </c>
      <c r="P1282" s="27">
        <f t="shared" si="448"/>
        <v>8.8924932944132923E-2</v>
      </c>
      <c r="Q1282" s="27">
        <f t="shared" si="448"/>
        <v>8.9476727309038592E-2</v>
      </c>
      <c r="R1282" s="27">
        <f t="shared" si="448"/>
        <v>9.0065414259340087E-2</v>
      </c>
      <c r="S1282" s="27">
        <f t="shared" si="448"/>
        <v>8.9845789571278714E-2</v>
      </c>
      <c r="T1282" s="27">
        <f t="shared" si="448"/>
        <v>8.9992824583989703E-2</v>
      </c>
      <c r="U1282" s="27">
        <f t="shared" si="448"/>
        <v>9.1817452539803057E-2</v>
      </c>
      <c r="V1282" s="27">
        <f t="shared" si="448"/>
        <v>9.1899887027234312E-2</v>
      </c>
      <c r="W1282" s="27">
        <f t="shared" si="448"/>
        <v>9.211813346563695E-2</v>
      </c>
      <c r="X1282" s="27">
        <f t="shared" si="448"/>
        <v>9.2412685265441663E-2</v>
      </c>
      <c r="Y1282" s="27">
        <f t="shared" si="448"/>
        <v>9.2682830352765116E-2</v>
      </c>
      <c r="Z1282" s="27">
        <f t="shared" si="448"/>
        <v>9.293213957403032E-2</v>
      </c>
      <c r="AA1282" s="27">
        <f t="shared" si="448"/>
        <v>9.3159848228775613E-2</v>
      </c>
      <c r="AB1282" s="27">
        <f t="shared" si="448"/>
        <v>9.3368294610452568E-2</v>
      </c>
      <c r="AC1282" s="27">
        <f t="shared" si="448"/>
        <v>9.356084185258419E-2</v>
      </c>
      <c r="AD1282" s="27">
        <f t="shared" si="448"/>
        <v>9.3737645090135047E-2</v>
      </c>
      <c r="AE1282" s="27">
        <f t="shared" si="448"/>
        <v>9.390175717222761E-2</v>
      </c>
      <c r="AF1282" s="27">
        <f t="shared" si="448"/>
        <v>9.40538337575203E-2</v>
      </c>
      <c r="AG1282" s="27">
        <f t="shared" si="448"/>
        <v>9.4192018058601723E-2</v>
      </c>
      <c r="AH1282" s="27">
        <f t="shared" si="448"/>
        <v>9.4317840415768184E-2</v>
      </c>
      <c r="AI1282" s="27">
        <f t="shared" si="448"/>
        <v>9.4433612610268142E-2</v>
      </c>
      <c r="AJ1282" s="27">
        <f t="shared" si="448"/>
        <v>9.1435779482264015E-2</v>
      </c>
      <c r="AK1282" s="27">
        <f t="shared" si="448"/>
        <v>9.1551330105708581E-2</v>
      </c>
      <c r="AL1282" s="27">
        <f t="shared" si="448"/>
        <v>9.1656537377754754E-2</v>
      </c>
      <c r="AM1282" s="27">
        <f t="shared" si="448"/>
        <v>9.175225276274665E-2</v>
      </c>
      <c r="AN1282" s="27">
        <f t="shared" si="448"/>
        <v>9.1839462316889414E-2</v>
      </c>
      <c r="AO1282" s="27">
        <f t="shared" si="448"/>
        <v>9.1915690331932545E-2</v>
      </c>
      <c r="AP1282" s="27">
        <f t="shared" si="448"/>
        <v>9.1979335308257068E-2</v>
      </c>
      <c r="AQ1282" s="27">
        <f t="shared" si="448"/>
        <v>9.2030280326395222E-2</v>
      </c>
      <c r="AR1282" s="27">
        <f t="shared" si="448"/>
        <v>9.2066685998379513E-2</v>
      </c>
      <c r="AS1282" s="27">
        <f t="shared" si="448"/>
        <v>9.2086548168755195E-2</v>
      </c>
      <c r="AT1282" s="27">
        <f t="shared" si="448"/>
        <v>9.2089764347368611E-2</v>
      </c>
      <c r="AU1282" s="27">
        <f t="shared" si="448"/>
        <v>9.2076799042532853E-2</v>
      </c>
      <c r="AV1282" s="27">
        <f t="shared" si="448"/>
        <v>9.2048014837757555E-2</v>
      </c>
      <c r="AW1282" s="27">
        <f t="shared" si="448"/>
        <v>9.2001531331463521E-2</v>
      </c>
      <c r="AY1282" s="79"/>
      <c r="AZ1282" s="79"/>
    </row>
    <row r="1283" spans="1:52" x14ac:dyDescent="0.25">
      <c r="A1283" s="95" t="str">
        <f t="shared" si="384"/>
        <v>FSFAGSPQNIBDDSCM Organic</v>
      </c>
      <c r="B1283" s="95" t="s">
        <v>1375</v>
      </c>
      <c r="C1283" s="95" t="s">
        <v>1127</v>
      </c>
      <c r="D1283" t="s">
        <v>369</v>
      </c>
      <c r="E1283" t="s">
        <v>55</v>
      </c>
      <c r="F1283" t="s">
        <v>421</v>
      </c>
      <c r="G1283" t="s">
        <v>1172</v>
      </c>
      <c r="H1283" t="s">
        <v>1173</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25">
      <c r="A1284" s="95" t="str">
        <f t="shared" si="384"/>
        <v>FSFAGSPQNIBDDSCM Organic</v>
      </c>
      <c r="B1284" s="95" t="s">
        <v>1375</v>
      </c>
      <c r="C1284" s="95" t="s">
        <v>1127</v>
      </c>
      <c r="D1284" t="s">
        <v>369</v>
      </c>
      <c r="E1284" t="s">
        <v>55</v>
      </c>
      <c r="F1284" t="s">
        <v>421</v>
      </c>
      <c r="G1284" t="s">
        <v>1174</v>
      </c>
      <c r="H1284" t="s">
        <v>1175</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25">
      <c r="A1285" s="95" t="str">
        <f t="shared" si="384"/>
        <v>FSFAGSPQNIBDDSCM Organic</v>
      </c>
      <c r="B1285" s="95" t="s">
        <v>1375</v>
      </c>
      <c r="C1285" s="95" t="s">
        <v>1127</v>
      </c>
      <c r="D1285" t="s">
        <v>369</v>
      </c>
      <c r="E1285" t="s">
        <v>55</v>
      </c>
      <c r="F1285" t="s">
        <v>421</v>
      </c>
      <c r="G1285" t="s">
        <v>1176</v>
      </c>
      <c r="H1285" t="s">
        <v>1177</v>
      </c>
      <c r="I1285" t="s">
        <v>139</v>
      </c>
      <c r="J1285" t="s">
        <v>287</v>
      </c>
      <c r="K1285" s="27">
        <f t="shared" ref="K1285:AW1285" si="451">IFERROR(K1478-((K1478-K69)+(K1478-K222)+(K1478-K375)+(K1478-K527)+(K1478-K679)+(K1478-K830)+(K1478-K981)+(K1478-K1132)),0)</f>
        <v>0.12462873299340151</v>
      </c>
      <c r="L1285" s="27">
        <f t="shared" si="451"/>
        <v>0.12395129293471774</v>
      </c>
      <c r="M1285" s="27">
        <f t="shared" si="451"/>
        <v>0.12400689511310994</v>
      </c>
      <c r="N1285" s="27">
        <f t="shared" si="451"/>
        <v>0.12286841678965586</v>
      </c>
      <c r="O1285" s="27">
        <f t="shared" si="451"/>
        <v>0.12100901910044999</v>
      </c>
      <c r="P1285" s="27">
        <f t="shared" si="451"/>
        <v>0.11845842648899831</v>
      </c>
      <c r="Q1285" s="27">
        <f t="shared" si="451"/>
        <v>0.11660641339960404</v>
      </c>
      <c r="R1285" s="27">
        <f t="shared" si="451"/>
        <v>0.1149182786313902</v>
      </c>
      <c r="S1285" s="27">
        <f t="shared" si="451"/>
        <v>0.10339476754661255</v>
      </c>
      <c r="T1285" s="27">
        <f t="shared" si="451"/>
        <v>0.10708680746691927</v>
      </c>
      <c r="U1285" s="27">
        <f t="shared" si="451"/>
        <v>0.34230494451620991</v>
      </c>
      <c r="V1285" s="27">
        <f t="shared" si="451"/>
        <v>0.34324328716985369</v>
      </c>
      <c r="W1285" s="27">
        <f t="shared" si="451"/>
        <v>0.3435898446352561</v>
      </c>
      <c r="X1285" s="27">
        <f t="shared" si="451"/>
        <v>0.34336025373780221</v>
      </c>
      <c r="Y1285" s="27">
        <f t="shared" si="451"/>
        <v>0.34258915131434525</v>
      </c>
      <c r="Z1285" s="27">
        <f t="shared" si="451"/>
        <v>0.34126945430195527</v>
      </c>
      <c r="AA1285" s="27">
        <f t="shared" si="451"/>
        <v>0.3393992662053118</v>
      </c>
      <c r="AB1285" s="27">
        <f t="shared" si="451"/>
        <v>0.33697876239255126</v>
      </c>
      <c r="AC1285" s="27">
        <f t="shared" si="451"/>
        <v>0.3340110473815755</v>
      </c>
      <c r="AD1285" s="27">
        <f t="shared" si="451"/>
        <v>0.33050375948442778</v>
      </c>
      <c r="AE1285" s="27">
        <f t="shared" si="451"/>
        <v>0.32646655874795893</v>
      </c>
      <c r="AF1285" s="27">
        <f t="shared" si="451"/>
        <v>0.32191309563582443</v>
      </c>
      <c r="AG1285" s="27">
        <f t="shared" si="451"/>
        <v>0.31686086246920969</v>
      </c>
      <c r="AH1285" s="27">
        <f t="shared" si="451"/>
        <v>0.31132880694281095</v>
      </c>
      <c r="AI1285" s="27">
        <f t="shared" si="451"/>
        <v>0.30533819170490117</v>
      </c>
      <c r="AJ1285" s="27">
        <f t="shared" si="451"/>
        <v>-2.8452110243571058E-2</v>
      </c>
      <c r="AK1285" s="27">
        <f t="shared" si="451"/>
        <v>-2.814409017595957E-2</v>
      </c>
      <c r="AL1285" s="27">
        <f t="shared" si="451"/>
        <v>-2.7834978813803351E-2</v>
      </c>
      <c r="AM1285" s="27">
        <f t="shared" si="451"/>
        <v>-2.7525096845033417E-2</v>
      </c>
      <c r="AN1285" s="27">
        <f t="shared" si="451"/>
        <v>-2.7214798691689582E-2</v>
      </c>
      <c r="AO1285" s="27">
        <f t="shared" si="451"/>
        <v>-2.6903261813323635E-2</v>
      </c>
      <c r="AP1285" s="27">
        <f t="shared" si="451"/>
        <v>-2.659000059935173E-2</v>
      </c>
      <c r="AQ1285" s="27">
        <f t="shared" si="451"/>
        <v>-2.6275045310908511E-2</v>
      </c>
      <c r="AR1285" s="27">
        <f t="shared" si="451"/>
        <v>-2.5957874013715753E-2</v>
      </c>
      <c r="AS1285" s="27">
        <f t="shared" si="451"/>
        <v>-2.5637945266726723E-2</v>
      </c>
      <c r="AT1285" s="27">
        <f t="shared" si="451"/>
        <v>-2.5315349871404581E-2</v>
      </c>
      <c r="AU1285" s="27">
        <f t="shared" si="451"/>
        <v>-2.4990356269877063E-2</v>
      </c>
      <c r="AV1285" s="27">
        <f t="shared" si="451"/>
        <v>-2.4663194083915266E-2</v>
      </c>
      <c r="AW1285" s="27">
        <f t="shared" si="451"/>
        <v>-2.433341037395171E-2</v>
      </c>
      <c r="AY1285" s="79"/>
      <c r="AZ1285" s="79"/>
    </row>
    <row r="1286" spans="1:52" x14ac:dyDescent="0.25">
      <c r="A1286" s="95" t="str">
        <f t="shared" si="384"/>
        <v>FSFAGSPQNIBDDSCM Organic</v>
      </c>
      <c r="B1286" s="95" t="s">
        <v>1375</v>
      </c>
      <c r="C1286" s="95" t="s">
        <v>1127</v>
      </c>
      <c r="D1286" t="s">
        <v>369</v>
      </c>
      <c r="E1286" t="s">
        <v>55</v>
      </c>
      <c r="F1286" t="s">
        <v>421</v>
      </c>
      <c r="G1286" t="s">
        <v>1178</v>
      </c>
      <c r="H1286" t="s">
        <v>1179</v>
      </c>
      <c r="I1286" t="s">
        <v>139</v>
      </c>
      <c r="J1286" t="s">
        <v>287</v>
      </c>
      <c r="K1286" s="27">
        <f t="shared" ref="K1286:AW1286" si="452">IFERROR(K1479-((K1479-K70)+(K1479-K223)+(K1479-K376)+(K1479-K528)+(K1479-K680)+(K1479-K831)+(K1479-K982)+(K1479-K1133)),0)</f>
        <v>3.1618785484610064E-2</v>
      </c>
      <c r="L1286" s="27">
        <f t="shared" si="452"/>
        <v>3.1446916354757493E-2</v>
      </c>
      <c r="M1286" s="27">
        <f t="shared" si="452"/>
        <v>3.1461022839745618E-2</v>
      </c>
      <c r="N1286" s="27">
        <f t="shared" si="452"/>
        <v>3.1172186541537576E-2</v>
      </c>
      <c r="O1286" s="27">
        <f t="shared" si="452"/>
        <v>3.0700450247237825E-2</v>
      </c>
      <c r="P1286" s="27">
        <f t="shared" si="452"/>
        <v>3.0053355161673637E-2</v>
      </c>
      <c r="Q1286" s="27">
        <f t="shared" si="452"/>
        <v>2.9583492368545915E-2</v>
      </c>
      <c r="R1286" s="27">
        <f t="shared" si="452"/>
        <v>2.9155206131309674E-2</v>
      </c>
      <c r="S1286" s="27">
        <f t="shared" si="452"/>
        <v>2.6231647363859134E-2</v>
      </c>
      <c r="T1286" s="27">
        <f t="shared" si="452"/>
        <v>2.716833199056537E-2</v>
      </c>
      <c r="U1286" s="27">
        <f t="shared" si="452"/>
        <v>8.684407159585289E-2</v>
      </c>
      <c r="V1286" s="27">
        <f t="shared" si="452"/>
        <v>8.7082132710364829E-2</v>
      </c>
      <c r="W1286" s="27">
        <f t="shared" si="452"/>
        <v>8.7170055662748783E-2</v>
      </c>
      <c r="X1286" s="27">
        <f t="shared" si="452"/>
        <v>8.7111807575317793E-2</v>
      </c>
      <c r="Y1286" s="27">
        <f t="shared" si="452"/>
        <v>8.6916175945850438E-2</v>
      </c>
      <c r="Z1286" s="27">
        <f t="shared" si="452"/>
        <v>8.6581363774233103E-2</v>
      </c>
      <c r="AA1286" s="27">
        <f t="shared" si="452"/>
        <v>8.6106889912360693E-2</v>
      </c>
      <c r="AB1286" s="27">
        <f t="shared" si="452"/>
        <v>8.5492798851799182E-2</v>
      </c>
      <c r="AC1286" s="27">
        <f t="shared" si="452"/>
        <v>8.4739878220595588E-2</v>
      </c>
      <c r="AD1286" s="27">
        <f t="shared" si="452"/>
        <v>8.3850065887683914E-2</v>
      </c>
      <c r="AE1286" s="27">
        <f t="shared" si="452"/>
        <v>8.2825812643839453E-2</v>
      </c>
      <c r="AF1286" s="27">
        <f t="shared" si="452"/>
        <v>8.1670581663819047E-2</v>
      </c>
      <c r="AG1286" s="27">
        <f t="shared" si="452"/>
        <v>8.0388810816306083E-2</v>
      </c>
      <c r="AH1286" s="27">
        <f t="shared" si="452"/>
        <v>7.8985307203801092E-2</v>
      </c>
      <c r="AI1286" s="27">
        <f t="shared" si="452"/>
        <v>7.7465465241367507E-2</v>
      </c>
      <c r="AJ1286" s="27">
        <f t="shared" si="452"/>
        <v>-7.2184090198813182E-3</v>
      </c>
      <c r="AK1286" s="27">
        <f t="shared" si="452"/>
        <v>-7.1402631524810738E-3</v>
      </c>
      <c r="AL1286" s="27">
        <f t="shared" si="452"/>
        <v>-7.0618404194874671E-3</v>
      </c>
      <c r="AM1286" s="27">
        <f t="shared" si="452"/>
        <v>-6.9832221806532197E-3</v>
      </c>
      <c r="AN1286" s="27">
        <f t="shared" si="452"/>
        <v>-6.9044983542032711E-3</v>
      </c>
      <c r="AO1286" s="27">
        <f t="shared" si="452"/>
        <v>-6.8254602584848501E-3</v>
      </c>
      <c r="AP1286" s="27">
        <f t="shared" si="452"/>
        <v>-6.7459846922384176E-3</v>
      </c>
      <c r="AQ1286" s="27">
        <f t="shared" si="452"/>
        <v>-6.66607933282939E-3</v>
      </c>
      <c r="AR1286" s="27">
        <f t="shared" si="452"/>
        <v>-6.5856117635382473E-3</v>
      </c>
      <c r="AS1286" s="27">
        <f t="shared" si="452"/>
        <v>-6.5044446187038276E-3</v>
      </c>
      <c r="AT1286" s="27">
        <f t="shared" si="452"/>
        <v>-6.4226009350040626E-3</v>
      </c>
      <c r="AU1286" s="27">
        <f t="shared" si="452"/>
        <v>-6.3401488172318849E-3</v>
      </c>
      <c r="AV1286" s="27">
        <f t="shared" si="452"/>
        <v>-6.2571465213074788E-3</v>
      </c>
      <c r="AW1286" s="27">
        <f t="shared" si="452"/>
        <v>-6.1734791347329209E-3</v>
      </c>
      <c r="AY1286" s="79"/>
      <c r="AZ1286" s="79"/>
    </row>
    <row r="1287" spans="1:52" x14ac:dyDescent="0.25">
      <c r="A1287" s="95" t="str">
        <f t="shared" si="384"/>
        <v>FSFAGSPQNIBDDSCM Organic</v>
      </c>
      <c r="B1287" s="95" t="s">
        <v>1375</v>
      </c>
      <c r="C1287" s="95" t="s">
        <v>1127</v>
      </c>
      <c r="D1287" t="s">
        <v>369</v>
      </c>
      <c r="E1287" t="s">
        <v>55</v>
      </c>
      <c r="F1287" t="s">
        <v>421</v>
      </c>
      <c r="G1287" t="s">
        <v>1180</v>
      </c>
      <c r="H1287" t="s">
        <v>1181</v>
      </c>
      <c r="I1287" t="s">
        <v>139</v>
      </c>
      <c r="J1287" t="s">
        <v>287</v>
      </c>
      <c r="K1287" s="27">
        <f t="shared" ref="K1287:AW1287" si="453">IFERROR(K1480-((K1480-K71)+(K1480-K224)+(K1480-K377)+(K1480-K529)+(K1480-K681)+(K1480-K832)+(K1480-K983)+(K1480-K1134)),0)</f>
        <v>0.15700744358616767</v>
      </c>
      <c r="L1287" s="27">
        <f t="shared" si="453"/>
        <v>0.16019971617730661</v>
      </c>
      <c r="M1287" s="27">
        <f t="shared" si="453"/>
        <v>0.16393118028621728</v>
      </c>
      <c r="N1287" s="27">
        <f t="shared" si="453"/>
        <v>0.1667959170810015</v>
      </c>
      <c r="O1287" s="27">
        <f t="shared" si="453"/>
        <v>0.16909558154641685</v>
      </c>
      <c r="P1287" s="27">
        <f t="shared" si="453"/>
        <v>0.17081649742586288</v>
      </c>
      <c r="Q1287" s="27">
        <f t="shared" si="453"/>
        <v>0.17302318661183388</v>
      </c>
      <c r="R1287" s="27">
        <f t="shared" si="453"/>
        <v>0.17531753251219057</v>
      </c>
      <c r="S1287" s="27">
        <f t="shared" si="453"/>
        <v>0.16840615861524894</v>
      </c>
      <c r="T1287" s="27">
        <f t="shared" si="453"/>
        <v>0.17458356718938842</v>
      </c>
      <c r="U1287" s="27">
        <f t="shared" si="453"/>
        <v>0.38800090489360167</v>
      </c>
      <c r="V1287" s="27">
        <f t="shared" si="453"/>
        <v>0.39653088130091707</v>
      </c>
      <c r="W1287" s="27">
        <f t="shared" si="453"/>
        <v>0.40471104789547857</v>
      </c>
      <c r="X1287" s="27">
        <f t="shared" si="453"/>
        <v>0.41246916129593358</v>
      </c>
      <c r="Y1287" s="27">
        <f t="shared" si="453"/>
        <v>0.41970725517029195</v>
      </c>
      <c r="Z1287" s="27">
        <f t="shared" si="453"/>
        <v>0.42639369577393321</v>
      </c>
      <c r="AA1287" s="27">
        <f t="shared" si="453"/>
        <v>0.43249628984221433</v>
      </c>
      <c r="AB1287" s="27">
        <f t="shared" si="453"/>
        <v>0.4379872665206837</v>
      </c>
      <c r="AC1287" s="27">
        <f t="shared" si="453"/>
        <v>0.44284225594622417</v>
      </c>
      <c r="AD1287" s="27">
        <f t="shared" si="453"/>
        <v>0.44703777917847665</v>
      </c>
      <c r="AE1287" s="27">
        <f t="shared" si="453"/>
        <v>0.4505554182669968</v>
      </c>
      <c r="AF1287" s="27">
        <f t="shared" si="453"/>
        <v>0.45337855769901697</v>
      </c>
      <c r="AG1287" s="27">
        <f t="shared" si="453"/>
        <v>0.45549241971080034</v>
      </c>
      <c r="AH1287" s="27">
        <f t="shared" si="453"/>
        <v>0.45688810753700776</v>
      </c>
      <c r="AI1287" s="27">
        <f t="shared" si="453"/>
        <v>0.45756101673458949</v>
      </c>
      <c r="AJ1287" s="27">
        <f t="shared" si="453"/>
        <v>5.9649191888050651E-2</v>
      </c>
      <c r="AK1287" s="27">
        <f t="shared" si="453"/>
        <v>6.0086977867764617E-2</v>
      </c>
      <c r="AL1287" s="27">
        <f t="shared" si="453"/>
        <v>6.051391169747472E-2</v>
      </c>
      <c r="AM1287" s="27">
        <f t="shared" si="453"/>
        <v>6.0930636526454876E-2</v>
      </c>
      <c r="AN1287" s="27">
        <f t="shared" si="453"/>
        <v>6.1337893751701338E-2</v>
      </c>
      <c r="AO1287" s="27">
        <f t="shared" si="453"/>
        <v>6.173401354876637E-2</v>
      </c>
      <c r="AP1287" s="27">
        <f t="shared" si="453"/>
        <v>6.2117896275395594E-2</v>
      </c>
      <c r="AQ1287" s="27">
        <f t="shared" si="453"/>
        <v>6.2489460947128449E-2</v>
      </c>
      <c r="AR1287" s="27">
        <f t="shared" si="453"/>
        <v>6.2847397693153853E-2</v>
      </c>
      <c r="AS1287" s="27">
        <f t="shared" si="453"/>
        <v>6.3190248292167767E-2</v>
      </c>
      <c r="AT1287" s="27">
        <f t="shared" si="453"/>
        <v>6.3517885217877365E-2</v>
      </c>
      <c r="AU1287" s="27">
        <f t="shared" si="453"/>
        <v>6.3830584812563373E-2</v>
      </c>
      <c r="AV1287" s="27">
        <f t="shared" si="453"/>
        <v>6.4128553387287249E-2</v>
      </c>
      <c r="AW1287" s="27">
        <f t="shared" si="453"/>
        <v>6.4410368967620674E-2</v>
      </c>
      <c r="AY1287" s="79"/>
      <c r="AZ1287" s="79"/>
    </row>
    <row r="1288" spans="1:52" x14ac:dyDescent="0.25">
      <c r="A1288" s="95" t="str">
        <f t="shared" si="384"/>
        <v>FSFAGSPQNIBDDSCM Organic</v>
      </c>
      <c r="B1288" s="95" t="s">
        <v>1375</v>
      </c>
      <c r="C1288" s="95" t="s">
        <v>1127</v>
      </c>
      <c r="D1288" t="s">
        <v>369</v>
      </c>
      <c r="E1288" t="s">
        <v>55</v>
      </c>
      <c r="F1288" t="s">
        <v>421</v>
      </c>
      <c r="G1288" t="s">
        <v>1182</v>
      </c>
      <c r="H1288" t="s">
        <v>1183</v>
      </c>
      <c r="I1288" t="s">
        <v>139</v>
      </c>
      <c r="J1288" t="s">
        <v>287</v>
      </c>
      <c r="K1288" s="27">
        <f t="shared" ref="K1288:AW1288" si="454">IFERROR(K1481-((K1481-K72)+(K1481-K225)+(K1481-K378)+(K1481-K530)+(K1481-K682)+(K1481-K833)+(K1481-K984)+(K1481-K1135)),0)</f>
        <v>0.78620275218739066</v>
      </c>
      <c r="L1288" s="27">
        <f t="shared" si="454"/>
        <v>0.79655563720176403</v>
      </c>
      <c r="M1288" s="27">
        <f t="shared" si="454"/>
        <v>0.81318534024672162</v>
      </c>
      <c r="N1288" s="27">
        <f t="shared" si="454"/>
        <v>0.81796021384654061</v>
      </c>
      <c r="O1288" s="27">
        <f t="shared" si="454"/>
        <v>0.81503229757580642</v>
      </c>
      <c r="P1288" s="27">
        <f t="shared" si="454"/>
        <v>0.80443274266431919</v>
      </c>
      <c r="Q1288" s="27">
        <f t="shared" si="454"/>
        <v>0.7999705721751077</v>
      </c>
      <c r="R1288" s="27">
        <f t="shared" si="454"/>
        <v>0.79652072541357855</v>
      </c>
      <c r="S1288" s="27">
        <f t="shared" si="454"/>
        <v>0.69465569137892269</v>
      </c>
      <c r="T1288" s="27">
        <f t="shared" si="454"/>
        <v>0.74722740283446698</v>
      </c>
      <c r="U1288" s="27">
        <f t="shared" si="454"/>
        <v>3.2491319225574986</v>
      </c>
      <c r="V1288" s="27">
        <f t="shared" si="454"/>
        <v>3.3073834646513305</v>
      </c>
      <c r="W1288" s="27">
        <f t="shared" si="454"/>
        <v>3.3591336989468359</v>
      </c>
      <c r="X1288" s="27">
        <f t="shared" si="454"/>
        <v>3.4046035940471189</v>
      </c>
      <c r="Y1288" s="27">
        <f t="shared" si="454"/>
        <v>3.4444110933040832</v>
      </c>
      <c r="Z1288" s="27">
        <f t="shared" si="454"/>
        <v>3.4782576037016457</v>
      </c>
      <c r="AA1288" s="27">
        <f t="shared" si="454"/>
        <v>3.505913886515494</v>
      </c>
      <c r="AB1288" s="27">
        <f t="shared" si="454"/>
        <v>3.5271546213039011</v>
      </c>
      <c r="AC1288" s="27">
        <f t="shared" si="454"/>
        <v>3.5417788512464328</v>
      </c>
      <c r="AD1288" s="27">
        <f t="shared" si="454"/>
        <v>3.549649544772171</v>
      </c>
      <c r="AE1288" s="27">
        <f t="shared" si="454"/>
        <v>3.5506396563756342</v>
      </c>
      <c r="AF1288" s="27">
        <f t="shared" si="454"/>
        <v>3.5446807301434013</v>
      </c>
      <c r="AG1288" s="27">
        <f t="shared" si="454"/>
        <v>3.5317644478597843</v>
      </c>
      <c r="AH1288" s="27">
        <f t="shared" si="454"/>
        <v>3.5118898029906984</v>
      </c>
      <c r="AI1288" s="27">
        <f t="shared" si="454"/>
        <v>3.4850865665660411</v>
      </c>
      <c r="AJ1288" s="27">
        <f t="shared" si="454"/>
        <v>-0.74420912451247578</v>
      </c>
      <c r="AK1288" s="27">
        <f t="shared" si="454"/>
        <v>-0.74526229962435608</v>
      </c>
      <c r="AL1288" s="27">
        <f t="shared" si="454"/>
        <v>-0.74621593178570578</v>
      </c>
      <c r="AM1288" s="27">
        <f t="shared" si="454"/>
        <v>-0.74707813045846294</v>
      </c>
      <c r="AN1288" s="27">
        <f t="shared" si="454"/>
        <v>-0.74785816697127483</v>
      </c>
      <c r="AO1288" s="27">
        <f t="shared" si="454"/>
        <v>-0.74853427138595596</v>
      </c>
      <c r="AP1288" s="27">
        <f t="shared" si="454"/>
        <v>-0.74909252303654383</v>
      </c>
      <c r="AQ1288" s="27">
        <f t="shared" si="454"/>
        <v>-0.74953228992663867</v>
      </c>
      <c r="AR1288" s="27">
        <f t="shared" si="454"/>
        <v>-0.74983752364841638</v>
      </c>
      <c r="AS1288" s="27">
        <f t="shared" si="454"/>
        <v>-0.74999071959333552</v>
      </c>
      <c r="AT1288" s="27">
        <f t="shared" si="454"/>
        <v>-0.74999137614758737</v>
      </c>
      <c r="AU1288" s="27">
        <f t="shared" si="454"/>
        <v>-0.74984403824480428</v>
      </c>
      <c r="AV1288" s="27">
        <f t="shared" si="454"/>
        <v>-0.749552317817198</v>
      </c>
      <c r="AW1288" s="27">
        <f t="shared" si="454"/>
        <v>-0.74909980498727913</v>
      </c>
      <c r="AY1288" s="79"/>
      <c r="AZ1288" s="79"/>
    </row>
    <row r="1289" spans="1:52" x14ac:dyDescent="0.25">
      <c r="A1289" s="95" t="str">
        <f t="shared" si="384"/>
        <v>FSFAGSPQNIBDDSCM U&amp;D</v>
      </c>
      <c r="B1289" s="95" t="s">
        <v>1375</v>
      </c>
      <c r="C1289" s="95" t="s">
        <v>1336</v>
      </c>
      <c r="D1289" t="s">
        <v>369</v>
      </c>
      <c r="E1289" t="s">
        <v>55</v>
      </c>
      <c r="F1289" t="s">
        <v>422</v>
      </c>
      <c r="G1289" t="s">
        <v>1152</v>
      </c>
      <c r="H1289" t="s">
        <v>1240</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25">
      <c r="A1290" s="95" t="str">
        <f t="shared" si="384"/>
        <v>FSFAGSPQNIBDDSCM U&amp;D</v>
      </c>
      <c r="B1290" s="95" t="s">
        <v>1375</v>
      </c>
      <c r="C1290" s="95" t="s">
        <v>1336</v>
      </c>
      <c r="D1290" t="s">
        <v>369</v>
      </c>
      <c r="E1290" t="s">
        <v>55</v>
      </c>
      <c r="F1290" t="s">
        <v>422</v>
      </c>
      <c r="G1290" t="s">
        <v>1154</v>
      </c>
      <c r="H1290" t="s">
        <v>1241</v>
      </c>
      <c r="I1290" t="s">
        <v>139</v>
      </c>
      <c r="J1290" t="s">
        <v>287</v>
      </c>
      <c r="K1290" s="27">
        <f t="shared" ref="K1290:AW1290" si="456">IFERROR(K1483-((K1483-K74)+(K1483-K227)+(K1483-K380)+(K1483-K532)+(K1483-K684)+(K1483-K835)+(K1483-K986)+(K1483-K1137)),0)</f>
        <v>1.0775797812462991</v>
      </c>
      <c r="L1290" s="27">
        <f t="shared" si="456"/>
        <v>1.0836040032789309</v>
      </c>
      <c r="M1290" s="27">
        <f t="shared" si="456"/>
        <v>1.0921513426512339</v>
      </c>
      <c r="N1290" s="27">
        <f t="shared" si="456"/>
        <v>1.0976439186771809</v>
      </c>
      <c r="O1290" s="27">
        <f t="shared" si="456"/>
        <v>1.1012937605673541</v>
      </c>
      <c r="P1290" s="27">
        <f t="shared" si="456"/>
        <v>1.1030649457277466</v>
      </c>
      <c r="Q1290" s="27">
        <f t="shared" si="456"/>
        <v>1.1069781529146336</v>
      </c>
      <c r="R1290" s="27">
        <f t="shared" si="456"/>
        <v>1.1114672588381174</v>
      </c>
      <c r="S1290" s="27">
        <f t="shared" si="456"/>
        <v>1.0798853549763567</v>
      </c>
      <c r="T1290" s="27">
        <f t="shared" si="456"/>
        <v>1.098466311859537</v>
      </c>
      <c r="U1290" s="27">
        <f t="shared" si="456"/>
        <v>1.889999136322517</v>
      </c>
      <c r="V1290" s="27">
        <f t="shared" si="456"/>
        <v>1.9127821937491298</v>
      </c>
      <c r="W1290" s="27">
        <f t="shared" si="456"/>
        <v>1.9345659305338647</v>
      </c>
      <c r="X1290" s="27">
        <f t="shared" si="456"/>
        <v>1.9549798101221001</v>
      </c>
      <c r="Y1290" s="27">
        <f t="shared" si="456"/>
        <v>1.9734786750778357</v>
      </c>
      <c r="Z1290" s="27">
        <f t="shared" si="456"/>
        <v>1.9899761352853818</v>
      </c>
      <c r="AA1290" s="27">
        <f t="shared" si="456"/>
        <v>2.0043760843310485</v>
      </c>
      <c r="AB1290" s="27">
        <f t="shared" si="456"/>
        <v>2.0166057838413951</v>
      </c>
      <c r="AC1290" s="27">
        <f t="shared" si="456"/>
        <v>2.0266075471247365</v>
      </c>
      <c r="AD1290" s="27">
        <f t="shared" si="456"/>
        <v>2.0343207325041344</v>
      </c>
      <c r="AE1290" s="27">
        <f t="shared" si="456"/>
        <v>2.0397090361762231</v>
      </c>
      <c r="AF1290" s="27">
        <f t="shared" si="456"/>
        <v>2.0427376347432897</v>
      </c>
      <c r="AG1290" s="27">
        <f t="shared" si="456"/>
        <v>2.0433728844876047</v>
      </c>
      <c r="AH1290" s="27">
        <f t="shared" si="456"/>
        <v>2.0416086414199954</v>
      </c>
      <c r="AI1290" s="27">
        <f t="shared" si="456"/>
        <v>2.0374549495329468</v>
      </c>
      <c r="AJ1290" s="27">
        <f t="shared" si="456"/>
        <v>0.64461551353755753</v>
      </c>
      <c r="AK1290" s="27">
        <f t="shared" si="456"/>
        <v>0.64508607204460633</v>
      </c>
      <c r="AL1290" s="27">
        <f t="shared" si="456"/>
        <v>0.64552275664376835</v>
      </c>
      <c r="AM1290" s="27">
        <f t="shared" si="456"/>
        <v>0.64592852135594947</v>
      </c>
      <c r="AN1290" s="27">
        <f t="shared" si="456"/>
        <v>0.64630700491581017</v>
      </c>
      <c r="AO1290" s="27">
        <f t="shared" si="456"/>
        <v>0.64664632856302828</v>
      </c>
      <c r="AP1290" s="27">
        <f t="shared" si="456"/>
        <v>0.64693851525277601</v>
      </c>
      <c r="AQ1290" s="27">
        <f t="shared" si="456"/>
        <v>0.64718228577189862</v>
      </c>
      <c r="AR1290" s="27">
        <f t="shared" si="456"/>
        <v>0.64736858903651606</v>
      </c>
      <c r="AS1290" s="27">
        <f t="shared" si="456"/>
        <v>0.64748759839973102</v>
      </c>
      <c r="AT1290" s="27">
        <f t="shared" si="456"/>
        <v>0.64753810013359636</v>
      </c>
      <c r="AU1290" s="27">
        <f t="shared" si="456"/>
        <v>0.6475214899931051</v>
      </c>
      <c r="AV1290" s="27">
        <f t="shared" si="456"/>
        <v>0.6474387413563446</v>
      </c>
      <c r="AW1290" s="27">
        <f t="shared" si="456"/>
        <v>0.64728061173527773</v>
      </c>
      <c r="AY1290" s="79"/>
      <c r="AZ1290" s="79"/>
    </row>
    <row r="1291" spans="1:52" x14ac:dyDescent="0.25">
      <c r="A1291" s="95" t="str">
        <f t="shared" si="384"/>
        <v>FSFAGSPQNIBDDSCM U&amp;D</v>
      </c>
      <c r="B1291" s="95" t="s">
        <v>1375</v>
      </c>
      <c r="C1291" s="95" t="s">
        <v>1336</v>
      </c>
      <c r="D1291" t="s">
        <v>369</v>
      </c>
      <c r="E1291" t="s">
        <v>55</v>
      </c>
      <c r="F1291" t="s">
        <v>422</v>
      </c>
      <c r="G1291" t="s">
        <v>1156</v>
      </c>
      <c r="H1291" t="s">
        <v>1242</v>
      </c>
      <c r="I1291" t="s">
        <v>139</v>
      </c>
      <c r="J1291" t="s">
        <v>287</v>
      </c>
      <c r="K1291" s="27">
        <f t="shared" ref="K1291:AW1291" si="457">IFERROR(K1484-((K1484-K75)+(K1484-K228)+(K1484-K381)+(K1484-K533)+(K1484-K685)+(K1484-K836)+(K1484-K987)+(K1484-K1138)),0)</f>
        <v>0.73383920392416069</v>
      </c>
      <c r="L1291" s="27">
        <f t="shared" si="457"/>
        <v>0.73794174034663862</v>
      </c>
      <c r="M1291" s="27">
        <f t="shared" si="457"/>
        <v>0.74376253694082328</v>
      </c>
      <c r="N1291" s="27">
        <f t="shared" si="457"/>
        <v>0.74750301879518044</v>
      </c>
      <c r="O1291" s="27">
        <f t="shared" si="457"/>
        <v>0.74998858609492669</v>
      </c>
      <c r="P1291" s="27">
        <f t="shared" si="457"/>
        <v>0.75119477530775858</v>
      </c>
      <c r="Q1291" s="27">
        <f t="shared" si="457"/>
        <v>0.7538596961765357</v>
      </c>
      <c r="R1291" s="27">
        <f t="shared" si="457"/>
        <v>0.75691680802528449</v>
      </c>
      <c r="S1291" s="27">
        <f t="shared" si="457"/>
        <v>0.73540931540926791</v>
      </c>
      <c r="T1291" s="27">
        <f t="shared" si="457"/>
        <v>0.74806307417925111</v>
      </c>
      <c r="U1291" s="27">
        <f t="shared" si="457"/>
        <v>1.2871023433755899</v>
      </c>
      <c r="V1291" s="27">
        <f t="shared" si="457"/>
        <v>1.3026177613667917</v>
      </c>
      <c r="W1291" s="27">
        <f t="shared" si="457"/>
        <v>1.3174526351634348</v>
      </c>
      <c r="X1291" s="27">
        <f t="shared" si="457"/>
        <v>1.3313546268365786</v>
      </c>
      <c r="Y1291" s="27">
        <f t="shared" si="457"/>
        <v>1.3439524804422922</v>
      </c>
      <c r="Z1291" s="27">
        <f t="shared" si="457"/>
        <v>1.3551873637207013</v>
      </c>
      <c r="AA1291" s="27">
        <f t="shared" si="457"/>
        <v>1.3649938275465159</v>
      </c>
      <c r="AB1291" s="27">
        <f t="shared" si="457"/>
        <v>1.3733223365897391</v>
      </c>
      <c r="AC1291" s="27">
        <f t="shared" si="457"/>
        <v>1.3801336058186369</v>
      </c>
      <c r="AD1291" s="27">
        <f t="shared" si="457"/>
        <v>1.3853863378362978</v>
      </c>
      <c r="AE1291" s="27">
        <f t="shared" si="457"/>
        <v>1.3890558095042369</v>
      </c>
      <c r="AF1291" s="27">
        <f t="shared" si="457"/>
        <v>1.3911183058503465</v>
      </c>
      <c r="AG1291" s="27">
        <f t="shared" si="457"/>
        <v>1.3915509152726599</v>
      </c>
      <c r="AH1291" s="27">
        <f t="shared" si="457"/>
        <v>1.3903494536725116</v>
      </c>
      <c r="AI1291" s="27">
        <f t="shared" si="457"/>
        <v>1.3875207610775073</v>
      </c>
      <c r="AJ1291" s="27">
        <f t="shared" si="457"/>
        <v>0.43898757523499138</v>
      </c>
      <c r="AK1291" s="27">
        <f t="shared" si="457"/>
        <v>0.43930802879789405</v>
      </c>
      <c r="AL1291" s="27">
        <f t="shared" si="457"/>
        <v>0.43960541399775782</v>
      </c>
      <c r="AM1291" s="27">
        <f t="shared" si="457"/>
        <v>0.43988174254303092</v>
      </c>
      <c r="AN1291" s="27">
        <f t="shared" si="457"/>
        <v>0.44013949243691386</v>
      </c>
      <c r="AO1291" s="27">
        <f t="shared" si="457"/>
        <v>0.44037057416235159</v>
      </c>
      <c r="AP1291" s="27">
        <f t="shared" si="457"/>
        <v>0.44056955529723674</v>
      </c>
      <c r="AQ1291" s="27">
        <f t="shared" si="457"/>
        <v>0.4407355646886586</v>
      </c>
      <c r="AR1291" s="27">
        <f t="shared" si="457"/>
        <v>0.44086243848656637</v>
      </c>
      <c r="AS1291" s="27">
        <f t="shared" si="457"/>
        <v>0.44094348467718814</v>
      </c>
      <c r="AT1291" s="27">
        <f t="shared" si="457"/>
        <v>0.44097787670348765</v>
      </c>
      <c r="AU1291" s="27">
        <f t="shared" si="457"/>
        <v>0.44096656508416521</v>
      </c>
      <c r="AV1291" s="27">
        <f t="shared" si="457"/>
        <v>0.44091021269635783</v>
      </c>
      <c r="AW1291" s="27">
        <f t="shared" si="457"/>
        <v>0.44080252534247472</v>
      </c>
      <c r="AY1291" s="79"/>
      <c r="AZ1291" s="79"/>
    </row>
    <row r="1292" spans="1:52" x14ac:dyDescent="0.25">
      <c r="A1292" s="95" t="str">
        <f t="shared" si="384"/>
        <v>FSFAGSPQNIBDDSCM U&amp;D</v>
      </c>
      <c r="B1292" s="95" t="s">
        <v>1375</v>
      </c>
      <c r="C1292" s="95" t="s">
        <v>1336</v>
      </c>
      <c r="D1292" t="s">
        <v>369</v>
      </c>
      <c r="E1292" t="s">
        <v>55</v>
      </c>
      <c r="F1292" t="s">
        <v>422</v>
      </c>
      <c r="G1292" t="s">
        <v>1158</v>
      </c>
      <c r="H1292" t="s">
        <v>1243</v>
      </c>
      <c r="I1292" t="s">
        <v>139</v>
      </c>
      <c r="J1292" t="s">
        <v>287</v>
      </c>
      <c r="K1292" s="27">
        <f t="shared" ref="K1292:AW1292" si="458">IFERROR(K1485-((K1485-K76)+(K1485-K229)+(K1485-K382)+(K1485-K534)+(K1485-K686)+(K1485-K837)+(K1485-K988)+(K1485-K1139)),0)</f>
        <v>15.353527292296841</v>
      </c>
      <c r="L1292" s="27">
        <f t="shared" si="458"/>
        <v>15.220371053361493</v>
      </c>
      <c r="M1292" s="27">
        <f t="shared" si="458"/>
        <v>15.169682504177887</v>
      </c>
      <c r="N1292" s="27">
        <f t="shared" si="458"/>
        <v>14.967111251021194</v>
      </c>
      <c r="O1292" s="27">
        <f t="shared" si="458"/>
        <v>14.673074129931953</v>
      </c>
      <c r="P1292" s="27">
        <f t="shared" si="458"/>
        <v>14.293651368256896</v>
      </c>
      <c r="Q1292" s="27">
        <f t="shared" si="458"/>
        <v>13.994389539168758</v>
      </c>
      <c r="R1292" s="27">
        <f t="shared" si="458"/>
        <v>13.711253827544137</v>
      </c>
      <c r="S1292" s="27">
        <f t="shared" si="458"/>
        <v>12.262231428549004</v>
      </c>
      <c r="T1292" s="27">
        <f t="shared" si="458"/>
        <v>12.73465794206464</v>
      </c>
      <c r="U1292" s="27">
        <f t="shared" si="458"/>
        <v>40.135765944691244</v>
      </c>
      <c r="V1292" s="27">
        <f t="shared" si="458"/>
        <v>40.329355964050443</v>
      </c>
      <c r="W1292" s="27">
        <f t="shared" si="458"/>
        <v>40.453253097840147</v>
      </c>
      <c r="X1292" s="27">
        <f t="shared" si="458"/>
        <v>40.507432110592688</v>
      </c>
      <c r="Y1292" s="27">
        <f t="shared" si="458"/>
        <v>40.493040718668887</v>
      </c>
      <c r="Z1292" s="27">
        <f t="shared" si="458"/>
        <v>40.409389107608789</v>
      </c>
      <c r="AA1292" s="27">
        <f t="shared" si="458"/>
        <v>40.256272365845206</v>
      </c>
      <c r="AB1292" s="27">
        <f t="shared" si="458"/>
        <v>40.033817183265413</v>
      </c>
      <c r="AC1292" s="27">
        <f t="shared" si="458"/>
        <v>39.742523773077906</v>
      </c>
      <c r="AD1292" s="27">
        <f t="shared" si="458"/>
        <v>39.052391122761925</v>
      </c>
      <c r="AE1292" s="27">
        <f t="shared" si="458"/>
        <v>38.297252341964814</v>
      </c>
      <c r="AF1292" s="27">
        <f t="shared" si="458"/>
        <v>37.480500419129982</v>
      </c>
      <c r="AG1292" s="27">
        <f t="shared" si="458"/>
        <v>36.605913882693514</v>
      </c>
      <c r="AH1292" s="27">
        <f t="shared" si="458"/>
        <v>35.67751529859683</v>
      </c>
      <c r="AI1292" s="27">
        <f t="shared" si="458"/>
        <v>34.699588123562123</v>
      </c>
      <c r="AJ1292" s="27">
        <f t="shared" si="458"/>
        <v>-2.6792659907667447</v>
      </c>
      <c r="AK1292" s="27">
        <f t="shared" si="458"/>
        <v>-2.6147570082117628</v>
      </c>
      <c r="AL1292" s="27">
        <f t="shared" si="458"/>
        <v>-2.5509192087001833</v>
      </c>
      <c r="AM1292" s="27">
        <f t="shared" si="458"/>
        <v>-2.4877459989648312</v>
      </c>
      <c r="AN1292" s="27">
        <f t="shared" si="458"/>
        <v>-2.4376070910582812</v>
      </c>
      <c r="AO1292" s="27">
        <f t="shared" si="458"/>
        <v>-2.3879438055302513</v>
      </c>
      <c r="AP1292" s="27">
        <f t="shared" si="458"/>
        <v>-2.3387192042216429</v>
      </c>
      <c r="AQ1292" s="27">
        <f t="shared" si="458"/>
        <v>-2.2899210938883474</v>
      </c>
      <c r="AR1292" s="27">
        <f t="shared" si="458"/>
        <v>-2.2415137982186422</v>
      </c>
      <c r="AS1292" s="27">
        <f t="shared" si="458"/>
        <v>-2.1934623794160584</v>
      </c>
      <c r="AT1292" s="27">
        <f t="shared" si="458"/>
        <v>-2.145761226265924</v>
      </c>
      <c r="AU1292" s="27">
        <f t="shared" si="458"/>
        <v>-2.0984132858067897</v>
      </c>
      <c r="AV1292" s="27">
        <f t="shared" si="458"/>
        <v>-2.0514203658912691</v>
      </c>
      <c r="AW1292" s="27">
        <f t="shared" si="458"/>
        <v>-2.0047554755928445</v>
      </c>
      <c r="AY1292" s="79"/>
      <c r="AZ1292" s="79"/>
    </row>
    <row r="1293" spans="1:52" x14ac:dyDescent="0.25">
      <c r="A1293" s="95" t="str">
        <f t="shared" si="384"/>
        <v>FSFAGSPQNIBDDSCM U&amp;D</v>
      </c>
      <c r="B1293" s="95" t="s">
        <v>1375</v>
      </c>
      <c r="C1293" s="95" t="s">
        <v>1336</v>
      </c>
      <c r="D1293" t="s">
        <v>369</v>
      </c>
      <c r="E1293" t="s">
        <v>55</v>
      </c>
      <c r="F1293" t="s">
        <v>422</v>
      </c>
      <c r="G1293" t="s">
        <v>1160</v>
      </c>
      <c r="H1293" t="s">
        <v>1244</v>
      </c>
      <c r="I1293" t="s">
        <v>139</v>
      </c>
      <c r="J1293" t="s">
        <v>287</v>
      </c>
      <c r="K1293" s="27">
        <f t="shared" ref="K1293:AW1293" si="459">IFERROR(K1486-((K1486-K77)+(K1486-K230)+(K1486-K383)+(K1486-K535)+(K1486-K687)+(K1486-K838)+(K1486-K989)+(K1486-K1140)),0)</f>
        <v>9.6543103644621429</v>
      </c>
      <c r="L1293" s="27">
        <f t="shared" si="459"/>
        <v>9.5705816138517683</v>
      </c>
      <c r="M1293" s="27">
        <f t="shared" si="459"/>
        <v>9.5387086131772989</v>
      </c>
      <c r="N1293" s="27">
        <f t="shared" si="459"/>
        <v>9.4113316455488931</v>
      </c>
      <c r="O1293" s="27">
        <f t="shared" si="459"/>
        <v>9.2264408662754782</v>
      </c>
      <c r="P1293" s="27">
        <f t="shared" si="459"/>
        <v>8.987859527224467</v>
      </c>
      <c r="Q1293" s="27">
        <f t="shared" si="459"/>
        <v>8.7996834473406569</v>
      </c>
      <c r="R1293" s="27">
        <f t="shared" si="459"/>
        <v>8.6216474831450949</v>
      </c>
      <c r="S1293" s="27">
        <f t="shared" si="459"/>
        <v>7.7105010280907447</v>
      </c>
      <c r="T1293" s="27">
        <f t="shared" si="459"/>
        <v>8.0075632014304841</v>
      </c>
      <c r="U1293" s="27">
        <f t="shared" si="459"/>
        <v>25.237402048965457</v>
      </c>
      <c r="V1293" s="27">
        <f t="shared" si="459"/>
        <v>25.359131609526678</v>
      </c>
      <c r="W1293" s="27">
        <f t="shared" si="459"/>
        <v>25.43703822734167</v>
      </c>
      <c r="X1293" s="27">
        <f t="shared" si="459"/>
        <v>25.471106034328002</v>
      </c>
      <c r="Y1293" s="27">
        <f t="shared" si="459"/>
        <v>25.462056715460484</v>
      </c>
      <c r="Z1293" s="27">
        <f t="shared" si="459"/>
        <v>25.40945651484947</v>
      </c>
      <c r="AA1293" s="27">
        <f t="shared" si="459"/>
        <v>25.313176583935984</v>
      </c>
      <c r="AB1293" s="27">
        <f t="shared" si="459"/>
        <v>25.173296585423468</v>
      </c>
      <c r="AC1293" s="27">
        <f t="shared" si="459"/>
        <v>24.9901310537815</v>
      </c>
      <c r="AD1293" s="27">
        <f t="shared" si="459"/>
        <v>24.5561750857518</v>
      </c>
      <c r="AE1293" s="27">
        <f t="shared" si="459"/>
        <v>24.081343210361542</v>
      </c>
      <c r="AF1293" s="27">
        <f t="shared" si="459"/>
        <v>23.567768941484907</v>
      </c>
      <c r="AG1293" s="27">
        <f t="shared" si="459"/>
        <v>23.017828220854938</v>
      </c>
      <c r="AH1293" s="27">
        <f t="shared" si="459"/>
        <v>22.434050441185143</v>
      </c>
      <c r="AI1293" s="27">
        <f t="shared" si="459"/>
        <v>21.819129043522761</v>
      </c>
      <c r="AJ1293" s="27">
        <f t="shared" si="459"/>
        <v>-1.6847246193901004</v>
      </c>
      <c r="AK1293" s="27">
        <f t="shared" si="459"/>
        <v>-1.644161319047128</v>
      </c>
      <c r="AL1293" s="27">
        <f t="shared" si="459"/>
        <v>-1.6040200591440494</v>
      </c>
      <c r="AM1293" s="27">
        <f t="shared" si="459"/>
        <v>-1.5642966938291387</v>
      </c>
      <c r="AN1293" s="27">
        <f t="shared" si="459"/>
        <v>-1.5327693080337013</v>
      </c>
      <c r="AO1293" s="27">
        <f t="shared" si="459"/>
        <v>-1.5015409939741007</v>
      </c>
      <c r="AP1293" s="27">
        <f t="shared" si="459"/>
        <v>-1.4705885249060549</v>
      </c>
      <c r="AQ1293" s="27">
        <f t="shared" si="459"/>
        <v>-1.4399042337078187</v>
      </c>
      <c r="AR1293" s="27">
        <f t="shared" si="459"/>
        <v>-1.4094656870857605</v>
      </c>
      <c r="AS1293" s="27">
        <f t="shared" si="459"/>
        <v>-1.3792509161252371</v>
      </c>
      <c r="AT1293" s="27">
        <f t="shared" si="459"/>
        <v>-1.3492563924899292</v>
      </c>
      <c r="AU1293" s="27">
        <f t="shared" si="459"/>
        <v>-1.3194839692800588</v>
      </c>
      <c r="AV1293" s="27">
        <f t="shared" si="459"/>
        <v>-1.2899347832748098</v>
      </c>
      <c r="AW1293" s="27">
        <f t="shared" si="459"/>
        <v>-1.2605918625577832</v>
      </c>
      <c r="AY1293" s="79"/>
      <c r="AZ1293" s="79"/>
    </row>
    <row r="1294" spans="1:52" x14ac:dyDescent="0.25">
      <c r="A1294" s="95" t="str">
        <f t="shared" si="384"/>
        <v>FSFAGSPQNIBDDSCM U&amp;D</v>
      </c>
      <c r="B1294" s="95" t="s">
        <v>1375</v>
      </c>
      <c r="C1294" s="95" t="s">
        <v>1336</v>
      </c>
      <c r="D1294" t="s">
        <v>369</v>
      </c>
      <c r="E1294" t="s">
        <v>55</v>
      </c>
      <c r="F1294" t="s">
        <v>422</v>
      </c>
      <c r="G1294" t="s">
        <v>1162</v>
      </c>
      <c r="H1294" t="s">
        <v>1245</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25">
      <c r="A1295" s="95" t="str">
        <f t="shared" si="384"/>
        <v>FSFAGSPQNIBDDSCM U&amp;D</v>
      </c>
      <c r="B1295" s="95" t="s">
        <v>1375</v>
      </c>
      <c r="C1295" s="95" t="s">
        <v>1336</v>
      </c>
      <c r="D1295" t="s">
        <v>369</v>
      </c>
      <c r="E1295" t="s">
        <v>55</v>
      </c>
      <c r="F1295" t="s">
        <v>422</v>
      </c>
      <c r="G1295" t="s">
        <v>1164</v>
      </c>
      <c r="H1295" t="s">
        <v>1246</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5.8850501739310754</v>
      </c>
      <c r="T1295" s="27">
        <f t="shared" si="461"/>
        <v>5.8889669247946657</v>
      </c>
      <c r="U1295" s="27">
        <f t="shared" si="461"/>
        <v>5.9656712357324011</v>
      </c>
      <c r="V1295" s="27">
        <f t="shared" si="461"/>
        <v>5.9675423775316272</v>
      </c>
      <c r="W1295" s="27">
        <f t="shared" si="461"/>
        <v>5.9755461389464104</v>
      </c>
      <c r="X1295" s="27">
        <f t="shared" si="461"/>
        <v>5.9871157703379936</v>
      </c>
      <c r="Y1295" s="27">
        <f t="shared" si="461"/>
        <v>5.9978635614207825</v>
      </c>
      <c r="Z1295" s="27">
        <f t="shared" si="461"/>
        <v>6.0079225842908377</v>
      </c>
      <c r="AA1295" s="27">
        <f t="shared" si="461"/>
        <v>6.0172391996362506</v>
      </c>
      <c r="AB1295" s="27">
        <f t="shared" si="461"/>
        <v>6.0258973509268747</v>
      </c>
      <c r="AC1295" s="27">
        <f t="shared" si="461"/>
        <v>6.0340283734996341</v>
      </c>
      <c r="AD1295" s="27">
        <f t="shared" si="461"/>
        <v>6.0416246060545662</v>
      </c>
      <c r="AE1295" s="27">
        <f t="shared" si="461"/>
        <v>6.0488075465649391</v>
      </c>
      <c r="AF1295" s="27">
        <f t="shared" si="461"/>
        <v>6.0555945824734003</v>
      </c>
      <c r="AG1295" s="27">
        <f t="shared" si="461"/>
        <v>6.0618926896286194</v>
      </c>
      <c r="AH1295" s="27">
        <f t="shared" si="461"/>
        <v>6.0677594816606231</v>
      </c>
      <c r="AI1295" s="27">
        <f t="shared" si="461"/>
        <v>6.0732885536184407</v>
      </c>
      <c r="AJ1295" s="27">
        <f t="shared" si="461"/>
        <v>5.9400031784362666</v>
      </c>
      <c r="AK1295" s="27">
        <f t="shared" si="461"/>
        <v>5.9454655494945321</v>
      </c>
      <c r="AL1295" s="27">
        <f t="shared" si="461"/>
        <v>5.9505605357080302</v>
      </c>
      <c r="AM1295" s="27">
        <f t="shared" si="461"/>
        <v>5.9553192750142969</v>
      </c>
      <c r="AN1295" s="27">
        <f t="shared" si="461"/>
        <v>5.9597796192711163</v>
      </c>
      <c r="AO1295" s="27">
        <f t="shared" si="461"/>
        <v>5.9638242432933737</v>
      </c>
      <c r="AP1295" s="27">
        <f t="shared" si="461"/>
        <v>5.9673747960452372</v>
      </c>
      <c r="AQ1295" s="27">
        <f t="shared" si="461"/>
        <v>5.9704198015060506</v>
      </c>
      <c r="AR1295" s="27">
        <f t="shared" si="461"/>
        <v>5.9728700974873359</v>
      </c>
      <c r="AS1295" s="27">
        <f t="shared" si="461"/>
        <v>5.9746287671291771</v>
      </c>
      <c r="AT1295" s="27">
        <f t="shared" si="461"/>
        <v>5.9756848810921417</v>
      </c>
      <c r="AU1295" s="27">
        <f t="shared" si="461"/>
        <v>5.9760535038151961</v>
      </c>
      <c r="AV1295" s="27">
        <f t="shared" si="461"/>
        <v>5.9757454176187608</v>
      </c>
      <c r="AW1295" s="27">
        <f t="shared" si="461"/>
        <v>5.9746694018004627</v>
      </c>
      <c r="AY1295" s="79"/>
      <c r="AZ1295" s="79"/>
    </row>
    <row r="1296" spans="1:52" x14ac:dyDescent="0.25">
      <c r="A1296" s="95" t="str">
        <f t="shared" si="384"/>
        <v>FSFAGSPQNIBDDSCM U&amp;D</v>
      </c>
      <c r="B1296" s="95" t="s">
        <v>1375</v>
      </c>
      <c r="C1296" s="95" t="s">
        <v>1336</v>
      </c>
      <c r="D1296" t="s">
        <v>369</v>
      </c>
      <c r="E1296" t="s">
        <v>55</v>
      </c>
      <c r="F1296" t="s">
        <v>422</v>
      </c>
      <c r="G1296" t="s">
        <v>1166</v>
      </c>
      <c r="H1296" t="s">
        <v>1247</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0.65694536678362214</v>
      </c>
      <c r="T1296" s="27">
        <f t="shared" si="462"/>
        <v>0.65738259182956638</v>
      </c>
      <c r="U1296" s="27">
        <f t="shared" si="462"/>
        <v>0.66594505777184321</v>
      </c>
      <c r="V1296" s="27">
        <f t="shared" si="462"/>
        <v>0.66615393244568089</v>
      </c>
      <c r="W1296" s="27">
        <f t="shared" si="462"/>
        <v>0.66704738854594903</v>
      </c>
      <c r="X1296" s="27">
        <f t="shared" si="462"/>
        <v>0.66833890102476579</v>
      </c>
      <c r="Y1296" s="27">
        <f t="shared" si="462"/>
        <v>0.66953867185871263</v>
      </c>
      <c r="Z1296" s="27">
        <f t="shared" si="462"/>
        <v>0.67066155582291842</v>
      </c>
      <c r="AA1296" s="27">
        <f t="shared" si="462"/>
        <v>0.67170156518637059</v>
      </c>
      <c r="AB1296" s="27">
        <f t="shared" si="462"/>
        <v>0.67266807051889643</v>
      </c>
      <c r="AC1296" s="27">
        <f t="shared" si="462"/>
        <v>0.67357573272202431</v>
      </c>
      <c r="AD1296" s="27">
        <f t="shared" si="462"/>
        <v>0.67442369656846346</v>
      </c>
      <c r="AE1296" s="27">
        <f t="shared" si="462"/>
        <v>0.67522552481949083</v>
      </c>
      <c r="AF1296" s="27">
        <f t="shared" si="462"/>
        <v>0.67598315842710355</v>
      </c>
      <c r="AG1296" s="27">
        <f t="shared" si="462"/>
        <v>0.676686213149297</v>
      </c>
      <c r="AH1296" s="27">
        <f t="shared" si="462"/>
        <v>0.67734112036833483</v>
      </c>
      <c r="AI1296" s="27">
        <f t="shared" si="462"/>
        <v>0.67795832805526179</v>
      </c>
      <c r="AJ1296" s="27">
        <f t="shared" si="462"/>
        <v>0.66307974467906339</v>
      </c>
      <c r="AK1296" s="27">
        <f t="shared" si="462"/>
        <v>0.66368950657612846</v>
      </c>
      <c r="AL1296" s="27">
        <f t="shared" si="462"/>
        <v>0.6642582574767768</v>
      </c>
      <c r="AM1296" s="27">
        <f t="shared" si="462"/>
        <v>0.66478947329424454</v>
      </c>
      <c r="AN1296" s="27">
        <f t="shared" si="462"/>
        <v>0.66528737941350879</v>
      </c>
      <c r="AO1296" s="27">
        <f t="shared" si="462"/>
        <v>0.66573887887965999</v>
      </c>
      <c r="AP1296" s="27">
        <f t="shared" si="462"/>
        <v>0.66613522540363546</v>
      </c>
      <c r="AQ1296" s="27">
        <f t="shared" si="462"/>
        <v>0.66647513792267787</v>
      </c>
      <c r="AR1296" s="27">
        <f t="shared" si="462"/>
        <v>0.66674866330386928</v>
      </c>
      <c r="AS1296" s="27">
        <f t="shared" si="462"/>
        <v>0.6669449827639865</v>
      </c>
      <c r="AT1296" s="27">
        <f t="shared" si="462"/>
        <v>0.66706287626604011</v>
      </c>
      <c r="AU1296" s="27">
        <f t="shared" si="462"/>
        <v>0.6671040254462246</v>
      </c>
      <c r="AV1296" s="27">
        <f t="shared" si="462"/>
        <v>0.66706963392986762</v>
      </c>
      <c r="AW1296" s="27">
        <f t="shared" si="462"/>
        <v>0.66694951879311848</v>
      </c>
      <c r="AY1296" s="79"/>
      <c r="AZ1296" s="79"/>
    </row>
    <row r="1297" spans="1:52" x14ac:dyDescent="0.25">
      <c r="A1297" s="95" t="str">
        <f t="shared" si="384"/>
        <v>FSFAGSPQNIBDDSCM U&amp;D</v>
      </c>
      <c r="B1297" s="95" t="s">
        <v>1375</v>
      </c>
      <c r="C1297" s="95" t="s">
        <v>1336</v>
      </c>
      <c r="D1297" t="s">
        <v>369</v>
      </c>
      <c r="E1297" t="s">
        <v>55</v>
      </c>
      <c r="F1297" t="s">
        <v>422</v>
      </c>
      <c r="G1297" t="s">
        <v>1168</v>
      </c>
      <c r="H1297" t="s">
        <v>1248</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0.73708994755228441</v>
      </c>
      <c r="R1297" s="27">
        <f t="shared" si="463"/>
        <v>0.74193942345928476</v>
      </c>
      <c r="S1297" s="27">
        <f t="shared" si="463"/>
        <v>0.74013020273035457</v>
      </c>
      <c r="T1297" s="27">
        <f t="shared" si="463"/>
        <v>0.74134144539721225</v>
      </c>
      <c r="U1297" s="27">
        <f t="shared" si="463"/>
        <v>0.75637233627465528</v>
      </c>
      <c r="V1297" s="27">
        <f t="shared" si="463"/>
        <v>0.75705141377161567</v>
      </c>
      <c r="W1297" s="27">
        <f t="shared" si="463"/>
        <v>0.7588492807776368</v>
      </c>
      <c r="X1297" s="27">
        <f t="shared" si="463"/>
        <v>0.76127573486462674</v>
      </c>
      <c r="Y1297" s="27">
        <f t="shared" si="463"/>
        <v>0.76350113172742184</v>
      </c>
      <c r="Z1297" s="27">
        <f t="shared" si="463"/>
        <v>0.76555488722735199</v>
      </c>
      <c r="AA1297" s="27">
        <f t="shared" si="463"/>
        <v>0.76743070192723151</v>
      </c>
      <c r="AB1297" s="27">
        <f t="shared" si="463"/>
        <v>0.76914783818331145</v>
      </c>
      <c r="AC1297" s="27">
        <f t="shared" si="463"/>
        <v>0.77073400076292786</v>
      </c>
      <c r="AD1297" s="27">
        <f t="shared" si="463"/>
        <v>0.77219046763440091</v>
      </c>
      <c r="AE1297" s="27">
        <f t="shared" si="463"/>
        <v>0.77354238750921345</v>
      </c>
      <c r="AF1297" s="27">
        <f t="shared" si="463"/>
        <v>0.77479516156173556</v>
      </c>
      <c r="AG1297" s="27">
        <f t="shared" si="463"/>
        <v>0.77593349397844169</v>
      </c>
      <c r="AH1297" s="27">
        <f t="shared" si="463"/>
        <v>0.77696999137205336</v>
      </c>
      <c r="AI1297" s="27">
        <f t="shared" si="463"/>
        <v>0.77792369769702041</v>
      </c>
      <c r="AJ1297" s="27">
        <f t="shared" si="463"/>
        <v>0.75322819608955549</v>
      </c>
      <c r="AK1297" s="27">
        <f t="shared" si="463"/>
        <v>0.7541800771600401</v>
      </c>
      <c r="AL1297" s="27">
        <f t="shared" si="463"/>
        <v>0.75504675193645199</v>
      </c>
      <c r="AM1297" s="27">
        <f t="shared" si="463"/>
        <v>0.75583523459809387</v>
      </c>
      <c r="AN1297" s="27">
        <f t="shared" si="463"/>
        <v>0.75655364806293945</v>
      </c>
      <c r="AO1297" s="27">
        <f t="shared" si="463"/>
        <v>0.75718159798131446</v>
      </c>
      <c r="AP1297" s="27">
        <f t="shared" si="463"/>
        <v>0.75770589154537149</v>
      </c>
      <c r="AQ1297" s="27">
        <f t="shared" si="463"/>
        <v>0.75812556559779631</v>
      </c>
      <c r="AR1297" s="27">
        <f t="shared" si="463"/>
        <v>0.75842546765792429</v>
      </c>
      <c r="AS1297" s="27">
        <f t="shared" si="463"/>
        <v>0.75858908792613033</v>
      </c>
      <c r="AT1297" s="27">
        <f t="shared" si="463"/>
        <v>0.7586155821106717</v>
      </c>
      <c r="AU1297" s="27">
        <f t="shared" si="463"/>
        <v>0.75850877673067174</v>
      </c>
      <c r="AV1297" s="27">
        <f t="shared" si="463"/>
        <v>0.75827165867074431</v>
      </c>
      <c r="AW1297" s="27">
        <f t="shared" si="463"/>
        <v>0.75788873758895325</v>
      </c>
      <c r="AY1297" s="79"/>
      <c r="AZ1297" s="79"/>
    </row>
    <row r="1298" spans="1:52" x14ac:dyDescent="0.25">
      <c r="A1298" s="95" t="str">
        <f t="shared" si="384"/>
        <v>FSFAGSPQNIBDDSCM U&amp;D</v>
      </c>
      <c r="B1298" s="95" t="s">
        <v>1375</v>
      </c>
      <c r="C1298" s="95" t="s">
        <v>1336</v>
      </c>
      <c r="D1298" t="s">
        <v>369</v>
      </c>
      <c r="E1298" t="s">
        <v>55</v>
      </c>
      <c r="F1298" t="s">
        <v>422</v>
      </c>
      <c r="G1298" t="s">
        <v>1170</v>
      </c>
      <c r="H1298" t="s">
        <v>1249</v>
      </c>
      <c r="I1298" t="s">
        <v>139</v>
      </c>
      <c r="J1298" t="s">
        <v>287</v>
      </c>
      <c r="K1298" s="27">
        <f t="shared" ref="K1298:AW1298" si="464">IFERROR(K1491-((K1491-K82)+(K1491-K235)+(K1491-K388)+(K1491-K540)+(K1491-K692)+(K1491-K843)+(K1491-K994)+(K1491-K1145)),0)</f>
        <v>1.1867254191644503</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1.2198688909683484</v>
      </c>
      <c r="R1298" s="27">
        <f t="shared" si="464"/>
        <v>1.2278946750888551</v>
      </c>
      <c r="S1298" s="27">
        <f t="shared" si="464"/>
        <v>1.2249004515324955</v>
      </c>
      <c r="T1298" s="27">
        <f t="shared" si="464"/>
        <v>1.2269050335426288</v>
      </c>
      <c r="U1298" s="27">
        <f t="shared" si="464"/>
        <v>1.2517808526279679</v>
      </c>
      <c r="V1298" s="27">
        <f t="shared" si="464"/>
        <v>1.2529047120915915</v>
      </c>
      <c r="W1298" s="27">
        <f t="shared" si="464"/>
        <v>1.2558801454671604</v>
      </c>
      <c r="X1298" s="27">
        <f t="shared" si="464"/>
        <v>1.2598958776934803</v>
      </c>
      <c r="Y1298" s="27">
        <f t="shared" si="464"/>
        <v>1.2635788642977572</v>
      </c>
      <c r="Z1298" s="27">
        <f t="shared" si="464"/>
        <v>1.2669777879329793</v>
      </c>
      <c r="AA1298" s="27">
        <f t="shared" si="464"/>
        <v>1.270082223158562</v>
      </c>
      <c r="AB1298" s="27">
        <f t="shared" si="464"/>
        <v>1.2729240487828319</v>
      </c>
      <c r="AC1298" s="27">
        <f t="shared" si="464"/>
        <v>1.2755491156329737</v>
      </c>
      <c r="AD1298" s="27">
        <f t="shared" si="464"/>
        <v>1.2779595387205978</v>
      </c>
      <c r="AE1298" s="27">
        <f t="shared" si="464"/>
        <v>1.2801969386523735</v>
      </c>
      <c r="AF1298" s="27">
        <f t="shared" si="464"/>
        <v>1.2822702542621691</v>
      </c>
      <c r="AG1298" s="27">
        <f t="shared" si="464"/>
        <v>1.2841541712892999</v>
      </c>
      <c r="AH1298" s="27">
        <f t="shared" si="464"/>
        <v>1.2858695534217459</v>
      </c>
      <c r="AI1298" s="27">
        <f t="shared" si="464"/>
        <v>1.2874479180172889</v>
      </c>
      <c r="AJ1298" s="27">
        <f t="shared" si="464"/>
        <v>1.2465773644873634</v>
      </c>
      <c r="AK1298" s="27">
        <f t="shared" si="464"/>
        <v>1.2481527083238142</v>
      </c>
      <c r="AL1298" s="27">
        <f t="shared" si="464"/>
        <v>1.249587037474337</v>
      </c>
      <c r="AM1298" s="27">
        <f t="shared" si="464"/>
        <v>1.2508919602632027</v>
      </c>
      <c r="AN1298" s="27">
        <f t="shared" si="464"/>
        <v>1.2520809199546599</v>
      </c>
      <c r="AO1298" s="27">
        <f t="shared" si="464"/>
        <v>1.25312016431426</v>
      </c>
      <c r="AP1298" s="27">
        <f t="shared" si="464"/>
        <v>1.2539878595129963</v>
      </c>
      <c r="AQ1298" s="27">
        <f t="shared" si="464"/>
        <v>1.2546824115450788</v>
      </c>
      <c r="AR1298" s="27">
        <f t="shared" si="464"/>
        <v>1.255178743362793</v>
      </c>
      <c r="AS1298" s="27">
        <f t="shared" si="464"/>
        <v>1.2554495315831169</v>
      </c>
      <c r="AT1298" s="27">
        <f t="shared" si="464"/>
        <v>1.2554933789203664</v>
      </c>
      <c r="AU1298" s="27">
        <f t="shared" si="464"/>
        <v>1.2553166181859641</v>
      </c>
      <c r="AV1298" s="27">
        <f t="shared" si="464"/>
        <v>1.2549241926132744</v>
      </c>
      <c r="AW1298" s="27">
        <f t="shared" si="464"/>
        <v>1.2542904660010414</v>
      </c>
      <c r="AY1298" s="79"/>
      <c r="AZ1298" s="79"/>
    </row>
    <row r="1299" spans="1:52" x14ac:dyDescent="0.25">
      <c r="A1299" s="95" t="str">
        <f t="shared" si="384"/>
        <v>FSFAGSPQNIBDDSCM U&amp;D</v>
      </c>
      <c r="B1299" s="95" t="s">
        <v>1375</v>
      </c>
      <c r="C1299" s="95" t="s">
        <v>1336</v>
      </c>
      <c r="D1299" t="s">
        <v>369</v>
      </c>
      <c r="E1299" t="s">
        <v>55</v>
      </c>
      <c r="F1299" t="s">
        <v>422</v>
      </c>
      <c r="G1299" t="s">
        <v>1172</v>
      </c>
      <c r="H1299" t="s">
        <v>1250</v>
      </c>
      <c r="I1299" t="s">
        <v>139</v>
      </c>
      <c r="J1299" t="s">
        <v>287</v>
      </c>
      <c r="K1299" s="27">
        <f t="shared" ref="K1299:AW1299" si="465">IFERROR(K1492-((K1492-K83)+(K1492-K236)+(K1492-K389)+(K1492-K541)+(K1492-K693)+(K1492-K844)+(K1492-K995)+(K1492-K1146)),0)</f>
        <v>0.19147730421375916</v>
      </c>
      <c r="L1299" s="27">
        <f t="shared" si="465"/>
        <v>0.19240499933397137</v>
      </c>
      <c r="M1299" s="27">
        <f t="shared" si="465"/>
        <v>0.19381280191845887</v>
      </c>
      <c r="N1299" s="27">
        <f t="shared" si="465"/>
        <v>0.19411375969056666</v>
      </c>
      <c r="O1299" s="27">
        <f t="shared" si="465"/>
        <v>0.19368291106027899</v>
      </c>
      <c r="P1299" s="27">
        <f t="shared" si="465"/>
        <v>0.19253602379697465</v>
      </c>
      <c r="Q1299" s="27">
        <f t="shared" si="465"/>
        <v>0.19190012409058904</v>
      </c>
      <c r="R1299" s="27">
        <f t="shared" si="465"/>
        <v>0.19132863754616411</v>
      </c>
      <c r="S1299" s="27">
        <f t="shared" si="465"/>
        <v>0.18281131471006393</v>
      </c>
      <c r="T1299" s="27">
        <f t="shared" si="465"/>
        <v>0.18736784640695911</v>
      </c>
      <c r="U1299" s="27">
        <f t="shared" si="465"/>
        <v>0.40219801863685228</v>
      </c>
      <c r="V1299" s="27">
        <f t="shared" si="465"/>
        <v>0.40734903420411533</v>
      </c>
      <c r="W1299" s="27">
        <f t="shared" si="465"/>
        <v>0.41149752828946928</v>
      </c>
      <c r="X1299" s="27">
        <f t="shared" si="465"/>
        <v>0.41483621581205343</v>
      </c>
      <c r="Y1299" s="27">
        <f t="shared" si="465"/>
        <v>0.41773635782756013</v>
      </c>
      <c r="Z1299" s="27">
        <f t="shared" si="465"/>
        <v>0.42016501076041057</v>
      </c>
      <c r="AA1299" s="27">
        <f t="shared" si="465"/>
        <v>0.42210855342477654</v>
      </c>
      <c r="AB1299" s="27">
        <f t="shared" si="465"/>
        <v>0.42354330417098807</v>
      </c>
      <c r="AC1299" s="27">
        <f t="shared" si="465"/>
        <v>0.42444389710723196</v>
      </c>
      <c r="AD1299" s="27">
        <f t="shared" si="465"/>
        <v>0.42480049297226147</v>
      </c>
      <c r="AE1299" s="27">
        <f t="shared" si="465"/>
        <v>0.42459446865621531</v>
      </c>
      <c r="AF1299" s="27">
        <f t="shared" si="465"/>
        <v>0.42381980556219867</v>
      </c>
      <c r="AG1299" s="27">
        <f t="shared" si="465"/>
        <v>0.42248350599041806</v>
      </c>
      <c r="AH1299" s="27">
        <f t="shared" si="465"/>
        <v>0.42058207160696442</v>
      </c>
      <c r="AI1299" s="27">
        <f t="shared" si="465"/>
        <v>0.41811210592034348</v>
      </c>
      <c r="AJ1299" s="27">
        <f t="shared" si="465"/>
        <v>6.1557811520144383E-2</v>
      </c>
      <c r="AK1299" s="27">
        <f t="shared" si="465"/>
        <v>6.1557811520144383E-2</v>
      </c>
      <c r="AL1299" s="27">
        <f t="shared" si="465"/>
        <v>6.1557811520144383E-2</v>
      </c>
      <c r="AM1299" s="27">
        <f t="shared" si="465"/>
        <v>6.1557811520144383E-2</v>
      </c>
      <c r="AN1299" s="27">
        <f t="shared" si="465"/>
        <v>6.1557811520144383E-2</v>
      </c>
      <c r="AO1299" s="27">
        <f t="shared" si="465"/>
        <v>6.1557811520144383E-2</v>
      </c>
      <c r="AP1299" s="27">
        <f t="shared" si="465"/>
        <v>6.1557811520144383E-2</v>
      </c>
      <c r="AQ1299" s="27">
        <f t="shared" si="465"/>
        <v>6.1557811520144383E-2</v>
      </c>
      <c r="AR1299" s="27">
        <f t="shared" si="465"/>
        <v>6.1557811520144383E-2</v>
      </c>
      <c r="AS1299" s="27">
        <f t="shared" si="465"/>
        <v>6.1557811520144383E-2</v>
      </c>
      <c r="AT1299" s="27">
        <f t="shared" si="465"/>
        <v>6.1557811520144383E-2</v>
      </c>
      <c r="AU1299" s="27">
        <f t="shared" si="465"/>
        <v>6.1557811520144383E-2</v>
      </c>
      <c r="AV1299" s="27">
        <f t="shared" si="465"/>
        <v>6.1557811520144383E-2</v>
      </c>
      <c r="AW1299" s="27">
        <f t="shared" si="465"/>
        <v>6.1557811520144383E-2</v>
      </c>
      <c r="AY1299" s="79"/>
      <c r="AZ1299" s="79"/>
    </row>
    <row r="1300" spans="1:52" x14ac:dyDescent="0.25">
      <c r="A1300" s="95" t="str">
        <f t="shared" si="384"/>
        <v>FSFAGSPQNIBDDSCM U&amp;D</v>
      </c>
      <c r="B1300" s="95" t="s">
        <v>1375</v>
      </c>
      <c r="C1300" s="95" t="s">
        <v>1336</v>
      </c>
      <c r="D1300" t="s">
        <v>369</v>
      </c>
      <c r="E1300" t="s">
        <v>55</v>
      </c>
      <c r="F1300" t="s">
        <v>422</v>
      </c>
      <c r="G1300" t="s">
        <v>1174</v>
      </c>
      <c r="H1300" t="s">
        <v>1251</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25">
      <c r="A1301" s="95" t="str">
        <f t="shared" si="384"/>
        <v>FSFAGSPQNIBDDSCM U&amp;D</v>
      </c>
      <c r="B1301" s="95" t="s">
        <v>1375</v>
      </c>
      <c r="C1301" s="95" t="s">
        <v>1336</v>
      </c>
      <c r="D1301" t="s">
        <v>369</v>
      </c>
      <c r="E1301" t="s">
        <v>55</v>
      </c>
      <c r="F1301" t="s">
        <v>422</v>
      </c>
      <c r="G1301" t="s">
        <v>1176</v>
      </c>
      <c r="H1301" t="s">
        <v>1252</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25">
      <c r="A1302" s="95" t="str">
        <f t="shared" si="384"/>
        <v>FSFAGSPQNIBDDSCM U&amp;D</v>
      </c>
      <c r="B1302" s="95" t="s">
        <v>1375</v>
      </c>
      <c r="C1302" s="95" t="s">
        <v>1336</v>
      </c>
      <c r="D1302" t="s">
        <v>369</v>
      </c>
      <c r="E1302" t="s">
        <v>55</v>
      </c>
      <c r="F1302" t="s">
        <v>422</v>
      </c>
      <c r="G1302" t="s">
        <v>1178</v>
      </c>
      <c r="H1302" t="s">
        <v>1253</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25">
      <c r="A1303" s="95" t="str">
        <f t="shared" si="384"/>
        <v>FSFAGSPQNIBDDSCM U&amp;D</v>
      </c>
      <c r="B1303" s="95" t="s">
        <v>1375</v>
      </c>
      <c r="C1303" s="95" t="s">
        <v>1336</v>
      </c>
      <c r="D1303" t="s">
        <v>369</v>
      </c>
      <c r="E1303" t="s">
        <v>55</v>
      </c>
      <c r="F1303" t="s">
        <v>422</v>
      </c>
      <c r="G1303" t="s">
        <v>1180</v>
      </c>
      <c r="H1303" t="s">
        <v>1254</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25">
      <c r="A1304" s="95" t="str">
        <f t="shared" si="384"/>
        <v>FSFAGSPQNIBDDSCM U&amp;D</v>
      </c>
      <c r="B1304" s="95" t="s">
        <v>1375</v>
      </c>
      <c r="C1304" s="95" t="s">
        <v>1336</v>
      </c>
      <c r="D1304" t="s">
        <v>369</v>
      </c>
      <c r="E1304" t="s">
        <v>55</v>
      </c>
      <c r="F1304" t="s">
        <v>422</v>
      </c>
      <c r="G1304" t="s">
        <v>1182</v>
      </c>
      <c r="H1304" t="s">
        <v>1255</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25">
      <c r="A1305" s="95" t="str">
        <f t="shared" si="384"/>
        <v>FSFAGSPQNIBDDSCM FSOM</v>
      </c>
      <c r="B1305" s="95" t="s">
        <v>1375</v>
      </c>
      <c r="C1305" s="95" t="s">
        <v>60</v>
      </c>
      <c r="D1305" t="s">
        <v>369</v>
      </c>
      <c r="E1305" t="s">
        <v>55</v>
      </c>
      <c r="F1305" t="s">
        <v>60</v>
      </c>
      <c r="G1305" t="s">
        <v>1266</v>
      </c>
      <c r="H1305" t="s">
        <v>1267</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25">
      <c r="A1306" s="95" t="str">
        <f t="shared" si="384"/>
        <v>FSFAGSPQNIBDDSCM FSOM</v>
      </c>
      <c r="B1306" s="95" t="s">
        <v>1375</v>
      </c>
      <c r="C1306" s="95" t="s">
        <v>60</v>
      </c>
      <c r="D1306" t="s">
        <v>369</v>
      </c>
      <c r="E1306" t="s">
        <v>55</v>
      </c>
      <c r="F1306" t="s">
        <v>60</v>
      </c>
      <c r="G1306" t="s">
        <v>1268</v>
      </c>
      <c r="H1306" t="s">
        <v>1269</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25">
      <c r="A1307" s="95" t="str">
        <f t="shared" si="384"/>
        <v>FSFAGSPQNIBDDSCM FSOM</v>
      </c>
      <c r="B1307" s="95" t="s">
        <v>1375</v>
      </c>
      <c r="C1307" s="95" t="s">
        <v>60</v>
      </c>
      <c r="D1307" t="s">
        <v>369</v>
      </c>
      <c r="E1307" t="s">
        <v>55</v>
      </c>
      <c r="F1307" t="s">
        <v>60</v>
      </c>
      <c r="G1307" t="s">
        <v>1270</v>
      </c>
      <c r="H1307" t="s">
        <v>1271</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25">
      <c r="A1308" s="95" t="str">
        <f t="shared" si="384"/>
        <v>FSFAGSPQNIBDDSCM FSOM</v>
      </c>
      <c r="B1308" s="95" t="s">
        <v>1375</v>
      </c>
      <c r="C1308" s="95" t="s">
        <v>60</v>
      </c>
      <c r="D1308" t="s">
        <v>369</v>
      </c>
      <c r="E1308" t="s">
        <v>55</v>
      </c>
      <c r="F1308" t="s">
        <v>60</v>
      </c>
      <c r="G1308" t="s">
        <v>1272</v>
      </c>
      <c r="H1308" t="s">
        <v>1273</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25">
      <c r="A1309" s="95" t="str">
        <f t="shared" si="384"/>
        <v>FSFAGSPQNIBDDSCM FSOM</v>
      </c>
      <c r="B1309" s="95" t="s">
        <v>1375</v>
      </c>
      <c r="C1309" s="95" t="s">
        <v>60</v>
      </c>
      <c r="D1309" t="s">
        <v>369</v>
      </c>
      <c r="E1309" t="s">
        <v>55</v>
      </c>
      <c r="F1309" t="s">
        <v>60</v>
      </c>
      <c r="G1309" t="s">
        <v>1274</v>
      </c>
      <c r="H1309" t="s">
        <v>1275</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25">
      <c r="A1310" s="95" t="str">
        <f t="shared" si="384"/>
        <v>FSFAGSPQNIBDDSCM FSOM</v>
      </c>
      <c r="B1310" s="95" t="s">
        <v>1375</v>
      </c>
      <c r="C1310" s="95" t="s">
        <v>60</v>
      </c>
      <c r="D1310" t="s">
        <v>369</v>
      </c>
      <c r="E1310" t="s">
        <v>55</v>
      </c>
      <c r="F1310" t="s">
        <v>60</v>
      </c>
      <c r="G1310" t="s">
        <v>1276</v>
      </c>
      <c r="H1310" t="s">
        <v>1277</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25">
      <c r="A1311" s="95" t="str">
        <f t="shared" si="384"/>
        <v>FSFAGSPQNIBDDSCM FSOM</v>
      </c>
      <c r="B1311" s="95" t="s">
        <v>1375</v>
      </c>
      <c r="C1311" s="95" t="s">
        <v>60</v>
      </c>
      <c r="D1311" t="s">
        <v>369</v>
      </c>
      <c r="E1311" t="s">
        <v>55</v>
      </c>
      <c r="F1311" t="s">
        <v>60</v>
      </c>
      <c r="G1311" t="s">
        <v>1278</v>
      </c>
      <c r="H1311" t="s">
        <v>1279</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25">
      <c r="A1312" s="95" t="str">
        <f t="shared" si="384"/>
        <v>FSFAGSPQNIBDDSCM FSOM</v>
      </c>
      <c r="B1312" s="95" t="s">
        <v>1375</v>
      </c>
      <c r="C1312" s="95" t="s">
        <v>60</v>
      </c>
      <c r="D1312" t="s">
        <v>369</v>
      </c>
      <c r="E1312" t="s">
        <v>55</v>
      </c>
      <c r="F1312" t="s">
        <v>60</v>
      </c>
      <c r="G1312" t="s">
        <v>1280</v>
      </c>
      <c r="H1312" t="s">
        <v>1281</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25">
      <c r="A1313" s="95" t="str">
        <f t="shared" si="384"/>
        <v>FSFAGSPQNIBDDSCM FSOM</v>
      </c>
      <c r="B1313" s="95" t="s">
        <v>1375</v>
      </c>
      <c r="C1313" s="95" t="s">
        <v>60</v>
      </c>
      <c r="D1313" t="s">
        <v>369</v>
      </c>
      <c r="E1313" t="s">
        <v>55</v>
      </c>
      <c r="F1313" t="s">
        <v>60</v>
      </c>
      <c r="G1313" t="s">
        <v>1282</v>
      </c>
      <c r="H1313" t="s">
        <v>1283</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25">
      <c r="A1314" s="95" t="str">
        <f t="shared" si="384"/>
        <v>FSFAGSPQNIBDDSCM FSOM</v>
      </c>
      <c r="B1314" s="95" t="s">
        <v>1375</v>
      </c>
      <c r="C1314" s="95" t="s">
        <v>60</v>
      </c>
      <c r="D1314" t="s">
        <v>369</v>
      </c>
      <c r="E1314" t="s">
        <v>55</v>
      </c>
      <c r="F1314" t="s">
        <v>60</v>
      </c>
      <c r="G1314" t="s">
        <v>1284</v>
      </c>
      <c r="H1314" t="s">
        <v>1285</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25">
      <c r="A1315" s="95" t="str">
        <f t="shared" si="384"/>
        <v>FSFAGSPQNIBDDSCM FSOM</v>
      </c>
      <c r="B1315" s="95" t="s">
        <v>1375</v>
      </c>
      <c r="C1315" s="95" t="s">
        <v>60</v>
      </c>
      <c r="D1315" t="s">
        <v>369</v>
      </c>
      <c r="E1315" t="s">
        <v>55</v>
      </c>
      <c r="F1315" t="s">
        <v>60</v>
      </c>
      <c r="G1315" t="s">
        <v>1286</v>
      </c>
      <c r="H1315" t="s">
        <v>1287</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25">
      <c r="A1316" s="95" t="str">
        <f t="shared" si="384"/>
        <v>FSFAGSPQNIBDDSCM FSOM</v>
      </c>
      <c r="B1316" s="95" t="s">
        <v>1375</v>
      </c>
      <c r="C1316" s="95" t="s">
        <v>60</v>
      </c>
      <c r="D1316" t="s">
        <v>369</v>
      </c>
      <c r="E1316" t="s">
        <v>55</v>
      </c>
      <c r="F1316" t="s">
        <v>60</v>
      </c>
      <c r="G1316" t="s">
        <v>1288</v>
      </c>
      <c r="H1316" t="s">
        <v>1289</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25">
      <c r="A1317" s="95" t="str">
        <f t="shared" si="384"/>
        <v>FSFAGSPQNIBDDSCM Volatilisation</v>
      </c>
      <c r="B1317" s="95" t="s">
        <v>1375</v>
      </c>
      <c r="C1317" s="95" t="s">
        <v>62</v>
      </c>
      <c r="D1317" t="s">
        <v>369</v>
      </c>
      <c r="E1317" t="s">
        <v>61</v>
      </c>
      <c r="F1317" t="s">
        <v>62</v>
      </c>
      <c r="G1317" t="s">
        <v>435</v>
      </c>
      <c r="H1317" t="s">
        <v>1184</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0.66035651430821074</v>
      </c>
      <c r="U1317" s="27">
        <f t="shared" si="483"/>
        <v>0.66008394987584207</v>
      </c>
      <c r="V1317" s="27">
        <f t="shared" si="483"/>
        <v>0.65354261970149441</v>
      </c>
      <c r="W1317" s="27">
        <f t="shared" si="483"/>
        <v>0.65337920332710719</v>
      </c>
      <c r="X1317" s="27">
        <f t="shared" si="483"/>
        <v>0.65322793572104454</v>
      </c>
      <c r="Y1317" s="27">
        <f t="shared" si="483"/>
        <v>0.65308880056970553</v>
      </c>
      <c r="Z1317" s="27">
        <f t="shared" si="483"/>
        <v>0.65296169227266498</v>
      </c>
      <c r="AA1317" s="27">
        <f t="shared" si="483"/>
        <v>0.65284672118777098</v>
      </c>
      <c r="AB1317" s="27">
        <f t="shared" si="483"/>
        <v>0.65274397960506148</v>
      </c>
      <c r="AC1317" s="27">
        <f t="shared" si="483"/>
        <v>0.65265355793719104</v>
      </c>
      <c r="AD1317" s="27">
        <f t="shared" si="483"/>
        <v>0.65257554079256641</v>
      </c>
      <c r="AE1317" s="27">
        <f t="shared" si="483"/>
        <v>0.65250999875184101</v>
      </c>
      <c r="AF1317" s="27">
        <f t="shared" si="483"/>
        <v>0.65245700134470697</v>
      </c>
      <c r="AG1317" s="27">
        <f t="shared" si="483"/>
        <v>0.65241660651071587</v>
      </c>
      <c r="AH1317" s="27">
        <f t="shared" si="483"/>
        <v>0.65238886062718315</v>
      </c>
      <c r="AI1317" s="27">
        <f t="shared" si="483"/>
        <v>0.6523738107982866</v>
      </c>
      <c r="AJ1317" s="27">
        <f t="shared" si="483"/>
        <v>0.65237149971504915</v>
      </c>
      <c r="AK1317" s="27">
        <f t="shared" si="483"/>
        <v>0.6717077011874647</v>
      </c>
      <c r="AL1317" s="27">
        <f t="shared" si="483"/>
        <v>0.67172409254060461</v>
      </c>
      <c r="AM1317" s="27">
        <f t="shared" si="483"/>
        <v>0.67174011054610017</v>
      </c>
      <c r="AN1317" s="27">
        <f t="shared" si="483"/>
        <v>0.67175577706338141</v>
      </c>
      <c r="AO1317" s="27">
        <f t="shared" si="483"/>
        <v>0.67177111790148203</v>
      </c>
      <c r="AP1317" s="27">
        <f t="shared" si="483"/>
        <v>0.67178606782023664</v>
      </c>
      <c r="AQ1317" s="27">
        <f t="shared" si="483"/>
        <v>0.67180058277133392</v>
      </c>
      <c r="AR1317" s="27">
        <f t="shared" si="483"/>
        <v>0.67181465717092259</v>
      </c>
      <c r="AS1317" s="27">
        <f t="shared" si="483"/>
        <v>0.67182823869267982</v>
      </c>
      <c r="AT1317" s="27">
        <f t="shared" si="483"/>
        <v>0.67184126908492714</v>
      </c>
      <c r="AU1317" s="27">
        <f t="shared" si="483"/>
        <v>0.67185374065365466</v>
      </c>
      <c r="AV1317" s="27">
        <f t="shared" si="483"/>
        <v>0.67186566123512315</v>
      </c>
      <c r="AW1317" s="27">
        <f t="shared" si="483"/>
        <v>0.67187703615819216</v>
      </c>
      <c r="AY1317" s="79"/>
      <c r="AZ1317" s="79"/>
    </row>
    <row r="1318" spans="1:52" x14ac:dyDescent="0.25">
      <c r="A1318" s="95" t="str">
        <f t="shared" si="384"/>
        <v>FSFAGSPQNIBDDSCM Volatilisation</v>
      </c>
      <c r="B1318" s="95" t="s">
        <v>1375</v>
      </c>
      <c r="C1318" s="95" t="s">
        <v>62</v>
      </c>
      <c r="D1318" t="s">
        <v>369</v>
      </c>
      <c r="E1318" t="s">
        <v>61</v>
      </c>
      <c r="F1318" t="s">
        <v>62</v>
      </c>
      <c r="G1318" t="s">
        <v>436</v>
      </c>
      <c r="H1318" t="s">
        <v>1185</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8.716705988868383E-3</v>
      </c>
      <c r="U1318" s="27">
        <f t="shared" si="484"/>
        <v>8.7131081383611166E-3</v>
      </c>
      <c r="V1318" s="27">
        <f t="shared" si="484"/>
        <v>8.6267625800597308E-3</v>
      </c>
      <c r="W1318" s="27">
        <f t="shared" si="484"/>
        <v>8.624605483917816E-3</v>
      </c>
      <c r="X1318" s="27">
        <f t="shared" si="484"/>
        <v>8.6226087515177911E-3</v>
      </c>
      <c r="Y1318" s="27">
        <f t="shared" si="484"/>
        <v>8.6207721675201129E-3</v>
      </c>
      <c r="Z1318" s="27">
        <f t="shared" si="484"/>
        <v>8.6190943379991763E-3</v>
      </c>
      <c r="AA1318" s="27">
        <f t="shared" si="484"/>
        <v>8.6175767196785755E-3</v>
      </c>
      <c r="AB1318" s="27">
        <f t="shared" si="484"/>
        <v>8.6162205307868112E-3</v>
      </c>
      <c r="AC1318" s="27">
        <f t="shared" si="484"/>
        <v>8.6150269647709242E-3</v>
      </c>
      <c r="AD1318" s="27">
        <f t="shared" si="484"/>
        <v>8.6139971384618756E-3</v>
      </c>
      <c r="AE1318" s="27">
        <f t="shared" si="484"/>
        <v>8.6131319835243015E-3</v>
      </c>
      <c r="AF1318" s="27">
        <f t="shared" si="484"/>
        <v>8.6124324177501328E-3</v>
      </c>
      <c r="AG1318" s="27">
        <f t="shared" si="484"/>
        <v>8.6118992059414506E-3</v>
      </c>
      <c r="AH1318" s="27">
        <f t="shared" si="484"/>
        <v>8.6115329602788199E-3</v>
      </c>
      <c r="AI1318" s="27">
        <f t="shared" si="484"/>
        <v>8.611334302537384E-3</v>
      </c>
      <c r="AJ1318" s="27">
        <f t="shared" si="484"/>
        <v>8.6113037962386486E-3</v>
      </c>
      <c r="AK1318" s="27">
        <f t="shared" si="484"/>
        <v>8.8665416556745359E-3</v>
      </c>
      <c r="AL1318" s="27">
        <f t="shared" si="484"/>
        <v>8.8667580215359802E-3</v>
      </c>
      <c r="AM1318" s="27">
        <f t="shared" si="484"/>
        <v>8.8669694592085242E-3</v>
      </c>
      <c r="AN1318" s="27">
        <f t="shared" si="484"/>
        <v>8.8671762572366322E-3</v>
      </c>
      <c r="AO1318" s="27">
        <f t="shared" si="484"/>
        <v>8.8673787562995633E-3</v>
      </c>
      <c r="AP1318" s="27">
        <f t="shared" si="484"/>
        <v>8.8675760952271251E-3</v>
      </c>
      <c r="AQ1318" s="27">
        <f t="shared" si="484"/>
        <v>8.8677676925816105E-3</v>
      </c>
      <c r="AR1318" s="27">
        <f t="shared" si="484"/>
        <v>8.867953474656182E-3</v>
      </c>
      <c r="AS1318" s="27">
        <f t="shared" si="484"/>
        <v>8.8681327507433762E-3</v>
      </c>
      <c r="AT1318" s="27">
        <f t="shared" si="484"/>
        <v>8.8683047519210381E-3</v>
      </c>
      <c r="AU1318" s="27">
        <f t="shared" si="484"/>
        <v>8.8684693766282394E-3</v>
      </c>
      <c r="AV1318" s="27">
        <f t="shared" si="484"/>
        <v>8.8686267283036267E-3</v>
      </c>
      <c r="AW1318" s="27">
        <f t="shared" si="484"/>
        <v>8.8687768772881346E-3</v>
      </c>
      <c r="AY1318" s="79"/>
      <c r="AZ1318" s="79"/>
    </row>
    <row r="1319" spans="1:52" x14ac:dyDescent="0.25">
      <c r="A1319" s="95" t="str">
        <f t="shared" si="384"/>
        <v>FSFAGSPQNIBDDSCM Volatilisation</v>
      </c>
      <c r="B1319" s="95" t="s">
        <v>1375</v>
      </c>
      <c r="C1319" s="95" t="s">
        <v>62</v>
      </c>
      <c r="D1319" t="s">
        <v>369</v>
      </c>
      <c r="E1319" t="s">
        <v>61</v>
      </c>
      <c r="F1319" t="s">
        <v>62</v>
      </c>
      <c r="G1319" t="s">
        <v>437</v>
      </c>
      <c r="H1319" t="s">
        <v>1186</v>
      </c>
      <c r="I1319" t="s">
        <v>139</v>
      </c>
      <c r="J1319" t="s">
        <v>287</v>
      </c>
      <c r="K1319" s="27">
        <f t="shared" ref="K1319:AW1319" si="485">IFERROR(K1512-((K1512-K103)+(K1512-K256)+(K1512-K409)+(K1512-K561)+(K1512-K713)+(K1512-K864)+(K1512-K1015)+(K1512-K1166)),0)</f>
        <v>1.2008407282256135</v>
      </c>
      <c r="L1319" s="27">
        <f t="shared" si="485"/>
        <v>1.2019035107607596</v>
      </c>
      <c r="M1319" s="27">
        <f t="shared" si="485"/>
        <v>1.2088775122881088</v>
      </c>
      <c r="N1319" s="27">
        <f t="shared" si="485"/>
        <v>1.2055442230548157</v>
      </c>
      <c r="O1319" s="27">
        <f t="shared" si="485"/>
        <v>1.195843583832628</v>
      </c>
      <c r="P1319" s="27">
        <f t="shared" si="485"/>
        <v>1.1799964998501227</v>
      </c>
      <c r="Q1319" s="27">
        <f t="shared" si="485"/>
        <v>1.169776622170569</v>
      </c>
      <c r="R1319" s="27">
        <f t="shared" si="485"/>
        <v>1.1606871439933113</v>
      </c>
      <c r="S1319" s="27">
        <f t="shared" si="485"/>
        <v>1.0648906691667142</v>
      </c>
      <c r="T1319" s="27">
        <f t="shared" si="485"/>
        <v>1.1057533797860197</v>
      </c>
      <c r="U1319" s="27">
        <f t="shared" si="485"/>
        <v>3.1715891643578864</v>
      </c>
      <c r="V1319" s="27">
        <f t="shared" si="485"/>
        <v>3.205817503106533</v>
      </c>
      <c r="W1319" s="27">
        <f t="shared" si="485"/>
        <v>3.2352153287252081</v>
      </c>
      <c r="X1319" s="27">
        <f t="shared" si="485"/>
        <v>3.2596764998420773</v>
      </c>
      <c r="Y1319" s="27">
        <f t="shared" si="485"/>
        <v>3.2791703785538746</v>
      </c>
      <c r="Z1319" s="27">
        <f t="shared" si="485"/>
        <v>3.2935488814957896</v>
      </c>
      <c r="AA1319" s="27">
        <f t="shared" si="485"/>
        <v>3.3026965587676997</v>
      </c>
      <c r="AB1319" s="27">
        <f t="shared" si="485"/>
        <v>3.3065215616671835</v>
      </c>
      <c r="AC1319" s="27">
        <f t="shared" si="485"/>
        <v>3.3049591714491218</v>
      </c>
      <c r="AD1319" s="27">
        <f t="shared" si="485"/>
        <v>3.2856040880514414</v>
      </c>
      <c r="AE1319" s="27">
        <f t="shared" si="485"/>
        <v>3.2609006919876253</v>
      </c>
      <c r="AF1319" s="27">
        <f t="shared" si="485"/>
        <v>3.2309381698250323</v>
      </c>
      <c r="AG1319" s="27">
        <f t="shared" si="485"/>
        <v>3.1958369771906554</v>
      </c>
      <c r="AH1319" s="27">
        <f t="shared" si="485"/>
        <v>3.1557406943377502</v>
      </c>
      <c r="AI1319" s="27">
        <f t="shared" si="485"/>
        <v>3.1108181429551416</v>
      </c>
      <c r="AJ1319" s="27">
        <f t="shared" si="485"/>
        <v>-7.9927190130914927E-2</v>
      </c>
      <c r="AK1319" s="27">
        <f t="shared" si="485"/>
        <v>-7.7482459717295754E-2</v>
      </c>
      <c r="AL1319" s="27">
        <f t="shared" si="485"/>
        <v>-7.5056648302161827E-2</v>
      </c>
      <c r="AM1319" s="27">
        <f t="shared" si="485"/>
        <v>-7.2650174059267963E-2</v>
      </c>
      <c r="AN1319" s="27">
        <f t="shared" si="485"/>
        <v>-7.0723117301040472E-2</v>
      </c>
      <c r="AO1319" s="27">
        <f t="shared" si="485"/>
        <v>-6.8807486280089009E-2</v>
      </c>
      <c r="AP1319" s="27">
        <f t="shared" si="485"/>
        <v>-6.6901375831276963E-2</v>
      </c>
      <c r="AQ1319" s="27">
        <f t="shared" si="485"/>
        <v>-6.5004519075055389E-2</v>
      </c>
      <c r="AR1319" s="27">
        <f t="shared" si="485"/>
        <v>-6.3114960679436297E-2</v>
      </c>
      <c r="AS1319" s="27">
        <f t="shared" si="485"/>
        <v>-6.1230717258980515E-2</v>
      </c>
      <c r="AT1319" s="27">
        <f t="shared" si="485"/>
        <v>-5.9351794077464999E-2</v>
      </c>
      <c r="AU1319" s="27">
        <f t="shared" si="485"/>
        <v>-5.7478765169344234E-2</v>
      </c>
      <c r="AV1319" s="27">
        <f t="shared" si="485"/>
        <v>-5.5612099659167281E-2</v>
      </c>
      <c r="AW1319" s="27">
        <f t="shared" si="485"/>
        <v>-5.3750177084754498E-2</v>
      </c>
      <c r="AY1319" s="79"/>
      <c r="AZ1319" s="79"/>
    </row>
    <row r="1320" spans="1:52" x14ac:dyDescent="0.25">
      <c r="A1320" s="95" t="str">
        <f t="shared" si="384"/>
        <v>FSFAGSPQNIBDDSCM Volatilisation</v>
      </c>
      <c r="B1320" s="95" t="s">
        <v>1375</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3.9236983289257736</v>
      </c>
      <c r="T1320" s="27">
        <f t="shared" si="489"/>
        <v>4.0061959356333121</v>
      </c>
      <c r="U1320" s="27">
        <f t="shared" si="489"/>
        <v>8.6703485618299432</v>
      </c>
      <c r="V1320" s="27">
        <f t="shared" si="489"/>
        <v>8.7075171611639437</v>
      </c>
      <c r="W1320" s="27">
        <f t="shared" si="489"/>
        <v>8.7349231997789492</v>
      </c>
      <c r="X1320" s="27">
        <f t="shared" si="489"/>
        <v>8.7517078724202371</v>
      </c>
      <c r="Y1320" s="27">
        <f t="shared" si="489"/>
        <v>8.7566246906771106</v>
      </c>
      <c r="Z1320" s="27">
        <f t="shared" si="489"/>
        <v>8.749585391639048</v>
      </c>
      <c r="AA1320" s="27">
        <f t="shared" si="489"/>
        <v>8.7305224491182276</v>
      </c>
      <c r="AB1320" s="27">
        <f t="shared" si="489"/>
        <v>8.6994684257142971</v>
      </c>
      <c r="AC1320" s="27">
        <f t="shared" si="489"/>
        <v>8.6565339362109501</v>
      </c>
      <c r="AD1320" s="27">
        <f t="shared" si="489"/>
        <v>8.5479552025611873</v>
      </c>
      <c r="AE1320" s="27">
        <f t="shared" si="489"/>
        <v>8.4281375273268431</v>
      </c>
      <c r="AF1320" s="27">
        <f t="shared" si="489"/>
        <v>8.2976332368638914</v>
      </c>
      <c r="AG1320" s="27">
        <f t="shared" si="489"/>
        <v>8.1570247194237986</v>
      </c>
      <c r="AH1320" s="27">
        <f t="shared" si="489"/>
        <v>8.0069849414591072</v>
      </c>
      <c r="AI1320" s="27">
        <f t="shared" si="489"/>
        <v>7.8482435227169196</v>
      </c>
      <c r="AJ1320" s="27">
        <f t="shared" si="489"/>
        <v>1.4117786211897634</v>
      </c>
      <c r="AK1320" s="27">
        <f t="shared" si="489"/>
        <v>1.4240848222590068</v>
      </c>
      <c r="AL1320" s="27">
        <f t="shared" si="489"/>
        <v>1.4361490833885919</v>
      </c>
      <c r="AM1320" s="27">
        <f t="shared" si="489"/>
        <v>1.4479836223342117</v>
      </c>
      <c r="AN1320" s="27">
        <f t="shared" si="489"/>
        <v>1.4575869997562623</v>
      </c>
      <c r="AO1320" s="27">
        <f t="shared" si="489"/>
        <v>1.4669658638055674</v>
      </c>
      <c r="AP1320" s="27">
        <f t="shared" si="489"/>
        <v>1.4761004652334226</v>
      </c>
      <c r="AQ1320" s="27">
        <f t="shared" si="489"/>
        <v>1.4849895121905028</v>
      </c>
      <c r="AR1320" s="27">
        <f t="shared" si="489"/>
        <v>1.4936094251739955</v>
      </c>
      <c r="AS1320" s="27">
        <f t="shared" si="489"/>
        <v>1.5019339292237881</v>
      </c>
      <c r="AT1320" s="27">
        <f t="shared" si="489"/>
        <v>1.5099608560757101</v>
      </c>
      <c r="AU1320" s="27">
        <f t="shared" si="489"/>
        <v>1.5176953414243965</v>
      </c>
      <c r="AV1320" s="27">
        <f t="shared" si="489"/>
        <v>1.5251412376449351</v>
      </c>
      <c r="AW1320" s="27">
        <f t="shared" si="489"/>
        <v>1.5322728813191711</v>
      </c>
      <c r="AY1320" s="79"/>
      <c r="AZ1320" s="79"/>
    </row>
    <row r="1321" spans="1:52" x14ac:dyDescent="0.25">
      <c r="A1321" s="95" t="str">
        <f t="shared" si="384"/>
        <v>FSFAGSPQNIBDDSCM Leaching</v>
      </c>
      <c r="B1321" s="95" t="s">
        <v>1375</v>
      </c>
      <c r="C1321" s="95" t="s">
        <v>1190</v>
      </c>
      <c r="D1321" t="s">
        <v>369</v>
      </c>
      <c r="E1321" t="s">
        <v>61</v>
      </c>
      <c r="F1321" t="s">
        <v>63</v>
      </c>
      <c r="G1321" t="s">
        <v>435</v>
      </c>
      <c r="H1321" t="s">
        <v>1187</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2.2782299743633269E-4</v>
      </c>
      <c r="U1321" s="27">
        <f t="shared" si="490"/>
        <v>2.2772896270716546E-4</v>
      </c>
      <c r="V1321" s="27">
        <f t="shared" si="490"/>
        <v>2.2547220379701556E-4</v>
      </c>
      <c r="W1321" s="27">
        <f t="shared" si="490"/>
        <v>2.2541582514785201E-4</v>
      </c>
      <c r="X1321" s="27">
        <f t="shared" si="490"/>
        <v>2.2536363782376035E-4</v>
      </c>
      <c r="Y1321" s="27">
        <f t="shared" si="490"/>
        <v>2.2531563619654834E-4</v>
      </c>
      <c r="Z1321" s="27">
        <f t="shared" si="490"/>
        <v>2.252717838340693E-4</v>
      </c>
      <c r="AA1321" s="27">
        <f t="shared" si="490"/>
        <v>2.2523211880978096E-4</v>
      </c>
      <c r="AB1321" s="27">
        <f t="shared" si="490"/>
        <v>2.2519667296374613E-4</v>
      </c>
      <c r="AC1321" s="27">
        <f t="shared" si="490"/>
        <v>2.2516547748833096E-4</v>
      </c>
      <c r="AD1321" s="27">
        <f t="shared" si="490"/>
        <v>2.2513856157343538E-4</v>
      </c>
      <c r="AE1321" s="27">
        <f t="shared" si="490"/>
        <v>2.2511594956938508E-4</v>
      </c>
      <c r="AF1321" s="27">
        <f t="shared" si="490"/>
        <v>2.2509766546392388E-4</v>
      </c>
      <c r="AG1321" s="27">
        <f t="shared" si="490"/>
        <v>2.2508372924619698E-4</v>
      </c>
      <c r="AH1321" s="27">
        <f t="shared" si="490"/>
        <v>2.2507415691637819E-4</v>
      </c>
      <c r="AI1321" s="27">
        <f t="shared" si="490"/>
        <v>2.2506896472540883E-4</v>
      </c>
      <c r="AJ1321" s="27">
        <f t="shared" si="490"/>
        <v>2.2506816740169194E-4</v>
      </c>
      <c r="AK1321" s="27">
        <f t="shared" si="490"/>
        <v>2.3173915690967529E-4</v>
      </c>
      <c r="AL1321" s="27">
        <f t="shared" si="490"/>
        <v>2.3174481192650851E-4</v>
      </c>
      <c r="AM1321" s="27">
        <f t="shared" si="490"/>
        <v>2.3175033813840453E-4</v>
      </c>
      <c r="AN1321" s="27">
        <f t="shared" si="490"/>
        <v>2.317557430868665E-4</v>
      </c>
      <c r="AO1321" s="27">
        <f t="shared" si="490"/>
        <v>2.3176103567601125E-4</v>
      </c>
      <c r="AP1321" s="27">
        <f t="shared" si="490"/>
        <v>2.3176619339798155E-4</v>
      </c>
      <c r="AQ1321" s="27">
        <f t="shared" si="490"/>
        <v>2.3177120105611021E-4</v>
      </c>
      <c r="AR1321" s="27">
        <f t="shared" si="490"/>
        <v>2.3177605672396827E-4</v>
      </c>
      <c r="AS1321" s="27">
        <f t="shared" si="490"/>
        <v>2.3178074234897451E-4</v>
      </c>
      <c r="AT1321" s="27">
        <f t="shared" si="490"/>
        <v>2.3178523783429981E-4</v>
      </c>
      <c r="AU1321" s="27">
        <f t="shared" si="490"/>
        <v>2.3178954052551076E-4</v>
      </c>
      <c r="AV1321" s="27">
        <f t="shared" si="490"/>
        <v>2.3179365312611745E-4</v>
      </c>
      <c r="AW1321" s="27">
        <f t="shared" si="490"/>
        <v>2.3179757747457624E-4</v>
      </c>
      <c r="AY1321" s="79"/>
      <c r="AZ1321" s="79"/>
    </row>
    <row r="1322" spans="1:52" x14ac:dyDescent="0.25">
      <c r="A1322" s="95" t="str">
        <f t="shared" si="384"/>
        <v>FSFAGSPQNIBDDSCM Leaching</v>
      </c>
      <c r="B1322" s="95" t="s">
        <v>1375</v>
      </c>
      <c r="C1322" s="95" t="s">
        <v>1190</v>
      </c>
      <c r="D1322" t="s">
        <v>369</v>
      </c>
      <c r="E1322" t="s">
        <v>61</v>
      </c>
      <c r="F1322" t="s">
        <v>63</v>
      </c>
      <c r="G1322" t="s">
        <v>436</v>
      </c>
      <c r="H1322" t="s">
        <v>1188</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1.5036317830797959E-6</v>
      </c>
      <c r="U1322" s="27">
        <f t="shared" si="491"/>
        <v>1.5030111538672925E-6</v>
      </c>
      <c r="V1322" s="27">
        <f t="shared" si="491"/>
        <v>1.488116545060303E-6</v>
      </c>
      <c r="W1322" s="27">
        <f t="shared" si="491"/>
        <v>1.487744445975823E-6</v>
      </c>
      <c r="X1322" s="27">
        <f t="shared" si="491"/>
        <v>1.4874000096368187E-6</v>
      </c>
      <c r="Y1322" s="27">
        <f t="shared" si="491"/>
        <v>1.4870831988972194E-6</v>
      </c>
      <c r="Z1322" s="27">
        <f t="shared" si="491"/>
        <v>1.4867937733048578E-6</v>
      </c>
      <c r="AA1322" s="27">
        <f t="shared" si="491"/>
        <v>1.4865319841445543E-6</v>
      </c>
      <c r="AB1322" s="27">
        <f t="shared" si="491"/>
        <v>1.4862980415607246E-6</v>
      </c>
      <c r="AC1322" s="27">
        <f t="shared" si="491"/>
        <v>1.4860921514229842E-6</v>
      </c>
      <c r="AD1322" s="27">
        <f t="shared" si="491"/>
        <v>1.4859145063846736E-6</v>
      </c>
      <c r="AE1322" s="27">
        <f t="shared" si="491"/>
        <v>1.4857652671579419E-6</v>
      </c>
      <c r="AF1322" s="27">
        <f t="shared" si="491"/>
        <v>1.4856445920618978E-6</v>
      </c>
      <c r="AG1322" s="27">
        <f t="shared" si="491"/>
        <v>1.4855526130249004E-6</v>
      </c>
      <c r="AH1322" s="27">
        <f t="shared" si="491"/>
        <v>1.4854894356480966E-6</v>
      </c>
      <c r="AI1322" s="27">
        <f t="shared" si="491"/>
        <v>1.4854551671876988E-6</v>
      </c>
      <c r="AJ1322" s="27">
        <f t="shared" si="491"/>
        <v>1.4854499048511669E-6</v>
      </c>
      <c r="AK1322" s="27">
        <f t="shared" si="491"/>
        <v>1.5294784356038574E-6</v>
      </c>
      <c r="AL1322" s="27">
        <f t="shared" si="491"/>
        <v>1.5295157587149565E-6</v>
      </c>
      <c r="AM1322" s="27">
        <f t="shared" si="491"/>
        <v>1.5295522317134702E-6</v>
      </c>
      <c r="AN1322" s="27">
        <f t="shared" si="491"/>
        <v>1.5295879043733193E-6</v>
      </c>
      <c r="AO1322" s="27">
        <f t="shared" si="491"/>
        <v>1.5296228354616745E-6</v>
      </c>
      <c r="AP1322" s="27">
        <f t="shared" si="491"/>
        <v>1.5296568764266789E-6</v>
      </c>
      <c r="AQ1322" s="27">
        <f t="shared" si="491"/>
        <v>1.5296899269703273E-6</v>
      </c>
      <c r="AR1322" s="27">
        <f t="shared" si="491"/>
        <v>1.5297219743781909E-6</v>
      </c>
      <c r="AS1322" s="27">
        <f t="shared" si="491"/>
        <v>1.5297528995032323E-6</v>
      </c>
      <c r="AT1322" s="27">
        <f t="shared" si="491"/>
        <v>1.529782569706379E-6</v>
      </c>
      <c r="AU1322" s="27">
        <f t="shared" si="491"/>
        <v>1.5298109674683716E-6</v>
      </c>
      <c r="AV1322" s="27">
        <f t="shared" si="491"/>
        <v>1.5298381106323754E-6</v>
      </c>
      <c r="AW1322" s="27">
        <f t="shared" si="491"/>
        <v>1.5298640113322035E-6</v>
      </c>
      <c r="AY1322" s="79"/>
      <c r="AZ1322" s="79"/>
    </row>
    <row r="1323" spans="1:52" x14ac:dyDescent="0.25">
      <c r="A1323" s="95" t="str">
        <f t="shared" si="384"/>
        <v>FSFAGSPQNIBDDSCM Leaching</v>
      </c>
      <c r="B1323" s="95" t="s">
        <v>1375</v>
      </c>
      <c r="C1323" s="95" t="s">
        <v>1190</v>
      </c>
      <c r="D1323" t="s">
        <v>369</v>
      </c>
      <c r="E1323" t="s">
        <v>61</v>
      </c>
      <c r="F1323" t="s">
        <v>63</v>
      </c>
      <c r="G1323" t="s">
        <v>437</v>
      </c>
      <c r="H1323" t="s">
        <v>1189</v>
      </c>
      <c r="I1323" t="s">
        <v>139</v>
      </c>
      <c r="J1323" t="s">
        <v>287</v>
      </c>
      <c r="K1323" s="27">
        <f t="shared" ref="K1323:AW1323" si="492">IFERROR(K1516-((K1516-K107)+(K1516-K260)+(K1516-K413)+(K1516-K565)+(K1516-K717)+(K1516-K868)+(K1516-K1019)+(K1516-K1170)),0)</f>
        <v>0.20714502561891829</v>
      </c>
      <c r="L1323" s="27">
        <f t="shared" si="492"/>
        <v>0.20732835560623103</v>
      </c>
      <c r="M1323" s="27">
        <f t="shared" si="492"/>
        <v>0.20853137086969875</v>
      </c>
      <c r="N1323" s="27">
        <f t="shared" si="492"/>
        <v>0.20795637847695569</v>
      </c>
      <c r="O1323" s="27">
        <f t="shared" si="492"/>
        <v>0.20628301821112832</v>
      </c>
      <c r="P1323" s="27">
        <f t="shared" si="492"/>
        <v>0.20354939622414611</v>
      </c>
      <c r="Q1323" s="27">
        <f t="shared" si="492"/>
        <v>0.20178646732442315</v>
      </c>
      <c r="R1323" s="27">
        <f t="shared" si="492"/>
        <v>0.20021853233884618</v>
      </c>
      <c r="S1323" s="27">
        <f t="shared" si="492"/>
        <v>0.18369364043125816</v>
      </c>
      <c r="T1323" s="27">
        <f t="shared" si="492"/>
        <v>0.19074245801308834</v>
      </c>
      <c r="U1323" s="27">
        <f t="shared" si="492"/>
        <v>0.54709913085173534</v>
      </c>
      <c r="V1323" s="27">
        <f t="shared" si="492"/>
        <v>0.55300351928587688</v>
      </c>
      <c r="W1323" s="27">
        <f t="shared" si="492"/>
        <v>0.55807464420509822</v>
      </c>
      <c r="X1323" s="27">
        <f t="shared" si="492"/>
        <v>0.56229419622275822</v>
      </c>
      <c r="Y1323" s="27">
        <f t="shared" si="492"/>
        <v>0.56565689030054322</v>
      </c>
      <c r="Z1323" s="27">
        <f t="shared" si="492"/>
        <v>0.56813718205802377</v>
      </c>
      <c r="AA1323" s="27">
        <f t="shared" si="492"/>
        <v>0.56971515638742798</v>
      </c>
      <c r="AB1323" s="27">
        <f t="shared" si="492"/>
        <v>0.57037496938758903</v>
      </c>
      <c r="AC1323" s="27">
        <f t="shared" si="492"/>
        <v>0.57010545707497351</v>
      </c>
      <c r="AD1323" s="27">
        <f t="shared" si="492"/>
        <v>0.56676670518887351</v>
      </c>
      <c r="AE1323" s="27">
        <f t="shared" si="492"/>
        <v>0.56250536936786533</v>
      </c>
      <c r="AF1323" s="27">
        <f t="shared" si="492"/>
        <v>0.55733683429481795</v>
      </c>
      <c r="AG1323" s="27">
        <f t="shared" si="492"/>
        <v>0.55128187856538813</v>
      </c>
      <c r="AH1323" s="27">
        <f t="shared" si="492"/>
        <v>0.54436526977326183</v>
      </c>
      <c r="AI1323" s="27">
        <f t="shared" si="492"/>
        <v>0.53661612965976202</v>
      </c>
      <c r="AJ1323" s="27">
        <f t="shared" si="492"/>
        <v>-1.3787440297582821E-2</v>
      </c>
      <c r="AK1323" s="27">
        <f t="shared" si="492"/>
        <v>-1.3365724301233515E-2</v>
      </c>
      <c r="AL1323" s="27">
        <f t="shared" si="492"/>
        <v>-1.2947271832122912E-2</v>
      </c>
      <c r="AM1323" s="27">
        <f t="shared" si="492"/>
        <v>-1.2532155025223722E-2</v>
      </c>
      <c r="AN1323" s="27">
        <f t="shared" si="492"/>
        <v>-1.2199737734429479E-2</v>
      </c>
      <c r="AO1323" s="27">
        <f t="shared" si="492"/>
        <v>-1.1869291383315354E-2</v>
      </c>
      <c r="AP1323" s="27">
        <f t="shared" si="492"/>
        <v>-1.1540487330895275E-2</v>
      </c>
      <c r="AQ1323" s="27">
        <f t="shared" si="492"/>
        <v>-1.1213279540447051E-2</v>
      </c>
      <c r="AR1323" s="27">
        <f t="shared" si="492"/>
        <v>-1.0887330717202761E-2</v>
      </c>
      <c r="AS1323" s="27">
        <f t="shared" si="492"/>
        <v>-1.0562298727174138E-2</v>
      </c>
      <c r="AT1323" s="27">
        <f t="shared" si="492"/>
        <v>-1.0238184478362713E-2</v>
      </c>
      <c r="AU1323" s="27">
        <f t="shared" si="492"/>
        <v>-9.9150869917118811E-3</v>
      </c>
      <c r="AV1323" s="27">
        <f t="shared" si="492"/>
        <v>-9.5930871912063547E-3</v>
      </c>
      <c r="AW1323" s="27">
        <f t="shared" si="492"/>
        <v>-9.27190554712015E-3</v>
      </c>
      <c r="AY1323" s="79"/>
      <c r="AZ1323" s="79"/>
    </row>
    <row r="1324" spans="1:52" x14ac:dyDescent="0.25">
      <c r="A1324" s="95" t="str">
        <f t="shared" si="384"/>
        <v>FSFAGSPQNIBDDSCM Leaching</v>
      </c>
      <c r="B1324" s="95" t="s">
        <v>1375</v>
      </c>
      <c r="C1324" s="95" t="s">
        <v>1190</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25">
      <c r="A1325" s="95" t="str">
        <f t="shared" si="384"/>
        <v>FSFAGSPQNIBDDSCM Leaching</v>
      </c>
      <c r="B1325" s="95" t="s">
        <v>1375</v>
      </c>
      <c r="C1325" s="95" t="s">
        <v>1190</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0.10250223308080923</v>
      </c>
      <c r="U1325" s="27">
        <f t="shared" si="500"/>
        <v>0.10320425755524179</v>
      </c>
      <c r="V1325" s="27">
        <f t="shared" si="500"/>
        <v>0.12005228808448951</v>
      </c>
      <c r="W1325" s="27">
        <f t="shared" si="500"/>
        <v>0.12047318780844027</v>
      </c>
      <c r="X1325" s="27">
        <f t="shared" si="500"/>
        <v>0.12086279682940448</v>
      </c>
      <c r="Y1325" s="27">
        <f t="shared" si="500"/>
        <v>0.12122115716514245</v>
      </c>
      <c r="Z1325" s="27">
        <f t="shared" si="500"/>
        <v>0.12154854080302378</v>
      </c>
      <c r="AA1325" s="27">
        <f t="shared" si="500"/>
        <v>0.12184466350232884</v>
      </c>
      <c r="AB1325" s="27">
        <f t="shared" si="500"/>
        <v>0.1221092875582894</v>
      </c>
      <c r="AC1325" s="27">
        <f t="shared" si="500"/>
        <v>0.12234218010157646</v>
      </c>
      <c r="AD1325" s="27">
        <f t="shared" si="500"/>
        <v>0.12254312321244377</v>
      </c>
      <c r="AE1325" s="27">
        <f t="shared" si="500"/>
        <v>0.12271193510141119</v>
      </c>
      <c r="AF1325" s="27">
        <f t="shared" si="500"/>
        <v>0.12284843668588494</v>
      </c>
      <c r="AG1325" s="27">
        <f t="shared" si="500"/>
        <v>0.12295247873515695</v>
      </c>
      <c r="AH1325" s="27">
        <f t="shared" si="500"/>
        <v>0.12302394179853401</v>
      </c>
      <c r="AI1325" s="27">
        <f t="shared" si="500"/>
        <v>0.12306270455319578</v>
      </c>
      <c r="AJ1325" s="27">
        <f t="shared" si="500"/>
        <v>0.12306865704296534</v>
      </c>
      <c r="AK1325" s="27">
        <f t="shared" si="500"/>
        <v>7.3265802876620559E-2</v>
      </c>
      <c r="AL1325" s="27">
        <f t="shared" si="500"/>
        <v>7.322358485509374E-2</v>
      </c>
      <c r="AM1325" s="27">
        <f t="shared" si="500"/>
        <v>7.3182328438063146E-2</v>
      </c>
      <c r="AN1325" s="27">
        <f t="shared" si="500"/>
        <v>7.3141977323778182E-2</v>
      </c>
      <c r="AO1325" s="27">
        <f t="shared" si="500"/>
        <v>7.3102465037779299E-2</v>
      </c>
      <c r="AP1325" s="27">
        <f t="shared" si="500"/>
        <v>7.3063959614436361E-2</v>
      </c>
      <c r="AQ1325" s="27">
        <f t="shared" si="500"/>
        <v>7.3026574505796304E-2</v>
      </c>
      <c r="AR1325" s="27">
        <f t="shared" si="500"/>
        <v>7.299032409378052E-2</v>
      </c>
      <c r="AS1325" s="27">
        <f t="shared" si="500"/>
        <v>7.2955343151510282E-2</v>
      </c>
      <c r="AT1325" s="27">
        <f t="shared" si="500"/>
        <v>7.2921781713616574E-2</v>
      </c>
      <c r="AU1325" s="27">
        <f t="shared" si="500"/>
        <v>7.2889659597002901E-2</v>
      </c>
      <c r="AV1325" s="27">
        <f t="shared" si="500"/>
        <v>7.2858956618379891E-2</v>
      </c>
      <c r="AW1325" s="27">
        <f t="shared" si="500"/>
        <v>7.282965905259077E-2</v>
      </c>
      <c r="AY1325" s="79"/>
      <c r="AZ1325" s="79"/>
    </row>
    <row r="1326" spans="1:52" x14ac:dyDescent="0.25">
      <c r="A1326" s="95" t="str">
        <f t="shared" si="384"/>
        <v>FSFAGSPQNIBDDSCM Leaching</v>
      </c>
      <c r="B1326" s="95" t="s">
        <v>1375</v>
      </c>
      <c r="C1326" s="95" t="s">
        <v>1190</v>
      </c>
      <c r="D1326" t="s">
        <v>369</v>
      </c>
      <c r="E1326" t="s">
        <v>61</v>
      </c>
      <c r="F1326" t="s">
        <v>63</v>
      </c>
      <c r="G1326" t="s">
        <v>1193</v>
      </c>
      <c r="H1326" t="s">
        <v>1194</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25">
      <c r="A1327" s="95" t="str">
        <f t="shared" si="384"/>
        <v>FSFAGSPQNIBDDSCM Leaching</v>
      </c>
      <c r="B1327" s="95" t="s">
        <v>1375</v>
      </c>
      <c r="C1327" s="95" t="s">
        <v>1190</v>
      </c>
      <c r="D1327" t="s">
        <v>369</v>
      </c>
      <c r="E1327" t="s">
        <v>61</v>
      </c>
      <c r="F1327" t="s">
        <v>63</v>
      </c>
      <c r="G1327" t="s">
        <v>1195</v>
      </c>
      <c r="H1327" t="s">
        <v>1196</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25">
      <c r="A1328" s="95" t="str">
        <f t="shared" si="384"/>
        <v>FSFAGSPQNIBDDSCM Leaching</v>
      </c>
      <c r="B1328" s="95" t="s">
        <v>1375</v>
      </c>
      <c r="C1328" s="95" t="s">
        <v>1190</v>
      </c>
      <c r="D1328" t="s">
        <v>369</v>
      </c>
      <c r="E1328" t="s">
        <v>61</v>
      </c>
      <c r="F1328" t="s">
        <v>63</v>
      </c>
      <c r="G1328" t="s">
        <v>1197</v>
      </c>
      <c r="H1328" t="s">
        <v>1198</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25">
      <c r="A1329" s="95" t="str">
        <f t="shared" si="384"/>
        <v>FSFAGSPQNIBDDSCM Leaching</v>
      </c>
      <c r="B1329" s="95" t="s">
        <v>1375</v>
      </c>
      <c r="C1329" s="95" t="s">
        <v>1190</v>
      </c>
      <c r="D1329" t="s">
        <v>369</v>
      </c>
      <c r="E1329" t="s">
        <v>61</v>
      </c>
      <c r="F1329" t="s">
        <v>63</v>
      </c>
      <c r="G1329" t="s">
        <v>1199</v>
      </c>
      <c r="H1329" t="s">
        <v>1200</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25">
      <c r="A1330" s="95" t="str">
        <f t="shared" si="384"/>
        <v>FSFAGSPQNIBDDSCM Leaching</v>
      </c>
      <c r="B1330" s="95" t="s">
        <v>1375</v>
      </c>
      <c r="C1330" s="95" t="s">
        <v>1190</v>
      </c>
      <c r="D1330" t="s">
        <v>369</v>
      </c>
      <c r="E1330" t="s">
        <v>61</v>
      </c>
      <c r="F1330" t="s">
        <v>63</v>
      </c>
      <c r="G1330" t="s">
        <v>1201</v>
      </c>
      <c r="H1330" t="s">
        <v>1202</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25">
      <c r="A1331" s="95" t="str">
        <f t="shared" si="384"/>
        <v>FSFAGSPQNIBDDSCM Leaching</v>
      </c>
      <c r="B1331" s="95" t="s">
        <v>1375</v>
      </c>
      <c r="C1331" s="95" t="s">
        <v>1190</v>
      </c>
      <c r="D1331" t="s">
        <v>369</v>
      </c>
      <c r="E1331" t="s">
        <v>61</v>
      </c>
      <c r="F1331" t="s">
        <v>63</v>
      </c>
      <c r="G1331" t="s">
        <v>1203</v>
      </c>
      <c r="H1331" t="s">
        <v>1204</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25">
      <c r="A1332" s="95" t="str">
        <f t="shared" si="384"/>
        <v>FSFAGSPQNIBDDSCM Leaching</v>
      </c>
      <c r="B1332" s="95" t="s">
        <v>1375</v>
      </c>
      <c r="C1332" s="95" t="s">
        <v>1190</v>
      </c>
      <c r="D1332" t="s">
        <v>369</v>
      </c>
      <c r="E1332" t="s">
        <v>61</v>
      </c>
      <c r="F1332" t="s">
        <v>63</v>
      </c>
      <c r="G1332" t="s">
        <v>1205</v>
      </c>
      <c r="H1332" t="s">
        <v>1206</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25">
      <c r="A1333" s="95" t="str">
        <f t="shared" si="384"/>
        <v>FSFAGSPQNIBDDSCM Leaching</v>
      </c>
      <c r="B1333" s="95" t="s">
        <v>1375</v>
      </c>
      <c r="C1333" s="95" t="s">
        <v>1190</v>
      </c>
      <c r="D1333" t="s">
        <v>369</v>
      </c>
      <c r="E1333" t="s">
        <v>61</v>
      </c>
      <c r="F1333" t="s">
        <v>63</v>
      </c>
      <c r="G1333" t="s">
        <v>1207</v>
      </c>
      <c r="H1333" t="s">
        <v>1208</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25">
      <c r="A1334" s="95" t="str">
        <f t="shared" si="384"/>
        <v>FSFAGSPQNIBDDSCM Leaching</v>
      </c>
      <c r="B1334" s="95" t="s">
        <v>1375</v>
      </c>
      <c r="C1334" s="95" t="s">
        <v>1190</v>
      </c>
      <c r="D1334" t="s">
        <v>369</v>
      </c>
      <c r="E1334" t="s">
        <v>61</v>
      </c>
      <c r="F1334" t="s">
        <v>63</v>
      </c>
      <c r="G1334" t="s">
        <v>1209</v>
      </c>
      <c r="H1334" t="s">
        <v>1210</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25">
      <c r="A1335" s="95" t="str">
        <f t="shared" si="384"/>
        <v>FSFAGSPQNIBDDSCM Leaching</v>
      </c>
      <c r="B1335" s="95" t="s">
        <v>1375</v>
      </c>
      <c r="C1335" s="95" t="s">
        <v>1190</v>
      </c>
      <c r="D1335" t="s">
        <v>369</v>
      </c>
      <c r="E1335" t="s">
        <v>61</v>
      </c>
      <c r="F1335" t="s">
        <v>63</v>
      </c>
      <c r="G1335" t="s">
        <v>1211</v>
      </c>
      <c r="H1335" t="s">
        <v>1212</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25">
      <c r="A1336" s="95" t="str">
        <f t="shared" si="384"/>
        <v>FSFAGSPQNIBDDSCM Leaching</v>
      </c>
      <c r="B1336" s="95" t="s">
        <v>1375</v>
      </c>
      <c r="C1336" s="95" t="s">
        <v>1190</v>
      </c>
      <c r="D1336" t="s">
        <v>369</v>
      </c>
      <c r="E1336" t="s">
        <v>61</v>
      </c>
      <c r="F1336" t="s">
        <v>63</v>
      </c>
      <c r="G1336" t="s">
        <v>1213</v>
      </c>
      <c r="H1336" t="s">
        <v>1214</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25">
      <c r="A1337" s="95"/>
      <c r="B1337" s="95" t="s">
        <v>1375</v>
      </c>
      <c r="C1337" s="95"/>
      <c r="D1337" t="s">
        <v>369</v>
      </c>
      <c r="E1337" t="s">
        <v>61</v>
      </c>
      <c r="F1337" t="s">
        <v>63</v>
      </c>
      <c r="G1337" t="s">
        <v>1215</v>
      </c>
      <c r="H1337" t="s">
        <v>1216</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25">
      <c r="A1338" s="95" t="str">
        <f t="shared" si="384"/>
        <v>FSFAGSPQNIBDDSCM MM Volatilisation</v>
      </c>
      <c r="B1338" s="95" t="s">
        <v>1375</v>
      </c>
      <c r="C1338" s="95" t="s">
        <v>1332</v>
      </c>
      <c r="D1338" t="s">
        <v>369</v>
      </c>
      <c r="E1338" t="s">
        <v>64</v>
      </c>
      <c r="F1338" t="s">
        <v>62</v>
      </c>
      <c r="G1338" t="s">
        <v>1152</v>
      </c>
      <c r="H1338" t="s">
        <v>1290</v>
      </c>
      <c r="I1338" t="s">
        <v>139</v>
      </c>
      <c r="J1338" t="s">
        <v>287</v>
      </c>
      <c r="K1338" s="27">
        <f t="shared" ref="K1338:AW1338" si="513">IFERROR(K1531-((K1531-K122)+(K1531-K275)+(K1531-K428)+(K1531-K580)+(K1531-K732)+(K1531-K883)+(K1531-K1034)+(K1531-K1185)),0)</f>
        <v>0.39609736661915962</v>
      </c>
      <c r="L1338" s="27">
        <f t="shared" si="513"/>
        <v>0.39831175345583053</v>
      </c>
      <c r="M1338" s="27">
        <f t="shared" si="513"/>
        <v>0.40145358914715529</v>
      </c>
      <c r="N1338" s="27">
        <f t="shared" si="513"/>
        <v>0.40347255325329029</v>
      </c>
      <c r="O1338" s="27">
        <f t="shared" si="513"/>
        <v>0.40481416413578281</v>
      </c>
      <c r="P1338" s="27">
        <f t="shared" si="513"/>
        <v>0.40546521734783819</v>
      </c>
      <c r="Q1338" s="27">
        <f t="shared" si="513"/>
        <v>0.40690363619044922</v>
      </c>
      <c r="R1338" s="27">
        <f t="shared" si="513"/>
        <v>0.40855374420631202</v>
      </c>
      <c r="S1338" s="27">
        <f t="shared" si="513"/>
        <v>0.39694485067455443</v>
      </c>
      <c r="T1338" s="27">
        <f t="shared" si="513"/>
        <v>0.40377484899001992</v>
      </c>
      <c r="U1338" s="27">
        <f t="shared" si="513"/>
        <v>0.69472691845052781</v>
      </c>
      <c r="V1338" s="27">
        <f t="shared" si="513"/>
        <v>0.70310152718694741</v>
      </c>
      <c r="W1338" s="27">
        <f t="shared" si="513"/>
        <v>0.71110880509409102</v>
      </c>
      <c r="X1338" s="27">
        <f t="shared" si="513"/>
        <v>0.718612550142118</v>
      </c>
      <c r="Y1338" s="27">
        <f t="shared" si="513"/>
        <v>0.7254123730618981</v>
      </c>
      <c r="Z1338" s="27">
        <f t="shared" si="513"/>
        <v>0.73147651852735551</v>
      </c>
      <c r="AA1338" s="27">
        <f t="shared" si="513"/>
        <v>0.73676965969026942</v>
      </c>
      <c r="AB1338" s="27">
        <f t="shared" si="513"/>
        <v>0.74126505933946241</v>
      </c>
      <c r="AC1338" s="27">
        <f t="shared" si="513"/>
        <v>0.74494151296918631</v>
      </c>
      <c r="AD1338" s="27">
        <f t="shared" si="513"/>
        <v>0.74777672987859323</v>
      </c>
      <c r="AE1338" s="27">
        <f t="shared" si="513"/>
        <v>0.7497573654957449</v>
      </c>
      <c r="AF1338" s="27">
        <f t="shared" si="513"/>
        <v>0.75087061941702216</v>
      </c>
      <c r="AG1338" s="27">
        <f t="shared" si="513"/>
        <v>0.75110412486622213</v>
      </c>
      <c r="AH1338" s="27">
        <f t="shared" si="513"/>
        <v>0.75045562343243666</v>
      </c>
      <c r="AI1338" s="27">
        <f t="shared" si="513"/>
        <v>0.74892880709192955</v>
      </c>
      <c r="AJ1338" s="27">
        <f t="shared" si="513"/>
        <v>0.2369481237841857</v>
      </c>
      <c r="AK1338" s="27">
        <f t="shared" si="513"/>
        <v>0.23712109193812289</v>
      </c>
      <c r="AL1338" s="27">
        <f t="shared" si="513"/>
        <v>0.23728160870243259</v>
      </c>
      <c r="AM1338" s="27">
        <f t="shared" si="513"/>
        <v>0.2374307599177384</v>
      </c>
      <c r="AN1338" s="27">
        <f t="shared" si="513"/>
        <v>0.2375698831121214</v>
      </c>
      <c r="AO1338" s="27">
        <f t="shared" si="513"/>
        <v>0.23769461188435137</v>
      </c>
      <c r="AP1338" s="27">
        <f t="shared" si="513"/>
        <v>0.2378020140279184</v>
      </c>
      <c r="AQ1338" s="27">
        <f t="shared" si="513"/>
        <v>0.23789161932894973</v>
      </c>
      <c r="AR1338" s="27">
        <f t="shared" si="513"/>
        <v>0.23796010078507188</v>
      </c>
      <c r="AS1338" s="27">
        <f t="shared" si="513"/>
        <v>0.2380038463120322</v>
      </c>
      <c r="AT1338" s="27">
        <f t="shared" si="513"/>
        <v>0.23802240976704672</v>
      </c>
      <c r="AU1338" s="27">
        <f t="shared" si="513"/>
        <v>0.23801630420250081</v>
      </c>
      <c r="AV1338" s="27">
        <f t="shared" si="513"/>
        <v>0.23798588741324539</v>
      </c>
      <c r="AW1338" s="27">
        <f t="shared" si="513"/>
        <v>0.23792776204046176</v>
      </c>
      <c r="AY1338" s="79"/>
      <c r="AZ1338" s="79"/>
    </row>
    <row r="1339" spans="1:52" x14ac:dyDescent="0.25">
      <c r="A1339" s="95" t="str">
        <f t="shared" ref="A1339:A1369" si="514">B1339&amp;" "&amp;C1339</f>
        <v>FSFAGSPQNIBDDSCM MM Volatilisation</v>
      </c>
      <c r="B1339" s="95" t="s">
        <v>1375</v>
      </c>
      <c r="C1339" s="95" t="s">
        <v>1332</v>
      </c>
      <c r="D1339" t="s">
        <v>369</v>
      </c>
      <c r="E1339" t="s">
        <v>64</v>
      </c>
      <c r="F1339" t="s">
        <v>62</v>
      </c>
      <c r="G1339" t="s">
        <v>1154</v>
      </c>
      <c r="H1339" t="s">
        <v>1291</v>
      </c>
      <c r="I1339" t="s">
        <v>139</v>
      </c>
      <c r="J1339" t="s">
        <v>287</v>
      </c>
      <c r="K1339" s="27">
        <f t="shared" ref="K1339:AW1339" si="515">IFERROR(K1532-((K1532-K123)+(K1532-K276)+(K1532-K429)+(K1532-K581)+(K1532-K733)+(K1532-K884)+(K1532-K1035)+(K1532-K1186)),0)</f>
        <v>3.1249813656142676E-2</v>
      </c>
      <c r="L1339" s="27">
        <f t="shared" si="515"/>
        <v>3.1424516095088999E-2</v>
      </c>
      <c r="M1339" s="27">
        <f t="shared" si="515"/>
        <v>3.1672388936885787E-2</v>
      </c>
      <c r="N1339" s="27">
        <f t="shared" si="515"/>
        <v>3.1831673641638247E-2</v>
      </c>
      <c r="O1339" s="27">
        <f t="shared" si="515"/>
        <v>3.1937519056453263E-2</v>
      </c>
      <c r="P1339" s="27">
        <f t="shared" si="515"/>
        <v>3.1988883426104654E-2</v>
      </c>
      <c r="Q1339" s="27">
        <f t="shared" si="515"/>
        <v>3.2102366434524382E-2</v>
      </c>
      <c r="R1339" s="27">
        <f t="shared" si="515"/>
        <v>3.2232550506305399E-2</v>
      </c>
      <c r="S1339" s="27">
        <f t="shared" si="515"/>
        <v>3.1316675294314346E-2</v>
      </c>
      <c r="T1339" s="27">
        <f t="shared" si="515"/>
        <v>3.1855523043926581E-2</v>
      </c>
      <c r="U1339" s="27">
        <f t="shared" si="515"/>
        <v>5.4809974953353012E-2</v>
      </c>
      <c r="V1339" s="27">
        <f t="shared" si="515"/>
        <v>5.547068361872478E-2</v>
      </c>
      <c r="W1339" s="27">
        <f t="shared" si="515"/>
        <v>5.6102411985482069E-2</v>
      </c>
      <c r="X1339" s="27">
        <f t="shared" si="515"/>
        <v>5.6694414493540908E-2</v>
      </c>
      <c r="Y1339" s="27">
        <f t="shared" si="515"/>
        <v>5.7230881577257239E-2</v>
      </c>
      <c r="Z1339" s="27">
        <f t="shared" si="515"/>
        <v>5.7709307923276061E-2</v>
      </c>
      <c r="AA1339" s="27">
        <f t="shared" si="515"/>
        <v>5.812690644560041E-2</v>
      </c>
      <c r="AB1339" s="27">
        <f t="shared" si="515"/>
        <v>5.8481567731400452E-2</v>
      </c>
      <c r="AC1339" s="27">
        <f t="shared" si="515"/>
        <v>5.8771618866617373E-2</v>
      </c>
      <c r="AD1339" s="27">
        <f t="shared" si="515"/>
        <v>5.8995301242619896E-2</v>
      </c>
      <c r="AE1339" s="27">
        <f t="shared" si="515"/>
        <v>5.9151562049110484E-2</v>
      </c>
      <c r="AF1339" s="27">
        <f t="shared" si="515"/>
        <v>5.9239391407555408E-2</v>
      </c>
      <c r="AG1339" s="27">
        <f t="shared" si="515"/>
        <v>5.9257813650140552E-2</v>
      </c>
      <c r="AH1339" s="27">
        <f t="shared" si="515"/>
        <v>5.9206650601179869E-2</v>
      </c>
      <c r="AI1339" s="27">
        <f t="shared" si="515"/>
        <v>5.9086193536455466E-2</v>
      </c>
      <c r="AJ1339" s="27">
        <f t="shared" si="515"/>
        <v>1.8693849892589171E-2</v>
      </c>
      <c r="AK1339" s="27">
        <f t="shared" si="515"/>
        <v>1.870749608929358E-2</v>
      </c>
      <c r="AL1339" s="27">
        <f t="shared" si="515"/>
        <v>1.8720159942669283E-2</v>
      </c>
      <c r="AM1339" s="27">
        <f t="shared" si="515"/>
        <v>1.873192711932253E-2</v>
      </c>
      <c r="AN1339" s="27">
        <f t="shared" si="515"/>
        <v>1.8742903142558495E-2</v>
      </c>
      <c r="AO1339" s="27">
        <f t="shared" si="515"/>
        <v>1.8752743528327825E-2</v>
      </c>
      <c r="AP1339" s="27">
        <f t="shared" si="515"/>
        <v>1.8761216942330506E-2</v>
      </c>
      <c r="AQ1339" s="27">
        <f t="shared" si="515"/>
        <v>1.8768286287385059E-2</v>
      </c>
      <c r="AR1339" s="27">
        <f t="shared" si="515"/>
        <v>1.8773689082058967E-2</v>
      </c>
      <c r="AS1339" s="27">
        <f t="shared" si="515"/>
        <v>1.8777140353592202E-2</v>
      </c>
      <c r="AT1339" s="27">
        <f t="shared" si="515"/>
        <v>1.8778604903874292E-2</v>
      </c>
      <c r="AU1339" s="27">
        <f t="shared" si="515"/>
        <v>1.877812320980005E-2</v>
      </c>
      <c r="AV1339" s="27">
        <f t="shared" si="515"/>
        <v>1.8775723499333995E-2</v>
      </c>
      <c r="AW1339" s="27">
        <f t="shared" si="515"/>
        <v>1.8771137740323057E-2</v>
      </c>
      <c r="AY1339" s="79"/>
      <c r="AZ1339" s="79"/>
    </row>
    <row r="1340" spans="1:52" x14ac:dyDescent="0.25">
      <c r="A1340" s="95" t="str">
        <f t="shared" si="514"/>
        <v>FSFAGSPQNIBDDSCM MM Volatilisation</v>
      </c>
      <c r="B1340" s="95" t="s">
        <v>1375</v>
      </c>
      <c r="C1340" s="95" t="s">
        <v>1332</v>
      </c>
      <c r="D1340" t="s">
        <v>369</v>
      </c>
      <c r="E1340" t="s">
        <v>64</v>
      </c>
      <c r="F1340" t="s">
        <v>62</v>
      </c>
      <c r="G1340" t="s">
        <v>1156</v>
      </c>
      <c r="H1340" t="s">
        <v>1292</v>
      </c>
      <c r="I1340" t="s">
        <v>139</v>
      </c>
      <c r="J1340" t="s">
        <v>287</v>
      </c>
      <c r="K1340" s="27">
        <f t="shared" ref="K1340:AW1340" si="516">IFERROR(K1533-((K1533-K124)+(K1533-K277)+(K1533-K430)+(K1533-K582)+(K1533-K734)+(K1533-K885)+(K1533-K1036)+(K1533-K1187)),0)</f>
        <v>2.8967336997006343E-4</v>
      </c>
      <c r="L1340" s="27">
        <f t="shared" si="516"/>
        <v>2.9129279224209421E-4</v>
      </c>
      <c r="M1340" s="27">
        <f t="shared" si="516"/>
        <v>2.9359047510821973E-4</v>
      </c>
      <c r="N1340" s="27">
        <f t="shared" si="516"/>
        <v>2.9506698110336069E-4</v>
      </c>
      <c r="O1340" s="27">
        <f t="shared" si="516"/>
        <v>2.960481260901027E-4</v>
      </c>
      <c r="P1340" s="27">
        <f t="shared" si="516"/>
        <v>2.9652425341095731E-4</v>
      </c>
      <c r="Q1340" s="27">
        <f t="shared" si="516"/>
        <v>2.9757619585915883E-4</v>
      </c>
      <c r="R1340" s="27">
        <f t="shared" si="516"/>
        <v>2.9878295053629658E-4</v>
      </c>
      <c r="S1340" s="27">
        <f t="shared" si="516"/>
        <v>2.9029315081944787E-4</v>
      </c>
      <c r="T1340" s="27">
        <f t="shared" si="516"/>
        <v>2.9528805559707279E-4</v>
      </c>
      <c r="U1340" s="27">
        <f t="shared" si="516"/>
        <v>5.0806671449036449E-4</v>
      </c>
      <c r="V1340" s="27">
        <f t="shared" si="516"/>
        <v>5.1419122159215467E-4</v>
      </c>
      <c r="W1340" s="27">
        <f t="shared" si="516"/>
        <v>5.200470928276717E-4</v>
      </c>
      <c r="X1340" s="27">
        <f t="shared" si="516"/>
        <v>5.2553472111970217E-4</v>
      </c>
      <c r="Y1340" s="27">
        <f t="shared" si="516"/>
        <v>5.3050755806932593E-4</v>
      </c>
      <c r="Z1340" s="27">
        <f t="shared" si="516"/>
        <v>5.3494238041606622E-4</v>
      </c>
      <c r="AA1340" s="27">
        <f t="shared" si="516"/>
        <v>5.3881335297888784E-4</v>
      </c>
      <c r="AB1340" s="27">
        <f t="shared" si="516"/>
        <v>5.42100922338055E-4</v>
      </c>
      <c r="AC1340" s="27">
        <f t="shared" si="516"/>
        <v>5.4478958124419888E-4</v>
      </c>
      <c r="AD1340" s="27">
        <f t="shared" si="516"/>
        <v>5.4686302809327551E-4</v>
      </c>
      <c r="AE1340" s="27">
        <f t="shared" si="516"/>
        <v>5.4831150375167243E-4</v>
      </c>
      <c r="AF1340" s="27">
        <f t="shared" si="516"/>
        <v>5.4912564704618944E-4</v>
      </c>
      <c r="AG1340" s="27">
        <f t="shared" si="516"/>
        <v>5.4929641392341823E-4</v>
      </c>
      <c r="AH1340" s="27">
        <f t="shared" si="516"/>
        <v>5.4882215276546513E-4</v>
      </c>
      <c r="AI1340" s="27">
        <f t="shared" si="516"/>
        <v>5.4770556358322664E-4</v>
      </c>
      <c r="AJ1340" s="27">
        <f t="shared" si="516"/>
        <v>1.7328456917170714E-4</v>
      </c>
      <c r="AK1340" s="27">
        <f t="shared" si="516"/>
        <v>1.7341106399916873E-4</v>
      </c>
      <c r="AL1340" s="27">
        <f t="shared" si="516"/>
        <v>1.7352845289385181E-4</v>
      </c>
      <c r="AM1340" s="27">
        <f t="shared" si="516"/>
        <v>1.7363752995119643E-4</v>
      </c>
      <c r="AN1340" s="27">
        <f t="shared" si="516"/>
        <v>1.7373927333036077E-4</v>
      </c>
      <c r="AO1340" s="27">
        <f t="shared" si="516"/>
        <v>1.7383048980092826E-4</v>
      </c>
      <c r="AP1340" s="27">
        <f t="shared" si="516"/>
        <v>1.7390903498575136E-4</v>
      </c>
      <c r="AQ1340" s="27">
        <f t="shared" si="516"/>
        <v>1.7397456500868103E-4</v>
      </c>
      <c r="AR1340" s="27">
        <f t="shared" si="516"/>
        <v>1.7402464677101302E-4</v>
      </c>
      <c r="AS1340" s="27">
        <f t="shared" si="516"/>
        <v>1.7405663868836374E-4</v>
      </c>
      <c r="AT1340" s="27">
        <f t="shared" si="516"/>
        <v>1.7407021448821884E-4</v>
      </c>
      <c r="AU1340" s="27">
        <f t="shared" si="516"/>
        <v>1.7406574937532841E-4</v>
      </c>
      <c r="AV1340" s="27">
        <f t="shared" si="516"/>
        <v>1.7404350501172027E-4</v>
      </c>
      <c r="AW1340" s="27">
        <f t="shared" si="516"/>
        <v>1.740009968457137E-4</v>
      </c>
      <c r="AY1340" s="79"/>
      <c r="AZ1340" s="79"/>
    </row>
    <row r="1341" spans="1:52" x14ac:dyDescent="0.25">
      <c r="A1341" s="95" t="str">
        <f t="shared" si="514"/>
        <v>FSFAGSPQNIBDDSCM MM Volatilisation</v>
      </c>
      <c r="B1341" s="95" t="s">
        <v>1375</v>
      </c>
      <c r="C1341" s="95" t="s">
        <v>1332</v>
      </c>
      <c r="D1341" t="s">
        <v>369</v>
      </c>
      <c r="E1341" t="s">
        <v>64</v>
      </c>
      <c r="F1341" t="s">
        <v>62</v>
      </c>
      <c r="G1341" t="s">
        <v>1158</v>
      </c>
      <c r="H1341" t="s">
        <v>1293</v>
      </c>
      <c r="I1341" t="s">
        <v>139</v>
      </c>
      <c r="J1341" t="s">
        <v>287</v>
      </c>
      <c r="K1341" s="27">
        <f t="shared" ref="K1341:AW1341" si="517">IFERROR(K1534-((K1534-K125)+(K1534-K278)+(K1534-K431)+(K1534-K583)+(K1534-K735)+(K1534-K886)+(K1534-K1037)+(K1534-K1188)),0)</f>
        <v>3.2323215352203878E-3</v>
      </c>
      <c r="L1341" s="27">
        <f t="shared" si="517"/>
        <v>3.2042886428129457E-3</v>
      </c>
      <c r="M1341" s="27">
        <f t="shared" si="517"/>
        <v>3.193617369300608E-3</v>
      </c>
      <c r="N1341" s="27">
        <f t="shared" si="517"/>
        <v>3.1509707896886733E-3</v>
      </c>
      <c r="O1341" s="27">
        <f t="shared" si="517"/>
        <v>3.0890682378804119E-3</v>
      </c>
      <c r="P1341" s="27">
        <f t="shared" si="517"/>
        <v>3.0091897617382946E-3</v>
      </c>
      <c r="Q1341" s="27">
        <f t="shared" si="517"/>
        <v>2.9461872714039491E-3</v>
      </c>
      <c r="R1341" s="27">
        <f t="shared" si="517"/>
        <v>2.8865797531671873E-3</v>
      </c>
      <c r="S1341" s="27">
        <f t="shared" si="517"/>
        <v>2.5815224060103171E-3</v>
      </c>
      <c r="T1341" s="27">
        <f t="shared" si="517"/>
        <v>2.6809806193820299E-3</v>
      </c>
      <c r="U1341" s="27">
        <f t="shared" si="517"/>
        <v>8.4496349357244746E-3</v>
      </c>
      <c r="V1341" s="27">
        <f t="shared" si="517"/>
        <v>8.490390729273779E-3</v>
      </c>
      <c r="W1341" s="27">
        <f t="shared" si="517"/>
        <v>8.5164743363873984E-3</v>
      </c>
      <c r="X1341" s="27">
        <f t="shared" si="517"/>
        <v>8.5278804443353062E-3</v>
      </c>
      <c r="Y1341" s="27">
        <f t="shared" si="517"/>
        <v>8.5248506776145015E-3</v>
      </c>
      <c r="Z1341" s="27">
        <f t="shared" si="517"/>
        <v>8.5072398121281648E-3</v>
      </c>
      <c r="AA1341" s="27">
        <f t="shared" si="517"/>
        <v>8.4750047085989932E-3</v>
      </c>
      <c r="AB1341" s="27">
        <f t="shared" si="517"/>
        <v>8.4281720385821924E-3</v>
      </c>
      <c r="AC1341" s="27">
        <f t="shared" si="517"/>
        <v>8.3668471101216637E-3</v>
      </c>
      <c r="AD1341" s="27">
        <f t="shared" si="517"/>
        <v>8.2215560258446178E-3</v>
      </c>
      <c r="AE1341" s="27">
        <f t="shared" si="517"/>
        <v>8.0625794404136485E-3</v>
      </c>
      <c r="AF1341" s="27">
        <f t="shared" si="517"/>
        <v>7.8906316671852623E-3</v>
      </c>
      <c r="AG1341" s="27">
        <f t="shared" si="517"/>
        <v>7.7065081858302149E-3</v>
      </c>
      <c r="AH1341" s="27">
        <f t="shared" si="517"/>
        <v>7.5110558523361756E-3</v>
      </c>
      <c r="AI1341" s="27">
        <f t="shared" si="517"/>
        <v>7.3051764470657117E-3</v>
      </c>
      <c r="AJ1341" s="27">
        <f t="shared" si="517"/>
        <v>-5.6405599805615676E-4</v>
      </c>
      <c r="AK1341" s="27">
        <f t="shared" si="517"/>
        <v>-5.5047515962352916E-4</v>
      </c>
      <c r="AL1341" s="27">
        <f t="shared" si="517"/>
        <v>-5.3703562288424922E-4</v>
      </c>
      <c r="AM1341" s="27">
        <f t="shared" si="517"/>
        <v>-5.2373599978206974E-4</v>
      </c>
      <c r="AN1341" s="27">
        <f t="shared" si="517"/>
        <v>-5.1318044022279606E-4</v>
      </c>
      <c r="AO1341" s="27">
        <f t="shared" si="517"/>
        <v>-5.0272501169057937E-4</v>
      </c>
      <c r="AP1341" s="27">
        <f t="shared" si="517"/>
        <v>-4.9236193773087231E-4</v>
      </c>
      <c r="AQ1341" s="27">
        <f t="shared" si="517"/>
        <v>-4.8208865134491532E-4</v>
      </c>
      <c r="AR1341" s="27">
        <f t="shared" si="517"/>
        <v>-4.7189764173024049E-4</v>
      </c>
      <c r="AS1341" s="27">
        <f t="shared" si="517"/>
        <v>-4.6178155356127546E-4</v>
      </c>
      <c r="AT1341" s="27">
        <f t="shared" si="517"/>
        <v>-4.5173920552966836E-4</v>
      </c>
      <c r="AU1341" s="27">
        <f t="shared" si="517"/>
        <v>-4.4177121806458731E-4</v>
      </c>
      <c r="AV1341" s="27">
        <f t="shared" si="517"/>
        <v>-4.31877971766583E-4</v>
      </c>
      <c r="AW1341" s="27">
        <f t="shared" si="517"/>
        <v>-4.220537843353357E-4</v>
      </c>
      <c r="AY1341" s="79"/>
      <c r="AZ1341" s="79"/>
    </row>
    <row r="1342" spans="1:52" x14ac:dyDescent="0.25">
      <c r="A1342" s="95" t="str">
        <f t="shared" si="514"/>
        <v>FSFAGSPQNIBDDSCM MM Volatilisation</v>
      </c>
      <c r="B1342" s="95" t="s">
        <v>1375</v>
      </c>
      <c r="C1342" s="95" t="s">
        <v>1332</v>
      </c>
      <c r="D1342" t="s">
        <v>369</v>
      </c>
      <c r="E1342" t="s">
        <v>64</v>
      </c>
      <c r="F1342" t="s">
        <v>62</v>
      </c>
      <c r="G1342" t="s">
        <v>1160</v>
      </c>
      <c r="H1342" t="s">
        <v>1294</v>
      </c>
      <c r="I1342" t="s">
        <v>139</v>
      </c>
      <c r="J1342" t="s">
        <v>287</v>
      </c>
      <c r="K1342" s="27">
        <f t="shared" ref="K1342:AW1342" si="518">IFERROR(K1535-((K1535-K126)+(K1535-K279)+(K1535-K432)+(K1535-K584)+(K1535-K736)+(K1535-K887)+(K1535-K1038)+(K1535-K1189)),0)</f>
        <v>1.6090517274103568E-2</v>
      </c>
      <c r="L1342" s="27">
        <f t="shared" si="518"/>
        <v>1.5950969356419611E-2</v>
      </c>
      <c r="M1342" s="27">
        <f t="shared" si="518"/>
        <v>1.5897847688628834E-2</v>
      </c>
      <c r="N1342" s="27">
        <f t="shared" si="518"/>
        <v>1.5685552742581491E-2</v>
      </c>
      <c r="O1342" s="27">
        <f t="shared" si="518"/>
        <v>1.5377401443792458E-2</v>
      </c>
      <c r="P1342" s="27">
        <f t="shared" si="518"/>
        <v>1.4979765878707448E-2</v>
      </c>
      <c r="Q1342" s="27">
        <f t="shared" si="518"/>
        <v>1.4666139078901096E-2</v>
      </c>
      <c r="R1342" s="27">
        <f t="shared" si="518"/>
        <v>1.4369412471908493E-2</v>
      </c>
      <c r="S1342" s="27">
        <f t="shared" si="518"/>
        <v>1.2850835046817909E-2</v>
      </c>
      <c r="T1342" s="27">
        <f t="shared" si="518"/>
        <v>1.3345938669050808E-2</v>
      </c>
      <c r="U1342" s="27">
        <f t="shared" si="518"/>
        <v>4.2062336748275767E-2</v>
      </c>
      <c r="V1342" s="27">
        <f t="shared" si="518"/>
        <v>4.2265219349211125E-2</v>
      </c>
      <c r="W1342" s="27">
        <f t="shared" si="518"/>
        <v>4.2395063712236107E-2</v>
      </c>
      <c r="X1342" s="27">
        <f t="shared" si="518"/>
        <v>4.2451843390546674E-2</v>
      </c>
      <c r="Y1342" s="27">
        <f t="shared" si="518"/>
        <v>4.2436761192434141E-2</v>
      </c>
      <c r="Z1342" s="27">
        <f t="shared" si="518"/>
        <v>4.234909419141579E-2</v>
      </c>
      <c r="AA1342" s="27">
        <f t="shared" si="518"/>
        <v>4.2188627639893318E-2</v>
      </c>
      <c r="AB1342" s="27">
        <f t="shared" si="518"/>
        <v>4.195549430903911E-2</v>
      </c>
      <c r="AC1342" s="27">
        <f t="shared" si="518"/>
        <v>4.1650218422969176E-2</v>
      </c>
      <c r="AD1342" s="27">
        <f t="shared" si="518"/>
        <v>4.0926958476252988E-2</v>
      </c>
      <c r="AE1342" s="27">
        <f t="shared" si="518"/>
        <v>4.0135572017269229E-2</v>
      </c>
      <c r="AF1342" s="27">
        <f t="shared" si="518"/>
        <v>3.9279614902474849E-2</v>
      </c>
      <c r="AG1342" s="27">
        <f t="shared" si="518"/>
        <v>3.8363047034758228E-2</v>
      </c>
      <c r="AH1342" s="27">
        <f t="shared" si="518"/>
        <v>3.7390084068641902E-2</v>
      </c>
      <c r="AI1342" s="27">
        <f t="shared" si="518"/>
        <v>3.6365215072537933E-2</v>
      </c>
      <c r="AJ1342" s="27">
        <f t="shared" si="518"/>
        <v>-2.8078743656501674E-3</v>
      </c>
      <c r="AK1342" s="27">
        <f t="shared" si="518"/>
        <v>-2.7402688650785463E-3</v>
      </c>
      <c r="AL1342" s="27">
        <f t="shared" si="518"/>
        <v>-2.6733667652400826E-3</v>
      </c>
      <c r="AM1342" s="27">
        <f t="shared" si="518"/>
        <v>-2.6071611563818981E-3</v>
      </c>
      <c r="AN1342" s="27">
        <f t="shared" si="518"/>
        <v>-2.554615513389502E-3</v>
      </c>
      <c r="AO1342" s="27">
        <f t="shared" si="518"/>
        <v>-2.5025683232901678E-3</v>
      </c>
      <c r="AP1342" s="27">
        <f t="shared" si="518"/>
        <v>-2.4509808748434249E-3</v>
      </c>
      <c r="AQ1342" s="27">
        <f t="shared" si="518"/>
        <v>-2.3998403895130306E-3</v>
      </c>
      <c r="AR1342" s="27">
        <f t="shared" si="518"/>
        <v>-2.3491094784762676E-3</v>
      </c>
      <c r="AS1342" s="27">
        <f t="shared" si="518"/>
        <v>-2.2987515268753948E-3</v>
      </c>
      <c r="AT1342" s="27">
        <f t="shared" si="518"/>
        <v>-2.2487606541498821E-3</v>
      </c>
      <c r="AU1342" s="27">
        <f t="shared" si="518"/>
        <v>-2.1991399488000989E-3</v>
      </c>
      <c r="AV1342" s="27">
        <f t="shared" si="518"/>
        <v>-2.1498913054580166E-3</v>
      </c>
      <c r="AW1342" s="27">
        <f t="shared" si="518"/>
        <v>-2.1009864375963051E-3</v>
      </c>
      <c r="AY1342" s="79"/>
      <c r="AZ1342" s="79"/>
    </row>
    <row r="1343" spans="1:52" x14ac:dyDescent="0.25">
      <c r="A1343" s="95" t="str">
        <f t="shared" si="514"/>
        <v>FSFAGSPQNIBDDSCM MM Volatilisation</v>
      </c>
      <c r="B1343" s="95" t="s">
        <v>1375</v>
      </c>
      <c r="C1343" s="95" t="s">
        <v>1332</v>
      </c>
      <c r="D1343" t="s">
        <v>369</v>
      </c>
      <c r="E1343" t="s">
        <v>64</v>
      </c>
      <c r="F1343" t="s">
        <v>62</v>
      </c>
      <c r="G1343" t="s">
        <v>1162</v>
      </c>
      <c r="H1343" t="s">
        <v>1295</v>
      </c>
      <c r="I1343" t="s">
        <v>139</v>
      </c>
      <c r="J1343" t="s">
        <v>287</v>
      </c>
      <c r="K1343" s="27">
        <f t="shared" ref="K1343:AW1343" si="519">IFERROR(K1536-((K1536-K127)+(K1536-K280)+(K1536-K433)+(K1536-K585)+(K1536-K737)+(K1536-K888)+(K1536-K1039)+(K1536-K1190)),0)</f>
        <v>0.15836052531214873</v>
      </c>
      <c r="L1343" s="27">
        <f t="shared" si="519"/>
        <v>0.16370016056893644</v>
      </c>
      <c r="M1343" s="27">
        <f t="shared" si="519"/>
        <v>0.17003774892948584</v>
      </c>
      <c r="N1343" s="27">
        <f t="shared" si="519"/>
        <v>0.17476418316081979</v>
      </c>
      <c r="O1343" s="27">
        <f t="shared" si="519"/>
        <v>0.1784091501709566</v>
      </c>
      <c r="P1343" s="27">
        <f t="shared" si="519"/>
        <v>0.18092055691117109</v>
      </c>
      <c r="Q1343" s="27">
        <f t="shared" si="519"/>
        <v>0.18434967364231722</v>
      </c>
      <c r="R1343" s="27">
        <f t="shared" si="519"/>
        <v>0.18794438918293385</v>
      </c>
      <c r="S1343" s="27">
        <f t="shared" si="519"/>
        <v>0.17487533171838066</v>
      </c>
      <c r="T1343" s="27">
        <f t="shared" si="519"/>
        <v>0.18598828710895501</v>
      </c>
      <c r="U1343" s="27">
        <f t="shared" si="519"/>
        <v>0.60010716171461598</v>
      </c>
      <c r="V1343" s="27">
        <f t="shared" si="519"/>
        <v>0.61714803501653059</v>
      </c>
      <c r="W1343" s="27">
        <f t="shared" si="519"/>
        <v>0.63339573291461304</v>
      </c>
      <c r="X1343" s="27">
        <f t="shared" si="519"/>
        <v>0.64878782379484634</v>
      </c>
      <c r="Y1343" s="27">
        <f t="shared" si="519"/>
        <v>0.6632790614565599</v>
      </c>
      <c r="Z1343" s="27">
        <f t="shared" si="519"/>
        <v>0.67679301375274348</v>
      </c>
      <c r="AA1343" s="27">
        <f t="shared" si="519"/>
        <v>0.68925834109941053</v>
      </c>
      <c r="AB1343" s="27">
        <f t="shared" si="519"/>
        <v>0.70060688133816351</v>
      </c>
      <c r="AC1343" s="27">
        <f t="shared" si="519"/>
        <v>0.71077490529773002</v>
      </c>
      <c r="AD1343" s="27">
        <f t="shared" si="519"/>
        <v>0.72159413752844115</v>
      </c>
      <c r="AE1343" s="27">
        <f t="shared" si="519"/>
        <v>0.73115327204335434</v>
      </c>
      <c r="AF1343" s="27">
        <f t="shared" si="519"/>
        <v>0.7393963545283444</v>
      </c>
      <c r="AG1343" s="27">
        <f t="shared" si="519"/>
        <v>0.74627481362949688</v>
      </c>
      <c r="AH1343" s="27">
        <f t="shared" si="519"/>
        <v>0.75174577116771069</v>
      </c>
      <c r="AI1343" s="27">
        <f t="shared" si="519"/>
        <v>0.75577335036803739</v>
      </c>
      <c r="AJ1343" s="27">
        <f t="shared" si="519"/>
        <v>-6.0331583230930269E-2</v>
      </c>
      <c r="AK1343" s="27">
        <f t="shared" si="519"/>
        <v>-6.0883763489548361E-2</v>
      </c>
      <c r="AL1343" s="27">
        <f t="shared" si="519"/>
        <v>-6.1432292472249253E-2</v>
      </c>
      <c r="AM1343" s="27">
        <f t="shared" si="519"/>
        <v>-6.1977443387012172E-2</v>
      </c>
      <c r="AN1343" s="27">
        <f t="shared" si="519"/>
        <v>-6.2441792261108069E-2</v>
      </c>
      <c r="AO1343" s="27">
        <f t="shared" si="519"/>
        <v>-6.2901498019431304E-2</v>
      </c>
      <c r="AP1343" s="27">
        <f t="shared" si="519"/>
        <v>-6.3355857064212845E-2</v>
      </c>
      <c r="AQ1343" s="27">
        <f t="shared" si="519"/>
        <v>-6.3804744436236446E-2</v>
      </c>
      <c r="AR1343" s="27">
        <f t="shared" si="519"/>
        <v>-6.4247322567233908E-2</v>
      </c>
      <c r="AS1343" s="27">
        <f t="shared" si="519"/>
        <v>-6.4682656506044156E-2</v>
      </c>
      <c r="AT1343" s="27">
        <f t="shared" si="519"/>
        <v>-6.5110575477313207E-2</v>
      </c>
      <c r="AU1343" s="27">
        <f t="shared" si="519"/>
        <v>-6.5531144171927541E-2</v>
      </c>
      <c r="AV1343" s="27">
        <f t="shared" si="519"/>
        <v>-6.5944388466371143E-2</v>
      </c>
      <c r="AW1343" s="27">
        <f t="shared" si="519"/>
        <v>-6.6349375385408998E-2</v>
      </c>
      <c r="AY1343" s="79"/>
      <c r="AZ1343" s="79"/>
    </row>
    <row r="1344" spans="1:52" x14ac:dyDescent="0.25">
      <c r="A1344" s="95" t="str">
        <f t="shared" si="514"/>
        <v>FSFAGSPQNIBDDSCM MM Volatilisation</v>
      </c>
      <c r="B1344" s="95" t="s">
        <v>1375</v>
      </c>
      <c r="C1344" s="95" t="s">
        <v>1332</v>
      </c>
      <c r="D1344" t="s">
        <v>369</v>
      </c>
      <c r="E1344" t="s">
        <v>64</v>
      </c>
      <c r="F1344" t="s">
        <v>62</v>
      </c>
      <c r="G1344" t="s">
        <v>1164</v>
      </c>
      <c r="H1344" t="s">
        <v>1296</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1.188899025036581E-4</v>
      </c>
      <c r="T1344" s="27">
        <f t="shared" si="520"/>
        <v>1.189690287837306E-4</v>
      </c>
      <c r="U1344" s="27">
        <f t="shared" si="520"/>
        <v>1.205186108228768E-4</v>
      </c>
      <c r="V1344" s="27">
        <f t="shared" si="520"/>
        <v>1.2055641166730559E-4</v>
      </c>
      <c r="W1344" s="27">
        <f t="shared" si="520"/>
        <v>1.2071810381709918E-4</v>
      </c>
      <c r="X1344" s="27">
        <f t="shared" si="520"/>
        <v>1.2095183374420191E-4</v>
      </c>
      <c r="Y1344" s="27">
        <f t="shared" si="520"/>
        <v>1.2116896083678348E-4</v>
      </c>
      <c r="Z1344" s="27">
        <f t="shared" si="520"/>
        <v>1.2137217342001694E-4</v>
      </c>
      <c r="AA1344" s="27">
        <f t="shared" si="520"/>
        <v>1.2156038787143942E-4</v>
      </c>
      <c r="AB1344" s="27">
        <f t="shared" si="520"/>
        <v>1.2173530001872475E-4</v>
      </c>
      <c r="AC1344" s="27">
        <f t="shared" si="520"/>
        <v>1.2189956310100272E-4</v>
      </c>
      <c r="AD1344" s="27">
        <f t="shared" si="520"/>
        <v>1.2205302234453671E-4</v>
      </c>
      <c r="AE1344" s="27">
        <f t="shared" si="520"/>
        <v>1.2219813225383718E-4</v>
      </c>
      <c r="AF1344" s="27">
        <f t="shared" si="520"/>
        <v>1.2233524409037175E-4</v>
      </c>
      <c r="AG1344" s="27">
        <f t="shared" si="520"/>
        <v>1.2246247857835598E-4</v>
      </c>
      <c r="AH1344" s="27">
        <f t="shared" si="520"/>
        <v>1.2258099962950754E-4</v>
      </c>
      <c r="AI1344" s="27">
        <f t="shared" si="520"/>
        <v>1.226926980528978E-4</v>
      </c>
      <c r="AJ1344" s="27">
        <f t="shared" si="520"/>
        <v>1.2000006421083369E-4</v>
      </c>
      <c r="AK1344" s="27">
        <f t="shared" si="520"/>
        <v>1.2011041514130369E-4</v>
      </c>
      <c r="AL1344" s="27">
        <f t="shared" si="520"/>
        <v>1.2021334415571778E-4</v>
      </c>
      <c r="AM1344" s="27">
        <f t="shared" si="520"/>
        <v>1.2030948030331916E-4</v>
      </c>
      <c r="AN1344" s="27">
        <f t="shared" si="520"/>
        <v>1.2039958826810335E-4</v>
      </c>
      <c r="AO1344" s="27">
        <f t="shared" si="520"/>
        <v>1.2048129784431056E-4</v>
      </c>
      <c r="AP1344" s="27">
        <f t="shared" si="520"/>
        <v>1.2055302618273209E-4</v>
      </c>
      <c r="AQ1344" s="27">
        <f t="shared" si="520"/>
        <v>1.2061454144456668E-4</v>
      </c>
      <c r="AR1344" s="27">
        <f t="shared" si="520"/>
        <v>1.2066404237348151E-4</v>
      </c>
      <c r="AS1344" s="27">
        <f t="shared" si="520"/>
        <v>1.206995710531147E-4</v>
      </c>
      <c r="AT1344" s="27">
        <f t="shared" si="520"/>
        <v>1.2072090668873017E-4</v>
      </c>
      <c r="AU1344" s="27">
        <f t="shared" si="520"/>
        <v>1.2072835361242823E-4</v>
      </c>
      <c r="AV1344" s="27">
        <f t="shared" si="520"/>
        <v>1.2072212964886386E-4</v>
      </c>
      <c r="AW1344" s="27">
        <f t="shared" si="520"/>
        <v>1.2070039195556491E-4</v>
      </c>
      <c r="AY1344" s="79"/>
      <c r="AZ1344" s="79"/>
    </row>
    <row r="1345" spans="1:52" x14ac:dyDescent="0.25">
      <c r="A1345" s="95" t="str">
        <f t="shared" si="514"/>
        <v>FSFAGSPQNIBDDSCM MM Volatilisation</v>
      </c>
      <c r="B1345" s="95" t="s">
        <v>1375</v>
      </c>
      <c r="C1345" s="95" t="s">
        <v>1332</v>
      </c>
      <c r="D1345" t="s">
        <v>369</v>
      </c>
      <c r="E1345" t="s">
        <v>64</v>
      </c>
      <c r="F1345" t="s">
        <v>62</v>
      </c>
      <c r="G1345" t="s">
        <v>1166</v>
      </c>
      <c r="H1345" t="s">
        <v>1297</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8.1588376197320827E-4</v>
      </c>
      <c r="T1345" s="27">
        <f t="shared" si="521"/>
        <v>8.1642676727220354E-4</v>
      </c>
      <c r="U1345" s="27">
        <f t="shared" si="521"/>
        <v>8.2706079755535391E-4</v>
      </c>
      <c r="V1345" s="27">
        <f t="shared" si="521"/>
        <v>8.2732020642447472E-4</v>
      </c>
      <c r="W1345" s="27">
        <f t="shared" si="521"/>
        <v>8.2842982125867857E-4</v>
      </c>
      <c r="X1345" s="27">
        <f t="shared" si="521"/>
        <v>8.3003379643398353E-4</v>
      </c>
      <c r="Y1345" s="27">
        <f t="shared" si="521"/>
        <v>8.3152383440517541E-4</v>
      </c>
      <c r="Z1345" s="27">
        <f t="shared" si="521"/>
        <v>8.3291838384459249E-4</v>
      </c>
      <c r="AA1345" s="27">
        <f t="shared" si="521"/>
        <v>8.342100083766216E-4</v>
      </c>
      <c r="AB1345" s="27">
        <f t="shared" si="521"/>
        <v>8.3541034564443633E-4</v>
      </c>
      <c r="AC1345" s="27">
        <f t="shared" si="521"/>
        <v>8.3653760354186898E-4</v>
      </c>
      <c r="AD1345" s="27">
        <f t="shared" si="521"/>
        <v>8.3759071993180138E-4</v>
      </c>
      <c r="AE1345" s="27">
        <f t="shared" si="521"/>
        <v>8.385865388887226E-4</v>
      </c>
      <c r="AF1345" s="27">
        <f t="shared" si="521"/>
        <v>8.3952747094978998E-4</v>
      </c>
      <c r="AG1345" s="27">
        <f t="shared" si="521"/>
        <v>8.404006195563853E-4</v>
      </c>
      <c r="AH1345" s="27">
        <f t="shared" si="521"/>
        <v>8.4121397207035167E-4</v>
      </c>
      <c r="AI1345" s="27">
        <f t="shared" si="521"/>
        <v>8.4198050419766407E-4</v>
      </c>
      <c r="AJ1345" s="27">
        <f t="shared" si="521"/>
        <v>8.2350226355303057E-4</v>
      </c>
      <c r="AK1345" s="27">
        <f t="shared" si="521"/>
        <v>8.2425954848970833E-4</v>
      </c>
      <c r="AL1345" s="27">
        <f t="shared" si="521"/>
        <v>8.2496590041470697E-4</v>
      </c>
      <c r="AM1345" s="27">
        <f t="shared" si="521"/>
        <v>8.256256361880137E-4</v>
      </c>
      <c r="AN1345" s="27">
        <f t="shared" si="521"/>
        <v>8.2624400346516431E-4</v>
      </c>
      <c r="AO1345" s="27">
        <f t="shared" si="521"/>
        <v>8.2680473667312636E-4</v>
      </c>
      <c r="AP1345" s="27">
        <f t="shared" si="521"/>
        <v>8.2729697348516047E-4</v>
      </c>
      <c r="AQ1345" s="27">
        <f t="shared" si="521"/>
        <v>8.2771912290397116E-4</v>
      </c>
      <c r="AR1345" s="27">
        <f t="shared" si="521"/>
        <v>8.2805882378061209E-4</v>
      </c>
      <c r="AS1345" s="27">
        <f t="shared" si="521"/>
        <v>8.2830263988430608E-4</v>
      </c>
      <c r="AT1345" s="27">
        <f t="shared" si="521"/>
        <v>8.2844905600782401E-4</v>
      </c>
      <c r="AU1345" s="27">
        <f t="shared" si="521"/>
        <v>8.2850016063482762E-4</v>
      </c>
      <c r="AV1345" s="27">
        <f t="shared" si="521"/>
        <v>8.2845744859031962E-4</v>
      </c>
      <c r="AW1345" s="27">
        <f t="shared" si="521"/>
        <v>8.2830827333984093E-4</v>
      </c>
      <c r="AY1345" s="79"/>
      <c r="AZ1345" s="79"/>
    </row>
    <row r="1346" spans="1:52" x14ac:dyDescent="0.25">
      <c r="A1346" s="95" t="str">
        <f t="shared" si="514"/>
        <v>FSFAGSPQNIBDDSCM MM Volatilisation</v>
      </c>
      <c r="B1346" s="95" t="s">
        <v>1375</v>
      </c>
      <c r="C1346" s="95" t="s">
        <v>1332</v>
      </c>
      <c r="D1346" t="s">
        <v>369</v>
      </c>
      <c r="E1346" t="s">
        <v>64</v>
      </c>
      <c r="F1346" t="s">
        <v>62</v>
      </c>
      <c r="G1346" t="s">
        <v>1168</v>
      </c>
      <c r="H1346" t="s">
        <v>1298</v>
      </c>
      <c r="I1346" t="s">
        <v>139</v>
      </c>
      <c r="J1346" t="s">
        <v>287</v>
      </c>
      <c r="K1346" s="27">
        <f t="shared" ref="K1346:AW1346" si="522">IFERROR(K1539-((K1539-K130)+(K1539-K283)+(K1539-K436)+(K1539-K588)+(K1539-K740)+(K1539-K891)+(K1539-K1042)+(K1539-K1193)),0)</f>
        <v>1.4486129996083085E-5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1.489070601115726E-5</v>
      </c>
      <c r="R1346" s="27">
        <f t="shared" si="522"/>
        <v>1.4988675221399694E-5</v>
      </c>
      <c r="S1346" s="27">
        <f t="shared" si="522"/>
        <v>1.4952125307683929E-5</v>
      </c>
      <c r="T1346" s="27">
        <f t="shared" si="522"/>
        <v>1.497659485650934E-5</v>
      </c>
      <c r="U1346" s="27">
        <f t="shared" si="522"/>
        <v>1.5280249217669806E-5</v>
      </c>
      <c r="V1346" s="27">
        <f t="shared" si="522"/>
        <v>1.5293967954982136E-5</v>
      </c>
      <c r="W1346" s="27">
        <f t="shared" si="522"/>
        <v>1.5330288500558316E-5</v>
      </c>
      <c r="X1346" s="27">
        <f t="shared" si="522"/>
        <v>1.5379307775042966E-5</v>
      </c>
      <c r="Y1346" s="27">
        <f t="shared" si="522"/>
        <v>1.5424265287422665E-5</v>
      </c>
      <c r="Z1346" s="27">
        <f t="shared" si="522"/>
        <v>1.5465755297522265E-5</v>
      </c>
      <c r="AA1346" s="27">
        <f t="shared" si="522"/>
        <v>1.5503650543984476E-5</v>
      </c>
      <c r="AB1346" s="27">
        <f t="shared" si="522"/>
        <v>1.5538340165319424E-5</v>
      </c>
      <c r="AC1346" s="27">
        <f t="shared" si="522"/>
        <v>1.5570383853796525E-5</v>
      </c>
      <c r="AD1346" s="27">
        <f t="shared" si="522"/>
        <v>1.5599807426957594E-5</v>
      </c>
      <c r="AE1346" s="27">
        <f t="shared" si="522"/>
        <v>1.5627118939580073E-5</v>
      </c>
      <c r="AF1346" s="27">
        <f t="shared" si="522"/>
        <v>1.5652427506297688E-5</v>
      </c>
      <c r="AG1346" s="27">
        <f t="shared" si="522"/>
        <v>1.56754241207766E-5</v>
      </c>
      <c r="AH1346" s="27">
        <f t="shared" si="522"/>
        <v>1.5696363462061687E-5</v>
      </c>
      <c r="AI1346" s="27">
        <f t="shared" si="522"/>
        <v>1.5715630256505464E-5</v>
      </c>
      <c r="AJ1346" s="27">
        <f t="shared" si="522"/>
        <v>1.5216731234132435E-5</v>
      </c>
      <c r="AK1346" s="27">
        <f t="shared" si="522"/>
        <v>1.5235961154748287E-5</v>
      </c>
      <c r="AL1346" s="27">
        <f t="shared" si="522"/>
        <v>1.525346973608994E-5</v>
      </c>
      <c r="AM1346" s="27">
        <f t="shared" si="522"/>
        <v>1.5269398678749372E-5</v>
      </c>
      <c r="AN1346" s="27">
        <f t="shared" si="522"/>
        <v>1.528391208207959E-5</v>
      </c>
      <c r="AO1346" s="27">
        <f t="shared" si="522"/>
        <v>1.5296597939016457E-5</v>
      </c>
      <c r="AP1346" s="27">
        <f t="shared" si="522"/>
        <v>1.5307189728189323E-5</v>
      </c>
      <c r="AQ1346" s="27">
        <f t="shared" si="522"/>
        <v>1.5315667991874673E-5</v>
      </c>
      <c r="AR1346" s="27">
        <f t="shared" si="522"/>
        <v>1.5321726619352006E-5</v>
      </c>
      <c r="AS1346" s="27">
        <f t="shared" si="522"/>
        <v>1.5325032079315766E-5</v>
      </c>
      <c r="AT1346" s="27">
        <f t="shared" si="522"/>
        <v>1.5325567315367108E-5</v>
      </c>
      <c r="AU1346" s="27">
        <f t="shared" si="522"/>
        <v>1.532340963092266E-5</v>
      </c>
      <c r="AV1346" s="27">
        <f t="shared" si="522"/>
        <v>1.5318619367085747E-5</v>
      </c>
      <c r="AW1346" s="27">
        <f t="shared" si="522"/>
        <v>1.5310883587655619E-5</v>
      </c>
      <c r="AY1346" s="79"/>
      <c r="AZ1346" s="79"/>
    </row>
    <row r="1347" spans="1:52" x14ac:dyDescent="0.25">
      <c r="A1347" s="95" t="str">
        <f t="shared" si="514"/>
        <v>FSFAGSPQNIBDDSCM MM Volatilisation</v>
      </c>
      <c r="B1347" s="95" t="s">
        <v>1375</v>
      </c>
      <c r="C1347" s="95" t="s">
        <v>1332</v>
      </c>
      <c r="D1347" t="s">
        <v>369</v>
      </c>
      <c r="E1347" t="s">
        <v>64</v>
      </c>
      <c r="F1347" t="s">
        <v>62</v>
      </c>
      <c r="G1347" t="s">
        <v>1170</v>
      </c>
      <c r="H1347" t="s">
        <v>1299</v>
      </c>
      <c r="I1347" t="s">
        <v>139</v>
      </c>
      <c r="J1347" t="s">
        <v>287</v>
      </c>
      <c r="K1347" s="27">
        <f t="shared" ref="K1347:AW1347" si="523">IFERROR(K1540-((K1540-K131)+(K1540-K284)+(K1540-K437)+(K1540-K589)+(K1540-K741)+(K1540-K892)+(K1540-K1043)+(K1540-K1194)),0)</f>
        <v>1.4738364076719787E-3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1.5149984613639169E-3</v>
      </c>
      <c r="R1347" s="27">
        <f t="shared" si="523"/>
        <v>1.5249659674490626E-3</v>
      </c>
      <c r="S1347" s="27">
        <f t="shared" si="523"/>
        <v>1.5212473349677769E-3</v>
      </c>
      <c r="T1347" s="27">
        <f t="shared" si="523"/>
        <v>1.5237368964964909E-3</v>
      </c>
      <c r="U1347" s="27">
        <f t="shared" si="523"/>
        <v>1.5546310589089282E-3</v>
      </c>
      <c r="V1347" s="27">
        <f t="shared" si="523"/>
        <v>1.5560268198556864E-3</v>
      </c>
      <c r="W1347" s="27">
        <f t="shared" si="523"/>
        <v>1.5597221161446995E-3</v>
      </c>
      <c r="X1347" s="27">
        <f t="shared" si="523"/>
        <v>1.5647093964902903E-3</v>
      </c>
      <c r="Y1347" s="27">
        <f t="shared" si="523"/>
        <v>1.5692834282407637E-3</v>
      </c>
      <c r="Z1347" s="27">
        <f t="shared" si="523"/>
        <v>1.5735046721103132E-3</v>
      </c>
      <c r="AA1347" s="27">
        <f t="shared" si="523"/>
        <v>1.5773601803743434E-3</v>
      </c>
      <c r="AB1347" s="27">
        <f t="shared" si="523"/>
        <v>1.5808895444560981E-3</v>
      </c>
      <c r="AC1347" s="27">
        <f t="shared" si="523"/>
        <v>1.5841497081248222E-3</v>
      </c>
      <c r="AD1347" s="27">
        <f t="shared" si="523"/>
        <v>1.5871432980884847E-3</v>
      </c>
      <c r="AE1347" s="27">
        <f t="shared" si="523"/>
        <v>1.5899220044553674E-3</v>
      </c>
      <c r="AF1347" s="27">
        <f t="shared" si="523"/>
        <v>1.5924969286804358E-3</v>
      </c>
      <c r="AG1347" s="27">
        <f t="shared" si="523"/>
        <v>1.5948366320850983E-3</v>
      </c>
      <c r="AH1347" s="27">
        <f t="shared" si="523"/>
        <v>1.5969670260237814E-3</v>
      </c>
      <c r="AI1347" s="27">
        <f t="shared" si="523"/>
        <v>1.5989272530214718E-3</v>
      </c>
      <c r="AJ1347" s="27">
        <f t="shared" si="523"/>
        <v>1.54816866234721E-3</v>
      </c>
      <c r="AK1347" s="27">
        <f t="shared" si="523"/>
        <v>1.5501251377569953E-3</v>
      </c>
      <c r="AL1347" s="27">
        <f t="shared" si="523"/>
        <v>1.5519064820245804E-3</v>
      </c>
      <c r="AM1347" s="27">
        <f t="shared" si="523"/>
        <v>1.5535271119397841E-3</v>
      </c>
      <c r="AN1347" s="27">
        <f t="shared" si="523"/>
        <v>1.5550037231694973E-3</v>
      </c>
      <c r="AO1347" s="27">
        <f t="shared" si="523"/>
        <v>1.5562943976160978E-3</v>
      </c>
      <c r="AP1347" s="27">
        <f t="shared" si="523"/>
        <v>1.5573720190725925E-3</v>
      </c>
      <c r="AQ1347" s="27">
        <f t="shared" si="523"/>
        <v>1.5582346078866301E-3</v>
      </c>
      <c r="AR1347" s="27">
        <f t="shared" si="523"/>
        <v>1.5588510199828238E-3</v>
      </c>
      <c r="AS1347" s="27">
        <f t="shared" si="523"/>
        <v>1.5591873214822584E-3</v>
      </c>
      <c r="AT1347" s="27">
        <f t="shared" si="523"/>
        <v>1.5592417770462618E-3</v>
      </c>
      <c r="AU1347" s="27">
        <f t="shared" si="523"/>
        <v>1.5590222516180525E-3</v>
      </c>
      <c r="AV1347" s="27">
        <f t="shared" si="523"/>
        <v>1.5585348843745505E-3</v>
      </c>
      <c r="AW1347" s="27">
        <f t="shared" si="523"/>
        <v>1.5577478368077457E-3</v>
      </c>
      <c r="AY1347" s="79"/>
      <c r="AZ1347" s="79"/>
    </row>
    <row r="1348" spans="1:52" x14ac:dyDescent="0.25">
      <c r="A1348" s="95" t="str">
        <f t="shared" si="514"/>
        <v>FSFAGSPQNIBDDSCM MM Volatilisation</v>
      </c>
      <c r="B1348" s="95" t="s">
        <v>1375</v>
      </c>
      <c r="C1348" s="95" t="s">
        <v>1332</v>
      </c>
      <c r="D1348" t="s">
        <v>369</v>
      </c>
      <c r="E1348" t="s">
        <v>64</v>
      </c>
      <c r="F1348" t="s">
        <v>62</v>
      </c>
      <c r="G1348" t="s">
        <v>1172</v>
      </c>
      <c r="H1348" t="s">
        <v>1300</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25">
      <c r="A1349" s="95" t="str">
        <f t="shared" si="514"/>
        <v>FSFAGSPQNIBDDSCM MM Volatilisation</v>
      </c>
      <c r="B1349" s="95" t="s">
        <v>1375</v>
      </c>
      <c r="C1349" s="95" t="s">
        <v>1332</v>
      </c>
      <c r="D1349" t="s">
        <v>369</v>
      </c>
      <c r="E1349" t="s">
        <v>64</v>
      </c>
      <c r="F1349" t="s">
        <v>62</v>
      </c>
      <c r="G1349" t="s">
        <v>1174</v>
      </c>
      <c r="H1349" t="s">
        <v>1301</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25">
      <c r="A1350" s="95" t="str">
        <f t="shared" si="514"/>
        <v>FSFAGSPQNIBDDSCM MM Volatilisation</v>
      </c>
      <c r="B1350" s="95" t="s">
        <v>1375</v>
      </c>
      <c r="C1350" s="95" t="s">
        <v>1332</v>
      </c>
      <c r="D1350" t="s">
        <v>369</v>
      </c>
      <c r="E1350" t="s">
        <v>64</v>
      </c>
      <c r="F1350" t="s">
        <v>62</v>
      </c>
      <c r="G1350" t="s">
        <v>1176</v>
      </c>
      <c r="H1350" t="s">
        <v>1302</v>
      </c>
      <c r="I1350" t="s">
        <v>139</v>
      </c>
      <c r="J1350" t="s">
        <v>287</v>
      </c>
      <c r="K1350" s="27">
        <f t="shared" ref="K1350:AW1350" si="526">IFERROR(K1543-((K1543-K134)+(K1543-K287)+(K1543-K440)+(K1543-K592)+(K1543-K744)+(K1543-K895)+(K1543-K1046)+(K1543-K1197)),0)</f>
        <v>0.13075625264316332</v>
      </c>
      <c r="L1350" s="27">
        <f t="shared" si="526"/>
        <v>0.13004550543955865</v>
      </c>
      <c r="M1350" s="27">
        <f t="shared" si="526"/>
        <v>0.13010384136507711</v>
      </c>
      <c r="N1350" s="27">
        <f t="shared" si="526"/>
        <v>0.1289093884029483</v>
      </c>
      <c r="O1350" s="27">
        <f t="shared" si="526"/>
        <v>0.12695857121838472</v>
      </c>
      <c r="P1350" s="27">
        <f t="shared" si="526"/>
        <v>0.12428257569245393</v>
      </c>
      <c r="Q1350" s="27">
        <f t="shared" si="526"/>
        <v>0.12233950618032063</v>
      </c>
      <c r="R1350" s="27">
        <f t="shared" si="526"/>
        <v>0.1205683722616282</v>
      </c>
      <c r="S1350" s="27">
        <f t="shared" si="526"/>
        <v>0.10847829407061217</v>
      </c>
      <c r="T1350" s="27">
        <f t="shared" si="526"/>
        <v>0.1123518575177655</v>
      </c>
      <c r="U1350" s="27">
        <f t="shared" si="526"/>
        <v>0.35913477358816853</v>
      </c>
      <c r="V1350" s="27">
        <f t="shared" si="526"/>
        <v>0.36011925097262676</v>
      </c>
      <c r="W1350" s="27">
        <f t="shared" si="526"/>
        <v>0.36048284734734032</v>
      </c>
      <c r="X1350" s="27">
        <f t="shared" si="526"/>
        <v>0.36024196834078215</v>
      </c>
      <c r="Y1350" s="27">
        <f t="shared" si="526"/>
        <v>0.35943295375101947</v>
      </c>
      <c r="Z1350" s="27">
        <f t="shared" si="526"/>
        <v>0.35804837226792258</v>
      </c>
      <c r="AA1350" s="27">
        <f t="shared" si="526"/>
        <v>0.35608623415272644</v>
      </c>
      <c r="AB1350" s="27">
        <f t="shared" si="526"/>
        <v>0.35354672339575033</v>
      </c>
      <c r="AC1350" s="27">
        <f t="shared" si="526"/>
        <v>0.350433097152205</v>
      </c>
      <c r="AD1350" s="27">
        <f t="shared" si="526"/>
        <v>0.34675336928081568</v>
      </c>
      <c r="AE1350" s="27">
        <f t="shared" si="526"/>
        <v>0.34251767477610762</v>
      </c>
      <c r="AF1350" s="27">
        <f t="shared" si="526"/>
        <v>0.33774033524299119</v>
      </c>
      <c r="AG1350" s="27">
        <f t="shared" si="526"/>
        <v>0.33243970303339465</v>
      </c>
      <c r="AH1350" s="27">
        <f t="shared" si="526"/>
        <v>0.32663565742792322</v>
      </c>
      <c r="AI1350" s="27">
        <f t="shared" si="526"/>
        <v>0.32035050647820129</v>
      </c>
      <c r="AJ1350" s="27">
        <f t="shared" si="526"/>
        <v>-2.9850992029554574E-2</v>
      </c>
      <c r="AK1350" s="27">
        <f t="shared" si="526"/>
        <v>-2.9527827789556205E-2</v>
      </c>
      <c r="AL1350" s="27">
        <f t="shared" si="526"/>
        <v>-2.9203518600220937E-2</v>
      </c>
      <c r="AM1350" s="27">
        <f t="shared" si="526"/>
        <v>-2.8878400916482732E-2</v>
      </c>
      <c r="AN1350" s="27">
        <f t="shared" si="526"/>
        <v>-2.8552846585961845E-2</v>
      </c>
      <c r="AO1350" s="27">
        <f t="shared" si="526"/>
        <v>-2.8225992627032188E-2</v>
      </c>
      <c r="AP1350" s="27">
        <f t="shared" si="526"/>
        <v>-2.7897329553488923E-2</v>
      </c>
      <c r="AQ1350" s="27">
        <f t="shared" si="526"/>
        <v>-2.756688911429131E-2</v>
      </c>
      <c r="AR1350" s="27">
        <f t="shared" si="526"/>
        <v>-2.7234123713642547E-2</v>
      </c>
      <c r="AS1350" s="27">
        <f t="shared" si="526"/>
        <v>-2.6898465289903917E-2</v>
      </c>
      <c r="AT1350" s="27">
        <f t="shared" si="526"/>
        <v>-2.6560009108900318E-2</v>
      </c>
      <c r="AU1350" s="27">
        <f t="shared" si="526"/>
        <v>-2.6219036811035483E-2</v>
      </c>
      <c r="AV1350" s="27">
        <f t="shared" si="526"/>
        <v>-2.5875789307707536E-2</v>
      </c>
      <c r="AW1350" s="27">
        <f t="shared" si="526"/>
        <v>-2.5529791390037318E-2</v>
      </c>
      <c r="AY1350" s="79"/>
      <c r="AZ1350" s="79"/>
    </row>
    <row r="1351" spans="1:52" x14ac:dyDescent="0.25">
      <c r="A1351" s="95" t="str">
        <f t="shared" si="514"/>
        <v>FSFAGSPQNIBDDSCM MM Volatilisation</v>
      </c>
      <c r="B1351" s="95" t="s">
        <v>1375</v>
      </c>
      <c r="C1351" s="95" t="s">
        <v>1332</v>
      </c>
      <c r="D1351" t="s">
        <v>369</v>
      </c>
      <c r="E1351" t="s">
        <v>64</v>
      </c>
      <c r="F1351" t="s">
        <v>62</v>
      </c>
      <c r="G1351" t="s">
        <v>1178</v>
      </c>
      <c r="H1351" t="s">
        <v>1303</v>
      </c>
      <c r="I1351" t="s">
        <v>139</v>
      </c>
      <c r="J1351" t="s">
        <v>287</v>
      </c>
      <c r="K1351" s="27">
        <f t="shared" ref="K1351:AW1351" si="527">IFERROR(K1544-((K1544-K135)+(K1544-K288)+(K1544-K441)+(K1544-K593)+(K1544-K745)+(K1544-K896)+(K1544-K1047)+(K1544-K1198)),0)</f>
        <v>1.2724633182830876E-2</v>
      </c>
      <c r="L1351" s="27">
        <f t="shared" si="527"/>
        <v>1.2655466337890211E-2</v>
      </c>
      <c r="M1351" s="27">
        <f t="shared" si="527"/>
        <v>1.2661143337946407E-2</v>
      </c>
      <c r="N1351" s="27">
        <f t="shared" si="527"/>
        <v>1.2544904339887072E-2</v>
      </c>
      <c r="O1351" s="27">
        <f t="shared" si="527"/>
        <v>1.2355059245839611E-2</v>
      </c>
      <c r="P1351" s="27">
        <f t="shared" si="527"/>
        <v>1.2094642930917438E-2</v>
      </c>
      <c r="Q1351" s="27">
        <f t="shared" si="527"/>
        <v>1.1905551806853844E-2</v>
      </c>
      <c r="R1351" s="27">
        <f t="shared" si="527"/>
        <v>1.1733192711380723E-2</v>
      </c>
      <c r="S1351" s="27">
        <f t="shared" si="527"/>
        <v>1.0556638573260382E-2</v>
      </c>
      <c r="T1351" s="27">
        <f t="shared" si="527"/>
        <v>1.0933597020593381E-2</v>
      </c>
      <c r="U1351" s="27">
        <f t="shared" si="527"/>
        <v>3.4949443447111525E-2</v>
      </c>
      <c r="V1351" s="27">
        <f t="shared" si="527"/>
        <v>3.504524852978097E-2</v>
      </c>
      <c r="W1351" s="27">
        <f t="shared" si="527"/>
        <v>3.5080632156959869E-2</v>
      </c>
      <c r="X1351" s="27">
        <f t="shared" si="527"/>
        <v>3.5057190853481544E-2</v>
      </c>
      <c r="Y1351" s="27">
        <f t="shared" si="527"/>
        <v>3.4978461051378834E-2</v>
      </c>
      <c r="Z1351" s="27">
        <f t="shared" si="527"/>
        <v>3.484371956767917E-2</v>
      </c>
      <c r="AA1351" s="27">
        <f t="shared" si="527"/>
        <v>3.465277276960857E-2</v>
      </c>
      <c r="AB1351" s="27">
        <f t="shared" si="527"/>
        <v>3.4405638562309424E-2</v>
      </c>
      <c r="AC1351" s="27">
        <f t="shared" si="527"/>
        <v>3.4102633918044564E-2</v>
      </c>
      <c r="AD1351" s="27">
        <f t="shared" si="527"/>
        <v>3.3744538710897186E-2</v>
      </c>
      <c r="AE1351" s="27">
        <f t="shared" si="527"/>
        <v>3.3332339234715881E-2</v>
      </c>
      <c r="AF1351" s="27">
        <f t="shared" si="527"/>
        <v>3.2867429206171077E-2</v>
      </c>
      <c r="AG1351" s="27">
        <f t="shared" si="527"/>
        <v>3.2351594596806102E-2</v>
      </c>
      <c r="AH1351" s="27">
        <f t="shared" si="527"/>
        <v>3.1786769972261424E-2</v>
      </c>
      <c r="AI1351" s="27">
        <f t="shared" si="527"/>
        <v>3.117512625567229E-2</v>
      </c>
      <c r="AJ1351" s="27">
        <f t="shared" si="527"/>
        <v>-2.9049694836107746E-3</v>
      </c>
      <c r="AK1351" s="27">
        <f t="shared" si="527"/>
        <v>-2.8735205369740911E-3</v>
      </c>
      <c r="AL1351" s="27">
        <f t="shared" si="527"/>
        <v>-2.8419601688181263E-3</v>
      </c>
      <c r="AM1351" s="27">
        <f t="shared" si="527"/>
        <v>-2.8103211214823929E-3</v>
      </c>
      <c r="AN1351" s="27">
        <f t="shared" si="527"/>
        <v>-2.7786395815696092E-3</v>
      </c>
      <c r="AO1351" s="27">
        <f t="shared" si="527"/>
        <v>-2.7468315674390254E-3</v>
      </c>
      <c r="AP1351" s="27">
        <f t="shared" si="527"/>
        <v>-2.714847498095948E-3</v>
      </c>
      <c r="AQ1351" s="27">
        <f t="shared" si="527"/>
        <v>-2.6826904632118271E-3</v>
      </c>
      <c r="AR1351" s="27">
        <f t="shared" si="527"/>
        <v>-2.6503071731312461E-3</v>
      </c>
      <c r="AS1351" s="27">
        <f t="shared" si="527"/>
        <v>-2.61764234655154E-3</v>
      </c>
      <c r="AT1351" s="27">
        <f t="shared" si="527"/>
        <v>-2.5847052543309036E-3</v>
      </c>
      <c r="AU1351" s="27">
        <f t="shared" si="527"/>
        <v>-2.5515233044957585E-3</v>
      </c>
      <c r="AV1351" s="27">
        <f t="shared" si="527"/>
        <v>-2.5181199415017898E-3</v>
      </c>
      <c r="AW1351" s="27">
        <f t="shared" si="527"/>
        <v>-2.4844489200754436E-3</v>
      </c>
      <c r="AY1351" s="79"/>
      <c r="AZ1351" s="79"/>
    </row>
    <row r="1352" spans="1:52" x14ac:dyDescent="0.25">
      <c r="A1352" s="95" t="str">
        <f t="shared" si="514"/>
        <v>FSFAGSPQNIBDDSCM MM Volatilisation</v>
      </c>
      <c r="B1352" s="95" t="s">
        <v>1375</v>
      </c>
      <c r="C1352" s="95" t="s">
        <v>1332</v>
      </c>
      <c r="D1352" t="s">
        <v>369</v>
      </c>
      <c r="E1352" t="s">
        <v>64</v>
      </c>
      <c r="F1352" t="s">
        <v>62</v>
      </c>
      <c r="G1352" t="s">
        <v>1180</v>
      </c>
      <c r="H1352" t="s">
        <v>1304</v>
      </c>
      <c r="I1352" t="s">
        <v>139</v>
      </c>
      <c r="J1352" t="s">
        <v>287</v>
      </c>
      <c r="K1352" s="27">
        <f t="shared" ref="K1352:AW1352" si="528">IFERROR(K1545-((K1545-K136)+(K1545-K289)+(K1545-K442)+(K1545-K594)+(K1545-K746)+(K1545-K897)+(K1545-K1048)+(K1545-K1199)),0)</f>
        <v>6.4453339767617121E-2</v>
      </c>
      <c r="L1352" s="27">
        <f t="shared" si="528"/>
        <v>6.5763803942104557E-2</v>
      </c>
      <c r="M1352" s="27">
        <f t="shared" si="528"/>
        <v>6.7295612361813625E-2</v>
      </c>
      <c r="N1352" s="27">
        <f t="shared" si="528"/>
        <v>6.8471619369899747E-2</v>
      </c>
      <c r="O1352" s="27">
        <f t="shared" si="528"/>
        <v>6.94156577655035E-2</v>
      </c>
      <c r="P1352" s="27">
        <f t="shared" si="528"/>
        <v>7.0122113289878357E-2</v>
      </c>
      <c r="Q1352" s="27">
        <f t="shared" si="528"/>
        <v>7.1027984276732931E-2</v>
      </c>
      <c r="R1352" s="27">
        <f t="shared" si="528"/>
        <v>7.1969839340941866E-2</v>
      </c>
      <c r="S1352" s="27">
        <f t="shared" si="528"/>
        <v>6.9132641817907584E-2</v>
      </c>
      <c r="T1352" s="27">
        <f t="shared" si="528"/>
        <v>7.1668538235416565E-2</v>
      </c>
      <c r="U1352" s="27">
        <f t="shared" si="528"/>
        <v>0.15927878056001546</v>
      </c>
      <c r="V1352" s="27">
        <f t="shared" si="528"/>
        <v>0.16278043280676852</v>
      </c>
      <c r="W1352" s="27">
        <f t="shared" si="528"/>
        <v>0.1661384841502746</v>
      </c>
      <c r="X1352" s="27">
        <f t="shared" si="528"/>
        <v>0.16932327786154089</v>
      </c>
      <c r="Y1352" s="27">
        <f t="shared" si="528"/>
        <v>0.17229459764803176</v>
      </c>
      <c r="Z1352" s="27">
        <f t="shared" si="528"/>
        <v>0.17503945749810612</v>
      </c>
      <c r="AA1352" s="27">
        <f t="shared" si="528"/>
        <v>0.17754464171079537</v>
      </c>
      <c r="AB1352" s="27">
        <f t="shared" si="528"/>
        <v>0.17979875003476928</v>
      </c>
      <c r="AC1352" s="27">
        <f t="shared" si="528"/>
        <v>0.18179177836428806</v>
      </c>
      <c r="AD1352" s="27">
        <f t="shared" si="528"/>
        <v>0.18351408832752805</v>
      </c>
      <c r="AE1352" s="27">
        <f t="shared" si="528"/>
        <v>0.18495811914653704</v>
      </c>
      <c r="AF1352" s="27">
        <f t="shared" si="528"/>
        <v>0.18611704996451123</v>
      </c>
      <c r="AG1352" s="27">
        <f t="shared" si="528"/>
        <v>0.18698481434150752</v>
      </c>
      <c r="AH1352" s="27">
        <f t="shared" si="528"/>
        <v>0.18755776005425462</v>
      </c>
      <c r="AI1352" s="27">
        <f t="shared" si="528"/>
        <v>0.18783399692655736</v>
      </c>
      <c r="AJ1352" s="27">
        <f t="shared" si="528"/>
        <v>2.4486671101770791E-2</v>
      </c>
      <c r="AK1352" s="27">
        <f t="shared" si="528"/>
        <v>2.4666387221284058E-2</v>
      </c>
      <c r="AL1352" s="27">
        <f t="shared" si="528"/>
        <v>2.4841648409900843E-2</v>
      </c>
      <c r="AM1352" s="27">
        <f t="shared" si="528"/>
        <v>2.5012718687706617E-2</v>
      </c>
      <c r="AN1352" s="27">
        <f t="shared" si="528"/>
        <v>2.5179902406593305E-2</v>
      </c>
      <c r="AO1352" s="27">
        <f t="shared" si="528"/>
        <v>2.5342514084649829E-2</v>
      </c>
      <c r="AP1352" s="27">
        <f t="shared" si="528"/>
        <v>2.5500102306234843E-2</v>
      </c>
      <c r="AQ1352" s="27">
        <f t="shared" si="528"/>
        <v>2.5652633826306989E-2</v>
      </c>
      <c r="AR1352" s="27">
        <f t="shared" si="528"/>
        <v>2.5799570928013445E-2</v>
      </c>
      <c r="AS1352" s="27">
        <f t="shared" si="528"/>
        <v>2.5940314994938186E-2</v>
      </c>
      <c r="AT1352" s="27">
        <f t="shared" si="528"/>
        <v>2.6074813676088864E-2</v>
      </c>
      <c r="AU1352" s="27">
        <f t="shared" si="528"/>
        <v>2.6203180413111957E-2</v>
      </c>
      <c r="AV1352" s="27">
        <f t="shared" si="528"/>
        <v>2.6325499899042631E-2</v>
      </c>
      <c r="AW1352" s="27">
        <f t="shared" si="528"/>
        <v>2.6441188397219272E-2</v>
      </c>
      <c r="AY1352" s="79"/>
      <c r="AZ1352" s="79"/>
    </row>
    <row r="1353" spans="1:52" x14ac:dyDescent="0.25">
      <c r="A1353" s="95" t="str">
        <f t="shared" si="514"/>
        <v>FSFAGSPQNIBDDSCM MM Volatilisation</v>
      </c>
      <c r="B1353" s="95" t="s">
        <v>1375</v>
      </c>
      <c r="C1353" s="95" t="s">
        <v>1332</v>
      </c>
      <c r="D1353" t="s">
        <v>369</v>
      </c>
      <c r="E1353" t="s">
        <v>64</v>
      </c>
      <c r="F1353" t="s">
        <v>62</v>
      </c>
      <c r="G1353" t="s">
        <v>1182</v>
      </c>
      <c r="H1353" t="s">
        <v>1305</v>
      </c>
      <c r="I1353" t="s">
        <v>139</v>
      </c>
      <c r="J1353" t="s">
        <v>287</v>
      </c>
      <c r="K1353" s="27">
        <f t="shared" ref="K1353:AW1353" si="529">IFERROR(K1546-((K1546-K137)+(K1546-K290)+(K1546-K443)+(K1546-K595)+(K1546-K747)+(K1546-K898)+(K1546-K1049)+(K1546-K1200)),0)</f>
        <v>0.31034319165291735</v>
      </c>
      <c r="L1353" s="27">
        <f t="shared" si="529"/>
        <v>0.31442985679016994</v>
      </c>
      <c r="M1353" s="27">
        <f t="shared" si="529"/>
        <v>0.32099421325528482</v>
      </c>
      <c r="N1353" s="27">
        <f t="shared" si="529"/>
        <v>0.32287903178152921</v>
      </c>
      <c r="O1353" s="27">
        <f t="shared" si="529"/>
        <v>0.32172327535887091</v>
      </c>
      <c r="P1353" s="27">
        <f t="shared" si="529"/>
        <v>0.31753924052538912</v>
      </c>
      <c r="Q1353" s="27">
        <f t="shared" si="529"/>
        <v>0.31577785743754255</v>
      </c>
      <c r="R1353" s="27">
        <f t="shared" si="529"/>
        <v>0.31441607582114939</v>
      </c>
      <c r="S1353" s="27">
        <f t="shared" si="529"/>
        <v>0.27420619396536416</v>
      </c>
      <c r="T1353" s="27">
        <f t="shared" si="529"/>
        <v>0.29495818532939488</v>
      </c>
      <c r="U1353" s="27">
        <f t="shared" si="529"/>
        <v>1.2825520746937493</v>
      </c>
      <c r="V1353" s="27">
        <f t="shared" si="529"/>
        <v>1.3055461044676304</v>
      </c>
      <c r="W1353" s="27">
        <f t="shared" si="529"/>
        <v>1.3259738285316456</v>
      </c>
      <c r="X1353" s="27">
        <f t="shared" si="529"/>
        <v>1.3439224713343889</v>
      </c>
      <c r="Y1353" s="27">
        <f t="shared" si="529"/>
        <v>1.3596359578831905</v>
      </c>
      <c r="Z1353" s="27">
        <f t="shared" si="529"/>
        <v>1.3729964225138076</v>
      </c>
      <c r="AA1353" s="27">
        <f t="shared" si="529"/>
        <v>1.3839133762561158</v>
      </c>
      <c r="AB1353" s="27">
        <f t="shared" si="529"/>
        <v>1.392297876830487</v>
      </c>
      <c r="AC1353" s="27">
        <f t="shared" si="529"/>
        <v>1.3980705991762232</v>
      </c>
      <c r="AD1353" s="27">
        <f t="shared" si="529"/>
        <v>1.4011774518837516</v>
      </c>
      <c r="AE1353" s="27">
        <f t="shared" si="529"/>
        <v>1.4015682854114344</v>
      </c>
      <c r="AF1353" s="27">
        <f t="shared" si="529"/>
        <v>1.3992160776881843</v>
      </c>
      <c r="AG1353" s="27">
        <f t="shared" si="529"/>
        <v>1.3941175452078094</v>
      </c>
      <c r="AH1353" s="27">
        <f t="shared" si="529"/>
        <v>1.3862722906542229</v>
      </c>
      <c r="AI1353" s="27">
        <f t="shared" si="529"/>
        <v>1.3756920657497529</v>
      </c>
      <c r="AJ1353" s="27">
        <f t="shared" si="529"/>
        <v>-0.29376675967597721</v>
      </c>
      <c r="AK1353" s="27">
        <f t="shared" si="529"/>
        <v>-0.29418248669382474</v>
      </c>
      <c r="AL1353" s="27">
        <f t="shared" si="529"/>
        <v>-0.29455892044172599</v>
      </c>
      <c r="AM1353" s="27">
        <f t="shared" si="529"/>
        <v>-0.29489926202307742</v>
      </c>
      <c r="AN1353" s="27">
        <f t="shared" si="529"/>
        <v>-0.2952071711728716</v>
      </c>
      <c r="AO1353" s="27">
        <f t="shared" si="529"/>
        <v>-0.29547405449445624</v>
      </c>
      <c r="AP1353" s="27">
        <f t="shared" si="529"/>
        <v>-0.29569441698810944</v>
      </c>
      <c r="AQ1353" s="27">
        <f t="shared" si="529"/>
        <v>-0.29586800918156786</v>
      </c>
      <c r="AR1353" s="27">
        <f t="shared" si="529"/>
        <v>-0.29598849617700645</v>
      </c>
      <c r="AS1353" s="27">
        <f t="shared" si="529"/>
        <v>-0.29604896826052718</v>
      </c>
      <c r="AT1353" s="27">
        <f t="shared" si="529"/>
        <v>-0.29604922742667927</v>
      </c>
      <c r="AU1353" s="27">
        <f t="shared" si="529"/>
        <v>-0.29599106772821226</v>
      </c>
      <c r="AV1353" s="27">
        <f t="shared" si="529"/>
        <v>-0.29587591492784127</v>
      </c>
      <c r="AW1353" s="27">
        <f t="shared" si="529"/>
        <v>-0.29569729144234697</v>
      </c>
      <c r="AY1353" s="79"/>
      <c r="AZ1353" s="79"/>
    </row>
    <row r="1354" spans="1:52" x14ac:dyDescent="0.25">
      <c r="A1354" s="95" t="str">
        <f t="shared" si="514"/>
        <v>FSFAGSPQNIBDDSCM MM Leaching</v>
      </c>
      <c r="B1354" s="95" t="s">
        <v>1375</v>
      </c>
      <c r="C1354" s="95" t="s">
        <v>1333</v>
      </c>
      <c r="D1354" t="s">
        <v>369</v>
      </c>
      <c r="E1354" t="s">
        <v>64</v>
      </c>
      <c r="F1354" t="s">
        <v>63</v>
      </c>
      <c r="G1354" t="s">
        <v>1152</v>
      </c>
      <c r="H1354" t="s">
        <v>1306</v>
      </c>
      <c r="I1354" t="s">
        <v>139</v>
      </c>
      <c r="J1354" t="s">
        <v>287</v>
      </c>
      <c r="K1354" s="27">
        <f t="shared" ref="K1354:AW1354" si="530">IFERROR(K1547-((K1547-K138)+(K1547-K291)+(K1547-K444)+(K1547-K596)+(K1547-K748)+(K1547-K899)+(K1547-K1050)+(K1547-K1201)),0)</f>
        <v>8.9211118607918846E-2</v>
      </c>
      <c r="L1354" s="27">
        <f t="shared" si="530"/>
        <v>8.9709854381943815E-2</v>
      </c>
      <c r="M1354" s="27">
        <f t="shared" si="530"/>
        <v>9.0417475033143083E-2</v>
      </c>
      <c r="N1354" s="27">
        <f t="shared" si="530"/>
        <v>9.0872196678668984E-2</v>
      </c>
      <c r="O1354" s="27">
        <f t="shared" si="530"/>
        <v>9.1174361291842948E-2</v>
      </c>
      <c r="P1354" s="27">
        <f t="shared" si="530"/>
        <v>9.1320994898161756E-2</v>
      </c>
      <c r="Q1354" s="27">
        <f t="shared" si="530"/>
        <v>9.1644963105957017E-2</v>
      </c>
      <c r="R1354" s="27">
        <f t="shared" si="530"/>
        <v>9.2016609055475665E-2</v>
      </c>
      <c r="S1354" s="27">
        <f t="shared" si="530"/>
        <v>8.940199339516991E-2</v>
      </c>
      <c r="T1354" s="27">
        <f t="shared" si="530"/>
        <v>9.0940281304058526E-2</v>
      </c>
      <c r="U1354" s="27">
        <f t="shared" si="530"/>
        <v>0.1564700266780468</v>
      </c>
      <c r="V1354" s="27">
        <f t="shared" si="530"/>
        <v>0.15835619981688001</v>
      </c>
      <c r="W1354" s="27">
        <f t="shared" si="530"/>
        <v>0.16015964078695746</v>
      </c>
      <c r="X1354" s="27">
        <f t="shared" si="530"/>
        <v>0.161849673455432</v>
      </c>
      <c r="Y1354" s="27">
        <f t="shared" si="530"/>
        <v>0.16338116510403111</v>
      </c>
      <c r="Z1354" s="27">
        <f t="shared" si="530"/>
        <v>0.16474696363228722</v>
      </c>
      <c r="AA1354" s="27">
        <f t="shared" si="530"/>
        <v>0.16593911254285348</v>
      </c>
      <c r="AB1354" s="27">
        <f t="shared" si="530"/>
        <v>0.16695158994132034</v>
      </c>
      <c r="AC1354" s="27">
        <f t="shared" si="530"/>
        <v>0.16777962003810495</v>
      </c>
      <c r="AD1354" s="27">
        <f t="shared" si="530"/>
        <v>0.16841818240508855</v>
      </c>
      <c r="AE1354" s="27">
        <f t="shared" si="530"/>
        <v>0.16886427150805067</v>
      </c>
      <c r="AF1354" s="27">
        <f t="shared" si="530"/>
        <v>0.1691150043732032</v>
      </c>
      <c r="AG1354" s="27">
        <f t="shared" si="530"/>
        <v>0.16916759569059056</v>
      </c>
      <c r="AH1354" s="27">
        <f t="shared" si="530"/>
        <v>0.16902153680910736</v>
      </c>
      <c r="AI1354" s="27">
        <f t="shared" si="530"/>
        <v>0.16867765925493905</v>
      </c>
      <c r="AJ1354" s="27">
        <f t="shared" si="530"/>
        <v>5.3366694545987768E-2</v>
      </c>
      <c r="AK1354" s="27">
        <f t="shared" si="530"/>
        <v>5.3405651337415067E-2</v>
      </c>
      <c r="AL1354" s="27">
        <f t="shared" si="530"/>
        <v>5.344180376180914E-2</v>
      </c>
      <c r="AM1354" s="27">
        <f t="shared" si="530"/>
        <v>5.3475396377869022E-2</v>
      </c>
      <c r="AN1354" s="27">
        <f t="shared" si="530"/>
        <v>5.3506730430657977E-2</v>
      </c>
      <c r="AO1354" s="27">
        <f t="shared" si="530"/>
        <v>5.353482249647553E-2</v>
      </c>
      <c r="AP1354" s="27">
        <f t="shared" si="530"/>
        <v>5.3559012168450083E-2</v>
      </c>
      <c r="AQ1354" s="27">
        <f t="shared" si="530"/>
        <v>5.3579193542556233E-2</v>
      </c>
      <c r="AR1354" s="27">
        <f t="shared" si="530"/>
        <v>5.3594617293935103E-2</v>
      </c>
      <c r="AS1354" s="27">
        <f t="shared" si="530"/>
        <v>5.3604469890097345E-2</v>
      </c>
      <c r="AT1354" s="27">
        <f t="shared" si="530"/>
        <v>5.3608650848433942E-2</v>
      </c>
      <c r="AU1354" s="27">
        <f t="shared" si="530"/>
        <v>5.3607275721283966E-2</v>
      </c>
      <c r="AV1354" s="27">
        <f t="shared" si="530"/>
        <v>5.3600425093073278E-2</v>
      </c>
      <c r="AW1354" s="27">
        <f t="shared" si="530"/>
        <v>5.3587333792896791E-2</v>
      </c>
      <c r="AY1354" s="79"/>
      <c r="AZ1354" s="79"/>
    </row>
    <row r="1355" spans="1:52" x14ac:dyDescent="0.25">
      <c r="A1355" s="95" t="str">
        <f t="shared" si="514"/>
        <v>FSFAGSPQNIBDDSCM MM Leaching</v>
      </c>
      <c r="B1355" s="95" t="s">
        <v>1375</v>
      </c>
      <c r="C1355" s="95" t="s">
        <v>1333</v>
      </c>
      <c r="D1355" t="s">
        <v>369</v>
      </c>
      <c r="E1355" t="s">
        <v>64</v>
      </c>
      <c r="F1355" t="s">
        <v>63</v>
      </c>
      <c r="G1355" t="s">
        <v>1154</v>
      </c>
      <c r="H1355" t="s">
        <v>1307</v>
      </c>
      <c r="I1355" t="s">
        <v>139</v>
      </c>
      <c r="J1355" t="s">
        <v>287</v>
      </c>
      <c r="K1355" s="27">
        <f t="shared" ref="K1355:AW1355" si="531">IFERROR(K1548-((K1548-K139)+(K1548-K292)+(K1548-K445)+(K1548-K597)+(K1548-K749)+(K1548-K900)+(K1548-K1051)+(K1548-K1202)),0)</f>
        <v>2.6939494531157477E-2</v>
      </c>
      <c r="L1355" s="27">
        <f t="shared" si="531"/>
        <v>2.7090100081973278E-2</v>
      </c>
      <c r="M1355" s="27">
        <f t="shared" si="531"/>
        <v>2.730378356628085E-2</v>
      </c>
      <c r="N1355" s="27">
        <f t="shared" si="531"/>
        <v>2.7441097966929517E-2</v>
      </c>
      <c r="O1355" s="27">
        <f t="shared" si="531"/>
        <v>2.7532344014183842E-2</v>
      </c>
      <c r="P1355" s="27">
        <f t="shared" si="531"/>
        <v>2.757662364319367E-2</v>
      </c>
      <c r="Q1355" s="27">
        <f t="shared" si="531"/>
        <v>2.7674453822865853E-2</v>
      </c>
      <c r="R1355" s="27">
        <f t="shared" si="531"/>
        <v>2.7786681470952937E-2</v>
      </c>
      <c r="S1355" s="27">
        <f t="shared" si="531"/>
        <v>2.699713387440892E-2</v>
      </c>
      <c r="T1355" s="27">
        <f t="shared" si="531"/>
        <v>2.7461657796488435E-2</v>
      </c>
      <c r="U1355" s="27">
        <f t="shared" si="531"/>
        <v>4.7249978408062936E-2</v>
      </c>
      <c r="V1355" s="27">
        <f t="shared" si="531"/>
        <v>4.7819554843728261E-2</v>
      </c>
      <c r="W1355" s="27">
        <f t="shared" si="531"/>
        <v>4.8364148263346618E-2</v>
      </c>
      <c r="X1355" s="27">
        <f t="shared" si="531"/>
        <v>4.8874495253052513E-2</v>
      </c>
      <c r="Y1355" s="27">
        <f t="shared" si="531"/>
        <v>4.9336966876945901E-2</v>
      </c>
      <c r="Z1355" s="27">
        <f t="shared" si="531"/>
        <v>4.9749403382134544E-2</v>
      </c>
      <c r="AA1355" s="27">
        <f t="shared" si="531"/>
        <v>5.0109402108276212E-2</v>
      </c>
      <c r="AB1355" s="27">
        <f t="shared" si="531"/>
        <v>5.0415144596034883E-2</v>
      </c>
      <c r="AC1355" s="27">
        <f t="shared" si="531"/>
        <v>5.0665188678118429E-2</v>
      </c>
      <c r="AD1355" s="27">
        <f t="shared" si="531"/>
        <v>5.0858018312603365E-2</v>
      </c>
      <c r="AE1355" s="27">
        <f t="shared" si="531"/>
        <v>5.0992725904405595E-2</v>
      </c>
      <c r="AF1355" s="27">
        <f t="shared" si="531"/>
        <v>5.1068440868582254E-2</v>
      </c>
      <c r="AG1355" s="27">
        <f t="shared" si="531"/>
        <v>5.1084322112190127E-2</v>
      </c>
      <c r="AH1355" s="27">
        <f t="shared" si="531"/>
        <v>5.104021603549988E-2</v>
      </c>
      <c r="AI1355" s="27">
        <f t="shared" si="531"/>
        <v>5.0936373738323673E-2</v>
      </c>
      <c r="AJ1355" s="27">
        <f t="shared" si="531"/>
        <v>1.6115387838438942E-2</v>
      </c>
      <c r="AK1355" s="27">
        <f t="shared" si="531"/>
        <v>1.6127151801115156E-2</v>
      </c>
      <c r="AL1355" s="27">
        <f t="shared" si="531"/>
        <v>1.6138068916094209E-2</v>
      </c>
      <c r="AM1355" s="27">
        <f t="shared" si="531"/>
        <v>1.6148213033898736E-2</v>
      </c>
      <c r="AN1355" s="27">
        <f t="shared" si="531"/>
        <v>1.6157675122895256E-2</v>
      </c>
      <c r="AO1355" s="27">
        <f t="shared" si="531"/>
        <v>1.6166158214075712E-2</v>
      </c>
      <c r="AP1355" s="27">
        <f t="shared" si="531"/>
        <v>1.6173462881319406E-2</v>
      </c>
      <c r="AQ1355" s="27">
        <f t="shared" si="531"/>
        <v>1.617955714429747E-2</v>
      </c>
      <c r="AR1355" s="27">
        <f t="shared" si="531"/>
        <v>1.6184214725912905E-2</v>
      </c>
      <c r="AS1355" s="27">
        <f t="shared" si="531"/>
        <v>1.618718995999328E-2</v>
      </c>
      <c r="AT1355" s="27">
        <f t="shared" si="531"/>
        <v>1.618845250333991E-2</v>
      </c>
      <c r="AU1355" s="27">
        <f t="shared" si="531"/>
        <v>1.6188037249827626E-2</v>
      </c>
      <c r="AV1355" s="27">
        <f t="shared" si="531"/>
        <v>1.6185968533908621E-2</v>
      </c>
      <c r="AW1355" s="27">
        <f t="shared" si="531"/>
        <v>1.6182015293381945E-2</v>
      </c>
      <c r="AY1355" s="79"/>
      <c r="AZ1355" s="79"/>
    </row>
    <row r="1356" spans="1:52" x14ac:dyDescent="0.25">
      <c r="A1356" s="95" t="str">
        <f t="shared" si="514"/>
        <v>FSFAGSPQNIBDDSCM MM Leaching</v>
      </c>
      <c r="B1356" s="95" t="s">
        <v>1375</v>
      </c>
      <c r="C1356" s="95" t="s">
        <v>1333</v>
      </c>
      <c r="D1356" t="s">
        <v>369</v>
      </c>
      <c r="E1356" t="s">
        <v>64</v>
      </c>
      <c r="F1356" t="s">
        <v>63</v>
      </c>
      <c r="G1356" t="s">
        <v>1156</v>
      </c>
      <c r="H1356" t="s">
        <v>1308</v>
      </c>
      <c r="I1356" t="s">
        <v>139</v>
      </c>
      <c r="J1356" t="s">
        <v>287</v>
      </c>
      <c r="K1356" s="27">
        <f t="shared" ref="K1356:AW1356" si="532">IFERROR(K1549-((K1549-K140)+(K1549-K293)+(K1549-K446)+(K1549-K598)+(K1549-K750)+(K1549-K901)+(K1549-K1052)+(K1549-K1203)),0)</f>
        <v>1.4483668498503175E-3</v>
      </c>
      <c r="L1356" s="27">
        <f t="shared" si="532"/>
        <v>1.4564639612104711E-3</v>
      </c>
      <c r="M1356" s="27">
        <f t="shared" si="532"/>
        <v>1.4679523755410987E-3</v>
      </c>
      <c r="N1356" s="27">
        <f t="shared" si="532"/>
        <v>1.4753349055168039E-3</v>
      </c>
      <c r="O1356" s="27">
        <f t="shared" si="532"/>
        <v>1.4802406304505133E-3</v>
      </c>
      <c r="P1356" s="27">
        <f t="shared" si="532"/>
        <v>1.4826212670547866E-3</v>
      </c>
      <c r="Q1356" s="27">
        <f t="shared" si="532"/>
        <v>1.4878809792957942E-3</v>
      </c>
      <c r="R1356" s="27">
        <f t="shared" si="532"/>
        <v>1.4939147526814829E-3</v>
      </c>
      <c r="S1356" s="27">
        <f t="shared" si="532"/>
        <v>1.4514657540972396E-3</v>
      </c>
      <c r="T1356" s="27">
        <f t="shared" si="532"/>
        <v>1.476440277985364E-3</v>
      </c>
      <c r="U1356" s="27">
        <f t="shared" si="532"/>
        <v>2.5403335724518226E-3</v>
      </c>
      <c r="V1356" s="27">
        <f t="shared" si="532"/>
        <v>2.5709561079607732E-3</v>
      </c>
      <c r="W1356" s="27">
        <f t="shared" si="532"/>
        <v>2.6002354641383586E-3</v>
      </c>
      <c r="X1356" s="27">
        <f t="shared" si="532"/>
        <v>2.6276736055985106E-3</v>
      </c>
      <c r="Y1356" s="27">
        <f t="shared" si="532"/>
        <v>2.6525377903466292E-3</v>
      </c>
      <c r="Z1356" s="27">
        <f t="shared" si="532"/>
        <v>2.6747119020803316E-3</v>
      </c>
      <c r="AA1356" s="27">
        <f t="shared" si="532"/>
        <v>2.6940667648944388E-3</v>
      </c>
      <c r="AB1356" s="27">
        <f t="shared" si="532"/>
        <v>2.7105046116902751E-3</v>
      </c>
      <c r="AC1356" s="27">
        <f t="shared" si="532"/>
        <v>2.7239479062209941E-3</v>
      </c>
      <c r="AD1356" s="27">
        <f t="shared" si="532"/>
        <v>2.7343151404663774E-3</v>
      </c>
      <c r="AE1356" s="27">
        <f t="shared" si="532"/>
        <v>2.741557518758363E-3</v>
      </c>
      <c r="AF1356" s="27">
        <f t="shared" si="532"/>
        <v>2.7456282352309475E-3</v>
      </c>
      <c r="AG1356" s="27">
        <f t="shared" si="532"/>
        <v>2.7464820696170918E-3</v>
      </c>
      <c r="AH1356" s="27">
        <f t="shared" si="532"/>
        <v>2.7441107638273262E-3</v>
      </c>
      <c r="AI1356" s="27">
        <f t="shared" si="532"/>
        <v>2.738527817916133E-3</v>
      </c>
      <c r="AJ1356" s="27">
        <f t="shared" si="532"/>
        <v>8.664228458585355E-4</v>
      </c>
      <c r="AK1356" s="27">
        <f t="shared" si="532"/>
        <v>8.6705531999584366E-4</v>
      </c>
      <c r="AL1356" s="27">
        <f t="shared" si="532"/>
        <v>8.6764226446925895E-4</v>
      </c>
      <c r="AM1356" s="27">
        <f t="shared" si="532"/>
        <v>8.6818764975598228E-4</v>
      </c>
      <c r="AN1356" s="27">
        <f t="shared" si="532"/>
        <v>8.6869636665180383E-4</v>
      </c>
      <c r="AO1356" s="27">
        <f t="shared" si="532"/>
        <v>8.691524490046414E-4</v>
      </c>
      <c r="AP1356" s="27">
        <f t="shared" si="532"/>
        <v>8.6954517492875681E-4</v>
      </c>
      <c r="AQ1356" s="27">
        <f t="shared" si="532"/>
        <v>8.6987282504340517E-4</v>
      </c>
      <c r="AR1356" s="27">
        <f t="shared" si="532"/>
        <v>8.7012323385506529E-4</v>
      </c>
      <c r="AS1356" s="27">
        <f t="shared" si="532"/>
        <v>8.7028319344181889E-4</v>
      </c>
      <c r="AT1356" s="27">
        <f t="shared" si="532"/>
        <v>8.7035107244109425E-4</v>
      </c>
      <c r="AU1356" s="27">
        <f t="shared" si="532"/>
        <v>8.7032874687664199E-4</v>
      </c>
      <c r="AV1356" s="27">
        <f t="shared" si="532"/>
        <v>8.7021752505860126E-4</v>
      </c>
      <c r="AW1356" s="27">
        <f t="shared" si="532"/>
        <v>8.7000498422856851E-4</v>
      </c>
      <c r="AY1356" s="79"/>
      <c r="AZ1356" s="79"/>
    </row>
    <row r="1357" spans="1:52" x14ac:dyDescent="0.25">
      <c r="A1357" s="95" t="str">
        <f t="shared" si="514"/>
        <v>FSFAGSPQNIBDDSCM MM Leaching</v>
      </c>
      <c r="B1357" s="95" t="s">
        <v>1375</v>
      </c>
      <c r="C1357" s="95" t="s">
        <v>1333</v>
      </c>
      <c r="D1357" t="s">
        <v>369</v>
      </c>
      <c r="E1357" t="s">
        <v>64</v>
      </c>
      <c r="F1357" t="s">
        <v>63</v>
      </c>
      <c r="G1357" t="s">
        <v>1158</v>
      </c>
      <c r="H1357" t="s">
        <v>1309</v>
      </c>
      <c r="I1357" t="s">
        <v>139</v>
      </c>
      <c r="J1357" t="s">
        <v>287</v>
      </c>
      <c r="K1357" s="27">
        <f t="shared" ref="K1357:AW1357" si="533">IFERROR(K1550-((K1550-K141)+(K1550-K294)+(K1550-K447)+(K1550-K599)+(K1550-K751)+(K1550-K902)+(K1550-K1053)+(K1550-K1204)),0)</f>
        <v>3.0303014392691133E-2</v>
      </c>
      <c r="L1357" s="27">
        <f t="shared" si="533"/>
        <v>3.0040206026371367E-2</v>
      </c>
      <c r="M1357" s="27">
        <f t="shared" si="533"/>
        <v>2.9940162837193193E-2</v>
      </c>
      <c r="N1357" s="27">
        <f t="shared" si="533"/>
        <v>2.9540351153331305E-2</v>
      </c>
      <c r="O1357" s="27">
        <f t="shared" si="533"/>
        <v>2.8960014730128859E-2</v>
      </c>
      <c r="P1357" s="27">
        <f t="shared" si="533"/>
        <v>2.8211154016296508E-2</v>
      </c>
      <c r="Q1357" s="27">
        <f t="shared" si="533"/>
        <v>2.7620505669412019E-2</v>
      </c>
      <c r="R1357" s="27">
        <f t="shared" si="533"/>
        <v>2.7061685185942382E-2</v>
      </c>
      <c r="S1357" s="27">
        <f t="shared" si="533"/>
        <v>2.4201772556346722E-2</v>
      </c>
      <c r="T1357" s="27">
        <f t="shared" si="533"/>
        <v>2.5134193306706524E-2</v>
      </c>
      <c r="U1357" s="27">
        <f t="shared" si="533"/>
        <v>7.9215327522416931E-2</v>
      </c>
      <c r="V1357" s="27">
        <f t="shared" si="533"/>
        <v>7.9597413086941654E-2</v>
      </c>
      <c r="W1357" s="27">
        <f t="shared" si="533"/>
        <v>7.9841946903631861E-2</v>
      </c>
      <c r="X1357" s="27">
        <f t="shared" si="533"/>
        <v>7.9948879165643486E-2</v>
      </c>
      <c r="Y1357" s="27">
        <f t="shared" si="533"/>
        <v>7.992047510263596E-2</v>
      </c>
      <c r="Z1357" s="27">
        <f t="shared" si="533"/>
        <v>7.9755373238701549E-2</v>
      </c>
      <c r="AA1357" s="27">
        <f t="shared" si="533"/>
        <v>7.9453169143115579E-2</v>
      </c>
      <c r="AB1357" s="27">
        <f t="shared" si="533"/>
        <v>7.9014112861708063E-2</v>
      </c>
      <c r="AC1357" s="27">
        <f t="shared" si="533"/>
        <v>7.8439191657390592E-2</v>
      </c>
      <c r="AD1357" s="27">
        <f t="shared" si="533"/>
        <v>7.7077087742293285E-2</v>
      </c>
      <c r="AE1357" s="27">
        <f t="shared" si="533"/>
        <v>7.5586682253877949E-2</v>
      </c>
      <c r="AF1357" s="27">
        <f t="shared" si="533"/>
        <v>7.3974671879861814E-2</v>
      </c>
      <c r="AG1357" s="27">
        <f t="shared" si="533"/>
        <v>7.2248514242158265E-2</v>
      </c>
      <c r="AH1357" s="27">
        <f t="shared" si="533"/>
        <v>7.0416148615651625E-2</v>
      </c>
      <c r="AI1357" s="27">
        <f t="shared" si="533"/>
        <v>6.8486029191241041E-2</v>
      </c>
      <c r="AJ1357" s="27">
        <f t="shared" si="533"/>
        <v>-5.2880249817764688E-3</v>
      </c>
      <c r="AK1357" s="27">
        <f t="shared" si="533"/>
        <v>-5.1607046214705845E-3</v>
      </c>
      <c r="AL1357" s="27">
        <f t="shared" si="533"/>
        <v>-5.0347089645398375E-3</v>
      </c>
      <c r="AM1357" s="27">
        <f t="shared" si="533"/>
        <v>-4.9100249979569036E-3</v>
      </c>
      <c r="AN1357" s="27">
        <f t="shared" si="533"/>
        <v>-4.8110666270887118E-3</v>
      </c>
      <c r="AO1357" s="27">
        <f t="shared" si="533"/>
        <v>-4.7130469845991819E-3</v>
      </c>
      <c r="AP1357" s="27">
        <f t="shared" si="533"/>
        <v>-4.6158931662269266E-3</v>
      </c>
      <c r="AQ1357" s="27">
        <f t="shared" si="533"/>
        <v>-4.5195811063585816E-3</v>
      </c>
      <c r="AR1357" s="27">
        <f t="shared" si="533"/>
        <v>-4.424040391221005E-3</v>
      </c>
      <c r="AS1357" s="27">
        <f t="shared" si="533"/>
        <v>-4.3292020646369571E-3</v>
      </c>
      <c r="AT1357" s="27">
        <f t="shared" si="533"/>
        <v>-4.2350550518406409E-3</v>
      </c>
      <c r="AU1357" s="27">
        <f t="shared" si="533"/>
        <v>-4.1416051693555066E-3</v>
      </c>
      <c r="AV1357" s="27">
        <f t="shared" si="533"/>
        <v>-4.0488559853117164E-3</v>
      </c>
      <c r="AW1357" s="27">
        <f t="shared" si="533"/>
        <v>-3.9567542281437719E-3</v>
      </c>
      <c r="AY1357" s="79"/>
      <c r="AZ1357" s="79"/>
    </row>
    <row r="1358" spans="1:52" x14ac:dyDescent="0.25">
      <c r="A1358" s="95" t="str">
        <f t="shared" si="514"/>
        <v>FSFAGSPQNIBDDSCM MM Leaching</v>
      </c>
      <c r="B1358" s="95" t="s">
        <v>1375</v>
      </c>
      <c r="C1358" s="95" t="s">
        <v>1333</v>
      </c>
      <c r="D1358" t="s">
        <v>369</v>
      </c>
      <c r="E1358" t="s">
        <v>64</v>
      </c>
      <c r="F1358" t="s">
        <v>63</v>
      </c>
      <c r="G1358" t="s">
        <v>1160</v>
      </c>
      <c r="H1358" t="s">
        <v>1310</v>
      </c>
      <c r="I1358" t="s">
        <v>139</v>
      </c>
      <c r="J1358" t="s">
        <v>287</v>
      </c>
      <c r="K1358" s="27">
        <f t="shared" ref="K1358:AW1358" si="534">IFERROR(K1551-((K1551-K142)+(K1551-K295)+(K1551-K448)+(K1551-K600)+(K1551-K752)+(K1551-K903)+(K1551-K1054)+(K1551-K1205)),0)</f>
        <v>4.0226293185258929E-2</v>
      </c>
      <c r="L1358" s="27">
        <f t="shared" si="534"/>
        <v>3.9877423391049029E-2</v>
      </c>
      <c r="M1358" s="27">
        <f t="shared" si="534"/>
        <v>3.9744619221572089E-2</v>
      </c>
      <c r="N1358" s="27">
        <f t="shared" si="534"/>
        <v>3.9213881856453726E-2</v>
      </c>
      <c r="O1358" s="27">
        <f t="shared" si="534"/>
        <v>3.8443503609481157E-2</v>
      </c>
      <c r="P1358" s="27">
        <f t="shared" si="534"/>
        <v>3.7449414696768615E-2</v>
      </c>
      <c r="Q1358" s="27">
        <f t="shared" si="534"/>
        <v>3.6665347697252743E-2</v>
      </c>
      <c r="R1358" s="27">
        <f t="shared" si="534"/>
        <v>3.5923531179771234E-2</v>
      </c>
      <c r="S1358" s="27">
        <f t="shared" si="534"/>
        <v>3.2127087617044768E-2</v>
      </c>
      <c r="T1358" s="27">
        <f t="shared" si="534"/>
        <v>3.336484667262702E-2</v>
      </c>
      <c r="U1358" s="27">
        <f t="shared" si="534"/>
        <v>0.10515584187068941</v>
      </c>
      <c r="V1358" s="27">
        <f t="shared" si="534"/>
        <v>0.1056630483730278</v>
      </c>
      <c r="W1358" s="27">
        <f t="shared" si="534"/>
        <v>0.10598765928059027</v>
      </c>
      <c r="X1358" s="27">
        <f t="shared" si="534"/>
        <v>0.10612960847636668</v>
      </c>
      <c r="Y1358" s="27">
        <f t="shared" si="534"/>
        <v>0.10609190298108537</v>
      </c>
      <c r="Z1358" s="27">
        <f t="shared" si="534"/>
        <v>0.10587273547853948</v>
      </c>
      <c r="AA1358" s="27">
        <f t="shared" si="534"/>
        <v>0.10547156909973328</v>
      </c>
      <c r="AB1358" s="27">
        <f t="shared" si="534"/>
        <v>0.10488873577259779</v>
      </c>
      <c r="AC1358" s="27">
        <f t="shared" si="534"/>
        <v>0.10412554605742294</v>
      </c>
      <c r="AD1358" s="27">
        <f t="shared" si="534"/>
        <v>0.10231739619063251</v>
      </c>
      <c r="AE1358" s="27">
        <f t="shared" si="534"/>
        <v>0.10033893004317308</v>
      </c>
      <c r="AF1358" s="27">
        <f t="shared" si="534"/>
        <v>9.8199037256187116E-2</v>
      </c>
      <c r="AG1358" s="27">
        <f t="shared" si="534"/>
        <v>9.5907617586895574E-2</v>
      </c>
      <c r="AH1358" s="27">
        <f t="shared" si="534"/>
        <v>9.3475210171604761E-2</v>
      </c>
      <c r="AI1358" s="27">
        <f t="shared" si="534"/>
        <v>9.091303768134483E-2</v>
      </c>
      <c r="AJ1358" s="27">
        <f t="shared" si="534"/>
        <v>-7.0196859141254189E-3</v>
      </c>
      <c r="AK1358" s="27">
        <f t="shared" si="534"/>
        <v>-6.8506721626963654E-3</v>
      </c>
      <c r="AL1358" s="27">
        <f t="shared" si="534"/>
        <v>-6.6834169131002059E-3</v>
      </c>
      <c r="AM1358" s="27">
        <f t="shared" si="534"/>
        <v>-6.5179028909547456E-3</v>
      </c>
      <c r="AN1358" s="27">
        <f t="shared" si="534"/>
        <v>-6.3865387834737544E-3</v>
      </c>
      <c r="AO1358" s="27">
        <f t="shared" si="534"/>
        <v>-6.2564208082254193E-3</v>
      </c>
      <c r="AP1358" s="27">
        <f t="shared" si="534"/>
        <v>-6.1274521871085615E-3</v>
      </c>
      <c r="AQ1358" s="27">
        <f t="shared" si="534"/>
        <v>-5.9996009737825779E-3</v>
      </c>
      <c r="AR1358" s="27">
        <f t="shared" si="534"/>
        <v>-5.872773696190668E-3</v>
      </c>
      <c r="AS1358" s="27">
        <f t="shared" si="534"/>
        <v>-5.7468788171884874E-3</v>
      </c>
      <c r="AT1358" s="27">
        <f t="shared" si="534"/>
        <v>-5.6219016353747063E-3</v>
      </c>
      <c r="AU1358" s="27">
        <f t="shared" si="534"/>
        <v>-5.4978498720002471E-3</v>
      </c>
      <c r="AV1358" s="27">
        <f t="shared" si="534"/>
        <v>-5.3747282636450412E-3</v>
      </c>
      <c r="AW1358" s="27">
        <f t="shared" si="534"/>
        <v>-5.2524660939907621E-3</v>
      </c>
      <c r="AY1358" s="79"/>
      <c r="AZ1358" s="79"/>
    </row>
    <row r="1359" spans="1:52" x14ac:dyDescent="0.25">
      <c r="A1359" s="95" t="str">
        <f t="shared" si="514"/>
        <v>FSFAGSPQNIBDDSCM MM Leaching</v>
      </c>
      <c r="B1359" s="95" t="s">
        <v>1375</v>
      </c>
      <c r="C1359" s="95" t="s">
        <v>1333</v>
      </c>
      <c r="D1359" t="s">
        <v>369</v>
      </c>
      <c r="E1359" t="s">
        <v>64</v>
      </c>
      <c r="F1359" t="s">
        <v>63</v>
      </c>
      <c r="G1359" t="s">
        <v>1162</v>
      </c>
      <c r="H1359" t="s">
        <v>1311</v>
      </c>
      <c r="I1359" t="s">
        <v>139</v>
      </c>
      <c r="J1359" t="s">
        <v>287</v>
      </c>
      <c r="K1359" s="27">
        <f t="shared" ref="K1359:AW1359" si="535">IFERROR(K1552-((K1552-K143)+(K1552-K296)+(K1552-K449)+(K1552-K601)+(K1552-K753)+(K1552-K904)+(K1552-K1055)+(K1552-K1206)),0)</f>
        <v>4.1968337096859203E-2</v>
      </c>
      <c r="L1359" s="27">
        <f t="shared" si="535"/>
        <v>4.3383434779753476E-2</v>
      </c>
      <c r="M1359" s="27">
        <f t="shared" si="535"/>
        <v>4.5063007666824861E-2</v>
      </c>
      <c r="N1359" s="27">
        <f t="shared" si="535"/>
        <v>4.6315596244033509E-2</v>
      </c>
      <c r="O1359" s="27">
        <f t="shared" si="535"/>
        <v>4.7281576900430194E-2</v>
      </c>
      <c r="P1359" s="27">
        <f t="shared" si="535"/>
        <v>4.7947144057730852E-2</v>
      </c>
      <c r="Q1359" s="27">
        <f t="shared" si="535"/>
        <v>4.8855920576585839E-2</v>
      </c>
      <c r="R1359" s="27">
        <f t="shared" si="535"/>
        <v>4.9808583705724517E-2</v>
      </c>
      <c r="S1359" s="27">
        <f t="shared" si="535"/>
        <v>4.6345052575542584E-2</v>
      </c>
      <c r="T1359" s="27">
        <f t="shared" si="535"/>
        <v>4.9290182096012818E-2</v>
      </c>
      <c r="U1359" s="27">
        <f t="shared" si="535"/>
        <v>0.1590390004544035</v>
      </c>
      <c r="V1359" s="27">
        <f t="shared" si="535"/>
        <v>0.16355513295491098</v>
      </c>
      <c r="W1359" s="27">
        <f t="shared" si="535"/>
        <v>0.16786105995970313</v>
      </c>
      <c r="X1359" s="27">
        <f t="shared" si="535"/>
        <v>0.17194023598803351</v>
      </c>
      <c r="Y1359" s="27">
        <f t="shared" si="535"/>
        <v>0.17578066999732156</v>
      </c>
      <c r="Z1359" s="27">
        <f t="shared" si="535"/>
        <v>0.17936210611821823</v>
      </c>
      <c r="AA1359" s="27">
        <f t="shared" si="535"/>
        <v>0.1826656381005505</v>
      </c>
      <c r="AB1359" s="27">
        <f t="shared" si="535"/>
        <v>0.18567320176806454</v>
      </c>
      <c r="AC1359" s="27">
        <f t="shared" si="535"/>
        <v>0.18836790776441609</v>
      </c>
      <c r="AD1359" s="27">
        <f t="shared" si="535"/>
        <v>0.19123519545806747</v>
      </c>
      <c r="AE1359" s="27">
        <f t="shared" si="535"/>
        <v>0.19376853499382182</v>
      </c>
      <c r="AF1359" s="27">
        <f t="shared" si="535"/>
        <v>0.19595309748984396</v>
      </c>
      <c r="AG1359" s="27">
        <f t="shared" si="535"/>
        <v>0.19777601067919534</v>
      </c>
      <c r="AH1359" s="27">
        <f t="shared" si="535"/>
        <v>0.19922591108684914</v>
      </c>
      <c r="AI1359" s="27">
        <f t="shared" si="535"/>
        <v>0.20029329073357882</v>
      </c>
      <c r="AJ1359" s="27">
        <f t="shared" si="535"/>
        <v>-1.5988935485228874E-2</v>
      </c>
      <c r="AK1359" s="27">
        <f t="shared" si="535"/>
        <v>-1.6135273009597623E-2</v>
      </c>
      <c r="AL1359" s="27">
        <f t="shared" si="535"/>
        <v>-1.6280642881338143E-2</v>
      </c>
      <c r="AM1359" s="27">
        <f t="shared" si="535"/>
        <v>-1.6425117505391919E-2</v>
      </c>
      <c r="AN1359" s="27">
        <f t="shared" si="535"/>
        <v>-1.6548178161071046E-2</v>
      </c>
      <c r="AO1359" s="27">
        <f t="shared" si="535"/>
        <v>-1.6670008309036564E-2</v>
      </c>
      <c r="AP1359" s="27">
        <f t="shared" si="535"/>
        <v>-1.6790421483448635E-2</v>
      </c>
      <c r="AQ1359" s="27">
        <f t="shared" si="535"/>
        <v>-1.6909384567907186E-2</v>
      </c>
      <c r="AR1359" s="27">
        <f t="shared" si="535"/>
        <v>-1.7026675592023126E-2</v>
      </c>
      <c r="AS1359" s="27">
        <f t="shared" si="535"/>
        <v>-1.7142046777220185E-2</v>
      </c>
      <c r="AT1359" s="27">
        <f t="shared" si="535"/>
        <v>-1.725545286501233E-2</v>
      </c>
      <c r="AU1359" s="27">
        <f t="shared" si="535"/>
        <v>-1.7366910999627443E-2</v>
      </c>
      <c r="AV1359" s="27">
        <f t="shared" si="535"/>
        <v>-1.7476428038790941E-2</v>
      </c>
      <c r="AW1359" s="27">
        <f t="shared" si="535"/>
        <v>-1.7583756727581886E-2</v>
      </c>
      <c r="AY1359" s="79"/>
      <c r="AZ1359" s="79"/>
    </row>
    <row r="1360" spans="1:52" x14ac:dyDescent="0.25">
      <c r="A1360" s="95" t="str">
        <f t="shared" si="514"/>
        <v>FSFAGSPQNIBDDSCM MM Leaching</v>
      </c>
      <c r="B1360" s="95" t="s">
        <v>1375</v>
      </c>
      <c r="C1360" s="95" t="s">
        <v>1333</v>
      </c>
      <c r="D1360" t="s">
        <v>369</v>
      </c>
      <c r="E1360" t="s">
        <v>64</v>
      </c>
      <c r="F1360" t="s">
        <v>63</v>
      </c>
      <c r="G1360" t="s">
        <v>1164</v>
      </c>
      <c r="H1360" t="s">
        <v>1312</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4.4583713438871775E-3</v>
      </c>
      <c r="T1360" s="27">
        <f t="shared" si="536"/>
        <v>4.4613385793898985E-3</v>
      </c>
      <c r="U1360" s="27">
        <f t="shared" si="536"/>
        <v>4.5194479058578802E-3</v>
      </c>
      <c r="V1360" s="27">
        <f t="shared" si="536"/>
        <v>4.5208654375239604E-3</v>
      </c>
      <c r="W1360" s="27">
        <f t="shared" si="536"/>
        <v>4.5269288931412202E-3</v>
      </c>
      <c r="X1360" s="27">
        <f t="shared" si="536"/>
        <v>4.5356937654075719E-3</v>
      </c>
      <c r="Y1360" s="27">
        <f t="shared" si="536"/>
        <v>4.5438360313793799E-3</v>
      </c>
      <c r="Z1360" s="27">
        <f t="shared" si="536"/>
        <v>4.5514565032506353E-3</v>
      </c>
      <c r="AA1360" s="27">
        <f t="shared" si="536"/>
        <v>4.5585145451789771E-3</v>
      </c>
      <c r="AB1360" s="27">
        <f t="shared" si="536"/>
        <v>4.5650737507021777E-3</v>
      </c>
      <c r="AC1360" s="27">
        <f t="shared" si="536"/>
        <v>4.5712336162876026E-3</v>
      </c>
      <c r="AD1360" s="27">
        <f t="shared" si="536"/>
        <v>4.5769883379201265E-3</v>
      </c>
      <c r="AE1360" s="27">
        <f t="shared" si="536"/>
        <v>4.5824299595188939E-3</v>
      </c>
      <c r="AF1360" s="27">
        <f t="shared" si="536"/>
        <v>4.5875716533889405E-3</v>
      </c>
      <c r="AG1360" s="27">
        <f t="shared" si="536"/>
        <v>4.5923429466883485E-3</v>
      </c>
      <c r="AH1360" s="27">
        <f t="shared" si="536"/>
        <v>4.5967874861065324E-3</v>
      </c>
      <c r="AI1360" s="27">
        <f t="shared" si="536"/>
        <v>4.6009761769836678E-3</v>
      </c>
      <c r="AJ1360" s="27">
        <f t="shared" si="536"/>
        <v>4.5000024079062629E-3</v>
      </c>
      <c r="AK1360" s="27">
        <f t="shared" si="536"/>
        <v>4.504140567798888E-3</v>
      </c>
      <c r="AL1360" s="27">
        <f t="shared" si="536"/>
        <v>4.5080004058394166E-3</v>
      </c>
      <c r="AM1360" s="27">
        <f t="shared" si="536"/>
        <v>4.5116055113744672E-3</v>
      </c>
      <c r="AN1360" s="27">
        <f t="shared" si="536"/>
        <v>4.5149845600538762E-3</v>
      </c>
      <c r="AO1360" s="27">
        <f t="shared" si="536"/>
        <v>4.5180486691616456E-3</v>
      </c>
      <c r="AP1360" s="27">
        <f t="shared" si="536"/>
        <v>4.5207384818524527E-3</v>
      </c>
      <c r="AQ1360" s="27">
        <f t="shared" si="536"/>
        <v>4.5230453041712505E-3</v>
      </c>
      <c r="AR1360" s="27">
        <f t="shared" si="536"/>
        <v>4.5249015890055574E-3</v>
      </c>
      <c r="AS1360" s="27">
        <f t="shared" si="536"/>
        <v>4.526233914491801E-3</v>
      </c>
      <c r="AT1360" s="27">
        <f t="shared" si="536"/>
        <v>4.5270340008273808E-3</v>
      </c>
      <c r="AU1360" s="27">
        <f t="shared" si="536"/>
        <v>4.5273132604660591E-3</v>
      </c>
      <c r="AV1360" s="27">
        <f t="shared" si="536"/>
        <v>4.5270798618323943E-3</v>
      </c>
      <c r="AW1360" s="27">
        <f t="shared" si="536"/>
        <v>4.5262646983336846E-3</v>
      </c>
      <c r="AY1360" s="79"/>
      <c r="AZ1360" s="79"/>
    </row>
    <row r="1361" spans="1:52" x14ac:dyDescent="0.25">
      <c r="A1361" s="95" t="str">
        <f t="shared" si="514"/>
        <v>FSFAGSPQNIBDDSCM MM Leaching</v>
      </c>
      <c r="B1361" s="95" t="s">
        <v>1375</v>
      </c>
      <c r="C1361" s="95" t="s">
        <v>1333</v>
      </c>
      <c r="D1361" t="s">
        <v>369</v>
      </c>
      <c r="E1361" t="s">
        <v>64</v>
      </c>
      <c r="F1361" t="s">
        <v>63</v>
      </c>
      <c r="G1361" t="s">
        <v>1166</v>
      </c>
      <c r="H1361" t="s">
        <v>1313</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3.7085625544236744E-3</v>
      </c>
      <c r="T1361" s="27">
        <f t="shared" si="537"/>
        <v>3.7110307603281981E-3</v>
      </c>
      <c r="U1361" s="27">
        <f t="shared" si="537"/>
        <v>3.7593672616152451E-3</v>
      </c>
      <c r="V1361" s="27">
        <f t="shared" si="537"/>
        <v>3.7605463928385213E-3</v>
      </c>
      <c r="W1361" s="27">
        <f t="shared" si="537"/>
        <v>3.7655900966303579E-3</v>
      </c>
      <c r="X1361" s="27">
        <f t="shared" si="537"/>
        <v>3.7728808928817431E-3</v>
      </c>
      <c r="Y1361" s="27">
        <f t="shared" si="537"/>
        <v>3.7796537927507973E-3</v>
      </c>
      <c r="Z1361" s="27">
        <f t="shared" si="537"/>
        <v>3.7859926538390569E-3</v>
      </c>
      <c r="AA1361" s="27">
        <f t="shared" si="537"/>
        <v>3.7918636744391884E-3</v>
      </c>
      <c r="AB1361" s="27">
        <f t="shared" si="537"/>
        <v>3.7973197529292549E-3</v>
      </c>
      <c r="AC1361" s="27">
        <f t="shared" si="537"/>
        <v>3.8024436524630406E-3</v>
      </c>
      <c r="AD1361" s="27">
        <f t="shared" si="537"/>
        <v>3.8072305451445519E-3</v>
      </c>
      <c r="AE1361" s="27">
        <f t="shared" si="537"/>
        <v>3.8117569949487401E-3</v>
      </c>
      <c r="AF1361" s="27">
        <f t="shared" si="537"/>
        <v>3.8160339588626819E-3</v>
      </c>
      <c r="AG1361" s="27">
        <f t="shared" si="537"/>
        <v>3.8200028161653869E-3</v>
      </c>
      <c r="AH1361" s="27">
        <f t="shared" si="537"/>
        <v>3.8236998730470525E-3</v>
      </c>
      <c r="AI1361" s="27">
        <f t="shared" si="537"/>
        <v>3.8271841099893822E-3</v>
      </c>
      <c r="AJ1361" s="27">
        <f t="shared" si="537"/>
        <v>3.7431921070592298E-3</v>
      </c>
      <c r="AK1361" s="27">
        <f t="shared" si="537"/>
        <v>3.7466343113168547E-3</v>
      </c>
      <c r="AL1361" s="27">
        <f t="shared" si="537"/>
        <v>3.7498450018850307E-3</v>
      </c>
      <c r="AM1361" s="27">
        <f t="shared" si="537"/>
        <v>3.7528438008546071E-3</v>
      </c>
      <c r="AN1361" s="27">
        <f t="shared" si="537"/>
        <v>3.7556545612052921E-3</v>
      </c>
      <c r="AO1361" s="27">
        <f t="shared" si="537"/>
        <v>3.7582033485142104E-3</v>
      </c>
      <c r="AP1361" s="27">
        <f t="shared" si="537"/>
        <v>3.760440788568911E-3</v>
      </c>
      <c r="AQ1361" s="27">
        <f t="shared" si="537"/>
        <v>3.7623596495635048E-3</v>
      </c>
      <c r="AR1361" s="27">
        <f t="shared" si="537"/>
        <v>3.7639037444573268E-3</v>
      </c>
      <c r="AS1361" s="27">
        <f t="shared" si="537"/>
        <v>3.7650119994741185E-3</v>
      </c>
      <c r="AT1361" s="27">
        <f t="shared" si="537"/>
        <v>3.7656775273082915E-3</v>
      </c>
      <c r="AU1361" s="27">
        <f t="shared" si="537"/>
        <v>3.7659098210673977E-3</v>
      </c>
      <c r="AV1361" s="27">
        <f t="shared" si="537"/>
        <v>3.7657156754105432E-3</v>
      </c>
      <c r="AW1361" s="27">
        <f t="shared" si="537"/>
        <v>3.7650376060901856E-3</v>
      </c>
      <c r="AY1361" s="79"/>
      <c r="AZ1361" s="79"/>
    </row>
    <row r="1362" spans="1:52" x14ac:dyDescent="0.25">
      <c r="A1362" s="95" t="str">
        <f t="shared" si="514"/>
        <v>FSFAGSPQNIBDDSCM MM Leaching</v>
      </c>
      <c r="B1362" s="95" t="s">
        <v>1375</v>
      </c>
      <c r="C1362" s="95" t="s">
        <v>1333</v>
      </c>
      <c r="D1362" t="s">
        <v>369</v>
      </c>
      <c r="E1362" t="s">
        <v>64</v>
      </c>
      <c r="F1362" t="s">
        <v>63</v>
      </c>
      <c r="G1362" t="s">
        <v>1168</v>
      </c>
      <c r="H1362" t="s">
        <v>1314</v>
      </c>
      <c r="I1362" t="s">
        <v>139</v>
      </c>
      <c r="J1362" t="s">
        <v>287</v>
      </c>
      <c r="K1362" s="27">
        <f t="shared" ref="K1362:AW1362" si="538">IFERROR(K1555-((K1555-K146)+(K1555-K299)+(K1555-K452)+(K1555-K604)+(K1555-K756)+(K1555-K907)+(K1555-K1058)+(K1555-K1209)),0)</f>
        <v>5.4322987485311562E-4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5.5840147541839718E-4</v>
      </c>
      <c r="R1362" s="27">
        <f t="shared" si="538"/>
        <v>5.620753208024884E-4</v>
      </c>
      <c r="S1362" s="27">
        <f t="shared" si="538"/>
        <v>5.6070469903814733E-4</v>
      </c>
      <c r="T1362" s="27">
        <f t="shared" si="538"/>
        <v>5.6162230711910024E-4</v>
      </c>
      <c r="U1362" s="27">
        <f t="shared" si="538"/>
        <v>5.7300934566261764E-4</v>
      </c>
      <c r="V1362" s="27">
        <f t="shared" si="538"/>
        <v>5.735237983118301E-4</v>
      </c>
      <c r="W1362" s="27">
        <f t="shared" si="538"/>
        <v>5.7488581877093682E-4</v>
      </c>
      <c r="X1362" s="27">
        <f t="shared" si="538"/>
        <v>5.7672404156411123E-4</v>
      </c>
      <c r="Y1362" s="27">
        <f t="shared" si="538"/>
        <v>5.7840994827834994E-4</v>
      </c>
      <c r="Z1362" s="27">
        <f t="shared" si="538"/>
        <v>5.7996582365708491E-4</v>
      </c>
      <c r="AA1362" s="27">
        <f t="shared" si="538"/>
        <v>5.8138689539941784E-4</v>
      </c>
      <c r="AB1362" s="27">
        <f t="shared" si="538"/>
        <v>5.8268775619947839E-4</v>
      </c>
      <c r="AC1362" s="27">
        <f t="shared" si="538"/>
        <v>5.838893945173696E-4</v>
      </c>
      <c r="AD1362" s="27">
        <f t="shared" si="538"/>
        <v>5.8499277851090971E-4</v>
      </c>
      <c r="AE1362" s="27">
        <f t="shared" si="538"/>
        <v>5.8601696023425276E-4</v>
      </c>
      <c r="AF1362" s="27">
        <f t="shared" si="538"/>
        <v>5.8696603148616325E-4</v>
      </c>
      <c r="AG1362" s="27">
        <f t="shared" si="538"/>
        <v>5.8782840452912231E-4</v>
      </c>
      <c r="AH1362" s="27">
        <f t="shared" si="538"/>
        <v>5.8861362982731312E-4</v>
      </c>
      <c r="AI1362" s="27">
        <f t="shared" si="538"/>
        <v>5.8933613461895486E-4</v>
      </c>
      <c r="AJ1362" s="27">
        <f t="shared" si="538"/>
        <v>5.706274212799663E-4</v>
      </c>
      <c r="AK1362" s="27">
        <f t="shared" si="538"/>
        <v>5.7134854330306069E-4</v>
      </c>
      <c r="AL1362" s="27">
        <f t="shared" si="538"/>
        <v>5.7200511510337268E-4</v>
      </c>
      <c r="AM1362" s="27">
        <f t="shared" si="538"/>
        <v>5.7260245045310132E-4</v>
      </c>
      <c r="AN1362" s="27">
        <f t="shared" si="538"/>
        <v>5.7314670307798447E-4</v>
      </c>
      <c r="AO1362" s="27">
        <f t="shared" si="538"/>
        <v>5.7362242271311709E-4</v>
      </c>
      <c r="AP1362" s="27">
        <f t="shared" si="538"/>
        <v>5.7401961480709959E-4</v>
      </c>
      <c r="AQ1362" s="27">
        <f t="shared" si="538"/>
        <v>5.743375496953002E-4</v>
      </c>
      <c r="AR1362" s="27">
        <f t="shared" si="538"/>
        <v>5.7456474822570021E-4</v>
      </c>
      <c r="AS1362" s="27">
        <f t="shared" si="538"/>
        <v>5.7468870297434124E-4</v>
      </c>
      <c r="AT1362" s="27">
        <f t="shared" si="538"/>
        <v>5.7470877432626657E-4</v>
      </c>
      <c r="AU1362" s="27">
        <f t="shared" si="538"/>
        <v>5.7462786115959977E-4</v>
      </c>
      <c r="AV1362" s="27">
        <f t="shared" si="538"/>
        <v>5.7444822626571555E-4</v>
      </c>
      <c r="AW1362" s="27">
        <f t="shared" si="538"/>
        <v>5.7415813453708586E-4</v>
      </c>
      <c r="AY1362" s="79"/>
      <c r="AZ1362" s="79"/>
    </row>
    <row r="1363" spans="1:52" x14ac:dyDescent="0.25">
      <c r="A1363" s="95" t="str">
        <f t="shared" si="514"/>
        <v>FSFAGSPQNIBDDSCM MM Leaching</v>
      </c>
      <c r="B1363" s="95" t="s">
        <v>1375</v>
      </c>
      <c r="C1363" s="95" t="s">
        <v>1333</v>
      </c>
      <c r="D1363" t="s">
        <v>369</v>
      </c>
      <c r="E1363" t="s">
        <v>64</v>
      </c>
      <c r="F1363" t="s">
        <v>63</v>
      </c>
      <c r="G1363" t="s">
        <v>1170</v>
      </c>
      <c r="H1363" t="s">
        <v>1315</v>
      </c>
      <c r="I1363" t="s">
        <v>139</v>
      </c>
      <c r="J1363" t="s">
        <v>287</v>
      </c>
      <c r="K1363" s="27">
        <f t="shared" ref="K1363:AW1363" si="539">IFERROR(K1556-((K1556-K147)+(K1556-K300)+(K1556-K453)+(K1556-K605)+(K1556-K757)+(K1556-K908)+(K1556-K1059)+(K1556-K1210)),0)</f>
        <v>6.6992563985089947E-3</v>
      </c>
      <c r="L1363" s="27">
        <f t="shared" si="539"/>
        <v>6.716671231449923E-3</v>
      </c>
      <c r="M1363" s="27">
        <f t="shared" si="539"/>
        <v>6.7406943780734313E-3</v>
      </c>
      <c r="N1363" s="27">
        <f t="shared" si="539"/>
        <v>6.769960915195136E-3</v>
      </c>
      <c r="O1363" s="27">
        <f t="shared" si="539"/>
        <v>6.8044291009834836E-3</v>
      </c>
      <c r="P1363" s="27">
        <f t="shared" si="539"/>
        <v>6.8438891439814974E-3</v>
      </c>
      <c r="Q1363" s="27">
        <f t="shared" si="539"/>
        <v>6.8863566425632575E-3</v>
      </c>
      <c r="R1363" s="27">
        <f t="shared" si="539"/>
        <v>6.9316634884048298E-3</v>
      </c>
      <c r="S1363" s="27">
        <f t="shared" si="539"/>
        <v>6.914760613489895E-3</v>
      </c>
      <c r="T1363" s="27">
        <f t="shared" si="539"/>
        <v>6.9260768022567764E-3</v>
      </c>
      <c r="U1363" s="27">
        <f t="shared" si="539"/>
        <v>7.0665048132223995E-3</v>
      </c>
      <c r="V1363" s="27">
        <f t="shared" si="539"/>
        <v>7.0728491811622093E-3</v>
      </c>
      <c r="W1363" s="27">
        <f t="shared" si="539"/>
        <v>7.0896459824759074E-3</v>
      </c>
      <c r="X1363" s="27">
        <f t="shared" si="539"/>
        <v>7.1123154385922269E-3</v>
      </c>
      <c r="Y1363" s="27">
        <f t="shared" si="539"/>
        <v>7.1331064920034711E-3</v>
      </c>
      <c r="Z1363" s="27">
        <f t="shared" si="539"/>
        <v>7.1522939641377866E-3</v>
      </c>
      <c r="AA1363" s="27">
        <f t="shared" si="539"/>
        <v>7.1698190017015617E-3</v>
      </c>
      <c r="AB1363" s="27">
        <f t="shared" si="539"/>
        <v>7.1858615657095356E-3</v>
      </c>
      <c r="AC1363" s="27">
        <f t="shared" si="539"/>
        <v>7.2006804914764638E-3</v>
      </c>
      <c r="AD1363" s="27">
        <f t="shared" si="539"/>
        <v>7.2142877185840219E-3</v>
      </c>
      <c r="AE1363" s="27">
        <f t="shared" si="539"/>
        <v>7.226918202069851E-3</v>
      </c>
      <c r="AF1363" s="27">
        <f t="shared" si="539"/>
        <v>7.238622403092889E-3</v>
      </c>
      <c r="AG1363" s="27">
        <f t="shared" si="539"/>
        <v>7.2492574185686288E-3</v>
      </c>
      <c r="AH1363" s="27">
        <f t="shared" si="539"/>
        <v>7.2589410273808247E-3</v>
      </c>
      <c r="AI1363" s="27">
        <f t="shared" si="539"/>
        <v>7.2678511500975998E-3</v>
      </c>
      <c r="AJ1363" s="27">
        <f t="shared" si="539"/>
        <v>7.0371302833964079E-3</v>
      </c>
      <c r="AK1363" s="27">
        <f t="shared" si="539"/>
        <v>7.046023353440887E-3</v>
      </c>
      <c r="AL1363" s="27">
        <f t="shared" si="539"/>
        <v>7.0541203728390007E-3</v>
      </c>
      <c r="AM1363" s="27">
        <f t="shared" si="539"/>
        <v>7.0614868724535639E-3</v>
      </c>
      <c r="AN1363" s="27">
        <f t="shared" si="539"/>
        <v>7.0681987416795341E-3</v>
      </c>
      <c r="AO1363" s="27">
        <f t="shared" si="539"/>
        <v>7.0740654437095336E-3</v>
      </c>
      <c r="AP1363" s="27">
        <f t="shared" si="539"/>
        <v>7.0789637230572406E-3</v>
      </c>
      <c r="AQ1363" s="27">
        <f t="shared" si="539"/>
        <v>7.0828845813028637E-3</v>
      </c>
      <c r="AR1363" s="27">
        <f t="shared" si="539"/>
        <v>7.0856864544673794E-3</v>
      </c>
      <c r="AS1363" s="27">
        <f t="shared" si="539"/>
        <v>7.0872150976466278E-3</v>
      </c>
      <c r="AT1363" s="27">
        <f t="shared" si="539"/>
        <v>7.0874626229375523E-3</v>
      </c>
      <c r="AU1363" s="27">
        <f t="shared" si="539"/>
        <v>7.0864647800820552E-3</v>
      </c>
      <c r="AV1363" s="27">
        <f t="shared" si="539"/>
        <v>7.084249474429774E-3</v>
      </c>
      <c r="AW1363" s="27">
        <f t="shared" si="539"/>
        <v>7.0806719854897525E-3</v>
      </c>
      <c r="AY1363" s="79"/>
      <c r="AZ1363" s="79"/>
    </row>
    <row r="1364" spans="1:52" x14ac:dyDescent="0.25">
      <c r="A1364" s="95" t="str">
        <f t="shared" si="514"/>
        <v>FSFAGSPQNIBDDSCM MM Leaching</v>
      </c>
      <c r="B1364" s="95" t="s">
        <v>1375</v>
      </c>
      <c r="C1364" s="95" t="s">
        <v>1333</v>
      </c>
      <c r="D1364" t="s">
        <v>369</v>
      </c>
      <c r="E1364" t="s">
        <v>64</v>
      </c>
      <c r="F1364" t="s">
        <v>63</v>
      </c>
      <c r="G1364" t="s">
        <v>1172</v>
      </c>
      <c r="H1364" t="s">
        <v>1316</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25">
      <c r="A1365" s="95" t="str">
        <f t="shared" si="514"/>
        <v>FSFAGSPQNIBDDSCM MM Leaching</v>
      </c>
      <c r="B1365" s="95" t="s">
        <v>1375</v>
      </c>
      <c r="C1365" s="95" t="s">
        <v>1333</v>
      </c>
      <c r="D1365" t="s">
        <v>369</v>
      </c>
      <c r="E1365" t="s">
        <v>64</v>
      </c>
      <c r="F1365" t="s">
        <v>63</v>
      </c>
      <c r="G1365" t="s">
        <v>1174</v>
      </c>
      <c r="H1365" t="s">
        <v>1317</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25">
      <c r="A1366" s="95" t="str">
        <f t="shared" si="514"/>
        <v>FSFAGSPQNIBDDSCM MM Leaching</v>
      </c>
      <c r="B1366" s="95" t="s">
        <v>1375</v>
      </c>
      <c r="C1366" s="95" t="s">
        <v>1333</v>
      </c>
      <c r="D1366" t="s">
        <v>369</v>
      </c>
      <c r="E1366" t="s">
        <v>64</v>
      </c>
      <c r="F1366" t="s">
        <v>63</v>
      </c>
      <c r="G1366" t="s">
        <v>1176</v>
      </c>
      <c r="H1366" t="s">
        <v>1318</v>
      </c>
      <c r="I1366" t="s">
        <v>139</v>
      </c>
      <c r="J1366" t="s">
        <v>287</v>
      </c>
      <c r="K1366" s="27">
        <f t="shared" ref="K1366:AW1366" si="542">IFERROR(K1559-((K1559-K150)+(K1559-K303)+(K1559-K456)+(K1559-K608)+(K1559-K760)+(K1559-K911)+(K1559-K1062)+(K1559-K1213)),0)</f>
        <v>2.6875086183165937E-2</v>
      </c>
      <c r="L1366" s="27">
        <f t="shared" si="542"/>
        <v>2.6729002214214575E-2</v>
      </c>
      <c r="M1366" s="27">
        <f t="shared" si="542"/>
        <v>2.6740992333189318E-2</v>
      </c>
      <c r="N1366" s="27">
        <f t="shared" si="542"/>
        <v>2.6495489531984443E-2</v>
      </c>
      <c r="O1366" s="27">
        <f t="shared" si="542"/>
        <v>2.609452683304701E-2</v>
      </c>
      <c r="P1366" s="27">
        <f t="shared" si="542"/>
        <v>2.5544514050244028E-2</v>
      </c>
      <c r="Q1366" s="27">
        <f t="shared" si="542"/>
        <v>2.5145143775072754E-2</v>
      </c>
      <c r="R1366" s="27">
        <f t="shared" si="542"/>
        <v>2.4781112413324514E-2</v>
      </c>
      <c r="S1366" s="27">
        <f t="shared" si="542"/>
        <v>2.2296168964910698E-2</v>
      </c>
      <c r="T1366" s="27">
        <f t="shared" si="542"/>
        <v>2.3092324784413296E-2</v>
      </c>
      <c r="U1366" s="27">
        <f t="shared" si="542"/>
        <v>7.381503978929195E-2</v>
      </c>
      <c r="V1366" s="27">
        <f t="shared" si="542"/>
        <v>7.4017385099882177E-2</v>
      </c>
      <c r="W1366" s="27">
        <f t="shared" si="542"/>
        <v>7.4092117158263957E-2</v>
      </c>
      <c r="X1366" s="27">
        <f t="shared" si="542"/>
        <v>7.4042607907806673E-2</v>
      </c>
      <c r="Y1366" s="27">
        <f t="shared" si="542"/>
        <v>7.3876326476641427E-2</v>
      </c>
      <c r="Z1366" s="27">
        <f t="shared" si="542"/>
        <v>7.3591745464768973E-2</v>
      </c>
      <c r="AA1366" s="27">
        <f t="shared" si="542"/>
        <v>7.3188455909713582E-2</v>
      </c>
      <c r="AB1366" s="27">
        <f t="shared" si="542"/>
        <v>7.2666495628065958E-2</v>
      </c>
      <c r="AC1366" s="27">
        <f t="shared" si="542"/>
        <v>7.2026534081708352E-2</v>
      </c>
      <c r="AD1366" s="27">
        <f t="shared" si="542"/>
        <v>7.127021840521014E-2</v>
      </c>
      <c r="AE1366" s="27">
        <f t="shared" si="542"/>
        <v>7.0399631702406332E-2</v>
      </c>
      <c r="AF1366" s="27">
        <f t="shared" si="542"/>
        <v>6.9417717575292789E-2</v>
      </c>
      <c r="AG1366" s="27">
        <f t="shared" si="542"/>
        <v>6.8328248088529983E-2</v>
      </c>
      <c r="AH1366" s="27">
        <f t="shared" si="542"/>
        <v>6.7135309145229499E-2</v>
      </c>
      <c r="AI1366" s="27">
        <f t="shared" si="542"/>
        <v>6.58434858478079E-2</v>
      </c>
      <c r="AJ1366" s="27">
        <f t="shared" si="542"/>
        <v>-6.1354464297522409E-3</v>
      </c>
      <c r="AK1366" s="27">
        <f t="shared" si="542"/>
        <v>-6.0690246210378601E-3</v>
      </c>
      <c r="AL1366" s="27">
        <f t="shared" si="542"/>
        <v>-6.0023674842876688E-3</v>
      </c>
      <c r="AM1366" s="27">
        <f t="shared" si="542"/>
        <v>-5.9355441730233076E-3</v>
      </c>
      <c r="AN1366" s="27">
        <f t="shared" si="542"/>
        <v>-5.868631115229209E-3</v>
      </c>
      <c r="AO1366" s="27">
        <f t="shared" si="542"/>
        <v>-5.801450937318208E-3</v>
      </c>
      <c r="AP1366" s="27">
        <f t="shared" si="542"/>
        <v>-5.7338989216543417E-3</v>
      </c>
      <c r="AQ1366" s="27">
        <f t="shared" si="542"/>
        <v>-5.665981593784182E-3</v>
      </c>
      <c r="AR1366" s="27">
        <f t="shared" si="542"/>
        <v>-5.5975864031876984E-3</v>
      </c>
      <c r="AS1366" s="27">
        <f t="shared" si="542"/>
        <v>-5.528596592882417E-3</v>
      </c>
      <c r="AT1366" s="27">
        <f t="shared" si="542"/>
        <v>-5.459031743402367E-3</v>
      </c>
      <c r="AU1366" s="27">
        <f t="shared" si="542"/>
        <v>-5.3889497419228856E-3</v>
      </c>
      <c r="AV1366" s="27">
        <f t="shared" si="542"/>
        <v>-5.3184001043520557E-3</v>
      </c>
      <c r="AW1366" s="27">
        <f t="shared" si="542"/>
        <v>-5.2472851582702085E-3</v>
      </c>
      <c r="AY1366" s="79"/>
      <c r="AZ1366" s="79"/>
    </row>
    <row r="1367" spans="1:52" x14ac:dyDescent="0.25">
      <c r="A1367" s="95" t="str">
        <f t="shared" si="514"/>
        <v>FSFAGSPQNIBDDSCM MM Leaching</v>
      </c>
      <c r="B1367" s="95" t="s">
        <v>1375</v>
      </c>
      <c r="C1367" s="95" t="s">
        <v>1333</v>
      </c>
      <c r="D1367" t="s">
        <v>369</v>
      </c>
      <c r="E1367" t="s">
        <v>64</v>
      </c>
      <c r="F1367" t="s">
        <v>63</v>
      </c>
      <c r="G1367" t="s">
        <v>1178</v>
      </c>
      <c r="H1367" t="s">
        <v>1319</v>
      </c>
      <c r="I1367" t="s">
        <v>139</v>
      </c>
      <c r="J1367" t="s">
        <v>287</v>
      </c>
      <c r="K1367" s="27">
        <f t="shared" ref="K1367:AW1367" si="543">IFERROR(K1560-((K1560-K151)+(K1560-K304)+(K1560-K457)+(K1560-K609)+(K1560-K761)+(K1560-K912)+(K1560-K1063)+(K1560-K1214)),0)</f>
        <v>4.0166140097319695E-3</v>
      </c>
      <c r="L1367" s="27">
        <f t="shared" si="543"/>
        <v>3.9947810410006978E-3</v>
      </c>
      <c r="M1367" s="27">
        <f t="shared" si="543"/>
        <v>3.9965730233416695E-3</v>
      </c>
      <c r="N1367" s="27">
        <f t="shared" si="543"/>
        <v>3.9598814204188995E-3</v>
      </c>
      <c r="O1367" s="27">
        <f t="shared" si="543"/>
        <v>3.8999555700251301E-3</v>
      </c>
      <c r="P1367" s="27">
        <f t="shared" si="543"/>
        <v>3.8177534504158584E-3</v>
      </c>
      <c r="Q1367" s="27">
        <f t="shared" si="543"/>
        <v>3.7580655955978047E-3</v>
      </c>
      <c r="R1367" s="27">
        <f t="shared" si="543"/>
        <v>3.7036593154610871E-3</v>
      </c>
      <c r="S1367" s="27">
        <f t="shared" si="543"/>
        <v>3.3322722769129989E-3</v>
      </c>
      <c r="T1367" s="27">
        <f t="shared" si="543"/>
        <v>3.4512616857933645E-3</v>
      </c>
      <c r="U1367" s="27">
        <f t="shared" si="543"/>
        <v>1.1032021290123588E-2</v>
      </c>
      <c r="V1367" s="27">
        <f t="shared" si="543"/>
        <v>1.1062262793491467E-2</v>
      </c>
      <c r="W1367" s="27">
        <f t="shared" si="543"/>
        <v>1.1073431867727232E-2</v>
      </c>
      <c r="X1367" s="27">
        <f t="shared" si="543"/>
        <v>1.106603246637675E-2</v>
      </c>
      <c r="Y1367" s="27">
        <f t="shared" si="543"/>
        <v>1.1041180887430186E-2</v>
      </c>
      <c r="Z1367" s="27">
        <f t="shared" si="543"/>
        <v>1.0998648853434082E-2</v>
      </c>
      <c r="AA1367" s="27">
        <f t="shared" si="543"/>
        <v>1.0938375242931999E-2</v>
      </c>
      <c r="AB1367" s="27">
        <f t="shared" si="543"/>
        <v>1.0860365707799692E-2</v>
      </c>
      <c r="AC1367" s="27">
        <f t="shared" si="543"/>
        <v>1.0764720302413055E-2</v>
      </c>
      <c r="AD1367" s="27">
        <f t="shared" si="543"/>
        <v>1.0651685199146835E-2</v>
      </c>
      <c r="AE1367" s="27">
        <f t="shared" si="543"/>
        <v>1.0521571728130012E-2</v>
      </c>
      <c r="AF1367" s="27">
        <f t="shared" si="543"/>
        <v>1.0374819825180263E-2</v>
      </c>
      <c r="AG1367" s="27">
        <f t="shared" si="543"/>
        <v>1.0211993243941318E-2</v>
      </c>
      <c r="AH1367" s="27">
        <f t="shared" si="543"/>
        <v>1.0033702642759285E-2</v>
      </c>
      <c r="AI1367" s="27">
        <f t="shared" si="543"/>
        <v>9.8406332877753449E-3</v>
      </c>
      <c r="AJ1367" s="27">
        <f t="shared" si="543"/>
        <v>-9.1697269053370395E-4</v>
      </c>
      <c r="AK1367" s="27">
        <f t="shared" si="543"/>
        <v>-9.0704562404485191E-4</v>
      </c>
      <c r="AL1367" s="27">
        <f t="shared" si="543"/>
        <v>-8.970833866218835E-4</v>
      </c>
      <c r="AM1367" s="27">
        <f t="shared" si="543"/>
        <v>-8.870963135992402E-4</v>
      </c>
      <c r="AN1367" s="27">
        <f t="shared" si="543"/>
        <v>-8.7709582751565934E-4</v>
      </c>
      <c r="AO1367" s="27">
        <f t="shared" si="543"/>
        <v>-8.6705541901484369E-4</v>
      </c>
      <c r="AP1367" s="27">
        <f t="shared" si="543"/>
        <v>-8.5695943753028676E-4</v>
      </c>
      <c r="AQ1367" s="27">
        <f t="shared" si="543"/>
        <v>-8.4680885833706668E-4</v>
      </c>
      <c r="AR1367" s="27">
        <f t="shared" si="543"/>
        <v>-8.3658686020557013E-4</v>
      </c>
      <c r="AS1367" s="27">
        <f t="shared" si="543"/>
        <v>-8.2627599322965283E-4</v>
      </c>
      <c r="AT1367" s="27">
        <f t="shared" si="543"/>
        <v>-8.1587918381657311E-4</v>
      </c>
      <c r="AU1367" s="27">
        <f t="shared" si="543"/>
        <v>-8.0540508348982262E-4</v>
      </c>
      <c r="AV1367" s="27">
        <f t="shared" si="543"/>
        <v>-7.9486109264576715E-4</v>
      </c>
      <c r="AW1367" s="27">
        <f t="shared" si="543"/>
        <v>-7.8423261366017795E-4</v>
      </c>
      <c r="AY1367" s="79"/>
      <c r="AZ1367" s="79"/>
    </row>
    <row r="1368" spans="1:52" x14ac:dyDescent="0.25">
      <c r="A1368" s="95" t="str">
        <f t="shared" si="514"/>
        <v>FSFAGSPQNIBDDSCM MM Leaching</v>
      </c>
      <c r="B1368" s="95" t="s">
        <v>1375</v>
      </c>
      <c r="C1368" s="95" t="s">
        <v>1333</v>
      </c>
      <c r="D1368" t="s">
        <v>369</v>
      </c>
      <c r="E1368" t="s">
        <v>64</v>
      </c>
      <c r="F1368" t="s">
        <v>63</v>
      </c>
      <c r="G1368" t="s">
        <v>1180</v>
      </c>
      <c r="H1368" t="s">
        <v>1320</v>
      </c>
      <c r="I1368" t="s">
        <v>139</v>
      </c>
      <c r="J1368" t="s">
        <v>287</v>
      </c>
      <c r="K1368" s="27">
        <f t="shared" ref="K1368:AW1368" si="544">IFERROR(K1561-((K1561-K152)+(K1561-K305)+(K1561-K458)+(K1561-K610)+(K1561-K762)+(K1561-K913)+(K1561-K1064)+(K1561-K1215)),0)</f>
        <v>1.6726645268412749E-2</v>
      </c>
      <c r="L1368" s="27">
        <f t="shared" si="544"/>
        <v>1.7066731126843742E-2</v>
      </c>
      <c r="M1368" s="27">
        <f t="shared" si="544"/>
        <v>1.7464259263446445E-2</v>
      </c>
      <c r="N1368" s="27">
        <f t="shared" si="544"/>
        <v>1.77694513935726E-2</v>
      </c>
      <c r="O1368" s="27">
        <f t="shared" si="544"/>
        <v>1.8014444056791569E-2</v>
      </c>
      <c r="P1368" s="27">
        <f t="shared" si="544"/>
        <v>1.8197780265539368E-2</v>
      </c>
      <c r="Q1368" s="27">
        <f t="shared" si="544"/>
        <v>1.8432867891885713E-2</v>
      </c>
      <c r="R1368" s="27">
        <f t="shared" si="544"/>
        <v>1.8677293946611211E-2</v>
      </c>
      <c r="S1368" s="27">
        <f t="shared" si="544"/>
        <v>1.7940997011567712E-2</v>
      </c>
      <c r="T1368" s="27">
        <f t="shared" si="544"/>
        <v>1.8599101618187692E-2</v>
      </c>
      <c r="U1368" s="27">
        <f t="shared" si="544"/>
        <v>4.1335323674744497E-2</v>
      </c>
      <c r="V1368" s="27">
        <f t="shared" si="544"/>
        <v>4.2244056956773843E-2</v>
      </c>
      <c r="W1368" s="27">
        <f t="shared" si="544"/>
        <v>4.3115523568410363E-2</v>
      </c>
      <c r="X1368" s="27">
        <f t="shared" si="544"/>
        <v>4.3942027126697474E-2</v>
      </c>
      <c r="Y1368" s="27">
        <f t="shared" si="544"/>
        <v>4.4713130877516903E-2</v>
      </c>
      <c r="Z1368" s="27">
        <f t="shared" si="544"/>
        <v>4.5425464748643458E-2</v>
      </c>
      <c r="AA1368" s="27">
        <f t="shared" si="544"/>
        <v>4.6075599059895E-2</v>
      </c>
      <c r="AB1368" s="27">
        <f t="shared" si="544"/>
        <v>4.666057526853875E-2</v>
      </c>
      <c r="AC1368" s="27">
        <f t="shared" si="544"/>
        <v>4.7177797153361963E-2</v>
      </c>
      <c r="AD1368" s="27">
        <f t="shared" si="544"/>
        <v>4.762476340679795E-2</v>
      </c>
      <c r="AE1368" s="27">
        <f t="shared" si="544"/>
        <v>4.7999511889239711E-2</v>
      </c>
      <c r="AF1368" s="27">
        <f t="shared" si="544"/>
        <v>4.8300272482139597E-2</v>
      </c>
      <c r="AG1368" s="27">
        <f t="shared" si="544"/>
        <v>4.8525470849872195E-2</v>
      </c>
      <c r="AH1368" s="27">
        <f t="shared" si="544"/>
        <v>4.8674159183630092E-2</v>
      </c>
      <c r="AI1368" s="27">
        <f t="shared" si="544"/>
        <v>4.8745846953258828E-2</v>
      </c>
      <c r="AJ1368" s="27">
        <f t="shared" si="544"/>
        <v>6.3546724312553964E-3</v>
      </c>
      <c r="AK1368" s="27">
        <f t="shared" si="544"/>
        <v>6.4013115626169702E-3</v>
      </c>
      <c r="AL1368" s="27">
        <f t="shared" si="544"/>
        <v>6.446794570043473E-3</v>
      </c>
      <c r="AM1368" s="27">
        <f t="shared" si="544"/>
        <v>6.4911899708581184E-3</v>
      </c>
      <c r="AN1368" s="27">
        <f t="shared" si="544"/>
        <v>6.5345767491159093E-3</v>
      </c>
      <c r="AO1368" s="27">
        <f t="shared" si="544"/>
        <v>6.5767770115873272E-3</v>
      </c>
      <c r="AP1368" s="27">
        <f t="shared" si="544"/>
        <v>6.6176736088844742E-3</v>
      </c>
      <c r="AQ1368" s="27">
        <f t="shared" si="544"/>
        <v>6.6572579134014679E-3</v>
      </c>
      <c r="AR1368" s="27">
        <f t="shared" si="544"/>
        <v>6.6953903792422425E-3</v>
      </c>
      <c r="AS1368" s="27">
        <f t="shared" si="544"/>
        <v>6.7319156561258262E-3</v>
      </c>
      <c r="AT1368" s="27">
        <f t="shared" si="544"/>
        <v>6.7668201581545509E-3</v>
      </c>
      <c r="AU1368" s="27">
        <f t="shared" si="544"/>
        <v>6.8001333252020657E-3</v>
      </c>
      <c r="AV1368" s="27">
        <f t="shared" si="544"/>
        <v>6.8318771364297487E-3</v>
      </c>
      <c r="AW1368" s="27">
        <f t="shared" si="544"/>
        <v>6.8619001030845884E-3</v>
      </c>
      <c r="AY1368" s="79"/>
      <c r="AZ1368" s="79"/>
    </row>
    <row r="1369" spans="1:52" x14ac:dyDescent="0.25">
      <c r="A1369" s="95" t="str">
        <f t="shared" si="514"/>
        <v>FSFAGSPQNIBDDSCM MM Leaching</v>
      </c>
      <c r="B1369" s="95" t="s">
        <v>1375</v>
      </c>
      <c r="C1369" s="95" t="s">
        <v>1333</v>
      </c>
      <c r="D1369" t="s">
        <v>369</v>
      </c>
      <c r="E1369" t="s">
        <v>64</v>
      </c>
      <c r="F1369" t="s">
        <v>63</v>
      </c>
      <c r="G1369" t="s">
        <v>1182</v>
      </c>
      <c r="H1369" t="s">
        <v>1321</v>
      </c>
      <c r="I1369" t="s">
        <v>139</v>
      </c>
      <c r="J1369" t="s">
        <v>287</v>
      </c>
      <c r="K1369" s="27">
        <f t="shared" ref="K1369:AW1369" si="545">IFERROR(K1562-((K1562-K153)+(K1562-K306)+(K1562-K459)+(K1562-K611)+(K1562-K763)+(K1562-K914)+(K1562-K1065)+(K1562-K1216)),0)</f>
        <v>7.7585797913229351E-2</v>
      </c>
      <c r="L1369" s="27">
        <f t="shared" si="545"/>
        <v>7.8607464197542484E-2</v>
      </c>
      <c r="M1369" s="27">
        <f t="shared" si="545"/>
        <v>8.0248553313821205E-2</v>
      </c>
      <c r="N1369" s="27">
        <f t="shared" si="545"/>
        <v>8.0719757945382303E-2</v>
      </c>
      <c r="O1369" s="27">
        <f t="shared" si="545"/>
        <v>8.0430818839717741E-2</v>
      </c>
      <c r="P1369" s="27">
        <f t="shared" si="545"/>
        <v>7.938481013134728E-2</v>
      </c>
      <c r="Q1369" s="27">
        <f t="shared" si="545"/>
        <v>7.8944464359385638E-2</v>
      </c>
      <c r="R1369" s="27">
        <f t="shared" si="545"/>
        <v>7.8604018955287347E-2</v>
      </c>
      <c r="S1369" s="27">
        <f t="shared" si="545"/>
        <v>6.8551548491341041E-2</v>
      </c>
      <c r="T1369" s="27">
        <f t="shared" si="545"/>
        <v>7.3739546332348721E-2</v>
      </c>
      <c r="U1369" s="27">
        <f t="shared" si="545"/>
        <v>0.32063801867343739</v>
      </c>
      <c r="V1369" s="27">
        <f t="shared" si="545"/>
        <v>0.3263865261169076</v>
      </c>
      <c r="W1369" s="27">
        <f t="shared" si="545"/>
        <v>0.3314934571329114</v>
      </c>
      <c r="X1369" s="27">
        <f t="shared" si="545"/>
        <v>0.33598061783359728</v>
      </c>
      <c r="Y1369" s="27">
        <f t="shared" si="545"/>
        <v>0.33990898947079762</v>
      </c>
      <c r="Z1369" s="27">
        <f t="shared" si="545"/>
        <v>0.3432491056284519</v>
      </c>
      <c r="AA1369" s="27">
        <f t="shared" si="545"/>
        <v>0.345978344064029</v>
      </c>
      <c r="AB1369" s="27">
        <f t="shared" si="545"/>
        <v>0.34807446920762175</v>
      </c>
      <c r="AC1369" s="27">
        <f t="shared" si="545"/>
        <v>0.34951764979405581</v>
      </c>
      <c r="AD1369" s="27">
        <f t="shared" si="545"/>
        <v>0.35029436297093797</v>
      </c>
      <c r="AE1369" s="27">
        <f t="shared" si="545"/>
        <v>0.3503920713528586</v>
      </c>
      <c r="AF1369" s="27">
        <f t="shared" si="545"/>
        <v>0.34980401942204614</v>
      </c>
      <c r="AG1369" s="27">
        <f t="shared" si="545"/>
        <v>0.34852938630195235</v>
      </c>
      <c r="AH1369" s="27">
        <f t="shared" si="545"/>
        <v>0.34656807266355577</v>
      </c>
      <c r="AI1369" s="27">
        <f t="shared" si="545"/>
        <v>0.34392301643743828</v>
      </c>
      <c r="AJ1369" s="27">
        <f t="shared" si="545"/>
        <v>-7.3441689918994316E-2</v>
      </c>
      <c r="AK1369" s="27">
        <f t="shared" si="545"/>
        <v>-7.3545621673456185E-2</v>
      </c>
      <c r="AL1369" s="27">
        <f t="shared" si="545"/>
        <v>-7.3639730110431498E-2</v>
      </c>
      <c r="AM1369" s="27">
        <f t="shared" si="545"/>
        <v>-7.3724815505769356E-2</v>
      </c>
      <c r="AN1369" s="27">
        <f t="shared" si="545"/>
        <v>-7.3801792793217899E-2</v>
      </c>
      <c r="AO1369" s="27">
        <f t="shared" si="545"/>
        <v>-7.386851362361406E-2</v>
      </c>
      <c r="AP1369" s="27">
        <f t="shared" si="545"/>
        <v>-7.3923604247027361E-2</v>
      </c>
      <c r="AQ1369" s="27">
        <f t="shared" si="545"/>
        <v>-7.3967002295391979E-2</v>
      </c>
      <c r="AR1369" s="27">
        <f t="shared" si="545"/>
        <v>-7.3997124044251614E-2</v>
      </c>
      <c r="AS1369" s="27">
        <f t="shared" si="545"/>
        <v>-7.4012242065131795E-2</v>
      </c>
      <c r="AT1369" s="27">
        <f t="shared" si="545"/>
        <v>-7.4012306856669818E-2</v>
      </c>
      <c r="AU1369" s="27">
        <f t="shared" si="545"/>
        <v>-7.3997766932053066E-2</v>
      </c>
      <c r="AV1369" s="27">
        <f t="shared" si="545"/>
        <v>-7.3968978731960316E-2</v>
      </c>
      <c r="AW1369" s="27">
        <f t="shared" si="545"/>
        <v>-7.3924322860586755E-2</v>
      </c>
      <c r="AY1369" s="79"/>
      <c r="AZ1369" s="79"/>
    </row>
    <row r="1379" spans="1:49" x14ac:dyDescent="0.25">
      <c r="A1379" s="95" t="s">
        <v>960</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72.649957574793405</v>
      </c>
      <c r="M1379" s="27">
        <f>IF(('Activity data'!AF5*EF!$H4)*kgtoGg=0,"NO",('Activity data'!AF5*EF!$H4)*kgtoGg)</f>
        <v>73.223011790998029</v>
      </c>
      <c r="N1379" s="27">
        <f>IF(('Activity data'!AG5*EF!$H4)*kgtoGg=0,"NO",('Activity data'!AG5*EF!$H4)*kgtoGg)</f>
        <v>73.591260167761035</v>
      </c>
      <c r="O1379" s="27">
        <f>IF(('Activity data'!AH5*EF!$H4)*kgtoGg=0,"NO",('Activity data'!AH5*EF!$H4)*kgtoGg)</f>
        <v>73.83596289834658</v>
      </c>
      <c r="P1379" s="27">
        <f>IF(('Activity data'!AI5*EF!$H4)*kgtoGg=0,"NO",('Activity data'!AI5*EF!$H4)*kgtoGg)</f>
        <v>73.954711561483919</v>
      </c>
      <c r="Q1379" s="27">
        <f>IF(('Activity data'!AJ5*EF!$H4)*kgtoGg=0,"NO",('Activity data'!AJ5*EF!$H4)*kgtoGg)</f>
        <v>74.217071552078707</v>
      </c>
      <c r="R1379" s="27">
        <f>IF(('Activity data'!AK5*EF!$H4)*kgtoGg=0,"NO",('Activity data'!AK5*EF!$H4)*kgtoGg)</f>
        <v>74.518042528471327</v>
      </c>
      <c r="S1379" s="27">
        <f>IF(('Activity data'!AL5*EF!$H4)*kgtoGg=0,"NO",('Activity data'!AL5*EF!$H4)*kgtoGg)</f>
        <v>72.400641735612226</v>
      </c>
      <c r="T1379" s="27">
        <f>IF(('Activity data'!AM5*EF!$H4)*kgtoGg=0,"NO",('Activity data'!AM5*EF!$H4)*kgtoGg)</f>
        <v>73.646397311613569</v>
      </c>
      <c r="U1379" s="27">
        <f>IF(('Activity data'!AN5*EF!$H4)*kgtoGg=0,"NO",('Activity data'!AN5*EF!$H4)*kgtoGg)</f>
        <v>126.71451623908638</v>
      </c>
      <c r="V1379" s="27">
        <f>IF(('Activity data'!AO5*EF!$H4)*kgtoGg=0,"NO",('Activity data'!AO5*EF!$H4)*kgtoGg)</f>
        <v>128.24200058803578</v>
      </c>
      <c r="W1379" s="27">
        <f>IF(('Activity data'!AP5*EF!$H4)*kgtoGg=0,"NO",('Activity data'!AP5*EF!$H4)*kgtoGg)</f>
        <v>129.70248573615504</v>
      </c>
      <c r="X1379" s="27">
        <f>IF(('Activity data'!AQ5*EF!$H4)*kgtoGg=0,"NO",('Activity data'!AQ5*EF!$H4)*kgtoGg)</f>
        <v>131.07112915343163</v>
      </c>
      <c r="Y1379" s="27">
        <f>IF(('Activity data'!AR5*EF!$H4)*kgtoGg=0,"NO",('Activity data'!AR5*EF!$H4)*kgtoGg)</f>
        <v>132.31138089682617</v>
      </c>
      <c r="Z1379" s="27">
        <f>IF(('Activity data'!AS5*EF!$H4)*kgtoGg=0,"NO",('Activity data'!AS5*EF!$H4)*kgtoGg)</f>
        <v>133.41744896278323</v>
      </c>
      <c r="AA1379" s="27">
        <f>IF(('Activity data'!AT5*EF!$H4)*kgtoGg=0,"NO",('Activity data'!AT5*EF!$H4)*kgtoGg)</f>
        <v>134.38288992099422</v>
      </c>
      <c r="AB1379" s="27">
        <f>IF(('Activity data'!AU5*EF!$H4)*kgtoGg=0,"NO",('Activity data'!AU5*EF!$H4)*kgtoGg)</f>
        <v>135.20282704552554</v>
      </c>
      <c r="AC1379" s="27">
        <f>IF(('Activity data'!AV5*EF!$H4)*kgtoGg=0,"NO",('Activity data'!AV5*EF!$H4)*kgtoGg)</f>
        <v>135.87339274665732</v>
      </c>
      <c r="AD1379" s="27">
        <f>IF(('Activity data'!AW5*EF!$H4)*kgtoGg=0,"NO",('Activity data'!AW5*EF!$H4)*kgtoGg)</f>
        <v>136.39052131842715</v>
      </c>
      <c r="AE1379" s="27">
        <f>IF(('Activity data'!AX5*EF!$H4)*kgtoGg=0,"NO",('Activity data'!AX5*EF!$H4)*kgtoGg)</f>
        <v>136.75177878147903</v>
      </c>
      <c r="AF1379" s="27">
        <f>IF(('Activity data'!AY5*EF!$H4)*kgtoGg=0,"NO",('Activity data'!AY5*EF!$H4)*kgtoGg)</f>
        <v>136.95483040988077</v>
      </c>
      <c r="AG1379" s="27">
        <f>IF(('Activity data'!AZ5*EF!$H4)*kgtoGg=0,"NO",('Activity data'!AZ5*EF!$H4)*kgtoGg)</f>
        <v>136.99742056904799</v>
      </c>
      <c r="AH1379" s="27">
        <f>IF(('Activity data'!BA5*EF!$H4)*kgtoGg=0,"NO",('Activity data'!BA5*EF!$H4)*kgtoGg)</f>
        <v>136.87913733677345</v>
      </c>
      <c r="AI1379" s="27">
        <f>IF(('Activity data'!BB5*EF!$H4)*kgtoGg=0,"NO",('Activity data'!BB5*EF!$H4)*kgtoGg)</f>
        <v>136.60065411000454</v>
      </c>
      <c r="AJ1379" s="27">
        <f>IF(('Activity data'!BC5*EF!$H4)*kgtoGg=0,"NO",('Activity data'!BC5*EF!$H4)*kgtoGg)</f>
        <v>43.218084806671186</v>
      </c>
      <c r="AK1379" s="27">
        <f>IF(('Activity data'!BD5*EF!$H4)*kgtoGg=0,"NO",('Activity data'!BD5*EF!$H4)*kgtoGg)</f>
        <v>43.249633283301115</v>
      </c>
      <c r="AL1379" s="27">
        <f>IF(('Activity data'!BE5*EF!$H4)*kgtoGg=0,"NO",('Activity data'!BE5*EF!$H4)*kgtoGg)</f>
        <v>43.278910692305409</v>
      </c>
      <c r="AM1379" s="27">
        <f>IF(('Activity data'!BF5*EF!$H4)*kgtoGg=0,"NO",('Activity data'!BF5*EF!$H4)*kgtoGg)</f>
        <v>43.306115085271941</v>
      </c>
      <c r="AN1379" s="27">
        <f>IF(('Activity data'!BG5*EF!$H4)*kgtoGg=0,"NO",('Activity data'!BG5*EF!$H4)*kgtoGg)</f>
        <v>43.331490420249878</v>
      </c>
      <c r="AO1379" s="27">
        <f>IF(('Activity data'!BH5*EF!$H4)*kgtoGg=0,"NO",('Activity data'!BH5*EF!$H4)*kgtoGg)</f>
        <v>43.354240288744201</v>
      </c>
      <c r="AP1379" s="27">
        <f>IF(('Activity data'!BI5*EF!$H4)*kgtoGg=0,"NO",('Activity data'!BI5*EF!$H4)*kgtoGg)</f>
        <v>43.373829871792871</v>
      </c>
      <c r="AQ1379" s="27">
        <f>IF(('Activity data'!BJ5*EF!$H4)*kgtoGg=0,"NO",('Activity data'!BJ5*EF!$H4)*kgtoGg)</f>
        <v>43.390173404871973</v>
      </c>
      <c r="AR1379" s="27">
        <f>IF(('Activity data'!BK5*EF!$H4)*kgtoGg=0,"NO",('Activity data'!BK5*EF!$H4)*kgtoGg)</f>
        <v>43.402664060341642</v>
      </c>
      <c r="AS1379" s="27">
        <f>IF(('Activity data'!BL5*EF!$H4)*kgtoGg=0,"NO",('Activity data'!BL5*EF!$H4)*kgtoGg)</f>
        <v>43.410643013134724</v>
      </c>
      <c r="AT1379" s="27">
        <f>IF(('Activity data'!BM5*EF!$H4)*kgtoGg=0,"NO",('Activity data'!BM5*EF!$H4)*kgtoGg)</f>
        <v>43.414028889166616</v>
      </c>
      <c r="AU1379" s="27">
        <f>IF(('Activity data'!BN5*EF!$H4)*kgtoGg=0,"NO",('Activity data'!BN5*EF!$H4)*kgtoGg)</f>
        <v>43.412915266479416</v>
      </c>
      <c r="AV1379" s="27">
        <f>IF(('Activity data'!BO5*EF!$H4)*kgtoGg=0,"NO",('Activity data'!BO5*EF!$H4)*kgtoGg)</f>
        <v>43.407367404961896</v>
      </c>
      <c r="AW1379" s="27">
        <f>IF(('Activity data'!BP5*EF!$H4)*kgtoGg=0,"NO",('Activity data'!BP5*EF!$H4)*kgtoGg)</f>
        <v>43.396765644330657</v>
      </c>
    </row>
    <row r="1380" spans="1:49" x14ac:dyDescent="0.25">
      <c r="A1380" s="95" t="s">
        <v>960</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58.1066387636453</v>
      </c>
      <c r="M1380" s="27">
        <f>IF(('Activity data'!AF6*EF!$H5)*kgtoGg=0,"NO",('Activity data'!AF6*EF!$H5)*kgtoGg)</f>
        <v>58.564977012483297</v>
      </c>
      <c r="N1380" s="27">
        <f>IF(('Activity data'!AG6*EF!$H5)*kgtoGg=0,"NO",('Activity data'!AG6*EF!$H5)*kgtoGg)</f>
        <v>58.859508160444918</v>
      </c>
      <c r="O1380" s="27">
        <f>IF(('Activity data'!AH6*EF!$H5)*kgtoGg=0,"NO",('Activity data'!AH6*EF!$H5)*kgtoGg)</f>
        <v>59.055225455337663</v>
      </c>
      <c r="P1380" s="27">
        <f>IF(('Activity data'!AI6*EF!$H5)*kgtoGg=0,"NO",('Activity data'!AI6*EF!$H5)*kgtoGg)</f>
        <v>59.150202601958618</v>
      </c>
      <c r="Q1380" s="27">
        <f>IF(('Activity data'!AJ6*EF!$H5)*kgtoGg=0,"NO",('Activity data'!AJ6*EF!$H5)*kgtoGg)</f>
        <v>59.360042465716688</v>
      </c>
      <c r="R1380" s="27">
        <f>IF(('Activity data'!AK6*EF!$H5)*kgtoGg=0,"NO",('Activity data'!AK6*EF!$H5)*kgtoGg)</f>
        <v>59.600764035107616</v>
      </c>
      <c r="S1380" s="27">
        <f>IF(('Activity data'!AL6*EF!$H5)*kgtoGg=0,"NO",('Activity data'!AL6*EF!$H5)*kgtoGg)</f>
        <v>57.907231828129312</v>
      </c>
      <c r="T1380" s="27">
        <f>IF(('Activity data'!AM6*EF!$H5)*kgtoGg=0,"NO",('Activity data'!AM6*EF!$H5)*kgtoGg)</f>
        <v>58.903607760874827</v>
      </c>
      <c r="U1380" s="27">
        <f>IF(('Activity data'!AN6*EF!$H5)*kgtoGg=0,"NO",('Activity data'!AN6*EF!$H5)*kgtoGg)</f>
        <v>101.34836780371782</v>
      </c>
      <c r="V1380" s="27">
        <f>IF(('Activity data'!AO6*EF!$H5)*kgtoGg=0,"NO",('Activity data'!AO6*EF!$H5)*kgtoGg)</f>
        <v>102.57007507299116</v>
      </c>
      <c r="W1380" s="27">
        <f>IF(('Activity data'!AP6*EF!$H5)*kgtoGg=0,"NO",('Activity data'!AP6*EF!$H5)*kgtoGg)</f>
        <v>103.73819527229158</v>
      </c>
      <c r="X1380" s="27">
        <f>IF(('Activity data'!AQ6*EF!$H5)*kgtoGg=0,"NO",('Activity data'!AQ6*EF!$H5)*kgtoGg)</f>
        <v>104.83285893485541</v>
      </c>
      <c r="Y1380" s="27">
        <f>IF(('Activity data'!AR6*EF!$H5)*kgtoGg=0,"NO",('Activity data'!AR6*EF!$H5)*kgtoGg)</f>
        <v>105.82483281116795</v>
      </c>
      <c r="Z1380" s="27">
        <f>IF(('Activity data'!AS6*EF!$H5)*kgtoGg=0,"NO",('Activity data'!AS6*EF!$H5)*kgtoGg)</f>
        <v>106.70948436090084</v>
      </c>
      <c r="AA1380" s="27">
        <f>IF(('Activity data'!AT6*EF!$H5)*kgtoGg=0,"NO",('Activity data'!AT6*EF!$H5)*kgtoGg)</f>
        <v>107.48166002182452</v>
      </c>
      <c r="AB1380" s="27">
        <f>IF(('Activity data'!AU6*EF!$H5)*kgtoGg=0,"NO",('Activity data'!AU6*EF!$H5)*kgtoGg)</f>
        <v>108.13745930780478</v>
      </c>
      <c r="AC1380" s="27">
        <f>IF(('Activity data'!AV6*EF!$H5)*kgtoGg=0,"NO",('Activity data'!AV6*EF!$H5)*kgtoGg)</f>
        <v>108.67378885655694</v>
      </c>
      <c r="AD1380" s="27">
        <f>IF(('Activity data'!AW6*EF!$H5)*kgtoGg=0,"NO",('Activity data'!AW6*EF!$H5)*kgtoGg)</f>
        <v>109.087396849146</v>
      </c>
      <c r="AE1380" s="27">
        <f>IF(('Activity data'!AX6*EF!$H5)*kgtoGg=0,"NO",('Activity data'!AX6*EF!$H5)*kgtoGg)</f>
        <v>109.37633654858924</v>
      </c>
      <c r="AF1380" s="27">
        <f>IF(('Activity data'!AY6*EF!$H5)*kgtoGg=0,"NO",('Activity data'!AY6*EF!$H5)*kgtoGg)</f>
        <v>109.5387406024356</v>
      </c>
      <c r="AG1380" s="27">
        <f>IF(('Activity data'!AZ6*EF!$H5)*kgtoGg=0,"NO",('Activity data'!AZ6*EF!$H5)*kgtoGg)</f>
        <v>109.57280491680314</v>
      </c>
      <c r="AH1380" s="27">
        <f>IF(('Activity data'!BA6*EF!$H5)*kgtoGg=0,"NO",('Activity data'!BA6*EF!$H5)*kgtoGg)</f>
        <v>109.47820002949129</v>
      </c>
      <c r="AI1380" s="27">
        <f>IF(('Activity data'!BB6*EF!$H5)*kgtoGg=0,"NO",('Activity data'!BB6*EF!$H5)*kgtoGg)</f>
        <v>109.25546453452645</v>
      </c>
      <c r="AJ1380" s="27">
        <f>IF(('Activity data'!BC6*EF!$H5)*kgtoGg=0,"NO",('Activity data'!BC6*EF!$H5)*kgtoGg)</f>
        <v>34.566539689062871</v>
      </c>
      <c r="AK1380" s="27">
        <f>IF(('Activity data'!BD6*EF!$H5)*kgtoGg=0,"NO",('Activity data'!BD6*EF!$H5)*kgtoGg)</f>
        <v>34.591772682945773</v>
      </c>
      <c r="AL1380" s="27">
        <f>IF(('Activity data'!BE6*EF!$H5)*kgtoGg=0,"NO",('Activity data'!BE6*EF!$H5)*kgtoGg)</f>
        <v>34.61518923934495</v>
      </c>
      <c r="AM1380" s="27">
        <f>IF(('Activity data'!BF6*EF!$H5)*kgtoGg=0,"NO",('Activity data'!BF6*EF!$H5)*kgtoGg)</f>
        <v>34.636947763199053</v>
      </c>
      <c r="AN1380" s="27">
        <f>IF(('Activity data'!BG6*EF!$H5)*kgtoGg=0,"NO",('Activity data'!BG6*EF!$H5)*kgtoGg)</f>
        <v>34.657243376194444</v>
      </c>
      <c r="AO1380" s="27">
        <f>IF(('Activity data'!BH6*EF!$H5)*kgtoGg=0,"NO",('Activity data'!BH6*EF!$H5)*kgtoGg)</f>
        <v>34.675439097632541</v>
      </c>
      <c r="AP1380" s="27">
        <f>IF(('Activity data'!BI6*EF!$H5)*kgtoGg=0,"NO",('Activity data'!BI6*EF!$H5)*kgtoGg)</f>
        <v>34.691107170453741</v>
      </c>
      <c r="AQ1380" s="27">
        <f>IF(('Activity data'!BJ6*EF!$H5)*kgtoGg=0,"NO",('Activity data'!BJ6*EF!$H5)*kgtoGg)</f>
        <v>34.704178998772043</v>
      </c>
      <c r="AR1380" s="27">
        <f>IF(('Activity data'!BK6*EF!$H5)*kgtoGg=0,"NO",('Activity data'!BK6*EF!$H5)*kgtoGg)</f>
        <v>34.714169231795225</v>
      </c>
      <c r="AS1380" s="27">
        <f>IF(('Activity data'!BL6*EF!$H5)*kgtoGg=0,"NO",('Activity data'!BL6*EF!$H5)*kgtoGg)</f>
        <v>34.720550930327988</v>
      </c>
      <c r="AT1380" s="27">
        <f>IF(('Activity data'!BM6*EF!$H5)*kgtoGg=0,"NO",('Activity data'!BM6*EF!$H5)*kgtoGg)</f>
        <v>34.723259010030318</v>
      </c>
      <c r="AU1380" s="27">
        <f>IF(('Activity data'!BN6*EF!$H5)*kgtoGg=0,"NO",('Activity data'!BN6*EF!$H5)*kgtoGg)</f>
        <v>34.722368316169444</v>
      </c>
      <c r="AV1380" s="27">
        <f>IF(('Activity data'!BO6*EF!$H5)*kgtoGg=0,"NO",('Activity data'!BO6*EF!$H5)*kgtoGg)</f>
        <v>34.717931044684789</v>
      </c>
      <c r="AW1380" s="27">
        <f>IF(('Activity data'!BP6*EF!$H5)*kgtoGg=0,"NO",('Activity data'!BP6*EF!$H5)*kgtoGg)</f>
        <v>34.709451581023373</v>
      </c>
    </row>
    <row r="1381" spans="1:49" x14ac:dyDescent="0.25">
      <c r="A1381" s="95" t="s">
        <v>960</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26.272250579806308</v>
      </c>
      <c r="M1381" s="27">
        <f>IF(('Activity data'!AF7*EF!$H6)*kgtoGg=0,"NO",('Activity data'!AF7*EF!$H6)*kgtoGg)</f>
        <v>26.479482964607669</v>
      </c>
      <c r="N1381" s="27">
        <f>IF(('Activity data'!AG7*EF!$H6)*kgtoGg=0,"NO",('Activity data'!AG7*EF!$H6)*kgtoGg)</f>
        <v>26.61265184663991</v>
      </c>
      <c r="O1381" s="27">
        <f>IF(('Activity data'!AH7*EF!$H6)*kgtoGg=0,"NO",('Activity data'!AH7*EF!$H6)*kgtoGg)</f>
        <v>26.701143177813606</v>
      </c>
      <c r="P1381" s="27">
        <f>IF(('Activity data'!AI7*EF!$H6)*kgtoGg=0,"NO",('Activity data'!AI7*EF!$H6)*kgtoGg)</f>
        <v>26.744086005835896</v>
      </c>
      <c r="Q1381" s="27">
        <f>IF(('Activity data'!AJ7*EF!$H6)*kgtoGg=0,"NO",('Activity data'!AJ7*EF!$H6)*kgtoGg)</f>
        <v>26.838962694620271</v>
      </c>
      <c r="R1381" s="27">
        <f>IF(('Activity data'!AK7*EF!$H6)*kgtoGg=0,"NO",('Activity data'!AK7*EF!$H6)*kgtoGg)</f>
        <v>26.947802192577253</v>
      </c>
      <c r="S1381" s="27">
        <f>IF(('Activity data'!AL7*EF!$H6)*kgtoGg=0,"NO",('Activity data'!AL7*EF!$H6)*kgtoGg)</f>
        <v>26.182091019923025</v>
      </c>
      <c r="T1381" s="27">
        <f>IF(('Activity data'!AM7*EF!$H6)*kgtoGg=0,"NO",('Activity data'!AM7*EF!$H6)*kgtoGg)</f>
        <v>26.632590975414445</v>
      </c>
      <c r="U1381" s="27">
        <f>IF(('Activity data'!AN7*EF!$H6)*kgtoGg=0,"NO",('Activity data'!AN7*EF!$H6)*kgtoGg)</f>
        <v>45.823502640107073</v>
      </c>
      <c r="V1381" s="27">
        <f>IF(('Activity data'!AO7*EF!$H6)*kgtoGg=0,"NO",('Activity data'!AO7*EF!$H6)*kgtoGg)</f>
        <v>46.375883576200764</v>
      </c>
      <c r="W1381" s="27">
        <f>IF(('Activity data'!AP7*EF!$H6)*kgtoGg=0,"NO",('Activity data'!AP7*EF!$H6)*kgtoGg)</f>
        <v>46.904035732930822</v>
      </c>
      <c r="X1381" s="27">
        <f>IF(('Activity data'!AQ7*EF!$H6)*kgtoGg=0,"NO",('Activity data'!AQ7*EF!$H6)*kgtoGg)</f>
        <v>47.398975358684552</v>
      </c>
      <c r="Y1381" s="27">
        <f>IF(('Activity data'!AR7*EF!$H6)*kgtoGg=0,"NO",('Activity data'!AR7*EF!$H6)*kgtoGg)</f>
        <v>47.847484974825178</v>
      </c>
      <c r="Z1381" s="27">
        <f>IF(('Activity data'!AS7*EF!$H6)*kgtoGg=0,"NO",('Activity data'!AS7*EF!$H6)*kgtoGg)</f>
        <v>48.2474700313509</v>
      </c>
      <c r="AA1381" s="27">
        <f>IF(('Activity data'!AT7*EF!$H6)*kgtoGg=0,"NO",('Activity data'!AT7*EF!$H6)*kgtoGg)</f>
        <v>48.5966004041803</v>
      </c>
      <c r="AB1381" s="27">
        <f>IF(('Activity data'!AU7*EF!$H6)*kgtoGg=0,"NO",('Activity data'!AU7*EF!$H6)*kgtoGg)</f>
        <v>48.893112533223132</v>
      </c>
      <c r="AC1381" s="27">
        <f>IF(('Activity data'!AV7*EF!$H6)*kgtoGg=0,"NO",('Activity data'!AV7*EF!$H6)*kgtoGg)</f>
        <v>49.135607790184835</v>
      </c>
      <c r="AD1381" s="27">
        <f>IF(('Activity data'!AW7*EF!$H6)*kgtoGg=0,"NO",('Activity data'!AW7*EF!$H6)*kgtoGg)</f>
        <v>49.322615902412963</v>
      </c>
      <c r="AE1381" s="27">
        <f>IF(('Activity data'!AX7*EF!$H6)*kgtoGg=0,"NO",('Activity data'!AX7*EF!$H6)*kgtoGg)</f>
        <v>49.453256675098231</v>
      </c>
      <c r="AF1381" s="27">
        <f>IF(('Activity data'!AY7*EF!$H6)*kgtoGg=0,"NO",('Activity data'!AY7*EF!$H6)*kgtoGg)</f>
        <v>49.526685806237325</v>
      </c>
      <c r="AG1381" s="27">
        <f>IF(('Activity data'!AZ7*EF!$H6)*kgtoGg=0,"NO",('Activity data'!AZ7*EF!$H6)*kgtoGg)</f>
        <v>49.542087595463748</v>
      </c>
      <c r="AH1381" s="27">
        <f>IF(('Activity data'!BA7*EF!$H6)*kgtoGg=0,"NO",('Activity data'!BA7*EF!$H6)*kgtoGg)</f>
        <v>49.499313080220467</v>
      </c>
      <c r="AI1381" s="27">
        <f>IF(('Activity data'!BB7*EF!$H6)*kgtoGg=0,"NO",('Activity data'!BB7*EF!$H6)*kgtoGg)</f>
        <v>49.398605779622059</v>
      </c>
      <c r="AJ1381" s="27">
        <f>IF(('Activity data'!BC7*EF!$H6)*kgtoGg=0,"NO",('Activity data'!BC7*EF!$H6)*kgtoGg)</f>
        <v>15.628864648010964</v>
      </c>
      <c r="AK1381" s="27">
        <f>IF(('Activity data'!BD7*EF!$H6)*kgtoGg=0,"NO",('Activity data'!BD7*EF!$H6)*kgtoGg)</f>
        <v>15.640273456922923</v>
      </c>
      <c r="AL1381" s="27">
        <f>IF(('Activity data'!BE7*EF!$H6)*kgtoGg=0,"NO",('Activity data'!BE7*EF!$H6)*kgtoGg)</f>
        <v>15.650860984450333</v>
      </c>
      <c r="AM1381" s="27">
        <f>IF(('Activity data'!BF7*EF!$H6)*kgtoGg=0,"NO",('Activity data'!BF7*EF!$H6)*kgtoGg)</f>
        <v>15.660698851570245</v>
      </c>
      <c r="AN1381" s="27">
        <f>IF(('Activity data'!BG7*EF!$H6)*kgtoGg=0,"NO",('Activity data'!BG7*EF!$H6)*kgtoGg)</f>
        <v>15.669875280316276</v>
      </c>
      <c r="AO1381" s="27">
        <f>IF(('Activity data'!BH7*EF!$H6)*kgtoGg=0,"NO",('Activity data'!BH7*EF!$H6)*kgtoGg)</f>
        <v>15.678102267167921</v>
      </c>
      <c r="AP1381" s="27">
        <f>IF(('Activity data'!BI7*EF!$H6)*kgtoGg=0,"NO",('Activity data'!BI7*EF!$H6)*kgtoGg)</f>
        <v>15.685186406674521</v>
      </c>
      <c r="AQ1381" s="27">
        <f>IF(('Activity data'!BJ7*EF!$H6)*kgtoGg=0,"NO",('Activity data'!BJ7*EF!$H6)*kgtoGg)</f>
        <v>15.691096683992601</v>
      </c>
      <c r="AR1381" s="27">
        <f>IF(('Activity data'!BK7*EF!$H6)*kgtoGg=0,"NO",('Activity data'!BK7*EF!$H6)*kgtoGg)</f>
        <v>15.695613653325545</v>
      </c>
      <c r="AS1381" s="27">
        <f>IF(('Activity data'!BL7*EF!$H6)*kgtoGg=0,"NO",('Activity data'!BL7*EF!$H6)*kgtoGg)</f>
        <v>15.698499065157048</v>
      </c>
      <c r="AT1381" s="27">
        <f>IF(('Activity data'!BM7*EF!$H6)*kgtoGg=0,"NO",('Activity data'!BM7*EF!$H6)*kgtoGg)</f>
        <v>15.699723492348907</v>
      </c>
      <c r="AU1381" s="27">
        <f>IF(('Activity data'!BN7*EF!$H6)*kgtoGg=0,"NO",('Activity data'!BN7*EF!$H6)*kgtoGg)</f>
        <v>15.699320775330669</v>
      </c>
      <c r="AV1381" s="27">
        <f>IF(('Activity data'!BO7*EF!$H6)*kgtoGg=0,"NO",('Activity data'!BO7*EF!$H6)*kgtoGg)</f>
        <v>15.697314513897963</v>
      </c>
      <c r="AW1381" s="27">
        <f>IF(('Activity data'!BP7*EF!$H6)*kgtoGg=0,"NO",('Activity data'!BP7*EF!$H6)*kgtoGg)</f>
        <v>15.693480621612418</v>
      </c>
    </row>
    <row r="1382" spans="1:49" x14ac:dyDescent="0.25">
      <c r="A1382" s="95" t="s">
        <v>960</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463.23498593143177</v>
      </c>
      <c r="L1382" s="27">
        <f>IF(('Activity data'!AE8*EF!$H7)*kgtoGg=0,"NO",('Activity data'!AE8*EF!$H7)*kgtoGg)</f>
        <v>459.21749683621613</v>
      </c>
      <c r="M1382" s="27">
        <f>IF(('Activity data'!AF8*EF!$H7)*kgtoGg=0,"NO",('Activity data'!AF8*EF!$H7)*kgtoGg)</f>
        <v>457.68816035731243</v>
      </c>
      <c r="N1382" s="27">
        <f>IF(('Activity data'!AG8*EF!$H7)*kgtoGg=0,"NO",('Activity data'!AG8*EF!$H7)*kgtoGg)</f>
        <v>451.57633407663542</v>
      </c>
      <c r="O1382" s="27">
        <f>IF(('Activity data'!AH8*EF!$H7)*kgtoGg=0,"NO",('Activity data'!AH8*EF!$H7)*kgtoGg)</f>
        <v>442.70486896910717</v>
      </c>
      <c r="P1382" s="27">
        <f>IF(('Activity data'!AI8*EF!$H7)*kgtoGg=0,"NO",('Activity data'!AI8*EF!$H7)*kgtoGg)</f>
        <v>431.25721304480419</v>
      </c>
      <c r="Q1382" s="27">
        <f>IF(('Activity data'!AJ8*EF!$H7)*kgtoGg=0,"NO",('Activity data'!AJ8*EF!$H7)*kgtoGg)</f>
        <v>422.22811200839209</v>
      </c>
      <c r="R1382" s="27">
        <f>IF(('Activity data'!AK8*EF!$H7)*kgtoGg=0,"NO",('Activity data'!AK8*EF!$H7)*kgtoGg)</f>
        <v>413.6855559628558</v>
      </c>
      <c r="S1382" s="27">
        <f>IF(('Activity data'!AL8*EF!$H7)*kgtoGg=0,"NO",('Activity data'!AL8*EF!$H7)*kgtoGg)</f>
        <v>369.96675064639845</v>
      </c>
      <c r="T1382" s="27">
        <f>IF(('Activity data'!AM8*EF!$H7)*kgtoGg=0,"NO",('Activity data'!AM8*EF!$H7)*kgtoGg)</f>
        <v>384.22044526495358</v>
      </c>
      <c r="U1382" s="27">
        <f>IF(('Activity data'!AN8*EF!$H7)*kgtoGg=0,"NO",('Activity data'!AN8*EF!$H7)*kgtoGg)</f>
        <v>1210.9459030996998</v>
      </c>
      <c r="V1382" s="27">
        <f>IF(('Activity data'!AO8*EF!$H7)*kgtoGg=0,"NO",('Activity data'!AO8*EF!$H7)*kgtoGg)</f>
        <v>1216.7867544029255</v>
      </c>
      <c r="W1382" s="27">
        <f>IF(('Activity data'!AP8*EF!$H7)*kgtoGg=0,"NO",('Activity data'!AP8*EF!$H7)*kgtoGg)</f>
        <v>1220.5248847970281</v>
      </c>
      <c r="X1382" s="27">
        <f>IF(('Activity data'!AQ8*EF!$H7)*kgtoGg=0,"NO",('Activity data'!AQ8*EF!$H7)*kgtoGg)</f>
        <v>1222.1595328966084</v>
      </c>
      <c r="Y1382" s="27">
        <f>IF(('Activity data'!AR8*EF!$H7)*kgtoGg=0,"NO",('Activity data'!AR8*EF!$H7)*kgtoGg)</f>
        <v>1221.7253267296187</v>
      </c>
      <c r="Z1382" s="27">
        <f>IF(('Activity data'!AS8*EF!$H7)*kgtoGg=0,"NO",('Activity data'!AS8*EF!$H7)*kgtoGg)</f>
        <v>1219.2014537371233</v>
      </c>
      <c r="AA1382" s="27">
        <f>IF(('Activity data'!AT8*EF!$H7)*kgtoGg=0,"NO",('Activity data'!AT8*EF!$H7)*kgtoGg)</f>
        <v>1214.5817314826613</v>
      </c>
      <c r="AB1382" s="27">
        <f>IF(('Activity data'!AU8*EF!$H7)*kgtoGg=0,"NO",('Activity data'!AU8*EF!$H7)*kgtoGg)</f>
        <v>1207.8699823574666</v>
      </c>
      <c r="AC1382" s="27">
        <f>IF(('Activity data'!AV8*EF!$H7)*kgtoGg=0,"NO",('Activity data'!AV8*EF!$H7)*kgtoGg)</f>
        <v>1199.081298415254</v>
      </c>
      <c r="AD1382" s="27">
        <f>IF(('Activity data'!AW8*EF!$H7)*kgtoGg=0,"NO",('Activity data'!AW8*EF!$H7)*kgtoGg)</f>
        <v>1178.2591392805034</v>
      </c>
      <c r="AE1382" s="27">
        <f>IF(('Activity data'!AX8*EF!$H7)*kgtoGg=0,"NO",('Activity data'!AX8*EF!$H7)*kgtoGg)</f>
        <v>1155.4756644581196</v>
      </c>
      <c r="AF1382" s="27">
        <f>IF(('Activity data'!AY8*EF!$H7)*kgtoGg=0,"NO",('Activity data'!AY8*EF!$H7)*kgtoGg)</f>
        <v>1130.8332446231877</v>
      </c>
      <c r="AG1382" s="27">
        <f>IF(('Activity data'!AZ8*EF!$H7)*kgtoGg=0,"NO",('Activity data'!AZ8*EF!$H7)*kgtoGg)</f>
        <v>1104.4458826711734</v>
      </c>
      <c r="AH1382" s="27">
        <f>IF(('Activity data'!BA8*EF!$H7)*kgtoGg=0,"NO",('Activity data'!BA8*EF!$H7)*kgtoGg)</f>
        <v>1076.4349444121476</v>
      </c>
      <c r="AI1382" s="27">
        <f>IF(('Activity data'!BB8*EF!$H7)*kgtoGg=0,"NO",('Activity data'!BB8*EF!$H7)*kgtoGg)</f>
        <v>1046.9296670550386</v>
      </c>
      <c r="AJ1382" s="27">
        <f>IF(('Activity data'!BC8*EF!$H7)*kgtoGg=0,"NO",('Activity data'!BC8*EF!$H7)*kgtoGg)</f>
        <v>-80.836782317903939</v>
      </c>
      <c r="AK1382" s="27">
        <f>IF(('Activity data'!BD8*EF!$H7)*kgtoGg=0,"NO",('Activity data'!BD8*EF!$H7)*kgtoGg)</f>
        <v>-78.890466200610106</v>
      </c>
      <c r="AL1382" s="27">
        <f>IF(('Activity data'!BE8*EF!$H7)*kgtoGg=0,"NO",('Activity data'!BE8*EF!$H7)*kgtoGg)</f>
        <v>-76.96440050927697</v>
      </c>
      <c r="AM1382" s="27">
        <f>IF(('Activity data'!BF8*EF!$H7)*kgtoGg=0,"NO",('Activity data'!BF8*EF!$H7)*kgtoGg)</f>
        <v>-75.058386316845628</v>
      </c>
      <c r="AN1382" s="27">
        <f>IF(('Activity data'!BG8*EF!$H7)*kgtoGg=0,"NO",('Activity data'!BG8*EF!$H7)*kgtoGg)</f>
        <v>-73.545633197869449</v>
      </c>
      <c r="AO1382" s="27">
        <f>IF(('Activity data'!BH8*EF!$H7)*kgtoGg=0,"NO",('Activity data'!BH8*EF!$H7)*kgtoGg)</f>
        <v>-72.047230196727966</v>
      </c>
      <c r="AP1382" s="27">
        <f>IF(('Activity data'!BI8*EF!$H7)*kgtoGg=0,"NO",('Activity data'!BI8*EF!$H7)*kgtoGg)</f>
        <v>-70.562062843287677</v>
      </c>
      <c r="AQ1382" s="27">
        <f>IF(('Activity data'!BJ8*EF!$H7)*kgtoGg=0,"NO",('Activity data'!BJ8*EF!$H7)*kgtoGg)</f>
        <v>-69.089763252231094</v>
      </c>
      <c r="AR1382" s="27">
        <f>IF(('Activity data'!BK8*EF!$H7)*kgtoGg=0,"NO",('Activity data'!BK8*EF!$H7)*kgtoGg)</f>
        <v>-67.629255024927176</v>
      </c>
      <c r="AS1382" s="27">
        <f>IF(('Activity data'!BL8*EF!$H7)*kgtoGg=0,"NO",('Activity data'!BL8*EF!$H7)*kgtoGg)</f>
        <v>-66.179484044667291</v>
      </c>
      <c r="AT1382" s="27">
        <f>IF(('Activity data'!BM8*EF!$H7)*kgtoGg=0,"NO",('Activity data'!BM8*EF!$H7)*kgtoGg)</f>
        <v>-64.740281014136201</v>
      </c>
      <c r="AU1382" s="27">
        <f>IF(('Activity data'!BN8*EF!$H7)*kgtoGg=0,"NO",('Activity data'!BN8*EF!$H7)*kgtoGg)</f>
        <v>-63.311734849146887</v>
      </c>
      <c r="AV1382" s="27">
        <f>IF(('Activity data'!BO8*EF!$H7)*kgtoGg=0,"NO",('Activity data'!BO8*EF!$H7)*kgtoGg)</f>
        <v>-61.893900094857884</v>
      </c>
      <c r="AW1382" s="27">
        <f>IF(('Activity data'!BP8*EF!$H7)*kgtoGg=0,"NO",('Activity data'!BP8*EF!$H7)*kgtoGg)</f>
        <v>-60.485962401496174</v>
      </c>
    </row>
    <row r="1383" spans="1:49" x14ac:dyDescent="0.25">
      <c r="A1383" s="95" t="s">
        <v>960</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326.20040935577731</v>
      </c>
      <c r="L1383" s="27">
        <f>IF(('Activity data'!AE9*EF!$H8)*kgtoGg=0,"NO",('Activity data'!AE9*EF!$H8)*kgtoGg)</f>
        <v>323.37137738012325</v>
      </c>
      <c r="M1383" s="27">
        <f>IF(('Activity data'!AF9*EF!$H8)*kgtoGg=0,"NO",('Activity data'!AF9*EF!$H8)*kgtoGg)</f>
        <v>322.29445054900742</v>
      </c>
      <c r="N1383" s="27">
        <f>IF(('Activity data'!AG9*EF!$H8)*kgtoGg=0,"NO",('Activity data'!AG9*EF!$H8)*kgtoGg)</f>
        <v>317.99063003627231</v>
      </c>
      <c r="O1383" s="27">
        <f>IF(('Activity data'!AH9*EF!$H8)*kgtoGg=0,"NO",('Activity data'!AH9*EF!$H8)*kgtoGg)</f>
        <v>311.74352945546792</v>
      </c>
      <c r="P1383" s="27">
        <f>IF(('Activity data'!AI9*EF!$H8)*kgtoGg=0,"NO",('Activity data'!AI9*EF!$H8)*kgtoGg)</f>
        <v>303.68232906672068</v>
      </c>
      <c r="Q1383" s="27">
        <f>IF(('Activity data'!AJ9*EF!$H8)*kgtoGg=0,"NO",('Activity data'!AJ9*EF!$H8)*kgtoGg)</f>
        <v>297.32422455466593</v>
      </c>
      <c r="R1383" s="27">
        <f>IF(('Activity data'!AK9*EF!$H8)*kgtoGg=0,"NO",('Activity data'!AK9*EF!$H8)*kgtoGg)</f>
        <v>291.30873487096767</v>
      </c>
      <c r="S1383" s="27">
        <f>IF(('Activity data'!AL9*EF!$H8)*kgtoGg=0,"NO",('Activity data'!AL9*EF!$H8)*kgtoGg)</f>
        <v>260.52286458075423</v>
      </c>
      <c r="T1383" s="27">
        <f>IF(('Activity data'!AM9*EF!$H8)*kgtoGg=0,"NO",('Activity data'!AM9*EF!$H8)*kgtoGg)</f>
        <v>270.56001885582697</v>
      </c>
      <c r="U1383" s="27">
        <f>IF(('Activity data'!AN9*EF!$H8)*kgtoGg=0,"NO",('Activity data'!AN9*EF!$H8)*kgtoGg)</f>
        <v>852.72283246173731</v>
      </c>
      <c r="V1383" s="27">
        <f>IF(('Activity data'!AO9*EF!$H8)*kgtoGg=0,"NO",('Activity data'!AO9*EF!$H8)*kgtoGg)</f>
        <v>856.83583805061244</v>
      </c>
      <c r="W1383" s="27">
        <f>IF(('Activity data'!AP9*EF!$H8)*kgtoGg=0,"NO",('Activity data'!AP9*EF!$H8)*kgtoGg)</f>
        <v>859.46815145917253</v>
      </c>
      <c r="X1383" s="27">
        <f>IF(('Activity data'!AQ9*EF!$H8)*kgtoGg=0,"NO",('Activity data'!AQ9*EF!$H8)*kgtoGg)</f>
        <v>860.61923653571034</v>
      </c>
      <c r="Y1383" s="27">
        <f>IF(('Activity data'!AR9*EF!$H8)*kgtoGg=0,"NO",('Activity data'!AR9*EF!$H8)*kgtoGg)</f>
        <v>860.31347761482039</v>
      </c>
      <c r="Z1383" s="27">
        <f>IF(('Activity data'!AS9*EF!$H8)*kgtoGg=0,"NO",('Activity data'!AS9*EF!$H8)*kgtoGg)</f>
        <v>858.53621892685965</v>
      </c>
      <c r="AA1383" s="27">
        <f>IF(('Activity data'!AT9*EF!$H8)*kgtoGg=0,"NO",('Activity data'!AT9*EF!$H8)*kgtoGg)</f>
        <v>855.28310692910031</v>
      </c>
      <c r="AB1383" s="27">
        <f>IF(('Activity data'!AU9*EF!$H8)*kgtoGg=0,"NO",('Activity data'!AU9*EF!$H8)*kgtoGg)</f>
        <v>850.55683326967551</v>
      </c>
      <c r="AC1383" s="27">
        <f>IF(('Activity data'!AV9*EF!$H8)*kgtoGg=0,"NO",('Activity data'!AV9*EF!$H8)*kgtoGg)</f>
        <v>844.36802545783894</v>
      </c>
      <c r="AD1383" s="27">
        <f>IF(('Activity data'!AW9*EF!$H8)*kgtoGg=0,"NO",('Activity data'!AW9*EF!$H8)*kgtoGg)</f>
        <v>829.70549555464197</v>
      </c>
      <c r="AE1383" s="27">
        <f>IF(('Activity data'!AX9*EF!$H8)*kgtoGg=0,"NO",('Activity data'!AX9*EF!$H8)*kgtoGg)</f>
        <v>813.66184807696902</v>
      </c>
      <c r="AF1383" s="27">
        <f>IF(('Activity data'!AY9*EF!$H8)*kgtoGg=0,"NO",('Activity data'!AY9*EF!$H8)*kgtoGg)</f>
        <v>796.30917031773436</v>
      </c>
      <c r="AG1383" s="27">
        <f>IF(('Activity data'!AZ9*EF!$H8)*kgtoGg=0,"NO",('Activity data'!AZ9*EF!$H8)*kgtoGg)</f>
        <v>777.72774073667881</v>
      </c>
      <c r="AH1383" s="27">
        <f>IF(('Activity data'!BA9*EF!$H8)*kgtoGg=0,"NO",('Activity data'!BA9*EF!$H8)*kgtoGg)</f>
        <v>758.0030226043441</v>
      </c>
      <c r="AI1383" s="27">
        <f>IF(('Activity data'!BB9*EF!$H8)*kgtoGg=0,"NO",('Activity data'!BB9*EF!$H8)*kgtoGg)</f>
        <v>737.22602206606996</v>
      </c>
      <c r="AJ1383" s="27">
        <f>IF(('Activity data'!BC9*EF!$H8)*kgtoGg=0,"NO",('Activity data'!BC9*EF!$H8)*kgtoGg)</f>
        <v>-56.923575040610757</v>
      </c>
      <c r="AK1383" s="27">
        <f>IF(('Activity data'!BD9*EF!$H8)*kgtoGg=0,"NO",('Activity data'!BD9*EF!$H8)*kgtoGg)</f>
        <v>-55.553019850526375</v>
      </c>
      <c r="AL1383" s="27">
        <f>IF(('Activity data'!BE9*EF!$H8)*kgtoGg=0,"NO",('Activity data'!BE9*EF!$H8)*kgtoGg)</f>
        <v>-54.19672458777611</v>
      </c>
      <c r="AM1383" s="27">
        <f>IF(('Activity data'!BF9*EF!$H8)*kgtoGg=0,"NO",('Activity data'!BF9*EF!$H8)*kgtoGg)</f>
        <v>-52.854549172076716</v>
      </c>
      <c r="AN1383" s="27">
        <f>IF(('Activity data'!BG9*EF!$H8)*kgtoGg=0,"NO",('Activity data'!BG9*EF!$H8)*kgtoGg)</f>
        <v>-51.78929999692631</v>
      </c>
      <c r="AO1383" s="27">
        <f>IF(('Activity data'!BH9*EF!$H8)*kgtoGg=0,"NO",('Activity data'!BH9*EF!$H8)*kgtoGg)</f>
        <v>-50.734155875267454</v>
      </c>
      <c r="AP1383" s="27">
        <f>IF(('Activity data'!BI9*EF!$H8)*kgtoGg=0,"NO",('Activity data'!BI9*EF!$H8)*kgtoGg)</f>
        <v>-49.688332020491153</v>
      </c>
      <c r="AQ1383" s="27">
        <f>IF(('Activity data'!BJ9*EF!$H8)*kgtoGg=0,"NO",('Activity data'!BJ9*EF!$H8)*kgtoGg)</f>
        <v>-48.651569375434605</v>
      </c>
      <c r="AR1383" s="27">
        <f>IF(('Activity data'!BK9*EF!$H8)*kgtoGg=0,"NO",('Activity data'!BK9*EF!$H8)*kgtoGg)</f>
        <v>-47.623109962646353</v>
      </c>
      <c r="AS1383" s="27">
        <f>IF(('Activity data'!BL9*EF!$H8)*kgtoGg=0,"NO",('Activity data'!BL9*EF!$H8)*kgtoGg)</f>
        <v>-46.60221149513962</v>
      </c>
      <c r="AT1383" s="27">
        <f>IF(('Activity data'!BM9*EF!$H8)*kgtoGg=0,"NO",('Activity data'!BM9*EF!$H8)*kgtoGg)</f>
        <v>-45.588754757278259</v>
      </c>
      <c r="AU1383" s="27">
        <f>IF(('Activity data'!BN9*EF!$H8)*kgtoGg=0,"NO",('Activity data'!BN9*EF!$H8)*kgtoGg)</f>
        <v>-44.582802361722123</v>
      </c>
      <c r="AV1383" s="27">
        <f>IF(('Activity data'!BO9*EF!$H8)*kgtoGg=0,"NO",('Activity data'!BO9*EF!$H8)*kgtoGg)</f>
        <v>-43.584392718033477</v>
      </c>
      <c r="AW1383" s="27">
        <f>IF(('Activity data'!BP9*EF!$H8)*kgtoGg=0,"NO",('Activity data'!BP9*EF!$H8)*kgtoGg)</f>
        <v>-42.59295237809765</v>
      </c>
    </row>
    <row r="1384" spans="1:49" x14ac:dyDescent="0.25">
      <c r="A1384" s="95" t="s">
        <v>960</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32.967337371253549</v>
      </c>
      <c r="M1384" s="27">
        <f>IF(('Activity data'!AF10*EF!$H9)*kgtoGg=0,"NO",('Activity data'!AF10*EF!$H9)*kgtoGg)</f>
        <v>34.243655078433662</v>
      </c>
      <c r="N1384" s="27">
        <f>IF(('Activity data'!AG10*EF!$H9)*kgtoGg=0,"NO",('Activity data'!AG10*EF!$H9)*kgtoGg)</f>
        <v>35.195504797614667</v>
      </c>
      <c r="O1384" s="27">
        <f>IF(('Activity data'!AH10*EF!$H9)*kgtoGg=0,"NO",('Activity data'!AH10*EF!$H9)*kgtoGg)</f>
        <v>35.929559405213332</v>
      </c>
      <c r="P1384" s="27">
        <f>IF(('Activity data'!AI10*EF!$H9)*kgtoGg=0,"NO",('Activity data'!AI10*EF!$H9)*kgtoGg)</f>
        <v>36.435327957872921</v>
      </c>
      <c r="Q1384" s="27">
        <f>IF(('Activity data'!AJ10*EF!$H9)*kgtoGg=0,"NO",('Activity data'!AJ10*EF!$H9)*kgtoGg)</f>
        <v>37.125912791560353</v>
      </c>
      <c r="R1384" s="27">
        <f>IF(('Activity data'!AK10*EF!$H9)*kgtoGg=0,"NO",('Activity data'!AK10*EF!$H9)*kgtoGg)</f>
        <v>37.849847328761314</v>
      </c>
      <c r="S1384" s="27">
        <f>IF(('Activity data'!AL10*EF!$H9)*kgtoGg=0,"NO",('Activity data'!AL10*EF!$H9)*kgtoGg)</f>
        <v>35.21788884404873</v>
      </c>
      <c r="T1384" s="27">
        <f>IF(('Activity data'!AM10*EF!$H9)*kgtoGg=0,"NO",('Activity data'!AM10*EF!$H9)*kgtoGg)</f>
        <v>37.455910775606171</v>
      </c>
      <c r="U1384" s="27">
        <f>IF(('Activity data'!AN10*EF!$H9)*kgtoGg=0,"NO",('Activity data'!AN10*EF!$H9)*kgtoGg)</f>
        <v>120.85470894098397</v>
      </c>
      <c r="V1384" s="27">
        <f>IF(('Activity data'!AO10*EF!$H9)*kgtoGg=0,"NO",('Activity data'!AO10*EF!$H9)*kgtoGg)</f>
        <v>124.28654564348025</v>
      </c>
      <c r="W1384" s="27">
        <f>IF(('Activity data'!AP10*EF!$H9)*kgtoGg=0,"NO",('Activity data'!AP10*EF!$H9)*kgtoGg)</f>
        <v>127.55864590441264</v>
      </c>
      <c r="X1384" s="27">
        <f>IF(('Activity data'!AQ10*EF!$H9)*kgtoGg=0,"NO",('Activity data'!AQ10*EF!$H9)*kgtoGg)</f>
        <v>130.65843671178916</v>
      </c>
      <c r="Y1384" s="27">
        <f>IF(('Activity data'!AR10*EF!$H9)*kgtoGg=0,"NO",('Activity data'!AR10*EF!$H9)*kgtoGg)</f>
        <v>133.57680599902966</v>
      </c>
      <c r="Z1384" s="27">
        <f>IF(('Activity data'!AS10*EF!$H9)*kgtoGg=0,"NO",('Activity data'!AS10*EF!$H9)*kgtoGg)</f>
        <v>136.29836120715478</v>
      </c>
      <c r="AA1384" s="27">
        <f>IF(('Activity data'!AT10*EF!$H9)*kgtoGg=0,"NO",('Activity data'!AT10*EF!$H9)*kgtoGg)</f>
        <v>138.8087353610496</v>
      </c>
      <c r="AB1384" s="27">
        <f>IF(('Activity data'!AU10*EF!$H9)*kgtoGg=0,"NO",('Activity data'!AU10*EF!$H9)*kgtoGg)</f>
        <v>141.09420138271955</v>
      </c>
      <c r="AC1384" s="27">
        <f>IF(('Activity data'!AV10*EF!$H9)*kgtoGg=0,"NO",('Activity data'!AV10*EF!$H9)*kgtoGg)</f>
        <v>143.14192494700313</v>
      </c>
      <c r="AD1384" s="27">
        <f>IF(('Activity data'!AW10*EF!$H9)*kgtoGg=0,"NO",('Activity data'!AW10*EF!$H9)*kgtoGg)</f>
        <v>145.32079439837173</v>
      </c>
      <c r="AE1384" s="27">
        <f>IF(('Activity data'!AX10*EF!$H9)*kgtoGg=0,"NO",('Activity data'!AX10*EF!$H9)*kgtoGg)</f>
        <v>147.24589460251983</v>
      </c>
      <c r="AF1384" s="27">
        <f>IF(('Activity data'!AY10*EF!$H9)*kgtoGg=0,"NO",('Activity data'!AY10*EF!$H9)*kgtoGg)</f>
        <v>148.90595700146477</v>
      </c>
      <c r="AG1384" s="27">
        <f>IF(('Activity data'!AZ10*EF!$H9)*kgtoGg=0,"NO",('Activity data'!AZ10*EF!$H9)*kgtoGg)</f>
        <v>150.29119988084832</v>
      </c>
      <c r="AH1384" s="27">
        <f>IF(('Activity data'!BA10*EF!$H9)*kgtoGg=0,"NO",('Activity data'!BA10*EF!$H9)*kgtoGg)</f>
        <v>151.39298806651198</v>
      </c>
      <c r="AI1384" s="27">
        <f>IF(('Activity data'!BB10*EF!$H9)*kgtoGg=0,"NO",('Activity data'!BB10*EF!$H9)*kgtoGg)</f>
        <v>152.2040963869018</v>
      </c>
      <c r="AJ1384" s="27">
        <f>IF(('Activity data'!BC10*EF!$H9)*kgtoGg=0,"NO",('Activity data'!BC10*EF!$H9)*kgtoGg)</f>
        <v>-12.150089844770541</v>
      </c>
      <c r="AK1384" s="27">
        <f>IF(('Activity data'!BD10*EF!$H9)*kgtoGg=0,"NO",('Activity data'!BD10*EF!$H9)*kgtoGg)</f>
        <v>-12.261292624366734</v>
      </c>
      <c r="AL1384" s="27">
        <f>IF(('Activity data'!BE10*EF!$H9)*kgtoGg=0,"NO",('Activity data'!BE10*EF!$H9)*kgtoGg)</f>
        <v>-12.371760078813706</v>
      </c>
      <c r="AM1384" s="27">
        <f>IF(('Activity data'!BF10*EF!$H9)*kgtoGg=0,"NO",('Activity data'!BF10*EF!$H9)*kgtoGg)</f>
        <v>-12.481547229069234</v>
      </c>
      <c r="AN1384" s="27">
        <f>IF(('Activity data'!BG10*EF!$H9)*kgtoGg=0,"NO",('Activity data'!BG10*EF!$H9)*kgtoGg)</f>
        <v>-12.575061773814197</v>
      </c>
      <c r="AO1384" s="27">
        <f>IF(('Activity data'!BH10*EF!$H9)*kgtoGg=0,"NO",('Activity data'!BH10*EF!$H9)*kgtoGg)</f>
        <v>-12.667641248223251</v>
      </c>
      <c r="AP1384" s="27">
        <f>IF(('Activity data'!BI10*EF!$H9)*kgtoGg=0,"NO",('Activity data'!BI10*EF!$H9)*kgtoGg)</f>
        <v>-12.759143955764493</v>
      </c>
      <c r="AQ1384" s="27">
        <f>IF(('Activity data'!BJ10*EF!$H9)*kgtoGg=0,"NO",('Activity data'!BJ10*EF!$H9)*kgtoGg)</f>
        <v>-12.849544731083009</v>
      </c>
      <c r="AR1384" s="27">
        <f>IF(('Activity data'!BK10*EF!$H9)*kgtoGg=0,"NO",('Activity data'!BK10*EF!$H9)*kgtoGg)</f>
        <v>-12.938674897522816</v>
      </c>
      <c r="AS1384" s="27">
        <f>IF(('Activity data'!BL10*EF!$H9)*kgtoGg=0,"NO",('Activity data'!BL10*EF!$H9)*kgtoGg)</f>
        <v>-13.02634616662869</v>
      </c>
      <c r="AT1384" s="27">
        <f>IF(('Activity data'!BM10*EF!$H9)*kgtoGg=0,"NO",('Activity data'!BM10*EF!$H9)*kgtoGg)</f>
        <v>-13.112524146200343</v>
      </c>
      <c r="AU1384" s="27">
        <f>IF(('Activity data'!BN10*EF!$H9)*kgtoGg=0,"NO",('Activity data'!BN10*EF!$H9)*kgtoGg)</f>
        <v>-13.197221864241371</v>
      </c>
      <c r="AV1384" s="27">
        <f>IF(('Activity data'!BO10*EF!$H9)*kgtoGg=0,"NO",('Activity data'!BO10*EF!$H9)*kgtoGg)</f>
        <v>-13.28044453197926</v>
      </c>
      <c r="AW1384" s="27">
        <f>IF(('Activity data'!BP10*EF!$H9)*kgtoGg=0,"NO",('Activity data'!BP10*EF!$H9)*kgtoGg)</f>
        <v>-13.362004258887673</v>
      </c>
    </row>
    <row r="1385" spans="1:49" x14ac:dyDescent="0.25">
      <c r="A1385" s="95" t="s">
        <v>960</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134.51556530099631</v>
      </c>
      <c r="T1385" s="27">
        <f>IF(('Activity data'!AM11*EF!$H10)*kgtoGg=0,"NO",('Activity data'!AM11*EF!$H10)*kgtoGg)</f>
        <v>134.60509112337468</v>
      </c>
      <c r="U1385" s="27">
        <f>IF(('Activity data'!AN11*EF!$H10)*kgtoGg=0,"NO",('Activity data'!AN11*EF!$H10)*kgtoGg)</f>
        <v>136.35833424652054</v>
      </c>
      <c r="V1385" s="27">
        <f>IF(('Activity data'!AO11*EF!$H10)*kgtoGg=0,"NO",('Activity data'!AO11*EF!$H10)*kgtoGg)</f>
        <v>136.40110324414033</v>
      </c>
      <c r="W1385" s="27">
        <f>IF(('Activity data'!AP11*EF!$H10)*kgtoGg=0,"NO",('Activity data'!AP11*EF!$H10)*kgtoGg)</f>
        <v>136.58404654274005</v>
      </c>
      <c r="X1385" s="27">
        <f>IF(('Activity data'!AQ11*EF!$H10)*kgtoGg=0,"NO",('Activity data'!AQ11*EF!$H10)*kgtoGg)</f>
        <v>136.84849552124783</v>
      </c>
      <c r="Y1385" s="27">
        <f>IF(('Activity data'!AR11*EF!$H10)*kgtoGg=0,"NO",('Activity data'!AR11*EF!$H10)*kgtoGg)</f>
        <v>137.09415955987274</v>
      </c>
      <c r="Z1385" s="27">
        <f>IF(('Activity data'!AS11*EF!$H10)*kgtoGg=0,"NO",('Activity data'!AS11*EF!$H10)*kgtoGg)</f>
        <v>137.32408030952666</v>
      </c>
      <c r="AA1385" s="27">
        <f>IF(('Activity data'!AT11*EF!$H10)*kgtoGg=0,"NO",('Activity data'!AT11*EF!$H10)*kgtoGg)</f>
        <v>137.53703172758449</v>
      </c>
      <c r="AB1385" s="27">
        <f>IF(('Activity data'!AU11*EF!$H10)*kgtoGg=0,"NO",('Activity data'!AU11*EF!$H10)*kgtoGg)</f>
        <v>137.73493252382224</v>
      </c>
      <c r="AC1385" s="27">
        <f>IF(('Activity data'!AV11*EF!$H10)*kgtoGg=0,"NO",('Activity data'!AV11*EF!$H10)*kgtoGg)</f>
        <v>137.92078465176073</v>
      </c>
      <c r="AD1385" s="27">
        <f>IF(('Activity data'!AW11*EF!$H10)*kgtoGg=0,"NO",('Activity data'!AW11*EF!$H10)*kgtoGg)</f>
        <v>138.09441299579947</v>
      </c>
      <c r="AE1385" s="27">
        <f>IF(('Activity data'!AX11*EF!$H10)*kgtoGg=0,"NO",('Activity data'!AX11*EF!$H10)*kgtoGg)</f>
        <v>138.25859465521103</v>
      </c>
      <c r="AF1385" s="27">
        <f>IF(('Activity data'!AY11*EF!$H10)*kgtoGg=0,"NO",('Activity data'!AY11*EF!$H10)*kgtoGg)</f>
        <v>138.41372705764812</v>
      </c>
      <c r="AG1385" s="27">
        <f>IF(('Activity data'!AZ11*EF!$H10)*kgtoGg=0,"NO",('Activity data'!AZ11*EF!$H10)*kgtoGg)</f>
        <v>138.55768393469623</v>
      </c>
      <c r="AH1385" s="27">
        <f>IF(('Activity data'!BA11*EF!$H10)*kgtoGg=0,"NO",('Activity data'!BA11*EF!$H10)*kgtoGg)</f>
        <v>138.69178217062699</v>
      </c>
      <c r="AI1385" s="27">
        <f>IF(('Activity data'!BB11*EF!$H10)*kgtoGg=0,"NO",('Activity data'!BB11*EF!$H10)*kgtoGg)</f>
        <v>138.81816108295814</v>
      </c>
      <c r="AJ1385" s="27">
        <f>IF(('Activity data'!BC11*EF!$H10)*kgtoGg=0,"NO",('Activity data'!BC11*EF!$H10)*kgtoGg)</f>
        <v>135.77163521502163</v>
      </c>
      <c r="AK1385" s="27">
        <f>IF(('Activity data'!BD11*EF!$H10)*kgtoGg=0,"NO",('Activity data'!BD11*EF!$H10)*kgtoGg)</f>
        <v>135.89648953385836</v>
      </c>
      <c r="AL1385" s="27">
        <f>IF(('Activity data'!BE11*EF!$H10)*kgtoGg=0,"NO",('Activity data'!BE11*EF!$H10)*kgtoGg)</f>
        <v>136.01294647652736</v>
      </c>
      <c r="AM1385" s="27">
        <f>IF(('Activity data'!BF11*EF!$H10)*kgtoGg=0,"NO",('Activity data'!BF11*EF!$H10)*kgtoGg)</f>
        <v>136.12171776801748</v>
      </c>
      <c r="AN1385" s="27">
        <f>IF(('Activity data'!BG11*EF!$H10)*kgtoGg=0,"NO",('Activity data'!BG11*EF!$H10)*kgtoGg)</f>
        <v>136.22366859450332</v>
      </c>
      <c r="AO1385" s="27">
        <f>IF(('Activity data'!BH11*EF!$H10)*kgtoGg=0,"NO",('Activity data'!BH11*EF!$H10)*kgtoGg)</f>
        <v>136.31611723482146</v>
      </c>
      <c r="AP1385" s="27">
        <f>IF(('Activity data'!BI11*EF!$H10)*kgtoGg=0,"NO",('Activity data'!BI11*EF!$H10)*kgtoGg)</f>
        <v>136.39727280638544</v>
      </c>
      <c r="AQ1385" s="27">
        <f>IF(('Activity data'!BJ11*EF!$H10)*kgtoGg=0,"NO",('Activity data'!BJ11*EF!$H10)*kgtoGg)</f>
        <v>136.46687299989276</v>
      </c>
      <c r="AR1385" s="27">
        <f>IF(('Activity data'!BK11*EF!$H10)*kgtoGg=0,"NO",('Activity data'!BK11*EF!$H10)*kgtoGg)</f>
        <v>136.52287982045266</v>
      </c>
      <c r="AS1385" s="27">
        <f>IF(('Activity data'!BL11*EF!$H10)*kgtoGg=0,"NO",('Activity data'!BL11*EF!$H10)*kgtoGg)</f>
        <v>136.56307802336653</v>
      </c>
      <c r="AT1385" s="27">
        <f>IF(('Activity data'!BM11*EF!$H10)*kgtoGg=0,"NO",('Activity data'!BM11*EF!$H10)*kgtoGg)</f>
        <v>136.58721779491506</v>
      </c>
      <c r="AU1385" s="27">
        <f>IF(('Activity data'!BN11*EF!$H10)*kgtoGg=0,"NO",('Activity data'!BN11*EF!$H10)*kgtoGg)</f>
        <v>136.59564346547165</v>
      </c>
      <c r="AV1385" s="27">
        <f>IF(('Activity data'!BO11*EF!$H10)*kgtoGg=0,"NO",('Activity data'!BO11*EF!$H10)*kgtoGg)</f>
        <v>136.58860148831764</v>
      </c>
      <c r="AW1385" s="27">
        <f>IF(('Activity data'!BP11*EF!$H10)*kgtoGg=0,"NO",('Activity data'!BP11*EF!$H10)*kgtoGg)</f>
        <v>136.56400681676968</v>
      </c>
    </row>
    <row r="1386" spans="1:49" x14ac:dyDescent="0.25">
      <c r="A1386" s="95" t="s">
        <v>960</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14.577965145623706</v>
      </c>
      <c r="T1386" s="27">
        <f>IF(('Activity data'!AM12*EF!$H11)*kgtoGg=0,"NO",('Activity data'!AM12*EF!$H11)*kgtoGg)</f>
        <v>14.587667400640397</v>
      </c>
      <c r="U1386" s="27">
        <f>IF(('Activity data'!AN12*EF!$H11)*kgtoGg=0,"NO",('Activity data'!AN12*EF!$H11)*kgtoGg)</f>
        <v>14.777673048565481</v>
      </c>
      <c r="V1386" s="27">
        <f>IF(('Activity data'!AO12*EF!$H11)*kgtoGg=0,"NO",('Activity data'!AO12*EF!$H11)*kgtoGg)</f>
        <v>14.782308088051206</v>
      </c>
      <c r="W1386" s="27">
        <f>IF(('Activity data'!AP12*EF!$H11)*kgtoGg=0,"NO",('Activity data'!AP12*EF!$H11)*kgtoGg)</f>
        <v>14.802134351462762</v>
      </c>
      <c r="X1386" s="27">
        <f>IF(('Activity data'!AQ12*EF!$H11)*kgtoGg=0,"NO",('Activity data'!AQ12*EF!$H11)*kgtoGg)</f>
        <v>14.830793696445298</v>
      </c>
      <c r="Y1386" s="27">
        <f>IF(('Activity data'!AR12*EF!$H11)*kgtoGg=0,"NO",('Activity data'!AR12*EF!$H11)*kgtoGg)</f>
        <v>14.857417245806248</v>
      </c>
      <c r="Z1386" s="27">
        <f>IF(('Activity data'!AS12*EF!$H11)*kgtoGg=0,"NO",('Activity data'!AS12*EF!$H11)*kgtoGg)</f>
        <v>14.882334634862383</v>
      </c>
      <c r="AA1386" s="27">
        <f>IF(('Activity data'!AT12*EF!$H11)*kgtoGg=0,"NO",('Activity data'!AT12*EF!$H11)*kgtoGg)</f>
        <v>14.905412992695631</v>
      </c>
      <c r="AB1386" s="27">
        <f>IF(('Activity data'!AU12*EF!$H11)*kgtoGg=0,"NO",('Activity data'!AU12*EF!$H11)*kgtoGg)</f>
        <v>14.926860257206538</v>
      </c>
      <c r="AC1386" s="27">
        <f>IF(('Activity data'!AV12*EF!$H11)*kgtoGg=0,"NO",('Activity data'!AV12*EF!$H11)*kgtoGg)</f>
        <v>14.947001761554121</v>
      </c>
      <c r="AD1386" s="27">
        <f>IF(('Activity data'!AW12*EF!$H11)*kgtoGg=0,"NO",('Activity data'!AW12*EF!$H11)*kgtoGg)</f>
        <v>14.965818527792479</v>
      </c>
      <c r="AE1386" s="27">
        <f>IF(('Activity data'!AX12*EF!$H11)*kgtoGg=0,"NO",('Activity data'!AX12*EF!$H11)*kgtoGg)</f>
        <v>14.983611520767653</v>
      </c>
      <c r="AF1386" s="27">
        <f>IF(('Activity data'!AY12*EF!$H11)*kgtoGg=0,"NO",('Activity data'!AY12*EF!$H11)*kgtoGg)</f>
        <v>15.000423811231022</v>
      </c>
      <c r="AG1386" s="27">
        <f>IF(('Activity data'!AZ12*EF!$H11)*kgtoGg=0,"NO",('Activity data'!AZ12*EF!$H11)*kgtoGg)</f>
        <v>15.016024967360309</v>
      </c>
      <c r="AH1386" s="27">
        <f>IF(('Activity data'!BA12*EF!$H11)*kgtoGg=0,"NO",('Activity data'!BA12*EF!$H11)*kgtoGg)</f>
        <v>15.030557704929484</v>
      </c>
      <c r="AI1386" s="27">
        <f>IF(('Activity data'!BB12*EF!$H11)*kgtoGg=0,"NO",('Activity data'!BB12*EF!$H11)*kgtoGg)</f>
        <v>15.044253869941933</v>
      </c>
      <c r="AJ1386" s="27">
        <f>IF(('Activity data'!BC12*EF!$H11)*kgtoGg=0,"NO",('Activity data'!BC12*EF!$H11)*kgtoGg)</f>
        <v>14.714090235580054</v>
      </c>
      <c r="AK1386" s="27">
        <f>IF(('Activity data'!BD12*EF!$H11)*kgtoGg=0,"NO",('Activity data'!BD12*EF!$H11)*kgtoGg)</f>
        <v>14.727621174577411</v>
      </c>
      <c r="AL1386" s="27">
        <f>IF(('Activity data'!BE12*EF!$H11)*kgtoGg=0,"NO",('Activity data'!BE12*EF!$H11)*kgtoGg)</f>
        <v>14.740242057873667</v>
      </c>
      <c r="AM1386" s="27">
        <f>IF(('Activity data'!BF12*EF!$H11)*kgtoGg=0,"NO",('Activity data'!BF12*EF!$H11)*kgtoGg)</f>
        <v>14.752030017821943</v>
      </c>
      <c r="AN1386" s="27">
        <f>IF(('Activity data'!BG12*EF!$H11)*kgtoGg=0,"NO",('Activity data'!BG12*EF!$H11)*kgtoGg)</f>
        <v>14.763078817949665</v>
      </c>
      <c r="AO1386" s="27">
        <f>IF(('Activity data'!BH12*EF!$H11)*kgtoGg=0,"NO",('Activity data'!BH12*EF!$H11)*kgtoGg)</f>
        <v>14.773097829900454</v>
      </c>
      <c r="AP1386" s="27">
        <f>IF(('Activity data'!BI12*EF!$H11)*kgtoGg=0,"NO",('Activity data'!BI12*EF!$H11)*kgtoGg)</f>
        <v>14.781892968894116</v>
      </c>
      <c r="AQ1386" s="27">
        <f>IF(('Activity data'!BJ12*EF!$H11)*kgtoGg=0,"NO",('Activity data'!BJ12*EF!$H11)*kgtoGg)</f>
        <v>14.789435807470511</v>
      </c>
      <c r="AR1386" s="27">
        <f>IF(('Activity data'!BK12*EF!$H11)*kgtoGg=0,"NO",('Activity data'!BK12*EF!$H11)*kgtoGg)</f>
        <v>14.795505480346009</v>
      </c>
      <c r="AS1386" s="27">
        <f>IF(('Activity data'!BL12*EF!$H11)*kgtoGg=0,"NO",('Activity data'!BL12*EF!$H11)*kgtoGg)</f>
        <v>14.799861912998866</v>
      </c>
      <c r="AT1386" s="27">
        <f>IF(('Activity data'!BM12*EF!$H11)*kgtoGg=0,"NO",('Activity data'!BM12*EF!$H11)*kgtoGg)</f>
        <v>14.802478032162998</v>
      </c>
      <c r="AU1386" s="27">
        <f>IF(('Activity data'!BN12*EF!$H11)*kgtoGg=0,"NO",('Activity data'!BN12*EF!$H11)*kgtoGg)</f>
        <v>14.803391154234989</v>
      </c>
      <c r="AV1386" s="27">
        <f>IF(('Activity data'!BO12*EF!$H11)*kgtoGg=0,"NO",('Activity data'!BO12*EF!$H11)*kgtoGg)</f>
        <v>14.802627988297443</v>
      </c>
      <c r="AW1386" s="27">
        <f>IF(('Activity data'!BP12*EF!$H11)*kgtoGg=0,"NO",('Activity data'!BP12*EF!$H11)*kgtoGg)</f>
        <v>14.799962569884396</v>
      </c>
    </row>
    <row r="1387" spans="1:49" x14ac:dyDescent="0.25">
      <c r="A1387" s="95" t="s">
        <v>960</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15.123414197798359</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15.545788610572222</v>
      </c>
      <c r="R1387" s="27">
        <f>IF(('Activity data'!AK13*EF!$H12)*kgtoGg=0,"NO",('Activity data'!AK13*EF!$H12)*kgtoGg)</f>
        <v>15.648067752449878</v>
      </c>
      <c r="S1387" s="27">
        <f>IF(('Activity data'!AL13*EF!$H12)*kgtoGg=0,"NO",('Activity data'!AL13*EF!$H12)*kgtoGg)</f>
        <v>15.609909908763072</v>
      </c>
      <c r="T1387" s="27">
        <f>IF(('Activity data'!AM13*EF!$H12)*kgtoGg=0,"NO",('Activity data'!AM13*EF!$H12)*kgtoGg)</f>
        <v>15.635455939498677</v>
      </c>
      <c r="U1387" s="27">
        <f>IF(('Activity data'!AN13*EF!$H12)*kgtoGg=0,"NO",('Activity data'!AN13*EF!$H12)*kgtoGg)</f>
        <v>15.95246888070791</v>
      </c>
      <c r="V1387" s="27">
        <f>IF(('Activity data'!AO13*EF!$H12)*kgtoGg=0,"NO",('Activity data'!AO13*EF!$H12)*kgtoGg)</f>
        <v>15.966791142533616</v>
      </c>
      <c r="W1387" s="27">
        <f>IF(('Activity data'!AP13*EF!$H12)*kgtoGg=0,"NO",('Activity data'!AP13*EF!$H12)*kgtoGg)</f>
        <v>16.004709527553434</v>
      </c>
      <c r="X1387" s="27">
        <f>IF(('Activity data'!AQ13*EF!$H12)*kgtoGg=0,"NO",('Activity data'!AQ13*EF!$H12)*kgtoGg)</f>
        <v>16.055885293055152</v>
      </c>
      <c r="Y1387" s="27">
        <f>IF(('Activity data'!AR13*EF!$H12)*kgtoGg=0,"NO",('Activity data'!AR13*EF!$H12)*kgtoGg)</f>
        <v>16.102820608505493</v>
      </c>
      <c r="Z1387" s="27">
        <f>IF(('Activity data'!AS13*EF!$H12)*kgtoGg=0,"NO",('Activity data'!AS13*EF!$H12)*kgtoGg)</f>
        <v>16.146135876832972</v>
      </c>
      <c r="AA1387" s="27">
        <f>IF(('Activity data'!AT13*EF!$H12)*kgtoGg=0,"NO",('Activity data'!AT13*EF!$H12)*kgtoGg)</f>
        <v>16.185698238107559</v>
      </c>
      <c r="AB1387" s="27">
        <f>IF(('Activity data'!AU13*EF!$H12)*kgtoGg=0,"NO",('Activity data'!AU13*EF!$H12)*kgtoGg)</f>
        <v>16.22191395009931</v>
      </c>
      <c r="AC1387" s="27">
        <f>IF(('Activity data'!AV13*EF!$H12)*kgtoGg=0,"NO",('Activity data'!AV13*EF!$H12)*kgtoGg)</f>
        <v>16.25536732746065</v>
      </c>
      <c r="AD1387" s="27">
        <f>IF(('Activity data'!AW13*EF!$H12)*kgtoGg=0,"NO",('Activity data'!AW13*EF!$H12)*kgtoGg)</f>
        <v>16.286085323517181</v>
      </c>
      <c r="AE1387" s="27">
        <f>IF(('Activity data'!AX13*EF!$H12)*kgtoGg=0,"NO",('Activity data'!AX13*EF!$H12)*kgtoGg)</f>
        <v>16.31459834375584</v>
      </c>
      <c r="AF1387" s="27">
        <f>IF(('Activity data'!AY13*EF!$H12)*kgtoGg=0,"NO",('Activity data'!AY13*EF!$H12)*kgtoGg)</f>
        <v>16.341020303059434</v>
      </c>
      <c r="AG1387" s="27">
        <f>IF(('Activity data'!AZ13*EF!$H12)*kgtoGg=0,"NO",('Activity data'!AZ13*EF!$H12)*kgtoGg)</f>
        <v>16.365028601066268</v>
      </c>
      <c r="AH1387" s="27">
        <f>IF(('Activity data'!BA13*EF!$H12)*kgtoGg=0,"NO",('Activity data'!BA13*EF!$H12)*kgtoGg)</f>
        <v>16.386889120844085</v>
      </c>
      <c r="AI1387" s="27">
        <f>IF(('Activity data'!BB13*EF!$H12)*kgtoGg=0,"NO",('Activity data'!BB13*EF!$H12)*kgtoGg)</f>
        <v>16.407003513902541</v>
      </c>
      <c r="AJ1387" s="27">
        <f>IF(('Activity data'!BC13*EF!$H12)*kgtoGg=0,"NO",('Activity data'!BC13*EF!$H12)*kgtoGg)</f>
        <v>15.886156568564889</v>
      </c>
      <c r="AK1387" s="27">
        <f>IF(('Activity data'!BD13*EF!$H12)*kgtoGg=0,"NO",('Activity data'!BD13*EF!$H12)*kgtoGg)</f>
        <v>15.906232465615583</v>
      </c>
      <c r="AL1387" s="27">
        <f>IF(('Activity data'!BE13*EF!$H12)*kgtoGg=0,"NO",('Activity data'!BE13*EF!$H12)*kgtoGg)</f>
        <v>15.924511297002383</v>
      </c>
      <c r="AM1387" s="27">
        <f>IF(('Activity data'!BF13*EF!$H12)*kgtoGg=0,"NO",('Activity data'!BF13*EF!$H12)*kgtoGg)</f>
        <v>15.941140997111155</v>
      </c>
      <c r="AN1387" s="27">
        <f>IF(('Activity data'!BG13*EF!$H12)*kgtoGg=0,"NO",('Activity data'!BG13*EF!$H12)*kgtoGg)</f>
        <v>15.956292884471127</v>
      </c>
      <c r="AO1387" s="27">
        <f>IF(('Activity data'!BH13*EF!$H12)*kgtoGg=0,"NO",('Activity data'!BH13*EF!$H12)*kgtoGg)</f>
        <v>15.969536826708435</v>
      </c>
      <c r="AP1387" s="27">
        <f>IF(('Activity data'!BI13*EF!$H12)*kgtoGg=0,"NO",('Activity data'!BI13*EF!$H12)*kgtoGg)</f>
        <v>15.980594577453482</v>
      </c>
      <c r="AQ1387" s="27">
        <f>IF(('Activity data'!BJ13*EF!$H12)*kgtoGg=0,"NO",('Activity data'!BJ13*EF!$H12)*kgtoGg)</f>
        <v>15.989445822984647</v>
      </c>
      <c r="AR1387" s="27">
        <f>IF(('Activity data'!BK13*EF!$H12)*kgtoGg=0,"NO",('Activity data'!BK13*EF!$H12)*kgtoGg)</f>
        <v>15.995770985939464</v>
      </c>
      <c r="AS1387" s="27">
        <f>IF(('Activity data'!BL13*EF!$H12)*kgtoGg=0,"NO",('Activity data'!BL13*EF!$H12)*kgtoGg)</f>
        <v>15.999221862064399</v>
      </c>
      <c r="AT1387" s="27">
        <f>IF(('Activity data'!BM13*EF!$H12)*kgtoGg=0,"NO",('Activity data'!BM13*EF!$H12)*kgtoGg)</f>
        <v>15.999780644603296</v>
      </c>
      <c r="AU1387" s="27">
        <f>IF(('Activity data'!BN13*EF!$H12)*kgtoGg=0,"NO",('Activity data'!BN13*EF!$H12)*kgtoGg)</f>
        <v>15.99752803776004</v>
      </c>
      <c r="AV1387" s="27">
        <f>IF(('Activity data'!BO13*EF!$H12)*kgtoGg=0,"NO",('Activity data'!BO13*EF!$H12)*kgtoGg)</f>
        <v>15.992527037206958</v>
      </c>
      <c r="AW1387" s="27">
        <f>IF(('Activity data'!BP13*EF!$H12)*kgtoGg=0,"NO",('Activity data'!BP13*EF!$H12)*kgtoGg)</f>
        <v>15.984450939829935</v>
      </c>
    </row>
    <row r="1388" spans="1:49" x14ac:dyDescent="0.25">
      <c r="A1388" s="95" t="s">
        <v>960</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22.381101687842744</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23.101065436464115</v>
      </c>
      <c r="T1388" s="27">
        <f>IF(('Activity data'!AM14*EF!$H13)*kgtoGg=0,"NO",('Activity data'!AM14*EF!$H13)*kgtoGg)</f>
        <v>23.138870941499981</v>
      </c>
      <c r="U1388" s="27">
        <f>IF(('Activity data'!AN14*EF!$H13)*kgtoGg=0,"NO",('Activity data'!AN14*EF!$H13)*kgtoGg)</f>
        <v>23.608017576034321</v>
      </c>
      <c r="V1388" s="27">
        <f>IF(('Activity data'!AO14*EF!$H13)*kgtoGg=0,"NO",('Activity data'!AO14*EF!$H13)*kgtoGg)</f>
        <v>23.62921305439183</v>
      </c>
      <c r="W1388" s="27">
        <f>IF(('Activity data'!AP14*EF!$H13)*kgtoGg=0,"NO",('Activity data'!AP14*EF!$H13)*kgtoGg)</f>
        <v>23.685328374640804</v>
      </c>
      <c r="X1388" s="27">
        <f>IF(('Activity data'!AQ14*EF!$H13)*kgtoGg=0,"NO",('Activity data'!AQ14*EF!$H13)*kgtoGg)</f>
        <v>23.761063258091507</v>
      </c>
      <c r="Y1388" s="27">
        <f>IF(('Activity data'!AR14*EF!$H13)*kgtoGg=0,"NO",('Activity data'!AR14*EF!$H13)*kgtoGg)</f>
        <v>23.830522710441766</v>
      </c>
      <c r="Z1388" s="27">
        <f>IF(('Activity data'!AS14*EF!$H13)*kgtoGg=0,"NO",('Activity data'!AS14*EF!$H13)*kgtoGg)</f>
        <v>23.894624864386248</v>
      </c>
      <c r="AA1388" s="27">
        <f>IF(('Activity data'!AT14*EF!$H13)*kgtoGg=0,"NO",('Activity data'!AT14*EF!$H13)*kgtoGg)</f>
        <v>23.953173100856997</v>
      </c>
      <c r="AB1388" s="27">
        <f>IF(('Activity data'!AU14*EF!$H13)*kgtoGg=0,"NO",('Activity data'!AU14*EF!$H13)*kgtoGg)</f>
        <v>24.006768639680701</v>
      </c>
      <c r="AC1388" s="27">
        <f>IF(('Activity data'!AV14*EF!$H13)*kgtoGg=0,"NO",('Activity data'!AV14*EF!$H13)*kgtoGg)</f>
        <v>24.0562762066053</v>
      </c>
      <c r="AD1388" s="27">
        <f>IF(('Activity data'!AW14*EF!$H13)*kgtoGg=0,"NO",('Activity data'!AW14*EF!$H13)*kgtoGg)</f>
        <v>24.101735689787876</v>
      </c>
      <c r="AE1388" s="27">
        <f>IF(('Activity data'!AX14*EF!$H13)*kgtoGg=0,"NO",('Activity data'!AX14*EF!$H13)*kgtoGg)</f>
        <v>24.143932034941329</v>
      </c>
      <c r="AF1388" s="27">
        <f>IF(('Activity data'!AY14*EF!$H13)*kgtoGg=0,"NO",('Activity data'!AY14*EF!$H13)*kgtoGg)</f>
        <v>24.183033824407083</v>
      </c>
      <c r="AG1388" s="27">
        <f>IF(('Activity data'!AZ14*EF!$H13)*kgtoGg=0,"NO",('Activity data'!AZ14*EF!$H13)*kgtoGg)</f>
        <v>24.218563642741437</v>
      </c>
      <c r="AH1388" s="27">
        <f>IF(('Activity data'!BA14*EF!$H13)*kgtoGg=0,"NO",('Activity data'!BA14*EF!$H13)*kgtoGg)</f>
        <v>24.250914969610982</v>
      </c>
      <c r="AI1388" s="27">
        <f>IF(('Activity data'!BB14*EF!$H13)*kgtoGg=0,"NO",('Activity data'!BB14*EF!$H13)*kgtoGg)</f>
        <v>24.280682208049512</v>
      </c>
      <c r="AJ1388" s="27">
        <f>IF(('Activity data'!BC14*EF!$H13)*kgtoGg=0,"NO",('Activity data'!BC14*EF!$H13)*kgtoGg)</f>
        <v>23.509882156226475</v>
      </c>
      <c r="AK1388" s="27">
        <f>IF(('Activity data'!BD14*EF!$H13)*kgtoGg=0,"NO",('Activity data'!BD14*EF!$H13)*kgtoGg)</f>
        <v>23.53959242452235</v>
      </c>
      <c r="AL1388" s="27">
        <f>IF(('Activity data'!BE14*EF!$H13)*kgtoGg=0,"NO",('Activity data'!BE14*EF!$H13)*kgtoGg)</f>
        <v>23.566643219974505</v>
      </c>
      <c r="AM1388" s="27">
        <f>IF(('Activity data'!BF14*EF!$H13)*kgtoGg=0,"NO",('Activity data'!BF14*EF!$H13)*kgtoGg)</f>
        <v>23.591253470299264</v>
      </c>
      <c r="AN1388" s="27">
        <f>IF(('Activity data'!BG14*EF!$H13)*kgtoGg=0,"NO",('Activity data'!BG14*EF!$H13)*kgtoGg)</f>
        <v>23.613676709346407</v>
      </c>
      <c r="AO1388" s="27">
        <f>IF(('Activity data'!BH14*EF!$H13)*kgtoGg=0,"NO",('Activity data'!BH14*EF!$H13)*kgtoGg)</f>
        <v>23.633276385324617</v>
      </c>
      <c r="AP1388" s="27">
        <f>IF(('Activity data'!BI14*EF!$H13)*kgtoGg=0,"NO",('Activity data'!BI14*EF!$H13)*kgtoGg)</f>
        <v>23.649640722148757</v>
      </c>
      <c r="AQ1388" s="27">
        <f>IF(('Activity data'!BJ14*EF!$H13)*kgtoGg=0,"NO",('Activity data'!BJ14*EF!$H13)*kgtoGg)</f>
        <v>23.662739657594557</v>
      </c>
      <c r="AR1388" s="27">
        <f>IF(('Activity data'!BK14*EF!$H13)*kgtoGg=0,"NO",('Activity data'!BK14*EF!$H13)*kgtoGg)</f>
        <v>23.672100249947082</v>
      </c>
      <c r="AS1388" s="27">
        <f>IF(('Activity data'!BL14*EF!$H13)*kgtoGg=0,"NO",('Activity data'!BL14*EF!$H13)*kgtoGg)</f>
        <v>23.67720719262908</v>
      </c>
      <c r="AT1388" s="27">
        <f>IF(('Activity data'!BM14*EF!$H13)*kgtoGg=0,"NO",('Activity data'!BM14*EF!$H13)*kgtoGg)</f>
        <v>23.678034133468028</v>
      </c>
      <c r="AU1388" s="27">
        <f>IF(('Activity data'!BN14*EF!$H13)*kgtoGg=0,"NO",('Activity data'!BN14*EF!$H13)*kgtoGg)</f>
        <v>23.674700506407216</v>
      </c>
      <c r="AV1388" s="27">
        <f>IF(('Activity data'!BO14*EF!$H13)*kgtoGg=0,"NO",('Activity data'!BO14*EF!$H13)*kgtoGg)</f>
        <v>23.667299538579741</v>
      </c>
      <c r="AW1388" s="27">
        <f>IF(('Activity data'!BP14*EF!$H13)*kgtoGg=0,"NO",('Activity data'!BP14*EF!$H13)*kgtoGg)</f>
        <v>23.655347742889163</v>
      </c>
    </row>
    <row r="1389" spans="1:49" x14ac:dyDescent="0.25">
      <c r="A1389" s="95" t="s">
        <v>960</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5.5526214800767901</v>
      </c>
      <c r="L1389" s="27">
        <f>IF(('Activity data'!AE15*EF!$H14)*kgtoGg=0,"NO",('Activity data'!AE15*EF!$H14)*kgtoGg)</f>
        <v>5.5795235710196529</v>
      </c>
      <c r="M1389" s="27">
        <f>IF(('Activity data'!AF15*EF!$H14)*kgtoGg=0,"NO",('Activity data'!AF15*EF!$H14)*kgtoGg)</f>
        <v>5.6203482259438022</v>
      </c>
      <c r="N1389" s="27">
        <f>IF(('Activity data'!AG15*EF!$H14)*kgtoGg=0,"NO",('Activity data'!AG15*EF!$H14)*kgtoGg)</f>
        <v>5.6290756550083767</v>
      </c>
      <c r="O1389" s="27">
        <f>IF(('Activity data'!AH15*EF!$H14)*kgtoGg=0,"NO",('Activity data'!AH15*EF!$H14)*kgtoGg)</f>
        <v>5.6165815405282284</v>
      </c>
      <c r="P1389" s="27">
        <f>IF(('Activity data'!AI15*EF!$H14)*kgtoGg=0,"NO",('Activity data'!AI15*EF!$H14)*kgtoGg)</f>
        <v>5.5833231296706112</v>
      </c>
      <c r="Q1389" s="27">
        <f>IF(('Activity data'!AJ15*EF!$H14)*kgtoGg=0,"NO",('Activity data'!AJ15*EF!$H14)*kgtoGg)</f>
        <v>5.5648827699457364</v>
      </c>
      <c r="R1389" s="27">
        <f>IF(('Activity data'!AK15*EF!$H14)*kgtoGg=0,"NO",('Activity data'!AK15*EF!$H14)*kgtoGg)</f>
        <v>5.5483103177944031</v>
      </c>
      <c r="S1389" s="27">
        <f>IF(('Activity data'!AL15*EF!$H14)*kgtoGg=0,"NO",('Activity data'!AL15*EF!$H14)*kgtoGg)</f>
        <v>5.301317756839599</v>
      </c>
      <c r="T1389" s="27">
        <f>IF(('Activity data'!AM15*EF!$H14)*kgtoGg=0,"NO",('Activity data'!AM15*EF!$H14)*kgtoGg)</f>
        <v>5.4334519326298842</v>
      </c>
      <c r="U1389" s="27">
        <f>IF(('Activity data'!AN15*EF!$H14)*kgtoGg=0,"NO",('Activity data'!AN15*EF!$H14)*kgtoGg)</f>
        <v>11.663279711908721</v>
      </c>
      <c r="V1389" s="27">
        <f>IF(('Activity data'!AO15*EF!$H14)*kgtoGg=0,"NO",('Activity data'!AO15*EF!$H14)*kgtoGg)</f>
        <v>11.812653235838557</v>
      </c>
      <c r="W1389" s="27">
        <f>IF(('Activity data'!AP15*EF!$H14)*kgtoGg=0,"NO",('Activity data'!AP15*EF!$H14)*kgtoGg)</f>
        <v>11.932954790442608</v>
      </c>
      <c r="X1389" s="27">
        <f>IF(('Activity data'!AQ15*EF!$H14)*kgtoGg=0,"NO",('Activity data'!AQ15*EF!$H14)*kgtoGg)</f>
        <v>12.029772886609605</v>
      </c>
      <c r="Y1389" s="27">
        <f>IF(('Activity data'!AR15*EF!$H14)*kgtoGg=0,"NO",('Activity data'!AR15*EF!$H14)*kgtoGg)</f>
        <v>12.113873667726716</v>
      </c>
      <c r="Z1389" s="27">
        <f>IF(('Activity data'!AS15*EF!$H14)*kgtoGg=0,"NO",('Activity data'!AS15*EF!$H14)*kgtoGg)</f>
        <v>12.184301808011908</v>
      </c>
      <c r="AA1389" s="27">
        <f>IF(('Activity data'!AT15*EF!$H14)*kgtoGg=0,"NO",('Activity data'!AT15*EF!$H14)*kgtoGg)</f>
        <v>12.240662308750712</v>
      </c>
      <c r="AB1389" s="27">
        <f>IF(('Activity data'!AU15*EF!$H14)*kgtoGg=0,"NO",('Activity data'!AU15*EF!$H14)*kgtoGg)</f>
        <v>12.282268429354316</v>
      </c>
      <c r="AC1389" s="27">
        <f>IF(('Activity data'!AV15*EF!$H14)*kgtoGg=0,"NO",('Activity data'!AV15*EF!$H14)*kgtoGg)</f>
        <v>12.308384588149881</v>
      </c>
      <c r="AD1389" s="27">
        <f>IF(('Activity data'!AW15*EF!$H14)*kgtoGg=0,"NO",('Activity data'!AW15*EF!$H14)*kgtoGg)</f>
        <v>12.31872545788376</v>
      </c>
      <c r="AE1389" s="27">
        <f>IF(('Activity data'!AX15*EF!$H14)*kgtoGg=0,"NO",('Activity data'!AX15*EF!$H14)*kgtoGg)</f>
        <v>12.312750989800492</v>
      </c>
      <c r="AF1389" s="27">
        <f>IF(('Activity data'!AY15*EF!$H14)*kgtoGg=0,"NO",('Activity data'!AY15*EF!$H14)*kgtoGg)</f>
        <v>12.290286651516004</v>
      </c>
      <c r="AG1389" s="27">
        <f>IF(('Activity data'!AZ15*EF!$H14)*kgtoGg=0,"NO",('Activity data'!AZ15*EF!$H14)*kgtoGg)</f>
        <v>12.251535501678408</v>
      </c>
      <c r="AH1389" s="27">
        <f>IF(('Activity data'!BA15*EF!$H14)*kgtoGg=0,"NO",('Activity data'!BA15*EF!$H14)*kgtoGg)</f>
        <v>12.196396092630039</v>
      </c>
      <c r="AI1389" s="27">
        <f>IF(('Activity data'!BB15*EF!$H14)*kgtoGg=0,"NO",('Activity data'!BB15*EF!$H14)*kgtoGg)</f>
        <v>12.124769930026071</v>
      </c>
      <c r="AJ1389" s="27">
        <f>IF(('Activity data'!BC15*EF!$H14)*kgtoGg=0,"NO",('Activity data'!BC15*EF!$H14)*kgtoGg)</f>
        <v>1.7851056965565462</v>
      </c>
      <c r="AK1389" s="27">
        <f>IF(('Activity data'!BD15*EF!$H14)*kgtoGg=0,"NO",('Activity data'!BD15*EF!$H14)*kgtoGg)</f>
        <v>1.7851056965565462</v>
      </c>
      <c r="AL1389" s="27">
        <f>IF(('Activity data'!BE15*EF!$H14)*kgtoGg=0,"NO",('Activity data'!BE15*EF!$H14)*kgtoGg)</f>
        <v>1.7851056965565462</v>
      </c>
      <c r="AM1389" s="27">
        <f>IF(('Activity data'!BF15*EF!$H14)*kgtoGg=0,"NO",('Activity data'!BF15*EF!$H14)*kgtoGg)</f>
        <v>1.7851056965565462</v>
      </c>
      <c r="AN1389" s="27">
        <f>IF(('Activity data'!BG15*EF!$H14)*kgtoGg=0,"NO",('Activity data'!BG15*EF!$H14)*kgtoGg)</f>
        <v>1.7851056965565462</v>
      </c>
      <c r="AO1389" s="27">
        <f>IF(('Activity data'!BH15*EF!$H14)*kgtoGg=0,"NO",('Activity data'!BH15*EF!$H14)*kgtoGg)</f>
        <v>1.7851056965565462</v>
      </c>
      <c r="AP1389" s="27">
        <f>IF(('Activity data'!BI15*EF!$H14)*kgtoGg=0,"NO",('Activity data'!BI15*EF!$H14)*kgtoGg)</f>
        <v>1.7851056965565462</v>
      </c>
      <c r="AQ1389" s="27">
        <f>IF(('Activity data'!BJ15*EF!$H14)*kgtoGg=0,"NO",('Activity data'!BJ15*EF!$H14)*kgtoGg)</f>
        <v>1.7851056965565462</v>
      </c>
      <c r="AR1389" s="27">
        <f>IF(('Activity data'!BK15*EF!$H14)*kgtoGg=0,"NO",('Activity data'!BK15*EF!$H14)*kgtoGg)</f>
        <v>1.7851056965565462</v>
      </c>
      <c r="AS1389" s="27">
        <f>IF(('Activity data'!BL15*EF!$H14)*kgtoGg=0,"NO",('Activity data'!BL15*EF!$H14)*kgtoGg)</f>
        <v>1.7851056965565462</v>
      </c>
      <c r="AT1389" s="27">
        <f>IF(('Activity data'!BM15*EF!$H14)*kgtoGg=0,"NO",('Activity data'!BM15*EF!$H14)*kgtoGg)</f>
        <v>1.7851056965565462</v>
      </c>
      <c r="AU1389" s="27">
        <f>IF(('Activity data'!BN15*EF!$H14)*kgtoGg=0,"NO",('Activity data'!BN15*EF!$H14)*kgtoGg)</f>
        <v>1.7851056965565462</v>
      </c>
      <c r="AV1389" s="27">
        <f>IF(('Activity data'!BO15*EF!$H14)*kgtoGg=0,"NO",('Activity data'!BO15*EF!$H14)*kgtoGg)</f>
        <v>1.7851056965565462</v>
      </c>
      <c r="AW1389" s="27">
        <f>IF(('Activity data'!BP15*EF!$H14)*kgtoGg=0,"NO",('Activity data'!BP15*EF!$H14)*kgtoGg)</f>
        <v>1.7851056965565462</v>
      </c>
    </row>
    <row r="1390" spans="1:49" x14ac:dyDescent="0.25">
      <c r="A1390" s="95" t="s">
        <v>960</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25">
      <c r="A1391" s="95" t="s">
        <v>960</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1.8400999552016302</v>
      </c>
      <c r="L1391" s="27">
        <f>IF(('Activity data'!AE17*EF!$H16)*kgtoGg=0,"NO",('Activity data'!AE17*EF!$H16)*kgtoGg)</f>
        <v>1.8300977880312248</v>
      </c>
      <c r="M1391" s="27">
        <f>IF(('Activity data'!AF17*EF!$H16)*kgtoGg=0,"NO",('Activity data'!AF17*EF!$H16)*kgtoGg)</f>
        <v>1.8309187348828151</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1.7489975228040082</v>
      </c>
      <c r="Q1391" s="27">
        <f>IF(('Activity data'!AJ17*EF!$H16)*kgtoGg=0,"NO",('Activity data'!AJ17*EF!$H16)*kgtoGg)</f>
        <v>1.721653192801009</v>
      </c>
      <c r="R1391" s="27">
        <f>IF(('Activity data'!AK17*EF!$H16)*kgtoGg=0,"NO",('Activity data'!AK17*EF!$H16)*kgtoGg)</f>
        <v>1.6967284692901872</v>
      </c>
      <c r="S1391" s="27">
        <f>IF(('Activity data'!AL17*EF!$H16)*kgtoGg=0,"NO",('Activity data'!AL17*EF!$H16)*kgtoGg)</f>
        <v>1.5265878305982445</v>
      </c>
      <c r="T1391" s="27">
        <f>IF(('Activity data'!AM17*EF!$H16)*kgtoGg=0,"NO",('Activity data'!AM17*EF!$H16)*kgtoGg)</f>
        <v>1.5810995176609606</v>
      </c>
      <c r="U1391" s="27">
        <f>IF(('Activity data'!AN17*EF!$H16)*kgtoGg=0,"NO",('Activity data'!AN17*EF!$H16)*kgtoGg)</f>
        <v>5.0540136125986557</v>
      </c>
      <c r="V1391" s="27">
        <f>IF(('Activity data'!AO17*EF!$H16)*kgtoGg=0,"NO",('Activity data'!AO17*EF!$H16)*kgtoGg)</f>
        <v>5.0678679159640359</v>
      </c>
      <c r="W1391" s="27">
        <f>IF(('Activity data'!AP17*EF!$H16)*kgtoGg=0,"NO",('Activity data'!AP17*EF!$H16)*kgtoGg)</f>
        <v>5.0729847165704873</v>
      </c>
      <c r="X1391" s="27">
        <f>IF(('Activity data'!AQ17*EF!$H16)*kgtoGg=0,"NO",('Activity data'!AQ17*EF!$H16)*kgtoGg)</f>
        <v>5.0695948867136602</v>
      </c>
      <c r="Y1391" s="27">
        <f>IF(('Activity data'!AR17*EF!$H16)*kgtoGg=0,"NO",('Activity data'!AR17*EF!$H16)*kgtoGg)</f>
        <v>5.0582098272592386</v>
      </c>
      <c r="Z1391" s="27">
        <f>IF(('Activity data'!AS17*EF!$H16)*kgtoGg=0,"NO",('Activity data'!AS17*EF!$H16)*kgtoGg)</f>
        <v>5.0387249592432335</v>
      </c>
      <c r="AA1391" s="27">
        <f>IF(('Activity data'!AT17*EF!$H16)*kgtoGg=0,"NO",('Activity data'!AT17*EF!$H16)*kgtoGg)</f>
        <v>5.0111122815709459</v>
      </c>
      <c r="AB1391" s="27">
        <f>IF(('Activity data'!AU17*EF!$H16)*kgtoGg=0,"NO",('Activity data'!AU17*EF!$H16)*kgtoGg)</f>
        <v>4.9753743834920021</v>
      </c>
      <c r="AC1391" s="27">
        <f>IF(('Activity data'!AV17*EF!$H16)*kgtoGg=0,"NO",('Activity data'!AV17*EF!$H16)*kgtoGg)</f>
        <v>4.9315571021349269</v>
      </c>
      <c r="AD1391" s="27">
        <f>IF(('Activity data'!AW17*EF!$H16)*kgtoGg=0,"NO",('Activity data'!AW17*EF!$H16)*kgtoGg)</f>
        <v>4.8797732145240138</v>
      </c>
      <c r="AE1391" s="27">
        <f>IF(('Activity data'!AX17*EF!$H16)*kgtoGg=0,"NO",('Activity data'!AX17*EF!$H16)*kgtoGg)</f>
        <v>4.8201653478957827</v>
      </c>
      <c r="AF1391" s="27">
        <f>IF(('Activity data'!AY17*EF!$H16)*kgtoGg=0,"NO",('Activity data'!AY17*EF!$H16)*kgtoGg)</f>
        <v>4.7529350466048701</v>
      </c>
      <c r="AG1391" s="27">
        <f>IF(('Activity data'!AZ17*EF!$H16)*kgtoGg=0,"NO",('Activity data'!AZ17*EF!$H16)*kgtoGg)</f>
        <v>4.6783405786979539</v>
      </c>
      <c r="AH1391" s="27">
        <f>IF(('Activity data'!BA17*EF!$H16)*kgtoGg=0,"NO",('Activity data'!BA17*EF!$H16)*kgtoGg)</f>
        <v>4.5966617003060959</v>
      </c>
      <c r="AI1391" s="27">
        <f>IF(('Activity data'!BB17*EF!$H16)*kgtoGg=0,"NO",('Activity data'!BB17*EF!$H16)*kgtoGg)</f>
        <v>4.5082123470458679</v>
      </c>
      <c r="AJ1391" s="27">
        <f>IF(('Activity data'!BC17*EF!$H16)*kgtoGg=0,"NO",('Activity data'!BC17*EF!$H16)*kgtoGg)</f>
        <v>-0.42008552544106242</v>
      </c>
      <c r="AK1391" s="27">
        <f>IF(('Activity data'!BD17*EF!$H16)*kgtoGg=0,"NO",('Activity data'!BD17*EF!$H16)*kgtoGg)</f>
        <v>-0.41553771612775497</v>
      </c>
      <c r="AL1391" s="27">
        <f>IF(('Activity data'!BE17*EF!$H16)*kgtoGg=0,"NO",('Activity data'!BE17*EF!$H16)*kgtoGg)</f>
        <v>-0.41097379422953517</v>
      </c>
      <c r="AM1391" s="27">
        <f>IF(('Activity data'!BF17*EF!$H16)*kgtoGg=0,"NO",('Activity data'!BF17*EF!$H16)*kgtoGg)</f>
        <v>-0.40639849459231969</v>
      </c>
      <c r="AN1391" s="27">
        <f>IF(('Activity data'!BG17*EF!$H16)*kgtoGg=0,"NO",('Activity data'!BG17*EF!$H16)*kgtoGg)</f>
        <v>-0.40181705013442426</v>
      </c>
      <c r="AO1391" s="27">
        <f>IF(('Activity data'!BH17*EF!$H16)*kgtoGg=0,"NO",('Activity data'!BH17*EF!$H16)*kgtoGg)</f>
        <v>-0.39721731633182522</v>
      </c>
      <c r="AP1391" s="27">
        <f>IF(('Activity data'!BI17*EF!$H16)*kgtoGg=0,"NO",('Activity data'!BI17*EF!$H16)*kgtoGg)</f>
        <v>-0.39259212331291987</v>
      </c>
      <c r="AQ1391" s="27">
        <f>IF(('Activity data'!BJ17*EF!$H16)*kgtoGg=0,"NO",('Activity data'!BJ17*EF!$H16)*kgtoGg)</f>
        <v>-0.38794191787285037</v>
      </c>
      <c r="AR1391" s="27">
        <f>IF(('Activity data'!BK17*EF!$H16)*kgtoGg=0,"NO",('Activity data'!BK17*EF!$H16)*kgtoGg)</f>
        <v>-0.38325899383328277</v>
      </c>
      <c r="AS1391" s="27">
        <f>IF(('Activity data'!BL17*EF!$H16)*kgtoGg=0,"NO",('Activity data'!BL17*EF!$H16)*kgtoGg)</f>
        <v>-0.37853535700522173</v>
      </c>
      <c r="AT1391" s="27">
        <f>IF(('Activity data'!BM17*EF!$H16)*kgtoGg=0,"NO",('Activity data'!BM17*EF!$H16)*kgtoGg)</f>
        <v>-0.37377234804073223</v>
      </c>
      <c r="AU1391" s="27">
        <f>IF(('Activity data'!BN17*EF!$H16)*kgtoGg=0,"NO",('Activity data'!BN17*EF!$H16)*kgtoGg)</f>
        <v>-0.36897393039459231</v>
      </c>
      <c r="AV1391" s="27">
        <f>IF(('Activity data'!BO17*EF!$H16)*kgtoGg=0,"NO",('Activity data'!BO17*EF!$H16)*kgtoGg)</f>
        <v>-0.36414349435249727</v>
      </c>
      <c r="AW1391" s="27">
        <f>IF(('Activity data'!BP17*EF!$H16)*kgtoGg=0,"NO",('Activity data'!BP17*EF!$H16)*kgtoGg)</f>
        <v>-0.35927435241905337</v>
      </c>
    </row>
    <row r="1392" spans="1:49" x14ac:dyDescent="0.25">
      <c r="A1392" s="95" t="s">
        <v>960</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0.25496723934882604</v>
      </c>
      <c r="L1392" s="27">
        <f>IF(('Activity data'!AE18*EF!$H17)*kgtoGg=0,"NO",('Activity data'!AE18*EF!$H17)*kgtoGg)</f>
        <v>0.25358132281546891</v>
      </c>
      <c r="M1392" s="27">
        <f>IF(('Activity data'!AF18*EF!$H17)*kgtoGg=0,"NO",('Activity data'!AF18*EF!$H17)*kgtoGg)</f>
        <v>0.25369507454499335</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0.24234393830437845</v>
      </c>
      <c r="Q1392" s="27">
        <f>IF(('Activity data'!AJ18*EF!$H17)*kgtoGg=0,"NO",('Activity data'!AJ18*EF!$H17)*kgtoGg)</f>
        <v>0.23855506351363695</v>
      </c>
      <c r="R1392" s="27">
        <f>IF(('Activity data'!AK18*EF!$H17)*kgtoGg=0,"NO",('Activity data'!AK18*EF!$H17)*kgtoGg)</f>
        <v>0.23510145332951485</v>
      </c>
      <c r="S1392" s="27">
        <f>IF(('Activity data'!AL18*EF!$H17)*kgtoGg=0,"NO",('Activity data'!AL18*EF!$H17)*kgtoGg)</f>
        <v>0.21152649000988519</v>
      </c>
      <c r="T1392" s="27">
        <f>IF(('Activity data'!AM18*EF!$H17)*kgtoGg=0,"NO",('Activity data'!AM18*EF!$H17)*kgtoGg)</f>
        <v>0.21907971793282416</v>
      </c>
      <c r="U1392" s="27">
        <f>IF(('Activity data'!AN18*EF!$H17)*kgtoGg=0,"NO",('Activity data'!AN18*EF!$H17)*kgtoGg)</f>
        <v>0.70029233726842122</v>
      </c>
      <c r="V1392" s="27">
        <f>IF(('Activity data'!AO18*EF!$H17)*kgtoGg=0,"NO",('Activity data'!AO18*EF!$H17)*kgtoGg)</f>
        <v>0.70221201205140604</v>
      </c>
      <c r="W1392" s="27">
        <f>IF(('Activity data'!AP18*EF!$H17)*kgtoGg=0,"NO",('Activity data'!AP18*EF!$H17)*kgtoGg)</f>
        <v>0.7029210042565508</v>
      </c>
      <c r="X1392" s="27">
        <f>IF(('Activity data'!AQ18*EF!$H17)*kgtoGg=0,"NO",('Activity data'!AQ18*EF!$H17)*kgtoGg)</f>
        <v>0.70245130392423227</v>
      </c>
      <c r="Y1392" s="27">
        <f>IF(('Activity data'!AR18*EF!$H17)*kgtoGg=0,"NO",('Activity data'!AR18*EF!$H17)*kgtoGg)</f>
        <v>0.70087377158925745</v>
      </c>
      <c r="Z1392" s="27">
        <f>IF(('Activity data'!AS18*EF!$H17)*kgtoGg=0,"NO",('Activity data'!AS18*EF!$H17)*kgtoGg)</f>
        <v>0.6981739166204699</v>
      </c>
      <c r="AA1392" s="27">
        <f>IF(('Activity data'!AT18*EF!$H17)*kgtoGg=0,"NO",('Activity data'!AT18*EF!$H17)*kgtoGg)</f>
        <v>0.69434785914069519</v>
      </c>
      <c r="AB1392" s="27">
        <f>IF(('Activity data'!AU18*EF!$H17)*kgtoGg=0,"NO",('Activity data'!AU18*EF!$H17)*kgtoGg)</f>
        <v>0.68939595792056851</v>
      </c>
      <c r="AC1392" s="27">
        <f>IF(('Activity data'!AV18*EF!$H17)*kgtoGg=0,"NO",('Activity data'!AV18*EF!$H17)*kgtoGg)</f>
        <v>0.68332456422708854</v>
      </c>
      <c r="AD1392" s="27">
        <f>IF(('Activity data'!AW18*EF!$H17)*kgtoGg=0,"NO",('Activity data'!AW18*EF!$H17)*kgtoGg)</f>
        <v>0.67614930462796652</v>
      </c>
      <c r="AE1392" s="27">
        <f>IF(('Activity data'!AX18*EF!$H17)*kgtoGg=0,"NO",('Activity data'!AX18*EF!$H17)*kgtoGg)</f>
        <v>0.66788994178481698</v>
      </c>
      <c r="AF1392" s="27">
        <f>IF(('Activity data'!AY18*EF!$H17)*kgtoGg=0,"NO",('Activity data'!AY18*EF!$H17)*kgtoGg)</f>
        <v>0.65857440201086193</v>
      </c>
      <c r="AG1392" s="27">
        <f>IF(('Activity data'!AZ18*EF!$H17)*kgtoGg=0,"NO",('Activity data'!AZ18*EF!$H17)*kgtoGg)</f>
        <v>0.64823847134624946</v>
      </c>
      <c r="AH1392" s="27">
        <f>IF(('Activity data'!BA18*EF!$H17)*kgtoGg=0,"NO",('Activity data'!BA18*EF!$H17)*kgtoGg)</f>
        <v>0.63692091325501032</v>
      </c>
      <c r="AI1392" s="27">
        <f>IF(('Activity data'!BB18*EF!$H17)*kgtoGg=0,"NO",('Activity data'!BB18*EF!$H17)*kgtoGg)</f>
        <v>0.62466522716621964</v>
      </c>
      <c r="AJ1392" s="27">
        <f>IF(('Activity data'!BC18*EF!$H17)*kgtoGg=0,"NO",('Activity data'!BC18*EF!$H17)*kgtoGg)</f>
        <v>-5.8207732905668316E-2</v>
      </c>
      <c r="AK1392" s="27">
        <f>IF(('Activity data'!BD18*EF!$H17)*kgtoGg=0,"NO",('Activity data'!BD18*EF!$H17)*kgtoGg)</f>
        <v>-5.7577581058524868E-2</v>
      </c>
      <c r="AL1392" s="27">
        <f>IF(('Activity data'!BE18*EF!$H17)*kgtoGg=0,"NO",('Activity data'!BE18*EF!$H17)*kgtoGg)</f>
        <v>-5.6945196625438323E-2</v>
      </c>
      <c r="AM1392" s="27">
        <f>IF(('Activity data'!BF18*EF!$H17)*kgtoGg=0,"NO",('Activity data'!BF18*EF!$H17)*kgtoGg)</f>
        <v>-5.6311235674351458E-2</v>
      </c>
      <c r="AN1392" s="27">
        <f>IF(('Activity data'!BG18*EF!$H17)*kgtoGg=0,"NO",('Activity data'!BG18*EF!$H17)*kgtoGg)</f>
        <v>-5.5676423286927873E-2</v>
      </c>
      <c r="AO1392" s="27">
        <f>IF(('Activity data'!BH18*EF!$H17)*kgtoGg=0,"NO",('Activity data'!BH18*EF!$H17)*kgtoGg)</f>
        <v>-5.5039076698188007E-2</v>
      </c>
      <c r="AP1392" s="27">
        <f>IF(('Activity data'!BI18*EF!$H17)*kgtoGg=0,"NO",('Activity data'!BI18*EF!$H17)*kgtoGg)</f>
        <v>-5.4398202439073888E-2</v>
      </c>
      <c r="AQ1392" s="27">
        <f>IF(('Activity data'!BJ18*EF!$H17)*kgtoGg=0,"NO",('Activity data'!BJ18*EF!$H17)*kgtoGg)</f>
        <v>-5.3753862418246326E-2</v>
      </c>
      <c r="AR1392" s="27">
        <f>IF(('Activity data'!BK18*EF!$H17)*kgtoGg=0,"NO",('Activity data'!BK18*EF!$H17)*kgtoGg)</f>
        <v>-5.3104988855115366E-2</v>
      </c>
      <c r="AS1392" s="27">
        <f>IF(('Activity data'!BL18*EF!$H17)*kgtoGg=0,"NO",('Activity data'!BL18*EF!$H17)*kgtoGg)</f>
        <v>-5.2450474061865898E-2</v>
      </c>
      <c r="AT1392" s="27">
        <f>IF(('Activity data'!BM18*EF!$H17)*kgtoGg=0,"NO",('Activity data'!BM18*EF!$H17)*kgtoGg)</f>
        <v>-5.1790503801426135E-2</v>
      </c>
      <c r="AU1392" s="27">
        <f>IF(('Activity data'!BN18*EF!$H17)*kgtoGg=0,"NO",('Activity data'!BN18*EF!$H17)*kgtoGg)</f>
        <v>-5.1125627256529457E-2</v>
      </c>
      <c r="AV1392" s="27">
        <f>IF(('Activity data'!BO18*EF!$H17)*kgtoGg=0,"NO",('Activity data'!BO18*EF!$H17)*kgtoGg)</f>
        <v>-5.0456314190669899E-2</v>
      </c>
      <c r="AW1392" s="27">
        <f>IF(('Activity data'!BP18*EF!$H17)*kgtoGg=0,"NO",('Activity data'!BP18*EF!$H17)*kgtoGg)</f>
        <v>-4.9781637973620729E-2</v>
      </c>
    </row>
    <row r="1393" spans="1:49" x14ac:dyDescent="0.25">
      <c r="A1393" s="95" t="s">
        <v>960</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7.3924283487896005</v>
      </c>
      <c r="M1393" s="27">
        <f>IF(('Activity data'!AF5*EF!$H18)*kgtoGg=0,"NO",('Activity data'!AF5*EF!$H18)*kgtoGg)</f>
        <v>7.4507389435191715</v>
      </c>
      <c r="N1393" s="27">
        <f>IF(('Activity data'!AG5*EF!$H18)*kgtoGg=0,"NO",('Activity data'!AG5*EF!$H18)*kgtoGg)</f>
        <v>7.4882097119910753</v>
      </c>
      <c r="O1393" s="27">
        <f>IF(('Activity data'!AH5*EF!$H18)*kgtoGg=0,"NO",('Activity data'!AH5*EF!$H18)*kgtoGg)</f>
        <v>7.5131092090175455</v>
      </c>
      <c r="P1393" s="27">
        <f>IF(('Activity data'!AI5*EF!$H18)*kgtoGg=0,"NO",('Activity data'!AI5*EF!$H18)*kgtoGg)</f>
        <v>7.5251923679492423</v>
      </c>
      <c r="Q1393" s="27">
        <f>IF(('Activity data'!AJ5*EF!$H18)*kgtoGg=0,"NO",('Activity data'!AJ5*EF!$H18)*kgtoGg)</f>
        <v>7.5518885629203734</v>
      </c>
      <c r="R1393" s="27">
        <f>IF(('Activity data'!AK5*EF!$H18)*kgtoGg=0,"NO",('Activity data'!AK5*EF!$H18)*kgtoGg)</f>
        <v>7.5825135825669054</v>
      </c>
      <c r="S1393" s="27">
        <f>IF(('Activity data'!AL5*EF!$H18)*kgtoGg=0,"NO",('Activity data'!AL5*EF!$H18)*kgtoGg)</f>
        <v>7.3670594492211752</v>
      </c>
      <c r="T1393" s="27">
        <f>IF(('Activity data'!AM5*EF!$H18)*kgtoGg=0,"NO",('Activity data'!AM5*EF!$H18)*kgtoGg)</f>
        <v>7.4938201403917679</v>
      </c>
      <c r="U1393" s="27">
        <f>IF(('Activity data'!AN5*EF!$H18)*kgtoGg=0,"NO",('Activity data'!AN5*EF!$H18)*kgtoGg)</f>
        <v>12.893716848831154</v>
      </c>
      <c r="V1393" s="27">
        <f>IF(('Activity data'!AO5*EF!$H18)*kgtoGg=0,"NO",('Activity data'!AO5*EF!$H18)*kgtoGg)</f>
        <v>13.049144587269693</v>
      </c>
      <c r="W1393" s="27">
        <f>IF(('Activity data'!AP5*EF!$H18)*kgtoGg=0,"NO",('Activity data'!AP5*EF!$H18)*kgtoGg)</f>
        <v>13.19775488481636</v>
      </c>
      <c r="X1393" s="27">
        <f>IF(('Activity data'!AQ5*EF!$H18)*kgtoGg=0,"NO",('Activity data'!AQ5*EF!$H18)*kgtoGg)</f>
        <v>13.337019913111025</v>
      </c>
      <c r="Y1393" s="27">
        <f>IF(('Activity data'!AR5*EF!$H18)*kgtoGg=0,"NO",('Activity data'!AR5*EF!$H18)*kgtoGg)</f>
        <v>13.463220566952655</v>
      </c>
      <c r="Z1393" s="27">
        <f>IF(('Activity data'!AS5*EF!$H18)*kgtoGg=0,"NO",('Activity data'!AS5*EF!$H18)*kgtoGg)</f>
        <v>13.575767486447466</v>
      </c>
      <c r="AA1393" s="27">
        <f>IF(('Activity data'!AT5*EF!$H18)*kgtoGg=0,"NO",('Activity data'!AT5*EF!$H18)*kgtoGg)</f>
        <v>13.674005026382902</v>
      </c>
      <c r="AB1393" s="27">
        <f>IF(('Activity data'!AU5*EF!$H18)*kgtoGg=0,"NO",('Activity data'!AU5*EF!$H18)*kgtoGg)</f>
        <v>13.757436960081838</v>
      </c>
      <c r="AC1393" s="27">
        <f>IF(('Activity data'!AV5*EF!$H18)*kgtoGg=0,"NO",('Activity data'!AV5*EF!$H18)*kgtoGg)</f>
        <v>13.825669744576842</v>
      </c>
      <c r="AD1393" s="27">
        <f>IF(('Activity data'!AW5*EF!$H18)*kgtoGg=0,"NO",('Activity data'!AW5*EF!$H18)*kgtoGg)</f>
        <v>13.878289677767924</v>
      </c>
      <c r="AE1393" s="27">
        <f>IF(('Activity data'!AX5*EF!$H18)*kgtoGg=0,"NO",('Activity data'!AX5*EF!$H18)*kgtoGg)</f>
        <v>13.915049092366717</v>
      </c>
      <c r="AF1393" s="27">
        <f>IF(('Activity data'!AY5*EF!$H18)*kgtoGg=0,"NO",('Activity data'!AY5*EF!$H18)*kgtoGg)</f>
        <v>13.935710420523995</v>
      </c>
      <c r="AG1393" s="27">
        <f>IF(('Activity data'!AZ5*EF!$H18)*kgtoGg=0,"NO",('Activity data'!AZ5*EF!$H18)*kgtoGg)</f>
        <v>13.940044142256493</v>
      </c>
      <c r="AH1393" s="27">
        <f>IF(('Activity data'!BA5*EF!$H18)*kgtoGg=0,"NO",('Activity data'!BA5*EF!$H18)*kgtoGg)</f>
        <v>13.928008342806061</v>
      </c>
      <c r="AI1393" s="27">
        <f>IF(('Activity data'!BB5*EF!$H18)*kgtoGg=0,"NO",('Activity data'!BB5*EF!$H18)*kgtoGg)</f>
        <v>13.899671543047996</v>
      </c>
      <c r="AJ1393" s="27">
        <f>IF(('Activity data'!BC5*EF!$H18)*kgtoGg=0,"NO",('Activity data'!BC5*EF!$H18)*kgtoGg)</f>
        <v>4.3976157174808597</v>
      </c>
      <c r="AK1393" s="27">
        <f>IF(('Activity data'!BD5*EF!$H18)*kgtoGg=0,"NO",('Activity data'!BD5*EF!$H18)*kgtoGg)</f>
        <v>4.4008259031545416</v>
      </c>
      <c r="AL1393" s="27">
        <f>IF(('Activity data'!BE5*EF!$H18)*kgtoGg=0,"NO",('Activity data'!BE5*EF!$H18)*kgtoGg)</f>
        <v>4.403804998470318</v>
      </c>
      <c r="AM1393" s="27">
        <f>IF(('Activity data'!BF5*EF!$H18)*kgtoGg=0,"NO",('Activity data'!BF5*EF!$H18)*kgtoGg)</f>
        <v>4.4065731559819081</v>
      </c>
      <c r="AN1393" s="27">
        <f>IF(('Activity data'!BG5*EF!$H18)*kgtoGg=0,"NO",('Activity data'!BG5*EF!$H18)*kgtoGg)</f>
        <v>4.4091551994119804</v>
      </c>
      <c r="AO1393" s="27">
        <f>IF(('Activity data'!BH5*EF!$H18)*kgtoGg=0,"NO",('Activity data'!BH5*EF!$H18)*kgtoGg)</f>
        <v>4.4114700909604787</v>
      </c>
      <c r="AP1393" s="27">
        <f>IF(('Activity data'!BI5*EF!$H18)*kgtoGg=0,"NO",('Activity data'!BI5*EF!$H18)*kgtoGg)</f>
        <v>4.4134634106251305</v>
      </c>
      <c r="AQ1393" s="27">
        <f>IF(('Activity data'!BJ5*EF!$H18)*kgtoGg=0,"NO",('Activity data'!BJ5*EF!$H18)*kgtoGg)</f>
        <v>4.4151264315171801</v>
      </c>
      <c r="AR1393" s="27">
        <f>IF(('Activity data'!BK5*EF!$H18)*kgtoGg=0,"NO",('Activity data'!BK5*EF!$H18)*kgtoGg)</f>
        <v>4.4163974064588221</v>
      </c>
      <c r="AS1393" s="27">
        <f>IF(('Activity data'!BL5*EF!$H18)*kgtoGg=0,"NO",('Activity data'!BL5*EF!$H18)*kgtoGg)</f>
        <v>4.4172092973227706</v>
      </c>
      <c r="AT1393" s="27">
        <f>IF(('Activity data'!BM5*EF!$H18)*kgtoGg=0,"NO",('Activity data'!BM5*EF!$H18)*kgtoGg)</f>
        <v>4.4175538239653074</v>
      </c>
      <c r="AU1393" s="27">
        <f>IF(('Activity data'!BN5*EF!$H18)*kgtoGg=0,"NO",('Activity data'!BN5*EF!$H18)*kgtoGg)</f>
        <v>4.4174405083324073</v>
      </c>
      <c r="AV1393" s="27">
        <f>IF(('Activity data'!BO5*EF!$H18)*kgtoGg=0,"NO",('Activity data'!BO5*EF!$H18)*kgtoGg)</f>
        <v>4.4168759908828958</v>
      </c>
      <c r="AW1393" s="27">
        <f>IF(('Activity data'!BP5*EF!$H18)*kgtoGg=0,"NO",('Activity data'!BP5*EF!$H18)*kgtoGg)</f>
        <v>4.4157972186653511</v>
      </c>
    </row>
    <row r="1394" spans="1:49" x14ac:dyDescent="0.25">
      <c r="A1394" s="95" t="s">
        <v>960</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2.1061581299686476</v>
      </c>
      <c r="M1394" s="27">
        <f>IF(('Activity data'!AF6*EF!$H19)*kgtoGg=0,"NO",('Activity data'!AF6*EF!$H19)*kgtoGg)</f>
        <v>2.1227712545548472</v>
      </c>
      <c r="N1394" s="27">
        <f>IF(('Activity data'!AG6*EF!$H19)*kgtoGg=0,"NO",('Activity data'!AG6*EF!$H19)*kgtoGg)</f>
        <v>2.1334469567638776</v>
      </c>
      <c r="O1394" s="27">
        <f>IF(('Activity data'!AH6*EF!$H19)*kgtoGg=0,"NO",('Activity data'!AH6*EF!$H19)*kgtoGg)</f>
        <v>2.1405410097083362</v>
      </c>
      <c r="P1394" s="27">
        <f>IF(('Activity data'!AI6*EF!$H19)*kgtoGg=0,"NO",('Activity data'!AI6*EF!$H19)*kgtoGg)</f>
        <v>2.1439835920667925</v>
      </c>
      <c r="Q1394" s="27">
        <f>IF(('Activity data'!AJ6*EF!$H19)*kgtoGg=0,"NO",('Activity data'!AJ6*EF!$H19)*kgtoGg)</f>
        <v>2.151589537694508</v>
      </c>
      <c r="R1394" s="27">
        <f>IF(('Activity data'!AK6*EF!$H19)*kgtoGg=0,"NO",('Activity data'!AK6*EF!$H19)*kgtoGg)</f>
        <v>2.1603148348588097</v>
      </c>
      <c r="S1394" s="27">
        <f>IF(('Activity data'!AL6*EF!$H19)*kgtoGg=0,"NO",('Activity data'!AL6*EF!$H19)*kgtoGg)</f>
        <v>2.0989303407289799</v>
      </c>
      <c r="T1394" s="27">
        <f>IF(('Activity data'!AM6*EF!$H19)*kgtoGg=0,"NO",('Activity data'!AM6*EF!$H19)*kgtoGg)</f>
        <v>2.1350454097797478</v>
      </c>
      <c r="U1394" s="27">
        <f>IF(('Activity data'!AN6*EF!$H19)*kgtoGg=0,"NO",('Activity data'!AN6*EF!$H19)*kgtoGg)</f>
        <v>3.6735163718057389</v>
      </c>
      <c r="V1394" s="27">
        <f>IF(('Activity data'!AO6*EF!$H19)*kgtoGg=0,"NO",('Activity data'!AO6*EF!$H19)*kgtoGg)</f>
        <v>3.7177988970450366</v>
      </c>
      <c r="W1394" s="27">
        <f>IF(('Activity data'!AP6*EF!$H19)*kgtoGg=0,"NO",('Activity data'!AP6*EF!$H19)*kgtoGg)</f>
        <v>3.7601390823815941</v>
      </c>
      <c r="X1394" s="27">
        <f>IF(('Activity data'!AQ6*EF!$H19)*kgtoGg=0,"NO",('Activity data'!AQ6*EF!$H19)*kgtoGg)</f>
        <v>3.7998167306081263</v>
      </c>
      <c r="Y1394" s="27">
        <f>IF(('Activity data'!AR6*EF!$H19)*kgtoGg=0,"NO",('Activity data'!AR6*EF!$H19)*kgtoGg)</f>
        <v>3.8357722408349422</v>
      </c>
      <c r="Z1394" s="27">
        <f>IF(('Activity data'!AS6*EF!$H19)*kgtoGg=0,"NO",('Activity data'!AS6*EF!$H19)*kgtoGg)</f>
        <v>3.8678377000200475</v>
      </c>
      <c r="AA1394" s="27">
        <f>IF(('Activity data'!AT6*EF!$H19)*kgtoGg=0,"NO",('Activity data'!AT6*EF!$H19)*kgtoGg)</f>
        <v>3.8958263099383315</v>
      </c>
      <c r="AB1394" s="27">
        <f>IF(('Activity data'!AU6*EF!$H19)*kgtoGg=0,"NO",('Activity data'!AU6*EF!$H19)*kgtoGg)</f>
        <v>3.919596691897838</v>
      </c>
      <c r="AC1394" s="27">
        <f>IF(('Activity data'!AV6*EF!$H19)*kgtoGg=0,"NO",('Activity data'!AV6*EF!$H19)*kgtoGg)</f>
        <v>3.9390367225635514</v>
      </c>
      <c r="AD1394" s="27">
        <f>IF(('Activity data'!AW6*EF!$H19)*kgtoGg=0,"NO",('Activity data'!AW6*EF!$H19)*kgtoGg)</f>
        <v>3.9540285351128004</v>
      </c>
      <c r="AE1394" s="27">
        <f>IF(('Activity data'!AX6*EF!$H19)*kgtoGg=0,"NO",('Activity data'!AX6*EF!$H19)*kgtoGg)</f>
        <v>3.9645015672826429</v>
      </c>
      <c r="AF1394" s="27">
        <f>IF(('Activity data'!AY6*EF!$H19)*kgtoGg=0,"NO",('Activity data'!AY6*EF!$H19)*kgtoGg)</f>
        <v>3.9703881342158924</v>
      </c>
      <c r="AG1394" s="27">
        <f>IF(('Activity data'!AZ6*EF!$H19)*kgtoGg=0,"NO",('Activity data'!AZ6*EF!$H19)*kgtoGg)</f>
        <v>3.9716228439525687</v>
      </c>
      <c r="AH1394" s="27">
        <f>IF(('Activity data'!BA6*EF!$H19)*kgtoGg=0,"NO",('Activity data'!BA6*EF!$H19)*kgtoGg)</f>
        <v>3.9681937546645596</v>
      </c>
      <c r="AI1394" s="27">
        <f>IF(('Activity data'!BB6*EF!$H19)*kgtoGg=0,"NO",('Activity data'!BB6*EF!$H19)*kgtoGg)</f>
        <v>3.9601203884617591</v>
      </c>
      <c r="AJ1394" s="27">
        <f>IF(('Activity data'!BC6*EF!$H19)*kgtoGg=0,"NO",('Activity data'!BC6*EF!$H19)*kgtoGg)</f>
        <v>1.2529136109065901</v>
      </c>
      <c r="AK1394" s="27">
        <f>IF(('Activity data'!BD6*EF!$H19)*kgtoGg=0,"NO",('Activity data'!BD6*EF!$H19)*kgtoGg)</f>
        <v>1.2538282168163573</v>
      </c>
      <c r="AL1394" s="27">
        <f>IF(('Activity data'!BE6*EF!$H19)*kgtoGg=0,"NO",('Activity data'!BE6*EF!$H19)*kgtoGg)</f>
        <v>1.2546769833546632</v>
      </c>
      <c r="AM1394" s="27">
        <f>IF(('Activity data'!BF6*EF!$H19)*kgtoGg=0,"NO",('Activity data'!BF6*EF!$H19)*kgtoGg)</f>
        <v>1.2554656521347973</v>
      </c>
      <c r="AN1394" s="27">
        <f>IF(('Activity data'!BG6*EF!$H19)*kgtoGg=0,"NO",('Activity data'!BG6*EF!$H19)*kgtoGg)</f>
        <v>1.2562012956210231</v>
      </c>
      <c r="AO1394" s="27">
        <f>IF(('Activity data'!BH6*EF!$H19)*kgtoGg=0,"NO",('Activity data'!BH6*EF!$H19)*kgtoGg)</f>
        <v>1.2568608255379636</v>
      </c>
      <c r="AP1394" s="27">
        <f>IF(('Activity data'!BI6*EF!$H19)*kgtoGg=0,"NO",('Activity data'!BI6*EF!$H19)*kgtoGg)</f>
        <v>1.2574287372199238</v>
      </c>
      <c r="AQ1394" s="27">
        <f>IF(('Activity data'!BJ6*EF!$H19)*kgtoGg=0,"NO",('Activity data'!BJ6*EF!$H19)*kgtoGg)</f>
        <v>1.257902544311023</v>
      </c>
      <c r="AR1394" s="27">
        <f>IF(('Activity data'!BK6*EF!$H19)*kgtoGg=0,"NO",('Activity data'!BK6*EF!$H19)*kgtoGg)</f>
        <v>1.2582646545784513</v>
      </c>
      <c r="AS1394" s="27">
        <f>IF(('Activity data'!BL6*EF!$H19)*kgtoGg=0,"NO",('Activity data'!BL6*EF!$H19)*kgtoGg)</f>
        <v>1.2584959683583183</v>
      </c>
      <c r="AT1394" s="27">
        <f>IF(('Activity data'!BM6*EF!$H19)*kgtoGg=0,"NO",('Activity data'!BM6*EF!$H19)*kgtoGg)</f>
        <v>1.2585941265757443</v>
      </c>
      <c r="AU1394" s="27">
        <f>IF(('Activity data'!BN6*EF!$H19)*kgtoGg=0,"NO",('Activity data'!BN6*EF!$H19)*kgtoGg)</f>
        <v>1.2585618421043605</v>
      </c>
      <c r="AV1394" s="27">
        <f>IF(('Activity data'!BO6*EF!$H19)*kgtoGg=0,"NO",('Activity data'!BO6*EF!$H19)*kgtoGg)</f>
        <v>1.2584010068605544</v>
      </c>
      <c r="AW1394" s="27">
        <f>IF(('Activity data'!BP6*EF!$H19)*kgtoGg=0,"NO",('Activity data'!BP6*EF!$H19)*kgtoGg)</f>
        <v>1.2580936565868464</v>
      </c>
    </row>
    <row r="1395" spans="1:49" x14ac:dyDescent="0.25">
      <c r="A1395" s="95" t="s">
        <v>960</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0.43500213637199753</v>
      </c>
      <c r="M1395" s="27">
        <f>IF(('Activity data'!AF7*EF!$H20)*kgtoGg=0,"NO",('Activity data'!AF7*EF!$H20)*kgtoGg)</f>
        <v>0.43843338143569016</v>
      </c>
      <c r="N1395" s="27">
        <f>IF(('Activity data'!AG7*EF!$H20)*kgtoGg=0,"NO",('Activity data'!AG7*EF!$H20)*kgtoGg)</f>
        <v>0.44063832189202168</v>
      </c>
      <c r="O1395" s="27">
        <f>IF(('Activity data'!AH7*EF!$H20)*kgtoGg=0,"NO",('Activity data'!AH7*EF!$H20)*kgtoGg)</f>
        <v>0.44210351490980404</v>
      </c>
      <c r="P1395" s="27">
        <f>IF(('Activity data'!AI7*EF!$H20)*kgtoGg=0,"NO",('Activity data'!AI7*EF!$H20)*kgtoGg)</f>
        <v>0.44281453971808249</v>
      </c>
      <c r="Q1395" s="27">
        <f>IF(('Activity data'!AJ7*EF!$H20)*kgtoGg=0,"NO",('Activity data'!AJ7*EF!$H20)*kgtoGg)</f>
        <v>0.44438545813589125</v>
      </c>
      <c r="R1395" s="27">
        <f>IF(('Activity data'!AK7*EF!$H20)*kgtoGg=0,"NO",('Activity data'!AK7*EF!$H20)*kgtoGg)</f>
        <v>0.44618756541973903</v>
      </c>
      <c r="S1395" s="27">
        <f>IF(('Activity data'!AL7*EF!$H20)*kgtoGg=0,"NO",('Activity data'!AL7*EF!$H20)*kgtoGg)</f>
        <v>0.43350932169879508</v>
      </c>
      <c r="T1395" s="27">
        <f>IF(('Activity data'!AM7*EF!$H20)*kgtoGg=0,"NO",('Activity data'!AM7*EF!$H20)*kgtoGg)</f>
        <v>0.44096846352141772</v>
      </c>
      <c r="U1395" s="27">
        <f>IF(('Activity data'!AN7*EF!$H20)*kgtoGg=0,"NO",('Activity data'!AN7*EF!$H20)*kgtoGg)</f>
        <v>0.75872150670699801</v>
      </c>
      <c r="V1395" s="27">
        <f>IF(('Activity data'!AO7*EF!$H20)*kgtoGg=0,"NO",('Activity data'!AO7*EF!$H20)*kgtoGg)</f>
        <v>0.76786754033521754</v>
      </c>
      <c r="W1395" s="27">
        <f>IF(('Activity data'!AP7*EF!$H20)*kgtoGg=0,"NO",('Activity data'!AP7*EF!$H20)*kgtoGg)</f>
        <v>0.77661240655096708</v>
      </c>
      <c r="X1395" s="27">
        <f>IF(('Activity data'!AQ7*EF!$H20)*kgtoGg=0,"NO",('Activity data'!AQ7*EF!$H20)*kgtoGg)</f>
        <v>0.78480735711007588</v>
      </c>
      <c r="Y1395" s="27">
        <f>IF(('Activity data'!AR7*EF!$H20)*kgtoGg=0,"NO",('Activity data'!AR7*EF!$H20)*kgtoGg)</f>
        <v>0.79223354393833789</v>
      </c>
      <c r="Z1395" s="27">
        <f>IF(('Activity data'!AS7*EF!$H20)*kgtoGg=0,"NO",('Activity data'!AS7*EF!$H20)*kgtoGg)</f>
        <v>0.79885628657612706</v>
      </c>
      <c r="AA1395" s="27">
        <f>IF(('Activity data'!AT7*EF!$H20)*kgtoGg=0,"NO",('Activity data'!AT7*EF!$H20)*kgtoGg)</f>
        <v>0.80463700405184546</v>
      </c>
      <c r="AB1395" s="27">
        <f>IF(('Activity data'!AU7*EF!$H20)*kgtoGg=0,"NO",('Activity data'!AU7*EF!$H20)*kgtoGg)</f>
        <v>0.80954649626310582</v>
      </c>
      <c r="AC1395" s="27">
        <f>IF(('Activity data'!AV7*EF!$H20)*kgtoGg=0,"NO",('Activity data'!AV7*EF!$H20)*kgtoGg)</f>
        <v>0.81356160545666301</v>
      </c>
      <c r="AD1395" s="27">
        <f>IF(('Activity data'!AW7*EF!$H20)*kgtoGg=0,"NO",('Activity data'!AW7*EF!$H20)*kgtoGg)</f>
        <v>0.81665798762959563</v>
      </c>
      <c r="AE1395" s="27">
        <f>IF(('Activity data'!AX7*EF!$H20)*kgtoGg=0,"NO",('Activity data'!AX7*EF!$H20)*kgtoGg)</f>
        <v>0.81882106897821283</v>
      </c>
      <c r="AF1395" s="27">
        <f>IF(('Activity data'!AY7*EF!$H20)*kgtoGg=0,"NO",('Activity data'!AY7*EF!$H20)*kgtoGg)</f>
        <v>0.82003686999306757</v>
      </c>
      <c r="AG1395" s="27">
        <f>IF(('Activity data'!AZ7*EF!$H20)*kgtoGg=0,"NO",('Activity data'!AZ7*EF!$H20)*kgtoGg)</f>
        <v>0.82029188473560344</v>
      </c>
      <c r="AH1395" s="27">
        <f>IF(('Activity data'!BA7*EF!$H20)*kgtoGg=0,"NO",('Activity data'!BA7*EF!$H20)*kgtoGg)</f>
        <v>0.81958364676198259</v>
      </c>
      <c r="AI1395" s="27">
        <f>IF(('Activity data'!BB7*EF!$H20)*kgtoGg=0,"NO",('Activity data'!BB7*EF!$H20)*kgtoGg)</f>
        <v>0.81791618813389544</v>
      </c>
      <c r="AJ1395" s="27">
        <f>IF(('Activity data'!BC7*EF!$H20)*kgtoGg=0,"NO",('Activity data'!BC7*EF!$H20)*kgtoGg)</f>
        <v>0.2587745381881813</v>
      </c>
      <c r="AK1395" s="27">
        <f>IF(('Activity data'!BD7*EF!$H20)*kgtoGg=0,"NO",('Activity data'!BD7*EF!$H20)*kgtoGg)</f>
        <v>0.25896343925834608</v>
      </c>
      <c r="AL1395" s="27">
        <f>IF(('Activity data'!BE7*EF!$H20)*kgtoGg=0,"NO",('Activity data'!BE7*EF!$H20)*kgtoGg)</f>
        <v>0.25913874198238679</v>
      </c>
      <c r="AM1395" s="27">
        <f>IF(('Activity data'!BF7*EF!$H20)*kgtoGg=0,"NO",('Activity data'!BF7*EF!$H20)*kgtoGg)</f>
        <v>0.25930163222285196</v>
      </c>
      <c r="AN1395" s="27">
        <f>IF(('Activity data'!BG7*EF!$H20)*kgtoGg=0,"NO",('Activity data'!BG7*EF!$H20)*kgtoGg)</f>
        <v>0.25945357071387171</v>
      </c>
      <c r="AO1395" s="27">
        <f>IF(('Activity data'!BH7*EF!$H20)*kgtoGg=0,"NO",('Activity data'!BH7*EF!$H20)*kgtoGg)</f>
        <v>0.25958978884430933</v>
      </c>
      <c r="AP1395" s="27">
        <f>IF(('Activity data'!BI7*EF!$H20)*kgtoGg=0,"NO",('Activity data'!BI7*EF!$H20)*kgtoGg)</f>
        <v>0.25970708430821976</v>
      </c>
      <c r="AQ1395" s="27">
        <f>IF(('Activity data'!BJ7*EF!$H20)*kgtoGg=0,"NO",('Activity data'!BJ7*EF!$H20)*kgtoGg)</f>
        <v>0.25980494357810247</v>
      </c>
      <c r="AR1395" s="27">
        <f>IF(('Activity data'!BK7*EF!$H20)*kgtoGg=0,"NO",('Activity data'!BK7*EF!$H20)*kgtoGg)</f>
        <v>0.25987973318563101</v>
      </c>
      <c r="AS1395" s="27">
        <f>IF(('Activity data'!BL7*EF!$H20)*kgtoGg=0,"NO",('Activity data'!BL7*EF!$H20)*kgtoGg)</f>
        <v>0.25992750832035744</v>
      </c>
      <c r="AT1395" s="27">
        <f>IF(('Activity data'!BM7*EF!$H20)*kgtoGg=0,"NO",('Activity data'!BM7*EF!$H20)*kgtoGg)</f>
        <v>0.2599477817431719</v>
      </c>
      <c r="AU1395" s="27">
        <f>IF(('Activity data'!BN7*EF!$H20)*kgtoGg=0,"NO",('Activity data'!BN7*EF!$H20)*kgtoGg)</f>
        <v>0.25994111376614593</v>
      </c>
      <c r="AV1395" s="27">
        <f>IF(('Activity data'!BO7*EF!$H20)*kgtoGg=0,"NO",('Activity data'!BO7*EF!$H20)*kgtoGg)</f>
        <v>0.25990789514230944</v>
      </c>
      <c r="AW1395" s="27">
        <f>IF(('Activity data'!BP7*EF!$H20)*kgtoGg=0,"NO",('Activity data'!BP7*EF!$H20)*kgtoGg)</f>
        <v>0.2598444155660255</v>
      </c>
    </row>
    <row r="1396" spans="1:49" x14ac:dyDescent="0.25">
      <c r="A1396" s="95" t="s">
        <v>960</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9.4871637196006525E-2</v>
      </c>
      <c r="L1396" s="27">
        <f>IF(('Activity data'!AE8*EF!$H21)*kgtoGg=0,"NO",('Activity data'!AE8*EF!$H21)*kgtoGg)</f>
        <v>9.4048845784615531E-2</v>
      </c>
      <c r="M1396" s="27">
        <f>IF(('Activity data'!AF8*EF!$H21)*kgtoGg=0,"NO",('Activity data'!AF8*EF!$H21)*kgtoGg)</f>
        <v>9.3735634002294232E-2</v>
      </c>
      <c r="N1396" s="27">
        <f>IF(('Activity data'!AG8*EF!$H21)*kgtoGg=0,"NO",('Activity data'!AG8*EF!$H21)*kgtoGg)</f>
        <v>9.2483917307495112E-2</v>
      </c>
      <c r="O1396" s="27">
        <f>IF(('Activity data'!AH8*EF!$H21)*kgtoGg=0,"NO",('Activity data'!AH8*EF!$H21)*kgtoGg)</f>
        <v>9.0667019955957343E-2</v>
      </c>
      <c r="P1396" s="27">
        <f>IF(('Activity data'!AI8*EF!$H21)*kgtoGg=0,"NO",('Activity data'!AI8*EF!$H21)*kgtoGg)</f>
        <v>8.8322512540543879E-2</v>
      </c>
      <c r="Q1396" s="27">
        <f>IF(('Activity data'!AJ8*EF!$H21)*kgtoGg=0,"NO",('Activity data'!AJ8*EF!$H21)*kgtoGg)</f>
        <v>8.6473330972337878E-2</v>
      </c>
      <c r="R1396" s="27">
        <f>IF(('Activity data'!AK8*EF!$H21)*kgtoGg=0,"NO",('Activity data'!AK8*EF!$H21)*kgtoGg)</f>
        <v>8.4723794986300269E-2</v>
      </c>
      <c r="S1396" s="27">
        <f>IF(('Activity data'!AL8*EF!$H21)*kgtoGg=0,"NO",('Activity data'!AL8*EF!$H21)*kgtoGg)</f>
        <v>7.5770078702790261E-2</v>
      </c>
      <c r="T1396" s="27">
        <f>IF(('Activity data'!AM8*EF!$H21)*kgtoGg=0,"NO",('Activity data'!AM8*EF!$H21)*kgtoGg)</f>
        <v>7.8689269579177143E-2</v>
      </c>
      <c r="U1396" s="27">
        <f>IF(('Activity data'!AN8*EF!$H21)*kgtoGg=0,"NO",('Activity data'!AN8*EF!$H21)*kgtoGg)</f>
        <v>0.24800462804394147</v>
      </c>
      <c r="V1396" s="27">
        <f>IF(('Activity data'!AO8*EF!$H21)*kgtoGg=0,"NO",('Activity data'!AO8*EF!$H21)*kgtoGg)</f>
        <v>0.24920084841283532</v>
      </c>
      <c r="W1396" s="27">
        <f>IF(('Activity data'!AP8*EF!$H21)*kgtoGg=0,"NO",('Activity data'!AP8*EF!$H21)*kgtoGg)</f>
        <v>0.24996642649158854</v>
      </c>
      <c r="X1396" s="27">
        <f>IF(('Activity data'!AQ8*EF!$H21)*kgtoGg=0,"NO",('Activity data'!AQ8*EF!$H21)*kgtoGg)</f>
        <v>0.2503012063466436</v>
      </c>
      <c r="Y1396" s="27">
        <f>IF(('Activity data'!AR8*EF!$H21)*kgtoGg=0,"NO",('Activity data'!AR8*EF!$H21)*kgtoGg)</f>
        <v>0.25021227988125561</v>
      </c>
      <c r="Z1396" s="27">
        <f>IF(('Activity data'!AS8*EF!$H21)*kgtoGg=0,"NO",('Activity data'!AS8*EF!$H21)*kgtoGg)</f>
        <v>0.2496953846333905</v>
      </c>
      <c r="AA1396" s="27">
        <f>IF(('Activity data'!AT8*EF!$H21)*kgtoGg=0,"NO",('Activity data'!AT8*EF!$H21)*kgtoGg)</f>
        <v>0.24874925442521903</v>
      </c>
      <c r="AB1396" s="27">
        <f>IF(('Activity data'!AU8*EF!$H21)*kgtoGg=0,"NO",('Activity data'!AU8*EF!$H21)*kgtoGg)</f>
        <v>0.24737467209164213</v>
      </c>
      <c r="AC1396" s="27">
        <f>IF(('Activity data'!AV8*EF!$H21)*kgtoGg=0,"NO",('Activity data'!AV8*EF!$H21)*kgtoGg)</f>
        <v>0.24557472852149176</v>
      </c>
      <c r="AD1396" s="27">
        <f>IF(('Activity data'!AW8*EF!$H21)*kgtoGg=0,"NO",('Activity data'!AW8*EF!$H21)*kgtoGg)</f>
        <v>0.24131030034343104</v>
      </c>
      <c r="AE1396" s="27">
        <f>IF(('Activity data'!AX8*EF!$H21)*kgtoGg=0,"NO",('Activity data'!AX8*EF!$H21)*kgtoGg)</f>
        <v>0.23664419000405892</v>
      </c>
      <c r="AF1396" s="27">
        <f>IF(('Activity data'!AY8*EF!$H21)*kgtoGg=0,"NO",('Activity data'!AY8*EF!$H21)*kgtoGg)</f>
        <v>0.23159736326339173</v>
      </c>
      <c r="AG1396" s="27">
        <f>IF(('Activity data'!AZ8*EF!$H21)*kgtoGg=0,"NO",('Activity data'!AZ8*EF!$H21)*kgtoGg)</f>
        <v>0.22619316818810492</v>
      </c>
      <c r="AH1396" s="27">
        <f>IF(('Activity data'!BA8*EF!$H21)*kgtoGg=0,"NO",('Activity data'!BA8*EF!$H21)*kgtoGg)</f>
        <v>0.22045646078746098</v>
      </c>
      <c r="AI1396" s="27">
        <f>IF(('Activity data'!BB8*EF!$H21)*kgtoGg=0,"NO",('Activity data'!BB8*EF!$H21)*kgtoGg)</f>
        <v>0.21441370915210514</v>
      </c>
      <c r="AJ1396" s="27">
        <f>IF(('Activity data'!BC8*EF!$H21)*kgtoGg=0,"NO",('Activity data'!BC8*EF!$H21)*kgtoGg)</f>
        <v>-1.6555567081653722E-2</v>
      </c>
      <c r="AK1396" s="27">
        <f>IF(('Activity data'!BD8*EF!$H21)*kgtoGg=0,"NO",('Activity data'!BD8*EF!$H21)*kgtoGg)</f>
        <v>-1.6156956868356984E-2</v>
      </c>
      <c r="AL1396" s="27">
        <f>IF(('Activity data'!BE8*EF!$H21)*kgtoGg=0,"NO",('Activity data'!BE8*EF!$H21)*kgtoGg)</f>
        <v>-1.5762493990911713E-2</v>
      </c>
      <c r="AM1396" s="27">
        <f>IF(('Activity data'!BF8*EF!$H21)*kgtoGg=0,"NO",('Activity data'!BF8*EF!$H21)*kgtoGg)</f>
        <v>-1.5372137708578686E-2</v>
      </c>
      <c r="AN1396" s="27">
        <f>IF(('Activity data'!BG8*EF!$H21)*kgtoGg=0,"NO",('Activity data'!BG8*EF!$H21)*kgtoGg)</f>
        <v>-1.5062322238181812E-2</v>
      </c>
      <c r="AO1396" s="27">
        <f>IF(('Activity data'!BH8*EF!$H21)*kgtoGg=0,"NO",('Activity data'!BH8*EF!$H21)*kgtoGg)</f>
        <v>-1.4755445706367474E-2</v>
      </c>
      <c r="AP1396" s="27">
        <f>IF(('Activity data'!BI8*EF!$H21)*kgtoGg=0,"NO",('Activity data'!BI8*EF!$H21)*kgtoGg)</f>
        <v>-1.4451279866976845E-2</v>
      </c>
      <c r="AQ1396" s="27">
        <f>IF(('Activity data'!BJ8*EF!$H21)*kgtoGg=0,"NO",('Activity data'!BJ8*EF!$H21)*kgtoGg)</f>
        <v>-1.4149749376213728E-2</v>
      </c>
      <c r="AR1396" s="27">
        <f>IF(('Activity data'!BK8*EF!$H21)*kgtoGg=0,"NO",('Activity data'!BK8*EF!$H21)*kgtoGg)</f>
        <v>-1.3850633785054411E-2</v>
      </c>
      <c r="AS1396" s="27">
        <f>IF(('Activity data'!BL8*EF!$H21)*kgtoGg=0,"NO",('Activity data'!BL8*EF!$H21)*kgtoGg)</f>
        <v>-1.3553717207866358E-2</v>
      </c>
      <c r="AT1396" s="27">
        <f>IF(('Activity data'!BM8*EF!$H21)*kgtoGg=0,"NO",('Activity data'!BM8*EF!$H21)*kgtoGg)</f>
        <v>-1.3258964972152997E-2</v>
      </c>
      <c r="AU1396" s="27">
        <f>IF(('Activity data'!BN8*EF!$H21)*kgtoGg=0,"NO",('Activity data'!BN8*EF!$H21)*kgtoGg)</f>
        <v>-1.296639528808627E-2</v>
      </c>
      <c r="AV1396" s="27">
        <f>IF(('Activity data'!BO8*EF!$H21)*kgtoGg=0,"NO",('Activity data'!BO8*EF!$H21)*kgtoGg)</f>
        <v>-1.26760193266456E-2</v>
      </c>
      <c r="AW1396" s="27">
        <f>IF(('Activity data'!BP8*EF!$H21)*kgtoGg=0,"NO",('Activity data'!BP8*EF!$H21)*kgtoGg)</f>
        <v>-1.2387670307042478E-2</v>
      </c>
    </row>
    <row r="1397" spans="1:49" x14ac:dyDescent="0.25">
      <c r="A1397" s="95" t="s">
        <v>960</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6.968944973410629E-2</v>
      </c>
      <c r="L1397" s="27">
        <f>IF(('Activity data'!AE9*EF!$H22)*kgtoGg=0,"NO",('Activity data'!AE9*EF!$H22)*kgtoGg)</f>
        <v>6.908505539244103E-2</v>
      </c>
      <c r="M1397" s="27">
        <f>IF(('Activity data'!AF9*EF!$H22)*kgtoGg=0,"NO",('Activity data'!AF9*EF!$H22)*kgtoGg)</f>
        <v>6.8854980763127779E-2</v>
      </c>
      <c r="N1397" s="27">
        <f>IF(('Activity data'!AG9*EF!$H22)*kgtoGg=0,"NO",('Activity data'!AG9*EF!$H22)*kgtoGg)</f>
        <v>6.7935512624264296E-2</v>
      </c>
      <c r="O1397" s="27">
        <f>IF(('Activity data'!AH9*EF!$H22)*kgtoGg=0,"NO",('Activity data'!AH9*EF!$H22)*kgtoGg)</f>
        <v>6.660088216573827E-2</v>
      </c>
      <c r="P1397" s="27">
        <f>IF(('Activity data'!AI9*EF!$H22)*kgtoGg=0,"NO",('Activity data'!AI9*EF!$H22)*kgtoGg)</f>
        <v>6.487868745605771E-2</v>
      </c>
      <c r="Q1397" s="27">
        <f>IF(('Activity data'!AJ9*EF!$H22)*kgtoGg=0,"NO",('Activity data'!AJ9*EF!$H22)*kgtoGg)</f>
        <v>6.3520342119606055E-2</v>
      </c>
      <c r="R1397" s="27">
        <f>IF(('Activity data'!AK9*EF!$H22)*kgtoGg=0,"NO",('Activity data'!AK9*EF!$H22)*kgtoGg)</f>
        <v>6.2235193009075984E-2</v>
      </c>
      <c r="S1397" s="27">
        <f>IF(('Activity data'!AL9*EF!$H22)*kgtoGg=0,"NO",('Activity data'!AL9*EF!$H22)*kgtoGg)</f>
        <v>5.5658100220174651E-2</v>
      </c>
      <c r="T1397" s="27">
        <f>IF(('Activity data'!AM9*EF!$H22)*kgtoGg=0,"NO",('Activity data'!AM9*EF!$H22)*kgtoGg)</f>
        <v>5.7802437683476982E-2</v>
      </c>
      <c r="U1397" s="27">
        <f>IF(('Activity data'!AN9*EF!$H22)*kgtoGg=0,"NO",('Activity data'!AN9*EF!$H22)*kgtoGg)</f>
        <v>0.182175690972702</v>
      </c>
      <c r="V1397" s="27">
        <f>IF(('Activity data'!AO9*EF!$H22)*kgtoGg=0,"NO",('Activity data'!AO9*EF!$H22)*kgtoGg)</f>
        <v>0.18305439341457844</v>
      </c>
      <c r="W1397" s="27">
        <f>IF(('Activity data'!AP9*EF!$H22)*kgtoGg=0,"NO",('Activity data'!AP9*EF!$H22)*kgtoGg)</f>
        <v>0.18361676080501965</v>
      </c>
      <c r="X1397" s="27">
        <f>IF(('Activity data'!AQ9*EF!$H22)*kgtoGg=0,"NO",('Activity data'!AQ9*EF!$H22)*kgtoGg)</f>
        <v>0.18386267860058431</v>
      </c>
      <c r="Y1397" s="27">
        <f>IF(('Activity data'!AR9*EF!$H22)*kgtoGg=0,"NO",('Activity data'!AR9*EF!$H22)*kgtoGg)</f>
        <v>0.18379735627008756</v>
      </c>
      <c r="Z1397" s="27">
        <f>IF(('Activity data'!AS9*EF!$H22)*kgtoGg=0,"NO",('Activity data'!AS9*EF!$H22)*kgtoGg)</f>
        <v>0.18341766275515989</v>
      </c>
      <c r="AA1397" s="27">
        <f>IF(('Activity data'!AT9*EF!$H22)*kgtoGg=0,"NO",('Activity data'!AT9*EF!$H22)*kgtoGg)</f>
        <v>0.18272266796500922</v>
      </c>
      <c r="AB1397" s="27">
        <f>IF(('Activity data'!AU9*EF!$H22)*kgtoGg=0,"NO",('Activity data'!AU9*EF!$H22)*kgtoGg)</f>
        <v>0.18171294694329559</v>
      </c>
      <c r="AC1397" s="27">
        <f>IF(('Activity data'!AV9*EF!$H22)*kgtoGg=0,"NO",('Activity data'!AV9*EF!$H22)*kgtoGg)</f>
        <v>0.1803907701509096</v>
      </c>
      <c r="AD1397" s="27">
        <f>IF(('Activity data'!AW9*EF!$H22)*kgtoGg=0,"NO",('Activity data'!AW9*EF!$H22)*kgtoGg)</f>
        <v>0.17725826751953122</v>
      </c>
      <c r="AE1397" s="27">
        <f>IF(('Activity data'!AX9*EF!$H22)*kgtoGg=0,"NO",('Activity data'!AX9*EF!$H22)*kgtoGg)</f>
        <v>0.17383070295376282</v>
      </c>
      <c r="AF1397" s="27">
        <f>IF(('Activity data'!AY9*EF!$H22)*kgtoGg=0,"NO",('Activity data'!AY9*EF!$H22)*kgtoGg)</f>
        <v>0.17012347718159837</v>
      </c>
      <c r="AG1397" s="27">
        <f>IF(('Activity data'!AZ9*EF!$H22)*kgtoGg=0,"NO",('Activity data'!AZ9*EF!$H22)*kgtoGg)</f>
        <v>0.16615374089176904</v>
      </c>
      <c r="AH1397" s="27">
        <f>IF(('Activity data'!BA9*EF!$H22)*kgtoGg=0,"NO",('Activity data'!BA9*EF!$H22)*kgtoGg)</f>
        <v>0.16193975245589462</v>
      </c>
      <c r="AI1397" s="27">
        <f>IF(('Activity data'!BB9*EF!$H22)*kgtoGg=0,"NO",('Activity data'!BB9*EF!$H22)*kgtoGg)</f>
        <v>0.1575009544252694</v>
      </c>
      <c r="AJ1397" s="27">
        <f>IF(('Activity data'!BC9*EF!$H22)*kgtoGg=0,"NO",('Activity data'!BC9*EF!$H22)*kgtoGg)</f>
        <v>-1.2161151573392443E-2</v>
      </c>
      <c r="AK1397" s="27">
        <f>IF(('Activity data'!BD9*EF!$H22)*kgtoGg=0,"NO",('Activity data'!BD9*EF!$H22)*kgtoGg)</f>
        <v>-1.1868346186618603E-2</v>
      </c>
      <c r="AL1397" s="27">
        <f>IF(('Activity data'!BE9*EF!$H22)*kgtoGg=0,"NO",('Activity data'!BE9*EF!$H22)*kgtoGg)</f>
        <v>-1.1578587290470338E-2</v>
      </c>
      <c r="AM1397" s="27">
        <f>IF(('Activity data'!BF9*EF!$H22)*kgtoGg=0,"NO",('Activity data'!BF9*EF!$H22)*kgtoGg)</f>
        <v>-1.1291844958198401E-2</v>
      </c>
      <c r="AN1397" s="27">
        <f>IF(('Activity data'!BG9*EF!$H22)*kgtoGg=0,"NO",('Activity data'!BG9*EF!$H22)*kgtoGg)</f>
        <v>-1.1064265143100825E-2</v>
      </c>
      <c r="AO1397" s="27">
        <f>IF(('Activity data'!BH9*EF!$H22)*kgtoGg=0,"NO",('Activity data'!BH9*EF!$H22)*kgtoGg)</f>
        <v>-1.0838844171453966E-2</v>
      </c>
      <c r="AP1397" s="27">
        <f>IF(('Activity data'!BI9*EF!$H22)*kgtoGg=0,"NO",('Activity data'!BI9*EF!$H22)*kgtoGg)</f>
        <v>-1.0615414381460443E-2</v>
      </c>
      <c r="AQ1397" s="27">
        <f>IF(('Activity data'!BJ9*EF!$H22)*kgtoGg=0,"NO",('Activity data'!BJ9*EF!$H22)*kgtoGg)</f>
        <v>-1.039392042815254E-2</v>
      </c>
      <c r="AR1397" s="27">
        <f>IF(('Activity data'!BK9*EF!$H22)*kgtoGg=0,"NO",('Activity data'!BK9*EF!$H22)*kgtoGg)</f>
        <v>-1.017420037724082E-2</v>
      </c>
      <c r="AS1397" s="27">
        <f>IF(('Activity data'!BL9*EF!$H22)*kgtoGg=0,"NO",('Activity data'!BL9*EF!$H22)*kgtoGg)</f>
        <v>-9.956095646546443E-3</v>
      </c>
      <c r="AT1397" s="27">
        <f>IF(('Activity data'!BM9*EF!$H22)*kgtoGg=0,"NO",('Activity data'!BM9*EF!$H22)*kgtoGg)</f>
        <v>-9.739580766843E-3</v>
      </c>
      <c r="AU1397" s="27">
        <f>IF(('Activity data'!BN9*EF!$H22)*kgtoGg=0,"NO",('Activity data'!BN9*EF!$H22)*kgtoGg)</f>
        <v>-9.5246691146980388E-3</v>
      </c>
      <c r="AV1397" s="27">
        <f>IF(('Activity data'!BO9*EF!$H22)*kgtoGg=0,"NO",('Activity data'!BO9*EF!$H22)*kgtoGg)</f>
        <v>-9.3113688959297666E-3</v>
      </c>
      <c r="AW1397" s="27">
        <f>IF(('Activity data'!BP9*EF!$H22)*kgtoGg=0,"NO",('Activity data'!BP9*EF!$H22)*kgtoGg)</f>
        <v>-9.0995575990930264E-3</v>
      </c>
    </row>
    <row r="1398" spans="1:49" x14ac:dyDescent="0.25">
      <c r="A1398" s="95" t="s">
        <v>960</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0.48695387967725956</v>
      </c>
      <c r="M1398" s="27">
        <f>IF(('Activity data'!AF10*EF!$H23)*kgtoGg=0,"NO",('Activity data'!AF10*EF!$H23)*kgtoGg)</f>
        <v>0.50580611066616787</v>
      </c>
      <c r="N1398" s="27">
        <f>IF(('Activity data'!AG10*EF!$H23)*kgtoGg=0,"NO",('Activity data'!AG10*EF!$H23)*kgtoGg)</f>
        <v>0.51986569055899423</v>
      </c>
      <c r="O1398" s="27">
        <f>IF(('Activity data'!AH10*EF!$H23)*kgtoGg=0,"NO",('Activity data'!AH10*EF!$H23)*kgtoGg)</f>
        <v>0.5307082628613855</v>
      </c>
      <c r="P1398" s="27">
        <f>IF(('Activity data'!AI10*EF!$H23)*kgtoGg=0,"NO",('Activity data'!AI10*EF!$H23)*kgtoGg)</f>
        <v>0.53817886796858139</v>
      </c>
      <c r="Q1398" s="27">
        <f>IF(('Activity data'!AJ10*EF!$H23)*kgtoGg=0,"NO",('Activity data'!AJ10*EF!$H23)*kgtoGg)</f>
        <v>0.54837935702304763</v>
      </c>
      <c r="R1398" s="27">
        <f>IF(('Activity data'!AK10*EF!$H23)*kgtoGg=0,"NO",('Activity data'!AK10*EF!$H23)*kgtoGg)</f>
        <v>0.55907244781022658</v>
      </c>
      <c r="S1398" s="27">
        <f>IF(('Activity data'!AL10*EF!$H23)*kgtoGg=0,"NO",('Activity data'!AL10*EF!$H23)*kgtoGg)</f>
        <v>0.52019632078645839</v>
      </c>
      <c r="T1398" s="27">
        <f>IF(('Activity data'!AM10*EF!$H23)*kgtoGg=0,"NO",('Activity data'!AM10*EF!$H23)*kgtoGg)</f>
        <v>0.55325369057346974</v>
      </c>
      <c r="U1398" s="27">
        <f>IF(('Activity data'!AN10*EF!$H23)*kgtoGg=0,"NO",('Activity data'!AN10*EF!$H23)*kgtoGg)</f>
        <v>1.7851204886019707</v>
      </c>
      <c r="V1398" s="27">
        <f>IF(('Activity data'!AO10*EF!$H23)*kgtoGg=0,"NO",('Activity data'!AO10*EF!$H23)*kgtoGg)</f>
        <v>1.8358114551753451</v>
      </c>
      <c r="W1398" s="27">
        <f>IF(('Activity data'!AP10*EF!$H23)*kgtoGg=0,"NO",('Activity data'!AP10*EF!$H23)*kgtoGg)</f>
        <v>1.8841429870431068</v>
      </c>
      <c r="X1398" s="27">
        <f>IF(('Activity data'!AQ10*EF!$H23)*kgtoGg=0,"NO",('Activity data'!AQ10*EF!$H23)*kgtoGg)</f>
        <v>1.9299293707853407</v>
      </c>
      <c r="Y1398" s="27">
        <f>IF(('Activity data'!AR10*EF!$H23)*kgtoGg=0,"NO",('Activity data'!AR10*EF!$H23)*kgtoGg)</f>
        <v>1.9730360139075687</v>
      </c>
      <c r="Z1398" s="27">
        <f>IF(('Activity data'!AS10*EF!$H23)*kgtoGg=0,"NO",('Activity data'!AS10*EF!$H23)*kgtoGg)</f>
        <v>2.0132355560309785</v>
      </c>
      <c r="AA1398" s="27">
        <f>IF(('Activity data'!AT10*EF!$H23)*kgtoGg=0,"NO",('Activity data'!AT10*EF!$H23)*kgtoGg)</f>
        <v>2.0503157854688139</v>
      </c>
      <c r="AB1398" s="27">
        <f>IF(('Activity data'!AU10*EF!$H23)*kgtoGg=0,"NO",('Activity data'!AU10*EF!$H23)*kgtoGg)</f>
        <v>2.0840739423253991</v>
      </c>
      <c r="AC1398" s="27">
        <f>IF(('Activity data'!AV10*EF!$H23)*kgtoGg=0,"NO",('Activity data'!AV10*EF!$H23)*kgtoGg)</f>
        <v>2.1143204533767861</v>
      </c>
      <c r="AD1398" s="27">
        <f>IF(('Activity data'!AW10*EF!$H23)*kgtoGg=0,"NO",('Activity data'!AW10*EF!$H23)*kgtoGg)</f>
        <v>2.1465040938299391</v>
      </c>
      <c r="AE1398" s="27">
        <f>IF(('Activity data'!AX10*EF!$H23)*kgtoGg=0,"NO",('Activity data'!AX10*EF!$H23)*kgtoGg)</f>
        <v>2.1749393600032643</v>
      </c>
      <c r="AF1398" s="27">
        <f>IF(('Activity data'!AY10*EF!$H23)*kgtoGg=0,"NO",('Activity data'!AY10*EF!$H23)*kgtoGg)</f>
        <v>2.1994598063034698</v>
      </c>
      <c r="AG1398" s="27">
        <f>IF(('Activity data'!AZ10*EF!$H23)*kgtoGg=0,"NO",('Activity data'!AZ10*EF!$H23)*kgtoGg)</f>
        <v>2.2199209490040412</v>
      </c>
      <c r="AH1398" s="27">
        <f>IF(('Activity data'!BA10*EF!$H23)*kgtoGg=0,"NO",('Activity data'!BA10*EF!$H23)*kgtoGg)</f>
        <v>2.2361952396921123</v>
      </c>
      <c r="AI1398" s="27">
        <f>IF(('Activity data'!BB10*EF!$H23)*kgtoGg=0,"NO",('Activity data'!BB10*EF!$H23)*kgtoGg)</f>
        <v>2.2481759568184136</v>
      </c>
      <c r="AJ1398" s="27">
        <f>IF(('Activity data'!BC10*EF!$H23)*kgtoGg=0,"NO",('Activity data'!BC10*EF!$H23)*kgtoGg)</f>
        <v>-0.17946652232513363</v>
      </c>
      <c r="AK1398" s="27">
        <f>IF(('Activity data'!BD10*EF!$H23)*kgtoGg=0,"NO",('Activity data'!BD10*EF!$H23)*kgtoGg)</f>
        <v>-0.18110907611543389</v>
      </c>
      <c r="AL1398" s="27">
        <f>IF(('Activity data'!BE10*EF!$H23)*kgtoGg=0,"NO",('Activity data'!BE10*EF!$H23)*kgtoGg)</f>
        <v>-0.18274076856651822</v>
      </c>
      <c r="AM1398" s="27">
        <f>IF(('Activity data'!BF10*EF!$H23)*kgtoGg=0,"NO",('Activity data'!BF10*EF!$H23)*kgtoGg)</f>
        <v>-0.18436241238183759</v>
      </c>
      <c r="AN1398" s="27">
        <f>IF(('Activity data'!BG10*EF!$H23)*kgtoGg=0,"NO",('Activity data'!BG10*EF!$H23)*kgtoGg)</f>
        <v>-0.18574369682883446</v>
      </c>
      <c r="AO1398" s="27">
        <f>IF(('Activity data'!BH10*EF!$H23)*kgtoGg=0,"NO",('Activity data'!BH10*EF!$H23)*kgtoGg)</f>
        <v>-0.18711116954081883</v>
      </c>
      <c r="AP1398" s="27">
        <f>IF(('Activity data'!BI10*EF!$H23)*kgtoGg=0,"NO",('Activity data'!BI10*EF!$H23)*kgtoGg)</f>
        <v>-0.18846273754694579</v>
      </c>
      <c r="AQ1398" s="27">
        <f>IF(('Activity data'!BJ10*EF!$H23)*kgtoGg=0,"NO",('Activity data'!BJ10*EF!$H23)*kgtoGg)</f>
        <v>-0.18979802913484242</v>
      </c>
      <c r="AR1398" s="27">
        <f>IF(('Activity data'!BK10*EF!$H23)*kgtoGg=0,"NO",('Activity data'!BK10*EF!$H23)*kgtoGg)</f>
        <v>-0.19111455281570203</v>
      </c>
      <c r="AS1398" s="27">
        <f>IF(('Activity data'!BL10*EF!$H23)*kgtoGg=0,"NO",('Activity data'!BL10*EF!$H23)*kgtoGg)</f>
        <v>-0.19240952741879389</v>
      </c>
      <c r="AT1398" s="27">
        <f>IF(('Activity data'!BM10*EF!$H23)*kgtoGg=0,"NO",('Activity data'!BM10*EF!$H23)*kgtoGg)</f>
        <v>-0.19368244494387601</v>
      </c>
      <c r="AU1398" s="27">
        <f>IF(('Activity data'!BN10*EF!$H23)*kgtoGg=0,"NO",('Activity data'!BN10*EF!$H23)*kgtoGg)</f>
        <v>-0.19493349782495742</v>
      </c>
      <c r="AV1398" s="27">
        <f>IF(('Activity data'!BO10*EF!$H23)*kgtoGg=0,"NO",('Activity data'!BO10*EF!$H23)*kgtoGg)</f>
        <v>-0.19616276303602645</v>
      </c>
      <c r="AW1398" s="27">
        <f>IF(('Activity data'!BP10*EF!$H23)*kgtoGg=0,"NO",('Activity data'!BP10*EF!$H23)*kgtoGg)</f>
        <v>-0.19736746528407936</v>
      </c>
    </row>
    <row r="1399" spans="1:49" x14ac:dyDescent="0.25">
      <c r="A1399" s="95" t="s">
        <v>960</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3.6578192116978575E-2</v>
      </c>
      <c r="T1399" s="27">
        <f>IF(('Activity data'!AM11*EF!$H24)*kgtoGg=0,"NO",('Activity data'!AM11*EF!$H24)*kgtoGg)</f>
        <v>3.6602536457524273E-2</v>
      </c>
      <c r="U1399" s="27">
        <f>IF(('Activity data'!AN11*EF!$H24)*kgtoGg=0,"NO",('Activity data'!AN11*EF!$H24)*kgtoGg)</f>
        <v>3.7079287706665597E-2</v>
      </c>
      <c r="V1399" s="27">
        <f>IF(('Activity data'!AO11*EF!$H24)*kgtoGg=0,"NO",('Activity data'!AO11*EF!$H24)*kgtoGg)</f>
        <v>3.7090917681294085E-2</v>
      </c>
      <c r="W1399" s="27">
        <f>IF(('Activity data'!AP11*EF!$H24)*kgtoGg=0,"NO",('Activity data'!AP11*EF!$H24)*kgtoGg)</f>
        <v>3.7140664601717173E-2</v>
      </c>
      <c r="X1399" s="27">
        <f>IF(('Activity data'!AQ11*EF!$H24)*kgtoGg=0,"NO",('Activity data'!AQ11*EF!$H24)*kgtoGg)</f>
        <v>3.7212574982641126E-2</v>
      </c>
      <c r="Y1399" s="27">
        <f>IF(('Activity data'!AR11*EF!$H24)*kgtoGg=0,"NO",('Activity data'!AR11*EF!$H24)*kgtoGg)</f>
        <v>3.7279377262220796E-2</v>
      </c>
      <c r="Z1399" s="27">
        <f>IF(('Activity data'!AS11*EF!$H24)*kgtoGg=0,"NO",('Activity data'!AS11*EF!$H24)*kgtoGg)</f>
        <v>3.7341898542443672E-2</v>
      </c>
      <c r="AA1399" s="27">
        <f>IF(('Activity data'!AT11*EF!$H24)*kgtoGg=0,"NO",('Activity data'!AT11*EF!$H24)*kgtoGg)</f>
        <v>3.7399805431240309E-2</v>
      </c>
      <c r="AB1399" s="27">
        <f>IF(('Activity data'!AU11*EF!$H24)*kgtoGg=0,"NO",('Activity data'!AU11*EF!$H24)*kgtoGg)</f>
        <v>3.7453619674437284E-2</v>
      </c>
      <c r="AC1399" s="27">
        <f>IF(('Activity data'!AV11*EF!$H24)*kgtoGg=0,"NO",('Activity data'!AV11*EF!$H24)*kgtoGg)</f>
        <v>3.7504157579295157E-2</v>
      </c>
      <c r="AD1399" s="27">
        <f>IF(('Activity data'!AW11*EF!$H24)*kgtoGg=0,"NO",('Activity data'!AW11*EF!$H24)*kgtoGg)</f>
        <v>3.755137152744302E-2</v>
      </c>
      <c r="AE1399" s="27">
        <f>IF(('Activity data'!AX11*EF!$H24)*kgtoGg=0,"NO",('Activity data'!AX11*EF!$H24)*kgtoGg)</f>
        <v>3.7596016682571363E-2</v>
      </c>
      <c r="AF1399" s="27">
        <f>IF(('Activity data'!AY11*EF!$H24)*kgtoGg=0,"NO",('Activity data'!AY11*EF!$H24)*kgtoGg)</f>
        <v>3.7638201115333593E-2</v>
      </c>
      <c r="AG1399" s="27">
        <f>IF(('Activity data'!AZ11*EF!$H24)*kgtoGg=0,"NO",('Activity data'!AZ11*EF!$H24)*kgtoGg)</f>
        <v>3.7677346639447794E-2</v>
      </c>
      <c r="AH1399" s="27">
        <f>IF(('Activity data'!BA11*EF!$H24)*kgtoGg=0,"NO",('Activity data'!BA11*EF!$H24)*kgtoGg)</f>
        <v>3.7713811349129885E-2</v>
      </c>
      <c r="AI1399" s="27">
        <f>IF(('Activity data'!BB11*EF!$H24)*kgtoGg=0,"NO",('Activity data'!BB11*EF!$H24)*kgtoGg)</f>
        <v>3.7748176979043722E-2</v>
      </c>
      <c r="AJ1399" s="27">
        <f>IF(('Activity data'!BC11*EF!$H24)*kgtoGg=0,"NO",('Activity data'!BC11*EF!$H24)*kgtoGg)</f>
        <v>3.6919749367433322E-2</v>
      </c>
      <c r="AK1399" s="27">
        <f>IF(('Activity data'!BD11*EF!$H24)*kgtoGg=0,"NO",('Activity data'!BD11*EF!$H24)*kgtoGg)</f>
        <v>3.6953700421728228E-2</v>
      </c>
      <c r="AL1399" s="27">
        <f>IF(('Activity data'!BE11*EF!$H24)*kgtoGg=0,"NO",('Activity data'!BE11*EF!$H24)*kgtoGg)</f>
        <v>3.6985368016573254E-2</v>
      </c>
      <c r="AM1399" s="27">
        <f>IF(('Activity data'!BF11*EF!$H24)*kgtoGg=0,"NO",('Activity data'!BF11*EF!$H24)*kgtoGg)</f>
        <v>3.7014945688034803E-2</v>
      </c>
      <c r="AN1399" s="27">
        <f>IF(('Activity data'!BG11*EF!$H24)*kgtoGg=0,"NO",('Activity data'!BG11*EF!$H24)*kgtoGg)</f>
        <v>3.7042668702165847E-2</v>
      </c>
      <c r="AO1399" s="27">
        <f>IF(('Activity data'!BH11*EF!$H24)*kgtoGg=0,"NO",('Activity data'!BH11*EF!$H24)*kgtoGg)</f>
        <v>3.7067807831001554E-2</v>
      </c>
      <c r="AP1399" s="27">
        <f>IF(('Activity data'!BI11*EF!$H24)*kgtoGg=0,"NO",('Activity data'!BI11*EF!$H24)*kgtoGg)</f>
        <v>3.7089876088168584E-2</v>
      </c>
      <c r="AQ1399" s="27">
        <f>IF(('Activity data'!BJ11*EF!$H24)*kgtoGg=0,"NO",('Activity data'!BJ11*EF!$H24)*kgtoGg)</f>
        <v>3.710880214511815E-2</v>
      </c>
      <c r="AR1399" s="27">
        <f>IF(('Activity data'!BK11*EF!$H24)*kgtoGg=0,"NO",('Activity data'!BK11*EF!$H24)*kgtoGg)</f>
        <v>3.7124031819377158E-2</v>
      </c>
      <c r="AS1399" s="27">
        <f>IF(('Activity data'!BL11*EF!$H24)*kgtoGg=0,"NO",('Activity data'!BL11*EF!$H24)*kgtoGg)</f>
        <v>3.7134962729756575E-2</v>
      </c>
      <c r="AT1399" s="27">
        <f>IF(('Activity data'!BM11*EF!$H24)*kgtoGg=0,"NO",('Activity data'!BM11*EF!$H24)*kgtoGg)</f>
        <v>3.7141526945573433E-2</v>
      </c>
      <c r="AU1399" s="27">
        <f>IF(('Activity data'!BN11*EF!$H24)*kgtoGg=0,"NO",('Activity data'!BN11*EF!$H24)*kgtoGg)</f>
        <v>3.7143818098984892E-2</v>
      </c>
      <c r="AV1399" s="27">
        <f>IF(('Activity data'!BO11*EF!$H24)*kgtoGg=0,"NO",('Activity data'!BO11*EF!$H24)*kgtoGg)</f>
        <v>3.7141903206885624E-2</v>
      </c>
      <c r="AW1399" s="27">
        <f>IF(('Activity data'!BP11*EF!$H24)*kgtoGg=0,"NO",('Activity data'!BP11*EF!$H24)*kgtoGg)</f>
        <v>3.7135215292227401E-2</v>
      </c>
    </row>
    <row r="1400" spans="1:49" x14ac:dyDescent="0.25">
      <c r="A1400" s="95" t="s">
        <v>960</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4.1774038907199012E-3</v>
      </c>
      <c r="T1400" s="27">
        <f>IF(('Activity data'!AM12*EF!$H25)*kgtoGg=0,"NO",('Activity data'!AM12*EF!$H25)*kgtoGg)</f>
        <v>4.1801841304481904E-3</v>
      </c>
      <c r="U1400" s="27">
        <f>IF(('Activity data'!AN12*EF!$H25)*kgtoGg=0,"NO",('Activity data'!AN12*EF!$H25)*kgtoGg)</f>
        <v>4.2346313955480986E-3</v>
      </c>
      <c r="V1400" s="27">
        <f>IF(('Activity data'!AO12*EF!$H25)*kgtoGg=0,"NO",('Activity data'!AO12*EF!$H25)*kgtoGg)</f>
        <v>4.2359595940852672E-3</v>
      </c>
      <c r="W1400" s="27">
        <f>IF(('Activity data'!AP12*EF!$H25)*kgtoGg=0,"NO",('Activity data'!AP12*EF!$H25)*kgtoGg)</f>
        <v>4.24164092951765E-3</v>
      </c>
      <c r="X1400" s="27">
        <f>IF(('Activity data'!AQ12*EF!$H25)*kgtoGg=0,"NO",('Activity data'!AQ12*EF!$H25)*kgtoGg)</f>
        <v>4.2498534377819787E-3</v>
      </c>
      <c r="Y1400" s="27">
        <f>IF(('Activity data'!AR12*EF!$H25)*kgtoGg=0,"NO",('Activity data'!AR12*EF!$H25)*kgtoGg)</f>
        <v>4.2574825765248842E-3</v>
      </c>
      <c r="Z1400" s="27">
        <f>IF(('Activity data'!AS12*EF!$H25)*kgtoGg=0,"NO",('Activity data'!AS12*EF!$H25)*kgtoGg)</f>
        <v>4.2646228047357425E-3</v>
      </c>
      <c r="AA1400" s="27">
        <f>IF(('Activity data'!AT12*EF!$H25)*kgtoGg=0,"NO",('Activity data'!AT12*EF!$H25)*kgtoGg)</f>
        <v>4.2712360474510998E-3</v>
      </c>
      <c r="AB1400" s="27">
        <f>IF(('Activity data'!AU12*EF!$H25)*kgtoGg=0,"NO",('Activity data'!AU12*EF!$H25)*kgtoGg)</f>
        <v>4.2773818905312679E-3</v>
      </c>
      <c r="AC1400" s="27">
        <f>IF(('Activity data'!AV12*EF!$H25)*kgtoGg=0,"NO",('Activity data'!AV12*EF!$H25)*kgtoGg)</f>
        <v>4.2831535601563532E-3</v>
      </c>
      <c r="AD1400" s="27">
        <f>IF(('Activity data'!AW12*EF!$H25)*kgtoGg=0,"NO",('Activity data'!AW12*EF!$H25)*kgtoGg)</f>
        <v>4.2885456180814241E-3</v>
      </c>
      <c r="AE1400" s="27">
        <f>IF(('Activity data'!AX12*EF!$H25)*kgtoGg=0,"NO",('Activity data'!AX12*EF!$H25)*kgtoGg)</f>
        <v>4.2936443075994434E-3</v>
      </c>
      <c r="AF1400" s="27">
        <f>IF(('Activity data'!AY12*EF!$H25)*kgtoGg=0,"NO",('Activity data'!AY12*EF!$H25)*kgtoGg)</f>
        <v>4.2984619708941515E-3</v>
      </c>
      <c r="AG1400" s="27">
        <f>IF(('Activity data'!AZ12*EF!$H25)*kgtoGg=0,"NO",('Activity data'!AZ12*EF!$H25)*kgtoGg)</f>
        <v>4.3029325763362138E-3</v>
      </c>
      <c r="AH1400" s="27">
        <f>IF(('Activity data'!BA12*EF!$H25)*kgtoGg=0,"NO",('Activity data'!BA12*EF!$H25)*kgtoGg)</f>
        <v>4.3070970199919519E-3</v>
      </c>
      <c r="AI1400" s="27">
        <f>IF(('Activity data'!BB12*EF!$H25)*kgtoGg=0,"NO",('Activity data'!BB12*EF!$H25)*kgtoGg)</f>
        <v>4.3110217387328335E-3</v>
      </c>
      <c r="AJ1400" s="27">
        <f>IF(('Activity data'!BC12*EF!$H25)*kgtoGg=0,"NO",('Activity data'!BC12*EF!$H25)*kgtoGg)</f>
        <v>4.2164113567638812E-3</v>
      </c>
      <c r="AK1400" s="27">
        <f>IF(('Activity data'!BD12*EF!$H25)*kgtoGg=0,"NO",('Activity data'!BD12*EF!$H25)*kgtoGg)</f>
        <v>4.2202887289929962E-3</v>
      </c>
      <c r="AL1400" s="27">
        <f>IF(('Activity data'!BE12*EF!$H25)*kgtoGg=0,"NO",('Activity data'!BE12*EF!$H25)*kgtoGg)</f>
        <v>4.2239053192687616E-3</v>
      </c>
      <c r="AM1400" s="27">
        <f>IF(('Activity data'!BF12*EF!$H25)*kgtoGg=0,"NO",('Activity data'!BF12*EF!$H25)*kgtoGg)</f>
        <v>4.2272832303324572E-3</v>
      </c>
      <c r="AN1400" s="27">
        <f>IF(('Activity data'!BG12*EF!$H25)*kgtoGg=0,"NO",('Activity data'!BG12*EF!$H25)*kgtoGg)</f>
        <v>4.2304493306887332E-3</v>
      </c>
      <c r="AO1400" s="27">
        <f>IF(('Activity data'!BH12*EF!$H25)*kgtoGg=0,"NO",('Activity data'!BH12*EF!$H25)*kgtoGg)</f>
        <v>4.2333203390281212E-3</v>
      </c>
      <c r="AP1400" s="27">
        <f>IF(('Activity data'!BI12*EF!$H25)*kgtoGg=0,"NO",('Activity data'!BI12*EF!$H25)*kgtoGg)</f>
        <v>4.235840639185552E-3</v>
      </c>
      <c r="AQ1400" s="27">
        <f>IF(('Activity data'!BJ12*EF!$H25)*kgtoGg=0,"NO",('Activity data'!BJ12*EF!$H25)*kgtoGg)</f>
        <v>4.2380020851007644E-3</v>
      </c>
      <c r="AR1400" s="27">
        <f>IF(('Activity data'!BK12*EF!$H25)*kgtoGg=0,"NO",('Activity data'!BK12*EF!$H25)*kgtoGg)</f>
        <v>4.2397413864938057E-3</v>
      </c>
      <c r="AS1400" s="27">
        <f>IF(('Activity data'!BL12*EF!$H25)*kgtoGg=0,"NO",('Activity data'!BL12*EF!$H25)*kgtoGg)</f>
        <v>4.2409897485616204E-3</v>
      </c>
      <c r="AT1400" s="27">
        <f>IF(('Activity data'!BM12*EF!$H25)*kgtoGg=0,"NO",('Activity data'!BM12*EF!$H25)*kgtoGg)</f>
        <v>4.241739413296421E-3</v>
      </c>
      <c r="AU1400" s="27">
        <f>IF(('Activity data'!BN12*EF!$H25)*kgtoGg=0,"NO",('Activity data'!BN12*EF!$H25)*kgtoGg)</f>
        <v>4.2420010739368554E-3</v>
      </c>
      <c r="AV1400" s="27">
        <f>IF(('Activity data'!BO12*EF!$H25)*kgtoGg=0,"NO",('Activity data'!BO12*EF!$H25)*kgtoGg)</f>
        <v>4.2417823841317337E-3</v>
      </c>
      <c r="AW1400" s="27">
        <f>IF(('Activity data'!BP12*EF!$H25)*kgtoGg=0,"NO",('Activity data'!BP12*EF!$H25)*kgtoGg)</f>
        <v>4.2410185923996346E-3</v>
      </c>
    </row>
    <row r="1401" spans="1:49" x14ac:dyDescent="0.25">
      <c r="A1401" s="95" t="s">
        <v>960</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1.5789672763163301E-2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1.6230654784419023E-2</v>
      </c>
      <c r="R1401" s="27">
        <f>IF(('Activity data'!AK13*EF!$H26)*kgtoGg=0,"NO",('Activity data'!AK13*EF!$H26)*kgtoGg)</f>
        <v>1.6337439810579345E-2</v>
      </c>
      <c r="S1401" s="27">
        <f>IF(('Activity data'!AL13*EF!$H26)*kgtoGg=0,"NO",('Activity data'!AL13*EF!$H26)*kgtoGg)</f>
        <v>1.6297600931786334E-2</v>
      </c>
      <c r="T1401" s="27">
        <f>IF(('Activity data'!AM13*EF!$H26)*kgtoGg=0,"NO",('Activity data'!AM13*EF!$H26)*kgtoGg)</f>
        <v>1.6324272387083224E-2</v>
      </c>
      <c r="U1401" s="27">
        <f>IF(('Activity data'!AN13*EF!$H26)*kgtoGg=0,"NO",('Activity data'!AN13*EF!$H26)*kgtoGg)</f>
        <v>1.6655251261159847E-2</v>
      </c>
      <c r="V1401" s="27">
        <f>IF(('Activity data'!AO13*EF!$H26)*kgtoGg=0,"NO",('Activity data'!AO13*EF!$H26)*kgtoGg)</f>
        <v>1.6670204486965774E-2</v>
      </c>
      <c r="W1401" s="27">
        <f>IF(('Activity data'!AP13*EF!$H26)*kgtoGg=0,"NO",('Activity data'!AP13*EF!$H26)*kgtoGg)</f>
        <v>1.6709793357794805E-2</v>
      </c>
      <c r="X1401" s="27">
        <f>IF(('Activity data'!AQ13*EF!$H26)*kgtoGg=0,"NO",('Activity data'!AQ13*EF!$H26)*kgtoGg)</f>
        <v>1.6763223659981074E-2</v>
      </c>
      <c r="Y1401" s="27">
        <f>IF(('Activity data'!AR13*EF!$H26)*kgtoGg=0,"NO",('Activity data'!AR13*EF!$H26)*kgtoGg)</f>
        <v>1.6812226700055496E-2</v>
      </c>
      <c r="Z1401" s="27">
        <f>IF(('Activity data'!AS13*EF!$H26)*kgtoGg=0,"NO",('Activity data'!AS13*EF!$H26)*kgtoGg)</f>
        <v>1.6857450212656173E-2</v>
      </c>
      <c r="AA1401" s="27">
        <f>IF(('Activity data'!AT13*EF!$H26)*kgtoGg=0,"NO",('Activity data'!AT13*EF!$H26)*kgtoGg)</f>
        <v>1.6898755484739163E-2</v>
      </c>
      <c r="AB1401" s="27">
        <f>IF(('Activity data'!AU13*EF!$H26)*kgtoGg=0,"NO",('Activity data'!AU13*EF!$H26)*kgtoGg)</f>
        <v>1.6936566671667971E-2</v>
      </c>
      <c r="AC1401" s="27">
        <f>IF(('Activity data'!AV13*EF!$H26)*kgtoGg=0,"NO",('Activity data'!AV13*EF!$H26)*kgtoGg)</f>
        <v>1.697149382994385E-2</v>
      </c>
      <c r="AD1401" s="27">
        <f>IF(('Activity data'!AW13*EF!$H26)*kgtoGg=0,"NO",('Activity data'!AW13*EF!$H26)*kgtoGg)</f>
        <v>1.7003565100315018E-2</v>
      </c>
      <c r="AE1401" s="27">
        <f>IF(('Activity data'!AX13*EF!$H26)*kgtoGg=0,"NO",('Activity data'!AX13*EF!$H26)*kgtoGg)</f>
        <v>1.7033334255161247E-2</v>
      </c>
      <c r="AF1401" s="27">
        <f>IF(('Activity data'!AY13*EF!$H26)*kgtoGg=0,"NO",('Activity data'!AY13*EF!$H26)*kgtoGg)</f>
        <v>1.7060920227859537E-2</v>
      </c>
      <c r="AG1401" s="27">
        <f>IF(('Activity data'!AZ13*EF!$H26)*kgtoGg=0,"NO",('Activity data'!AZ13*EF!$H26)*kgtoGg)</f>
        <v>1.7085986205962782E-2</v>
      </c>
      <c r="AH1401" s="27">
        <f>IF(('Activity data'!BA13*EF!$H26)*kgtoGg=0,"NO",('Activity data'!BA13*EF!$H26)*kgtoGg)</f>
        <v>1.7108809785956688E-2</v>
      </c>
      <c r="AI1401" s="27">
        <f>IF(('Activity data'!BB13*EF!$H26)*kgtoGg=0,"NO",('Activity data'!BB13*EF!$H26)*kgtoGg)</f>
        <v>1.712981031401661E-2</v>
      </c>
      <c r="AJ1401" s="27">
        <f>IF(('Activity data'!BC13*EF!$H26)*kgtoGg=0,"NO",('Activity data'!BC13*EF!$H26)*kgtoGg)</f>
        <v>1.6586017575220102E-2</v>
      </c>
      <c r="AK1401" s="27">
        <f>IF(('Activity data'!BD13*EF!$H26)*kgtoGg=0,"NO",('Activity data'!BD13*EF!$H26)*kgtoGg)</f>
        <v>1.6606977911339412E-2</v>
      </c>
      <c r="AL1401" s="27">
        <f>IF(('Activity data'!BE13*EF!$H26)*kgtoGg=0,"NO",('Activity data'!BE13*EF!$H26)*kgtoGg)</f>
        <v>1.6626062012476617E-2</v>
      </c>
      <c r="AM1401" s="27">
        <f>IF(('Activity data'!BF13*EF!$H26)*kgtoGg=0,"NO",('Activity data'!BF13*EF!$H26)*kgtoGg)</f>
        <v>1.664342433023323E-2</v>
      </c>
      <c r="AN1401" s="27">
        <f>IF(('Activity data'!BG13*EF!$H26)*kgtoGg=0,"NO",('Activity data'!BG13*EF!$H26)*kgtoGg)</f>
        <v>1.6659243730537236E-2</v>
      </c>
      <c r="AO1401" s="27">
        <f>IF(('Activity data'!BH13*EF!$H26)*kgtoGg=0,"NO",('Activity data'!BH13*EF!$H26)*kgtoGg)</f>
        <v>1.6673071131631082E-2</v>
      </c>
      <c r="AP1401" s="27">
        <f>IF(('Activity data'!BI13*EF!$H26)*kgtoGg=0,"NO",('Activity data'!BI13*EF!$H26)*kgtoGg)</f>
        <v>1.6684616029064781E-2</v>
      </c>
      <c r="AQ1401" s="27">
        <f>IF(('Activity data'!BJ13*EF!$H26)*kgtoGg=0,"NO",('Activity data'!BJ13*EF!$H26)*kgtoGg)</f>
        <v>1.6693857214200334E-2</v>
      </c>
      <c r="AR1401" s="27">
        <f>IF(('Activity data'!BK13*EF!$H26)*kgtoGg=0,"NO",('Activity data'!BK13*EF!$H26)*kgtoGg)</f>
        <v>1.6700461030767416E-2</v>
      </c>
      <c r="AS1401" s="27">
        <f>IF(('Activity data'!BL13*EF!$H26)*kgtoGg=0,"NO",('Activity data'!BL13*EF!$H26)*kgtoGg)</f>
        <v>1.6704063934453468E-2</v>
      </c>
      <c r="AT1401" s="27">
        <f>IF(('Activity data'!BM13*EF!$H26)*kgtoGg=0,"NO",('Activity data'!BM13*EF!$H26)*kgtoGg)</f>
        <v>1.6704647334029751E-2</v>
      </c>
      <c r="AU1401" s="27">
        <f>IF(('Activity data'!BN13*EF!$H26)*kgtoGg=0,"NO",('Activity data'!BN13*EF!$H26)*kgtoGg)</f>
        <v>1.6702295489105456E-2</v>
      </c>
      <c r="AV1401" s="27">
        <f>IF(('Activity data'!BO13*EF!$H26)*kgtoGg=0,"NO",('Activity data'!BO13*EF!$H26)*kgtoGg)</f>
        <v>1.6697074170612902E-2</v>
      </c>
      <c r="AW1401" s="27">
        <f>IF(('Activity data'!BP13*EF!$H26)*kgtoGg=0,"NO",('Activity data'!BP13*EF!$H26)*kgtoGg)</f>
        <v>1.668864228260674E-2</v>
      </c>
    </row>
    <row r="1402" spans="1:49" x14ac:dyDescent="0.25">
      <c r="A1402" s="95" t="s">
        <v>960</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2.6592218800664803E-2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2.7009694315810229E-2</v>
      </c>
      <c r="P1402" s="27">
        <f>IF(('Activity data'!AI14*EF!$H27)*kgtoGg=0,"NO",('Activity data'!AI14*EF!$H27)*kgtoGg)</f>
        <v>2.7166328132291764E-2</v>
      </c>
      <c r="Q1402" s="27">
        <f>IF(('Activity data'!AJ14*EF!$H27)*kgtoGg=0,"NO",('Activity data'!AJ14*EF!$H27)*kgtoGg)</f>
        <v>2.7334899828466052E-2</v>
      </c>
      <c r="R1402" s="27">
        <f>IF(('Activity data'!AK14*EF!$H27)*kgtoGg=0,"NO",('Activity data'!AK14*EF!$H27)*kgtoGg)</f>
        <v>2.7514742110372921E-2</v>
      </c>
      <c r="S1402" s="27">
        <f>IF(('Activity data'!AL14*EF!$H27)*kgtoGg=0,"NO",('Activity data'!AL14*EF!$H27)*kgtoGg)</f>
        <v>2.7447647358155608E-2</v>
      </c>
      <c r="T1402" s="27">
        <f>IF(('Activity data'!AM14*EF!$H27)*kgtoGg=0,"NO",('Activity data'!AM14*EF!$H27)*kgtoGg)</f>
        <v>2.7492566159553547E-2</v>
      </c>
      <c r="U1402" s="27">
        <f>IF(('Activity data'!AN14*EF!$H27)*kgtoGg=0,"NO",('Activity data'!AN14*EF!$H27)*kgtoGg)</f>
        <v>2.8049985098492974E-2</v>
      </c>
      <c r="V1402" s="27">
        <f>IF(('Activity data'!AO14*EF!$H27)*kgtoGg=0,"NO",('Activity data'!AO14*EF!$H27)*kgtoGg)</f>
        <v>2.80751686129566E-2</v>
      </c>
      <c r="W1402" s="27">
        <f>IF(('Activity data'!AP14*EF!$H27)*kgtoGg=0,"NO",('Activity data'!AP14*EF!$H27)*kgtoGg)</f>
        <v>2.81418423136056E-2</v>
      </c>
      <c r="X1402" s="27">
        <f>IF(('Activity data'!AQ14*EF!$H27)*kgtoGg=0,"NO",('Activity data'!AQ14*EF!$H27)*kgtoGg)</f>
        <v>2.8231827097181202E-2</v>
      </c>
      <c r="Y1402" s="27">
        <f>IF(('Activity data'!AR14*EF!$H27)*kgtoGg=0,"NO",('Activity data'!AR14*EF!$H27)*kgtoGg)</f>
        <v>2.8314355695658353E-2</v>
      </c>
      <c r="Z1402" s="27">
        <f>IF(('Activity data'!AS14*EF!$H27)*kgtoGg=0,"NO",('Activity data'!AS14*EF!$H27)*kgtoGg)</f>
        <v>2.8390518993026845E-2</v>
      </c>
      <c r="AA1402" s="27">
        <f>IF(('Activity data'!AT14*EF!$H27)*kgtoGg=0,"NO",('Activity data'!AT14*EF!$H27)*kgtoGg)</f>
        <v>2.8460083375349849E-2</v>
      </c>
      <c r="AB1402" s="27">
        <f>IF(('Activity data'!AU14*EF!$H27)*kgtoGg=0,"NO",('Activity data'!AU14*EF!$H27)*kgtoGg)</f>
        <v>2.8523763184995402E-2</v>
      </c>
      <c r="AC1402" s="27">
        <f>IF(('Activity data'!AV14*EF!$H27)*kgtoGg=0,"NO",('Activity data'!AV14*EF!$H27)*kgtoGg)</f>
        <v>2.8582585850220259E-2</v>
      </c>
      <c r="AD1402" s="27">
        <f>IF(('Activity data'!AW14*EF!$H27)*kgtoGg=0,"NO",('Activity data'!AW14*EF!$H27)*kgtoGg)</f>
        <v>2.8636598764339351E-2</v>
      </c>
      <c r="AE1402" s="27">
        <f>IF(('Activity data'!AX14*EF!$H27)*kgtoGg=0,"NO",('Activity data'!AX14*EF!$H27)*kgtoGg)</f>
        <v>2.8686734564558631E-2</v>
      </c>
      <c r="AF1402" s="27">
        <f>IF(('Activity data'!AY14*EF!$H27)*kgtoGg=0,"NO",('Activity data'!AY14*EF!$H27)*kgtoGg)</f>
        <v>2.873319355283693E-2</v>
      </c>
      <c r="AG1402" s="27">
        <f>IF(('Activity data'!AZ14*EF!$H27)*kgtoGg=0,"NO",('Activity data'!AZ14*EF!$H27)*kgtoGg)</f>
        <v>2.8775408485608011E-2</v>
      </c>
      <c r="AH1402" s="27">
        <f>IF(('Activity data'!BA14*EF!$H27)*kgtoGg=0,"NO",('Activity data'!BA14*EF!$H27)*kgtoGg)</f>
        <v>2.8813846877721389E-2</v>
      </c>
      <c r="AI1402" s="27">
        <f>IF(('Activity data'!BB14*EF!$H27)*kgtoGg=0,"NO",('Activity data'!BB14*EF!$H27)*kgtoGg)</f>
        <v>2.884921497213825E-2</v>
      </c>
      <c r="AJ1402" s="27">
        <f>IF(('Activity data'!BC14*EF!$H27)*kgtoGg=0,"NO",('Activity data'!BC14*EF!$H27)*kgtoGg)</f>
        <v>2.7933385004716402E-2</v>
      </c>
      <c r="AK1402" s="27">
        <f>IF(('Activity data'!BD14*EF!$H27)*kgtoGg=0,"NO",('Activity data'!BD14*EF!$H27)*kgtoGg)</f>
        <v>2.7968685409771071E-2</v>
      </c>
      <c r="AL1402" s="27">
        <f>IF(('Activity data'!BE14*EF!$H27)*kgtoGg=0,"NO",('Activity data'!BE14*EF!$H27)*kgtoGg)</f>
        <v>2.8000825948759214E-2</v>
      </c>
      <c r="AM1402" s="27">
        <f>IF(('Activity data'!BF14*EF!$H27)*kgtoGg=0,"NO",('Activity data'!BF14*EF!$H27)*kgtoGg)</f>
        <v>2.8030066741750678E-2</v>
      </c>
      <c r="AN1402" s="27">
        <f>IF(('Activity data'!BG14*EF!$H27)*kgtoGg=0,"NO",('Activity data'!BG14*EF!$H27)*kgtoGg)</f>
        <v>2.8056709026267227E-2</v>
      </c>
      <c r="AO1402" s="27">
        <f>IF(('Activity data'!BH14*EF!$H27)*kgtoGg=0,"NO",('Activity data'!BH14*EF!$H27)*kgtoGg)</f>
        <v>2.8079996480088933E-2</v>
      </c>
      <c r="AP1402" s="27">
        <f>IF(('Activity data'!BI14*EF!$H27)*kgtoGg=0,"NO",('Activity data'!BI14*EF!$H27)*kgtoGg)</f>
        <v>2.8099439849384365E-2</v>
      </c>
      <c r="AQ1402" s="27">
        <f>IF(('Activity data'!BJ14*EF!$H27)*kgtoGg=0,"NO",('Activity data'!BJ14*EF!$H27)*kgtoGg)</f>
        <v>2.8115003415570192E-2</v>
      </c>
      <c r="AR1402" s="27">
        <f>IF(('Activity data'!BK14*EF!$H27)*kgtoGg=0,"NO",('Activity data'!BK14*EF!$H27)*kgtoGg)</f>
        <v>2.8126125250563565E-2</v>
      </c>
      <c r="AS1402" s="27">
        <f>IF(('Activity data'!BL14*EF!$H27)*kgtoGg=0,"NO",('Activity data'!BL14*EF!$H27)*kgtoGg)</f>
        <v>2.8132193090256906E-2</v>
      </c>
      <c r="AT1402" s="27">
        <f>IF(('Activity data'!BM14*EF!$H27)*kgtoGg=0,"NO",('Activity data'!BM14*EF!$H27)*kgtoGg)</f>
        <v>2.8133175624183573E-2</v>
      </c>
      <c r="AU1402" s="27">
        <f>IF(('Activity data'!BN14*EF!$H27)*kgtoGg=0,"NO",('Activity data'!BN14*EF!$H27)*kgtoGg)</f>
        <v>2.8129214758385396E-2</v>
      </c>
      <c r="AV1402" s="27">
        <f>IF(('Activity data'!BO14*EF!$H27)*kgtoGg=0,"NO",('Activity data'!BO14*EF!$H27)*kgtoGg)</f>
        <v>2.8120421261150549E-2</v>
      </c>
      <c r="AW1402" s="27">
        <f>IF(('Activity data'!BP14*EF!$H27)*kgtoGg=0,"NO",('Activity data'!BP14*EF!$H27)*kgtoGg)</f>
        <v>2.8106220674847984E-2</v>
      </c>
    </row>
    <row r="1403" spans="1:49" x14ac:dyDescent="0.25">
      <c r="A1403" s="95" t="s">
        <v>960</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4.1336182129460552E-3</v>
      </c>
      <c r="L1403" s="27">
        <f>IF(('Activity data'!AE15*EF!$H28)*kgtoGg=0,"NO",('Activity data'!AE15*EF!$H28)*kgtoGg)</f>
        <v>4.1536453250924088E-3</v>
      </c>
      <c r="M1403" s="27">
        <f>IF(('Activity data'!AF15*EF!$H28)*kgtoGg=0,"NO",('Activity data'!AF15*EF!$H28)*kgtoGg)</f>
        <v>4.1840370126470534E-3</v>
      </c>
      <c r="N1403" s="27">
        <f>IF(('Activity data'!AG15*EF!$H28)*kgtoGg=0,"NO",('Activity data'!AG15*EF!$H28)*kgtoGg)</f>
        <v>4.1905340987284578E-3</v>
      </c>
      <c r="O1403" s="27">
        <f>IF(('Activity data'!AH15*EF!$H28)*kgtoGg=0,"NO",('Activity data'!AH15*EF!$H28)*kgtoGg)</f>
        <v>4.1812329246154597E-3</v>
      </c>
      <c r="P1403" s="27">
        <f>IF(('Activity data'!AI15*EF!$H28)*kgtoGg=0,"NO",('Activity data'!AI15*EF!$H28)*kgtoGg)</f>
        <v>4.1564738854214557E-3</v>
      </c>
      <c r="Q1403" s="27">
        <f>IF(('Activity data'!AJ15*EF!$H28)*kgtoGg=0,"NO",('Activity data'!AJ15*EF!$H28)*kgtoGg)</f>
        <v>4.142746062070715E-3</v>
      </c>
      <c r="R1403" s="27">
        <f>IF(('Activity data'!AK15*EF!$H28)*kgtoGg=0,"NO",('Activity data'!AK15*EF!$H28)*kgtoGg)</f>
        <v>4.130408792135833E-3</v>
      </c>
      <c r="S1403" s="27">
        <f>IF(('Activity data'!AL15*EF!$H28)*kgtoGg=0,"NO",('Activity data'!AL15*EF!$H28)*kgtoGg)</f>
        <v>3.9465365523139234E-3</v>
      </c>
      <c r="T1403" s="27">
        <f>IF(('Activity data'!AM15*EF!$H28)*kgtoGg=0,"NO",('Activity data'!AM15*EF!$H28)*kgtoGg)</f>
        <v>4.0449031054022467E-3</v>
      </c>
      <c r="U1403" s="27">
        <f>IF(('Activity data'!AN15*EF!$H28)*kgtoGg=0,"NO",('Activity data'!AN15*EF!$H28)*kgtoGg)</f>
        <v>8.6826637855320493E-3</v>
      </c>
      <c r="V1403" s="27">
        <f>IF(('Activity data'!AO15*EF!$H28)*kgtoGg=0,"NO",('Activity data'!AO15*EF!$H28)*kgtoGg)</f>
        <v>8.7938640755687025E-3</v>
      </c>
      <c r="W1403" s="27">
        <f>IF(('Activity data'!AP15*EF!$H28)*kgtoGg=0,"NO",('Activity data'!AP15*EF!$H28)*kgtoGg)</f>
        <v>8.8834218995517203E-3</v>
      </c>
      <c r="X1403" s="27">
        <f>IF(('Activity data'!AQ15*EF!$H28)*kgtoGg=0,"NO",('Activity data'!AQ15*EF!$H28)*kgtoGg)</f>
        <v>8.9554975933649264E-3</v>
      </c>
      <c r="Y1403" s="27">
        <f>IF(('Activity data'!AR15*EF!$H28)*kgtoGg=0,"NO",('Activity data'!AR15*EF!$H28)*kgtoGg)</f>
        <v>9.018105952641001E-3</v>
      </c>
      <c r="Z1403" s="27">
        <f>IF(('Activity data'!AS15*EF!$H28)*kgtoGg=0,"NO",('Activity data'!AS15*EF!$H28)*kgtoGg)</f>
        <v>9.0705357904088645E-3</v>
      </c>
      <c r="AA1403" s="27">
        <f>IF(('Activity data'!AT15*EF!$H28)*kgtoGg=0,"NO",('Activity data'!AT15*EF!$H28)*kgtoGg)</f>
        <v>9.1124930520699761E-3</v>
      </c>
      <c r="AB1403" s="27">
        <f>IF(('Activity data'!AU15*EF!$H28)*kgtoGg=0,"NO",('Activity data'!AU15*EF!$H28)*kgtoGg)</f>
        <v>9.143466497408213E-3</v>
      </c>
      <c r="AC1403" s="27">
        <f>IF(('Activity data'!AV15*EF!$H28)*kgtoGg=0,"NO",('Activity data'!AV15*EF!$H28)*kgtoGg)</f>
        <v>9.1629085267338015E-3</v>
      </c>
      <c r="AD1403" s="27">
        <f>IF(('Activity data'!AW15*EF!$H28)*kgtoGg=0,"NO",('Activity data'!AW15*EF!$H28)*kgtoGg)</f>
        <v>9.1706067297579116E-3</v>
      </c>
      <c r="AE1403" s="27">
        <f>IF(('Activity data'!AX15*EF!$H28)*kgtoGg=0,"NO",('Activity data'!AX15*EF!$H28)*kgtoGg)</f>
        <v>9.1661590701848112E-3</v>
      </c>
      <c r="AF1403" s="27">
        <f>IF(('Activity data'!AY15*EF!$H28)*kgtoGg=0,"NO",('Activity data'!AY15*EF!$H28)*kgtoGg)</f>
        <v>9.149435618350802E-3</v>
      </c>
      <c r="AG1403" s="27">
        <f>IF(('Activity data'!AZ15*EF!$H28)*kgtoGg=0,"NO",('Activity data'!AZ15*EF!$H28)*kgtoGg)</f>
        <v>9.120587540138371E-3</v>
      </c>
      <c r="AH1403" s="27">
        <f>IF(('Activity data'!BA15*EF!$H28)*kgtoGg=0,"NO",('Activity data'!BA15*EF!$H28)*kgtoGg)</f>
        <v>9.0795393134023624E-3</v>
      </c>
      <c r="AI1403" s="27">
        <f>IF(('Activity data'!BB15*EF!$H28)*kgtoGg=0,"NO",('Activity data'!BB15*EF!$H28)*kgtoGg)</f>
        <v>9.0262176145749634E-3</v>
      </c>
      <c r="AJ1403" s="27">
        <f>IF(('Activity data'!BC15*EF!$H28)*kgtoGg=0,"NO",('Activity data'!BC15*EF!$H28)*kgtoGg)</f>
        <v>1.3289120185476511E-3</v>
      </c>
      <c r="AK1403" s="27">
        <f>IF(('Activity data'!BD15*EF!$H28)*kgtoGg=0,"NO",('Activity data'!BD15*EF!$H28)*kgtoGg)</f>
        <v>1.3289120185476511E-3</v>
      </c>
      <c r="AL1403" s="27">
        <f>IF(('Activity data'!BE15*EF!$H28)*kgtoGg=0,"NO",('Activity data'!BE15*EF!$H28)*kgtoGg)</f>
        <v>1.3289120185476511E-3</v>
      </c>
      <c r="AM1403" s="27">
        <f>IF(('Activity data'!BF15*EF!$H28)*kgtoGg=0,"NO",('Activity data'!BF15*EF!$H28)*kgtoGg)</f>
        <v>1.3289120185476511E-3</v>
      </c>
      <c r="AN1403" s="27">
        <f>IF(('Activity data'!BG15*EF!$H28)*kgtoGg=0,"NO",('Activity data'!BG15*EF!$H28)*kgtoGg)</f>
        <v>1.3289120185476511E-3</v>
      </c>
      <c r="AO1403" s="27">
        <f>IF(('Activity data'!BH15*EF!$H28)*kgtoGg=0,"NO",('Activity data'!BH15*EF!$H28)*kgtoGg)</f>
        <v>1.3289120185476511E-3</v>
      </c>
      <c r="AP1403" s="27">
        <f>IF(('Activity data'!BI15*EF!$H28)*kgtoGg=0,"NO",('Activity data'!BI15*EF!$H28)*kgtoGg)</f>
        <v>1.3289120185476511E-3</v>
      </c>
      <c r="AQ1403" s="27">
        <f>IF(('Activity data'!BJ15*EF!$H28)*kgtoGg=0,"NO",('Activity data'!BJ15*EF!$H28)*kgtoGg)</f>
        <v>1.3289120185476511E-3</v>
      </c>
      <c r="AR1403" s="27">
        <f>IF(('Activity data'!BK15*EF!$H28)*kgtoGg=0,"NO",('Activity data'!BK15*EF!$H28)*kgtoGg)</f>
        <v>1.3289120185476511E-3</v>
      </c>
      <c r="AS1403" s="27">
        <f>IF(('Activity data'!BL15*EF!$H28)*kgtoGg=0,"NO",('Activity data'!BL15*EF!$H28)*kgtoGg)</f>
        <v>1.3289120185476511E-3</v>
      </c>
      <c r="AT1403" s="27">
        <f>IF(('Activity data'!BM15*EF!$H28)*kgtoGg=0,"NO",('Activity data'!BM15*EF!$H28)*kgtoGg)</f>
        <v>1.3289120185476511E-3</v>
      </c>
      <c r="AU1403" s="27">
        <f>IF(('Activity data'!BN15*EF!$H28)*kgtoGg=0,"NO",('Activity data'!BN15*EF!$H28)*kgtoGg)</f>
        <v>1.3289120185476511E-3</v>
      </c>
      <c r="AV1403" s="27">
        <f>IF(('Activity data'!BO15*EF!$H28)*kgtoGg=0,"NO",('Activity data'!BO15*EF!$H28)*kgtoGg)</f>
        <v>1.3289120185476511E-3</v>
      </c>
      <c r="AW1403" s="27">
        <f>IF(('Activity data'!BP15*EF!$H28)*kgtoGg=0,"NO",('Activity data'!BP15*EF!$H28)*kgtoGg)</f>
        <v>1.3289120185476511E-3</v>
      </c>
    </row>
    <row r="1404" spans="1:49" x14ac:dyDescent="0.25">
      <c r="A1404" s="95" t="s">
        <v>960</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25">
      <c r="A1405" s="95" t="s">
        <v>960</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23.279067868377393</v>
      </c>
      <c r="L1405" s="27">
        <f>IF(('Activity data'!AE17*EF!$H30)*kgtoGg=0,"NO",('Activity data'!AE17*EF!$H30)*kgtoGg)</f>
        <v>23.152530650802596</v>
      </c>
      <c r="M1405" s="27">
        <f>IF(('Activity data'!AF17*EF!$H30)*kgtoGg=0,"NO",('Activity data'!AF17*EF!$H30)*kgtoGg)</f>
        <v>23.162916433064304</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22.12653281137495</v>
      </c>
      <c r="Q1405" s="27">
        <f>IF(('Activity data'!AJ17*EF!$H30)*kgtoGg=0,"NO",('Activity data'!AJ17*EF!$H30)*kgtoGg)</f>
        <v>21.780600237355962</v>
      </c>
      <c r="R1405" s="27">
        <f>IF(('Activity data'!AK17*EF!$H30)*kgtoGg=0,"NO",('Activity data'!AK17*EF!$H30)*kgtoGg)</f>
        <v>21.465278056857681</v>
      </c>
      <c r="S1405" s="27">
        <f>IF(('Activity data'!AL17*EF!$H30)*kgtoGg=0,"NO",('Activity data'!AL17*EF!$H30)*kgtoGg)</f>
        <v>19.312832226900145</v>
      </c>
      <c r="T1405" s="27">
        <f>IF(('Activity data'!AM17*EF!$H30)*kgtoGg=0,"NO",('Activity data'!AM17*EF!$H30)*kgtoGg)</f>
        <v>20.002458493758922</v>
      </c>
      <c r="U1405" s="27">
        <f>IF(('Activity data'!AN17*EF!$H30)*kgtoGg=0,"NO",('Activity data'!AN17*EF!$H30)*kgtoGg)</f>
        <v>63.938225509328625</v>
      </c>
      <c r="V1405" s="27">
        <f>IF(('Activity data'!AO17*EF!$H30)*kgtoGg=0,"NO",('Activity data'!AO17*EF!$H30)*kgtoGg)</f>
        <v>64.113496025150383</v>
      </c>
      <c r="W1405" s="27">
        <f>IF(('Activity data'!AP17*EF!$H30)*kgtoGg=0,"NO",('Activity data'!AP17*EF!$H30)*kgtoGg)</f>
        <v>64.178228567667873</v>
      </c>
      <c r="X1405" s="27">
        <f>IF(('Activity data'!AQ17*EF!$H30)*kgtoGg=0,"NO",('Activity data'!AQ17*EF!$H30)*kgtoGg)</f>
        <v>64.135343897693133</v>
      </c>
      <c r="Y1405" s="27">
        <f>IF(('Activity data'!AR17*EF!$H30)*kgtoGg=0,"NO",('Activity data'!AR17*EF!$H30)*kgtoGg)</f>
        <v>63.991311737388052</v>
      </c>
      <c r="Z1405" s="27">
        <f>IF(('Activity data'!AS17*EF!$H30)*kgtoGg=0,"NO",('Activity data'!AS17*EF!$H30)*kgtoGg)</f>
        <v>63.744809060362954</v>
      </c>
      <c r="AA1405" s="27">
        <f>IF(('Activity data'!AT17*EF!$H30)*kgtoGg=0,"NO",('Activity data'!AT17*EF!$H30)*kgtoGg)</f>
        <v>63.395481625326759</v>
      </c>
      <c r="AB1405" s="27">
        <f>IF(('Activity data'!AU17*EF!$H30)*kgtoGg=0,"NO",('Activity data'!AU17*EF!$H30)*kgtoGg)</f>
        <v>62.943362188824892</v>
      </c>
      <c r="AC1405" s="27">
        <f>IF(('Activity data'!AV17*EF!$H30)*kgtoGg=0,"NO",('Activity data'!AV17*EF!$H30)*kgtoGg)</f>
        <v>62.389030635456976</v>
      </c>
      <c r="AD1405" s="27">
        <f>IF(('Activity data'!AW17*EF!$H30)*kgtoGg=0,"NO",('Activity data'!AW17*EF!$H30)*kgtoGg)</f>
        <v>61.733913705110233</v>
      </c>
      <c r="AE1405" s="27">
        <f>IF(('Activity data'!AX17*EF!$H30)*kgtoGg=0,"NO",('Activity data'!AX17*EF!$H30)*kgtoGg)</f>
        <v>60.979815772111941</v>
      </c>
      <c r="AF1405" s="27">
        <f>IF(('Activity data'!AY17*EF!$H30)*kgtoGg=0,"NO",('Activity data'!AY17*EF!$H30)*kgtoGg)</f>
        <v>60.129286570076758</v>
      </c>
      <c r="AG1405" s="27">
        <f>IF(('Activity data'!AZ17*EF!$H30)*kgtoGg=0,"NO",('Activity data'!AZ17*EF!$H30)*kgtoGg)</f>
        <v>59.185593442917096</v>
      </c>
      <c r="AH1405" s="27">
        <f>IF(('Activity data'!BA17*EF!$H30)*kgtoGg=0,"NO",('Activity data'!BA17*EF!$H30)*kgtoGg)</f>
        <v>58.152275579872715</v>
      </c>
      <c r="AI1405" s="27">
        <f>IF(('Activity data'!BB17*EF!$H30)*kgtoGg=0,"NO",('Activity data'!BB17*EF!$H30)*kgtoGg)</f>
        <v>57.033304574173563</v>
      </c>
      <c r="AJ1405" s="27">
        <f>IF(('Activity data'!BC17*EF!$H30)*kgtoGg=0,"NO",('Activity data'!BC17*EF!$H30)*kgtoGg)</f>
        <v>-5.3144936119483299</v>
      </c>
      <c r="AK1405" s="27">
        <f>IF(('Activity data'!BD17*EF!$H30)*kgtoGg=0,"NO",('Activity data'!BD17*EF!$H30)*kgtoGg)</f>
        <v>-5.2569593669429695</v>
      </c>
      <c r="AL1405" s="27">
        <f>IF(('Activity data'!BE17*EF!$H30)*kgtoGg=0,"NO",('Activity data'!BE17*EF!$H30)*kgtoGg)</f>
        <v>-5.1992212819469339</v>
      </c>
      <c r="AM1405" s="27">
        <f>IF(('Activity data'!BF17*EF!$H30)*kgtoGg=0,"NO",('Activity data'!BF17*EF!$H30)*kgtoGg)</f>
        <v>-5.1413392574015706</v>
      </c>
      <c r="AN1405" s="27">
        <f>IF(('Activity data'!BG17*EF!$H30)*kgtoGg=0,"NO",('Activity data'!BG17*EF!$H30)*kgtoGg)</f>
        <v>-5.0833794948522248</v>
      </c>
      <c r="AO1405" s="27">
        <f>IF(('Activity data'!BH17*EF!$H30)*kgtoGg=0,"NO",('Activity data'!BH17*EF!$H30)*kgtoGg)</f>
        <v>-5.0251883541674571</v>
      </c>
      <c r="AP1405" s="27">
        <f>IF(('Activity data'!BI17*EF!$H30)*kgtoGg=0,"NO",('Activity data'!BI17*EF!$H30)*kgtoGg)</f>
        <v>-4.9666751294444857</v>
      </c>
      <c r="AQ1405" s="27">
        <f>IF(('Activity data'!BJ17*EF!$H30)*kgtoGg=0,"NO",('Activity data'!BJ17*EF!$H30)*kgtoGg)</f>
        <v>-4.9078454730797514</v>
      </c>
      <c r="AR1405" s="27">
        <f>IF(('Activity data'!BK17*EF!$H30)*kgtoGg=0,"NO",('Activity data'!BK17*EF!$H30)*kgtoGg)</f>
        <v>-4.8486018943647</v>
      </c>
      <c r="AS1405" s="27">
        <f>IF(('Activity data'!BL17*EF!$H30)*kgtoGg=0,"NO",('Activity data'!BL17*EF!$H30)*kgtoGg)</f>
        <v>-4.7888432589736398</v>
      </c>
      <c r="AT1405" s="27">
        <f>IF(('Activity data'!BM17*EF!$H30)*kgtoGg=0,"NO",('Activity data'!BM17*EF!$H30)*kgtoGg)</f>
        <v>-4.7285865274691332</v>
      </c>
      <c r="AU1405" s="27">
        <f>IF(('Activity data'!BN17*EF!$H30)*kgtoGg=0,"NO",('Activity data'!BN17*EF!$H30)*kgtoGg)</f>
        <v>-4.667881841438601</v>
      </c>
      <c r="AV1405" s="27">
        <f>IF(('Activity data'!BO17*EF!$H30)*kgtoGg=0,"NO",('Activity data'!BO17*EF!$H30)*kgtoGg)</f>
        <v>-4.6067720913188221</v>
      </c>
      <c r="AW1405" s="27">
        <f>IF(('Activity data'!BP17*EF!$H30)*kgtoGg=0,"NO",('Activity data'!BP17*EF!$H30)*kgtoGg)</f>
        <v>-4.5451726737388229</v>
      </c>
    </row>
    <row r="1406" spans="1:49" x14ac:dyDescent="0.25">
      <c r="A1406" s="95" t="s">
        <v>960</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7.7932061732677776E-2</v>
      </c>
      <c r="L1406" s="27">
        <f>IF(('Activity data'!AE18*EF!$H31)*kgtoGg=0,"NO",('Activity data'!AE18*EF!$H31)*kgtoGg)</f>
        <v>7.7508449141861113E-2</v>
      </c>
      <c r="M1406" s="27">
        <f>IF(('Activity data'!AF18*EF!$H31)*kgtoGg=0,"NO",('Activity data'!AF18*EF!$H31)*kgtoGg)</f>
        <v>7.7543217949140597E-2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7.4073684167079393E-2</v>
      </c>
      <c r="Q1406" s="27">
        <f>IF(('Activity data'!AJ18*EF!$H31)*kgtoGg=0,"NO",('Activity data'!AJ18*EF!$H31)*kgtoGg)</f>
        <v>7.2915594897087016E-2</v>
      </c>
      <c r="R1406" s="27">
        <f>IF(('Activity data'!AK18*EF!$H31)*kgtoGg=0,"NO",('Activity data'!AK18*EF!$H31)*kgtoGg)</f>
        <v>7.1859980996426681E-2</v>
      </c>
      <c r="S1406" s="27">
        <f>IF(('Activity data'!AL18*EF!$H31)*kgtoGg=0,"NO",('Activity data'!AL18*EF!$H31)*kgtoGg)</f>
        <v>6.4654170942306688E-2</v>
      </c>
      <c r="T1406" s="27">
        <f>IF(('Activity data'!AM18*EF!$H31)*kgtoGg=0,"NO",('Activity data'!AM18*EF!$H31)*kgtoGg)</f>
        <v>6.6962854309922146E-2</v>
      </c>
      <c r="U1406" s="27">
        <f>IF(('Activity data'!AN18*EF!$H31)*kgtoGg=0,"NO",('Activity data'!AN18*EF!$H31)*kgtoGg)</f>
        <v>0.21404799219815959</v>
      </c>
      <c r="V1406" s="27">
        <f>IF(('Activity data'!AO18*EF!$H31)*kgtoGg=0,"NO",('Activity data'!AO18*EF!$H31)*kgtoGg)</f>
        <v>0.21463475077183489</v>
      </c>
      <c r="W1406" s="27">
        <f>IF(('Activity data'!AP18*EF!$H31)*kgtoGg=0,"NO",('Activity data'!AP18*EF!$H31)*kgtoGg)</f>
        <v>0.21485145792386132</v>
      </c>
      <c r="X1406" s="27">
        <f>IF(('Activity data'!AQ18*EF!$H31)*kgtoGg=0,"NO",('Activity data'!AQ18*EF!$H31)*kgtoGg)</f>
        <v>0.21470789157632744</v>
      </c>
      <c r="Y1406" s="27">
        <f>IF(('Activity data'!AR18*EF!$H31)*kgtoGg=0,"NO",('Activity data'!AR18*EF!$H31)*kgtoGg)</f>
        <v>0.21422571061994838</v>
      </c>
      <c r="Z1406" s="27">
        <f>IF(('Activity data'!AS18*EF!$H31)*kgtoGg=0,"NO",('Activity data'!AS18*EF!$H31)*kgtoGg)</f>
        <v>0.21340048591800548</v>
      </c>
      <c r="AA1406" s="27">
        <f>IF(('Activity data'!AT18*EF!$H31)*kgtoGg=0,"NO",('Activity data'!AT18*EF!$H31)*kgtoGg)</f>
        <v>0.21223103156587736</v>
      </c>
      <c r="AB1406" s="27">
        <f>IF(('Activity data'!AU18*EF!$H31)*kgtoGg=0,"NO",('Activity data'!AU18*EF!$H31)*kgtoGg)</f>
        <v>0.21071745722367313</v>
      </c>
      <c r="AC1406" s="27">
        <f>IF(('Activity data'!AV18*EF!$H31)*kgtoGg=0,"NO",('Activity data'!AV18*EF!$H31)*kgtoGg)</f>
        <v>0.20886170418915742</v>
      </c>
      <c r="AD1406" s="27">
        <f>IF(('Activity data'!AW18*EF!$H31)*kgtoGg=0,"NO",('Activity data'!AW18*EF!$H31)*kgtoGg)</f>
        <v>0.20666854880396013</v>
      </c>
      <c r="AE1406" s="27">
        <f>IF(('Activity data'!AX18*EF!$H31)*kgtoGg=0,"NO",('Activity data'!AX18*EF!$H31)*kgtoGg)</f>
        <v>0.20414403162830727</v>
      </c>
      <c r="AF1406" s="27">
        <f>IF(('Activity data'!AY18*EF!$H31)*kgtoGg=0,"NO",('Activity data'!AY18*EF!$H31)*kgtoGg)</f>
        <v>0.20129668848496379</v>
      </c>
      <c r="AG1406" s="27">
        <f>IF(('Activity data'!AZ18*EF!$H31)*kgtoGg=0,"NO",('Activity data'!AZ18*EF!$H31)*kgtoGg)</f>
        <v>0.19813745756307569</v>
      </c>
      <c r="AH1406" s="27">
        <f>IF(('Activity data'!BA18*EF!$H31)*kgtoGg=0,"NO",('Activity data'!BA18*EF!$H31)*kgtoGg)</f>
        <v>0.19467818711687174</v>
      </c>
      <c r="AI1406" s="27">
        <f>IF(('Activity data'!BB18*EF!$H31)*kgtoGg=0,"NO",('Activity data'!BB18*EF!$H31)*kgtoGg)</f>
        <v>0.19093217297290849</v>
      </c>
      <c r="AJ1406" s="27">
        <f>IF(('Activity data'!BC18*EF!$H31)*kgtoGg=0,"NO",('Activity data'!BC18*EF!$H31)*kgtoGg)</f>
        <v>-1.7791496059294212E-2</v>
      </c>
      <c r="AK1406" s="27">
        <f>IF(('Activity data'!BD18*EF!$H31)*kgtoGg=0,"NO",('Activity data'!BD18*EF!$H31)*kgtoGg)</f>
        <v>-1.759888687241214E-2</v>
      </c>
      <c r="AL1406" s="27">
        <f>IF(('Activity data'!BE18*EF!$H31)*kgtoGg=0,"NO",('Activity data'!BE18*EF!$H31)*kgtoGg)</f>
        <v>-1.7405595284034153E-2</v>
      </c>
      <c r="AM1406" s="27">
        <f>IF(('Activity data'!BF18*EF!$H31)*kgtoGg=0,"NO",('Activity data'!BF18*EF!$H31)*kgtoGg)</f>
        <v>-1.7211821824736444E-2</v>
      </c>
      <c r="AN1406" s="27">
        <f>IF(('Activity data'!BG18*EF!$H31)*kgtoGg=0,"NO",('Activity data'!BG18*EF!$H31)*kgtoGg)</f>
        <v>-1.7017788119497636E-2</v>
      </c>
      <c r="AO1406" s="27">
        <f>IF(('Activity data'!BH18*EF!$H31)*kgtoGg=0,"NO",('Activity data'!BH18*EF!$H31)*kgtoGg)</f>
        <v>-1.6822979822456646E-2</v>
      </c>
      <c r="AP1406" s="27">
        <f>IF(('Activity data'!BI18*EF!$H31)*kgtoGg=0,"NO",('Activity data'!BI18*EF!$H31)*kgtoGg)</f>
        <v>-1.6627093274633003E-2</v>
      </c>
      <c r="AQ1406" s="27">
        <f>IF(('Activity data'!BJ18*EF!$H31)*kgtoGg=0,"NO",('Activity data'!BJ18*EF!$H31)*kgtoGg)</f>
        <v>-1.6430147398730621E-2</v>
      </c>
      <c r="AR1406" s="27">
        <f>IF(('Activity data'!BK18*EF!$H31)*kgtoGg=0,"NO",('Activity data'!BK18*EF!$H31)*kgtoGg)</f>
        <v>-1.6231815822063071E-2</v>
      </c>
      <c r="AS1406" s="27">
        <f>IF(('Activity data'!BL18*EF!$H31)*kgtoGg=0,"NO",('Activity data'!BL18*EF!$H31)*kgtoGg)</f>
        <v>-1.6031759974093191E-2</v>
      </c>
      <c r="AT1406" s="27">
        <f>IF(('Activity data'!BM18*EF!$H31)*kgtoGg=0,"NO",('Activity data'!BM18*EF!$H31)*kgtoGg)</f>
        <v>-1.5830036634225372E-2</v>
      </c>
      <c r="AU1406" s="27">
        <f>IF(('Activity data'!BN18*EF!$H31)*kgtoGg=0,"NO",('Activity data'!BN18*EF!$H31)*kgtoGg)</f>
        <v>-1.5626813663016086E-2</v>
      </c>
      <c r="AV1406" s="27">
        <f>IF(('Activity data'!BO18*EF!$H31)*kgtoGg=0,"NO",('Activity data'!BO18*EF!$H31)*kgtoGg)</f>
        <v>-1.5422234646118577E-2</v>
      </c>
      <c r="AW1406" s="27">
        <f>IF(('Activity data'!BP18*EF!$H31)*kgtoGg=0,"NO",('Activity data'!BP18*EF!$H31)*kgtoGg)</f>
        <v>-1.5216016354188486E-2</v>
      </c>
    </row>
    <row r="1407" spans="1:49" x14ac:dyDescent="0.25">
      <c r="A1407" s="95" t="s">
        <v>960</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0.59052015237226141</v>
      </c>
      <c r="O1407" s="27">
        <f>IF(('Activity data'!AH19*EF!$H32)*kgtoGg=0,"NO",('Activity data'!AH19*EF!$H32)*kgtoGg)</f>
        <v>0.5986618277459016</v>
      </c>
      <c r="P1407" s="27">
        <f>IF(('Activity data'!AI19*EF!$H32)*kgtoGg=0,"NO",('Activity data'!AI19*EF!$H32)*kgtoGg)</f>
        <v>0.60475451589519713</v>
      </c>
      <c r="Q1407" s="27">
        <f>IF(('Activity data'!AJ19*EF!$H32)*kgtoGg=0,"NO",('Activity data'!AJ19*EF!$H32)*kgtoGg)</f>
        <v>0.61256702388185857</v>
      </c>
      <c r="R1407" s="27">
        <f>IF(('Activity data'!AK19*EF!$H32)*kgtoGg=0,"NO",('Activity data'!AK19*EF!$H32)*kgtoGg)</f>
        <v>0.62068986953889782</v>
      </c>
      <c r="S1407" s="27">
        <f>IF(('Activity data'!AL19*EF!$H32)*kgtoGg=0,"NO",('Activity data'!AL19*EF!$H32)*kgtoGg)</f>
        <v>0.59622101179856346</v>
      </c>
      <c r="T1407" s="27">
        <f>IF(('Activity data'!AM19*EF!$H32)*kgtoGg=0,"NO",('Activity data'!AM19*EF!$H32)*kgtoGg)</f>
        <v>0.61809135680643945</v>
      </c>
      <c r="U1407" s="27">
        <f>IF(('Activity data'!AN19*EF!$H32)*kgtoGg=0,"NO",('Activity data'!AN19*EF!$H32)*kgtoGg)</f>
        <v>1.373668837271812</v>
      </c>
      <c r="V1407" s="27">
        <f>IF(('Activity data'!AO19*EF!$H32)*kgtoGg=0,"NO",('Activity data'!AO19*EF!$H32)*kgtoGg)</f>
        <v>1.4038681554321815</v>
      </c>
      <c r="W1407" s="27">
        <f>IF(('Activity data'!AP19*EF!$H32)*kgtoGg=0,"NO",('Activity data'!AP19*EF!$H32)*kgtoGg)</f>
        <v>1.4328290155562637</v>
      </c>
      <c r="X1407" s="27">
        <f>IF(('Activity data'!AQ19*EF!$H32)*kgtoGg=0,"NO",('Activity data'!AQ19*EF!$H32)*kgtoGg)</f>
        <v>1.460295648957926</v>
      </c>
      <c r="Y1407" s="27">
        <f>IF(('Activity data'!AR19*EF!$H32)*kgtoGg=0,"NO",('Activity data'!AR19*EF!$H32)*kgtoGg)</f>
        <v>1.4859212180508141</v>
      </c>
      <c r="Z1407" s="27">
        <f>IF(('Activity data'!AS19*EF!$H32)*kgtoGg=0,"NO",('Activity data'!AS19*EF!$H32)*kgtoGg)</f>
        <v>1.5095937275054243</v>
      </c>
      <c r="AA1407" s="27">
        <f>IF(('Activity data'!AT19*EF!$H32)*kgtoGg=0,"NO",('Activity data'!AT19*EF!$H32)*kgtoGg)</f>
        <v>1.5311992010813591</v>
      </c>
      <c r="AB1407" s="27">
        <f>IF(('Activity data'!AU19*EF!$H32)*kgtoGg=0,"NO",('Activity data'!AU19*EF!$H32)*kgtoGg)</f>
        <v>1.5506393195302268</v>
      </c>
      <c r="AC1407" s="27">
        <f>IF(('Activity data'!AV19*EF!$H32)*kgtoGg=0,"NO",('Activity data'!AV19*EF!$H32)*kgtoGg)</f>
        <v>1.5678278043895033</v>
      </c>
      <c r="AD1407" s="27">
        <f>IF(('Activity data'!AW19*EF!$H32)*kgtoGg=0,"NO",('Activity data'!AW19*EF!$H32)*kgtoGg)</f>
        <v>1.5826815313976288</v>
      </c>
      <c r="AE1407" s="27">
        <f>IF(('Activity data'!AX19*EF!$H32)*kgtoGg=0,"NO",('Activity data'!AX19*EF!$H32)*kgtoGg)</f>
        <v>1.5951352940969563</v>
      </c>
      <c r="AF1407" s="27">
        <f>IF(('Activity data'!AY19*EF!$H32)*kgtoGg=0,"NO",('Activity data'!AY19*EF!$H32)*kgtoGg)</f>
        <v>1.6051302673357504</v>
      </c>
      <c r="AG1407" s="27">
        <f>IF(('Activity data'!AZ19*EF!$H32)*kgtoGg=0,"NO",('Activity data'!AZ19*EF!$H32)*kgtoGg)</f>
        <v>1.6126141322836316</v>
      </c>
      <c r="AH1407" s="27">
        <f>IF(('Activity data'!BA19*EF!$H32)*kgtoGg=0,"NO",('Activity data'!BA19*EF!$H32)*kgtoGg)</f>
        <v>1.6175553910519496</v>
      </c>
      <c r="AI1407" s="27">
        <f>IF(('Activity data'!BB19*EF!$H32)*kgtoGg=0,"NO",('Activity data'!BB19*EF!$H32)*kgtoGg)</f>
        <v>1.6199377421840562</v>
      </c>
      <c r="AJ1407" s="27">
        <f>IF(('Activity data'!BC19*EF!$H32)*kgtoGg=0,"NO",('Activity data'!BC19*EF!$H32)*kgtoGg)</f>
        <v>0.21118052827101272</v>
      </c>
      <c r="AK1407" s="27">
        <f>IF(('Activity data'!BD19*EF!$H32)*kgtoGg=0,"NO",('Activity data'!BD19*EF!$H32)*kgtoGg)</f>
        <v>0.21273045495969528</v>
      </c>
      <c r="AL1407" s="27">
        <f>IF(('Activity data'!BE19*EF!$H32)*kgtoGg=0,"NO",('Activity data'!BE19*EF!$H32)*kgtoGg)</f>
        <v>0.21424196096407097</v>
      </c>
      <c r="AM1407" s="27">
        <f>IF(('Activity data'!BF19*EF!$H32)*kgtoGg=0,"NO",('Activity data'!BF19*EF!$H32)*kgtoGg)</f>
        <v>0.21571732327397183</v>
      </c>
      <c r="AN1407" s="27">
        <f>IF(('Activity data'!BG19*EF!$H32)*kgtoGg=0,"NO",('Activity data'!BG19*EF!$H32)*kgtoGg)</f>
        <v>0.21715916671304386</v>
      </c>
      <c r="AO1407" s="27">
        <f>IF(('Activity data'!BH19*EF!$H32)*kgtoGg=0,"NO",('Activity data'!BH19*EF!$H32)*kgtoGg)</f>
        <v>0.2185615794759829</v>
      </c>
      <c r="AP1407" s="27">
        <f>IF(('Activity data'!BI19*EF!$H32)*kgtoGg=0,"NO",('Activity data'!BI19*EF!$H32)*kgtoGg)</f>
        <v>0.21992066841646388</v>
      </c>
      <c r="AQ1407" s="27">
        <f>IF(('Activity data'!BJ19*EF!$H32)*kgtoGg=0,"NO",('Activity data'!BJ19*EF!$H32)*kgtoGg)</f>
        <v>0.22123614681909931</v>
      </c>
      <c r="AR1407" s="27">
        <f>IF(('Activity data'!BK19*EF!$H32)*kgtoGg=0,"NO",('Activity data'!BK19*EF!$H32)*kgtoGg)</f>
        <v>0.22250337724956543</v>
      </c>
      <c r="AS1407" s="27">
        <f>IF(('Activity data'!BL19*EF!$H32)*kgtoGg=0,"NO",('Activity data'!BL19*EF!$H32)*kgtoGg)</f>
        <v>0.22371719705711082</v>
      </c>
      <c r="AT1407" s="27">
        <f>IF(('Activity data'!BM19*EF!$H32)*kgtoGg=0,"NO",('Activity data'!BM19*EF!$H32)*kgtoGg)</f>
        <v>0.22487715475079265</v>
      </c>
      <c r="AU1407" s="27">
        <f>IF(('Activity data'!BN19*EF!$H32)*kgtoGg=0,"NO",('Activity data'!BN19*EF!$H32)*kgtoGg)</f>
        <v>0.22598422868600801</v>
      </c>
      <c r="AV1407" s="27">
        <f>IF(('Activity data'!BO19*EF!$H32)*kgtoGg=0,"NO",('Activity data'!BO19*EF!$H32)*kgtoGg)</f>
        <v>0.22703914928135227</v>
      </c>
      <c r="AW1407" s="27">
        <f>IF(('Activity data'!BP19*EF!$H32)*kgtoGg=0,"NO",('Activity data'!BP19*EF!$H32)*kgtoGg)</f>
        <v>0.22803688221361912</v>
      </c>
    </row>
    <row r="1408" spans="1:49" x14ac:dyDescent="0.25">
      <c r="A1408" s="95" t="s">
        <v>960</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2.2100196981344116</v>
      </c>
      <c r="L1408" s="27">
        <f>IF(('Activity data'!AE20*EF!$H33)*kgtoGg=0,"NO",('Activity data'!AE20*EF!$H33)*kgtoGg)</f>
        <v>2.2391217074451495</v>
      </c>
      <c r="M1408" s="27">
        <f>IF(('Activity data'!AF20*EF!$H33)*kgtoGg=0,"NO",('Activity data'!AF20*EF!$H33)*kgtoGg)</f>
        <v>2.2858678822724832</v>
      </c>
      <c r="N1408" s="27">
        <f>IF(('Activity data'!AG20*EF!$H33)*kgtoGg=0,"NO",('Activity data'!AG20*EF!$H33)*kgtoGg)</f>
        <v>2.29929007480786</v>
      </c>
      <c r="O1408" s="27">
        <f>IF(('Activity data'!AH20*EF!$H33)*kgtoGg=0,"NO",('Activity data'!AH20*EF!$H33)*kgtoGg)</f>
        <v>2.2910596881616572</v>
      </c>
      <c r="P1408" s="27">
        <f>IF(('Activity data'!AI20*EF!$H33)*kgtoGg=0,"NO",('Activity data'!AI20*EF!$H33)*kgtoGg)</f>
        <v>2.2612642885898926</v>
      </c>
      <c r="Q1408" s="27">
        <f>IF(('Activity data'!AJ20*EF!$H33)*kgtoGg=0,"NO",('Activity data'!AJ20*EF!$H33)*kgtoGg)</f>
        <v>2.2487211059946213</v>
      </c>
      <c r="R1408" s="27">
        <f>IF(('Activity data'!AK20*EF!$H33)*kgtoGg=0,"NO",('Activity data'!AK20*EF!$H33)*kgtoGg)</f>
        <v>2.2390235702415184</v>
      </c>
      <c r="S1408" s="27">
        <f>IF(('Activity data'!AL20*EF!$H33)*kgtoGg=0,"NO",('Activity data'!AL20*EF!$H33)*kgtoGg)</f>
        <v>1.9526804721775937</v>
      </c>
      <c r="T1408" s="27">
        <f>IF(('Activity data'!AM20*EF!$H33)*kgtoGg=0,"NO",('Activity data'!AM20*EF!$H33)*kgtoGg)</f>
        <v>2.100459804618418</v>
      </c>
      <c r="U1408" s="27">
        <f>IF(('Activity data'!AN20*EF!$H33)*kgtoGg=0,"NO",('Activity data'!AN20*EF!$H33)*kgtoGg)</f>
        <v>9.1333253803948828</v>
      </c>
      <c r="V1408" s="27">
        <f>IF(('Activity data'!AO20*EF!$H33)*kgtoGg=0,"NO",('Activity data'!AO20*EF!$H33)*kgtoGg)</f>
        <v>9.2970707439361586</v>
      </c>
      <c r="W1408" s="27">
        <f>IF(('Activity data'!AP20*EF!$H33)*kgtoGg=0,"NO",('Activity data'!AP20*EF!$H33)*kgtoGg)</f>
        <v>9.4425409001496003</v>
      </c>
      <c r="X1408" s="27">
        <f>IF(('Activity data'!AQ20*EF!$H33)*kgtoGg=0,"NO",('Activity data'!AQ20*EF!$H33)*kgtoGg)</f>
        <v>9.5703569928358032</v>
      </c>
      <c r="Y1408" s="27">
        <f>IF(('Activity data'!AR20*EF!$H33)*kgtoGg=0,"NO",('Activity data'!AR20*EF!$H33)*kgtoGg)</f>
        <v>9.6822560637136306</v>
      </c>
      <c r="Z1408" s="27">
        <f>IF(('Activity data'!AS20*EF!$H33)*kgtoGg=0,"NO",('Activity data'!AS20*EF!$H33)*kgtoGg)</f>
        <v>9.7773987663862059</v>
      </c>
      <c r="AA1408" s="27">
        <f>IF(('Activity data'!AT20*EF!$H33)*kgtoGg=0,"NO",('Activity data'!AT20*EF!$H33)*kgtoGg)</f>
        <v>9.8551407097026438</v>
      </c>
      <c r="AB1408" s="27">
        <f>IF(('Activity data'!AU20*EF!$H33)*kgtoGg=0,"NO",('Activity data'!AU20*EF!$H33)*kgtoGg)</f>
        <v>9.9148485168231666</v>
      </c>
      <c r="AC1408" s="27">
        <f>IF(('Activity data'!AV20*EF!$H33)*kgtoGg=0,"NO",('Activity data'!AV20*EF!$H33)*kgtoGg)</f>
        <v>9.9559572971640158</v>
      </c>
      <c r="AD1408" s="27">
        <f>IF(('Activity data'!AW20*EF!$H33)*kgtoGg=0,"NO",('Activity data'!AW20*EF!$H33)*kgtoGg)</f>
        <v>9.9780818543236887</v>
      </c>
      <c r="AE1408" s="27">
        <f>IF(('Activity data'!AX20*EF!$H33)*kgtoGg=0,"NO",('Activity data'!AX20*EF!$H33)*kgtoGg)</f>
        <v>9.9808650627783955</v>
      </c>
      <c r="AF1408" s="27">
        <f>IF(('Activity data'!AY20*EF!$H33)*kgtoGg=0,"NO",('Activity data'!AY20*EF!$H33)*kgtoGg)</f>
        <v>9.9641144926279814</v>
      </c>
      <c r="AG1408" s="27">
        <f>IF(('Activity data'!AZ20*EF!$H33)*kgtoGg=0,"NO",('Activity data'!AZ20*EF!$H33)*kgtoGg)</f>
        <v>9.9278067613283412</v>
      </c>
      <c r="AH1408" s="27">
        <f>IF(('Activity data'!BA20*EF!$H33)*kgtoGg=0,"NO",('Activity data'!BA20*EF!$H33)*kgtoGg)</f>
        <v>9.8719390395073479</v>
      </c>
      <c r="AI1408" s="27">
        <f>IF(('Activity data'!BB20*EF!$H33)*kgtoGg=0,"NO",('Activity data'!BB20*EF!$H33)*kgtoGg)</f>
        <v>9.7965950136724871</v>
      </c>
      <c r="AJ1408" s="27">
        <f>IF(('Activity data'!BC20*EF!$H33)*kgtoGg=0,"NO",('Activity data'!BC20*EF!$H33)*kgtoGg)</f>
        <v>-2.0919754098137773</v>
      </c>
      <c r="AK1408" s="27">
        <f>IF(('Activity data'!BD20*EF!$H33)*kgtoGg=0,"NO",('Activity data'!BD20*EF!$H33)*kgtoGg)</f>
        <v>-2.0949358900923882</v>
      </c>
      <c r="AL1408" s="27">
        <f>IF(('Activity data'!BE20*EF!$H33)*kgtoGg=0,"NO",('Activity data'!BE20*EF!$H33)*kgtoGg)</f>
        <v>-2.0976165546607759</v>
      </c>
      <c r="AM1408" s="27">
        <f>IF(('Activity data'!BF20*EF!$H33)*kgtoGg=0,"NO",('Activity data'!BF20*EF!$H33)*kgtoGg)</f>
        <v>-2.1000401992552491</v>
      </c>
      <c r="AN1408" s="27">
        <f>IF(('Activity data'!BG20*EF!$H33)*kgtoGg=0,"NO",('Activity data'!BG20*EF!$H33)*kgtoGg)</f>
        <v>-2.1022328856249954</v>
      </c>
      <c r="AO1408" s="27">
        <f>IF(('Activity data'!BH20*EF!$H33)*kgtoGg=0,"NO",('Activity data'!BH20*EF!$H33)*kgtoGg)</f>
        <v>-2.1041334183696132</v>
      </c>
      <c r="AP1408" s="27">
        <f>IF(('Activity data'!BI20*EF!$H33)*kgtoGg=0,"NO",('Activity data'!BI20*EF!$H33)*kgtoGg)</f>
        <v>-2.1057026664304765</v>
      </c>
      <c r="AQ1408" s="27">
        <f>IF(('Activity data'!BJ20*EF!$H33)*kgtoGg=0,"NO",('Activity data'!BJ20*EF!$H33)*kgtoGg)</f>
        <v>-2.1069388532626809</v>
      </c>
      <c r="AR1408" s="27">
        <f>IF(('Activity data'!BK20*EF!$H33)*kgtoGg=0,"NO",('Activity data'!BK20*EF!$H33)*kgtoGg)</f>
        <v>-2.107796866715046</v>
      </c>
      <c r="AS1408" s="27">
        <f>IF(('Activity data'!BL20*EF!$H33)*kgtoGg=0,"NO",('Activity data'!BL20*EF!$H33)*kgtoGg)</f>
        <v>-2.1082275012492091</v>
      </c>
      <c r="AT1408" s="27">
        <f>IF(('Activity data'!BM20*EF!$H33)*kgtoGg=0,"NO",('Activity data'!BM20*EF!$H33)*kgtoGg)</f>
        <v>-2.1082293468263522</v>
      </c>
      <c r="AU1408" s="27">
        <f>IF(('Activity data'!BN20*EF!$H33)*kgtoGg=0,"NO",('Activity data'!BN20*EF!$H33)*kgtoGg)</f>
        <v>-2.1078151792766633</v>
      </c>
      <c r="AV1408" s="27">
        <f>IF(('Activity data'!BO20*EF!$H33)*kgtoGg=0,"NO",('Activity data'!BO20*EF!$H33)*kgtoGg)</f>
        <v>-2.1069951517588699</v>
      </c>
      <c r="AW1408" s="27">
        <f>IF(('Activity data'!BP20*EF!$H33)*kgtoGg=0,"NO",('Activity data'!BP20*EF!$H33)*kgtoGg)</f>
        <v>-2.1057231360288351</v>
      </c>
    </row>
    <row r="1409" spans="1:49" x14ac:dyDescent="0.25">
      <c r="A1409" s="95" t="s">
        <v>960</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2.3161053423012629E-2</v>
      </c>
      <c r="L1409" s="27">
        <f>IF(('Activity data'!AE21*EF!$H34)*kgtoGg=0,"NO",('Activity data'!AE21*EF!$H34)*kgtoGg)</f>
        <v>2.3631963555267661E-2</v>
      </c>
      <c r="M1409" s="27">
        <f>IF(('Activity data'!AF21*EF!$H34)*kgtoGg=0,"NO",('Activity data'!AF21*EF!$H34)*kgtoGg)</f>
        <v>2.4182412868997839E-2</v>
      </c>
      <c r="N1409" s="27">
        <f>IF(('Activity data'!AG21*EF!$H34)*kgtoGg=0,"NO",('Activity data'!AG21*EF!$H34)*kgtoGg)</f>
        <v>2.4605006348844244E-2</v>
      </c>
      <c r="O1409" s="27">
        <f>IF(('Activity data'!AH21*EF!$H34)*kgtoGg=0,"NO",('Activity data'!AH21*EF!$H34)*kgtoGg)</f>
        <v>2.4944242822745925E-2</v>
      </c>
      <c r="P1409" s="27">
        <f>IF(('Activity data'!AI21*EF!$H34)*kgtoGg=0,"NO",('Activity data'!AI21*EF!$H34)*kgtoGg)</f>
        <v>2.5198104828966571E-2</v>
      </c>
      <c r="Q1409" s="27">
        <f>IF(('Activity data'!AJ21*EF!$H34)*kgtoGg=0,"NO",('Activity data'!AJ21*EF!$H34)*kgtoGg)</f>
        <v>2.5523625995077459E-2</v>
      </c>
      <c r="R1409" s="27">
        <f>IF(('Activity data'!AK21*EF!$H34)*kgtoGg=0,"NO",('Activity data'!AK21*EF!$H34)*kgtoGg)</f>
        <v>2.5862077897454101E-2</v>
      </c>
      <c r="S1409" s="27">
        <f>IF(('Activity data'!AL21*EF!$H34)*kgtoGg=0,"NO",('Activity data'!AL21*EF!$H34)*kgtoGg)</f>
        <v>2.4842542158273501E-2</v>
      </c>
      <c r="T1409" s="27">
        <f>IF(('Activity data'!AM21*EF!$H34)*kgtoGg=0,"NO",('Activity data'!AM21*EF!$H34)*kgtoGg)</f>
        <v>2.5753806533601667E-2</v>
      </c>
      <c r="U1409" s="27">
        <f>IF(('Activity data'!AN21*EF!$H34)*kgtoGg=0,"NO",('Activity data'!AN21*EF!$H34)*kgtoGg)</f>
        <v>5.7236201552992215E-2</v>
      </c>
      <c r="V1409" s="27">
        <f>IF(('Activity data'!AO21*EF!$H34)*kgtoGg=0,"NO",('Activity data'!AO21*EF!$H34)*kgtoGg)</f>
        <v>5.8494506476340941E-2</v>
      </c>
      <c r="W1409" s="27">
        <f>IF(('Activity data'!AP21*EF!$H34)*kgtoGg=0,"NO",('Activity data'!AP21*EF!$H34)*kgtoGg)</f>
        <v>5.9701208981511052E-2</v>
      </c>
      <c r="X1409" s="27">
        <f>IF(('Activity data'!AQ21*EF!$H34)*kgtoGg=0,"NO",('Activity data'!AQ21*EF!$H34)*kgtoGg)</f>
        <v>6.0845652039913642E-2</v>
      </c>
      <c r="Y1409" s="27">
        <f>IF(('Activity data'!AR21*EF!$H34)*kgtoGg=0,"NO",('Activity data'!AR21*EF!$H34)*kgtoGg)</f>
        <v>6.1913384085450655E-2</v>
      </c>
      <c r="Z1409" s="27">
        <f>IF(('Activity data'!AS21*EF!$H34)*kgtoGg=0,"NO",('Activity data'!AS21*EF!$H34)*kgtoGg)</f>
        <v>6.2899738646059397E-2</v>
      </c>
      <c r="AA1409" s="27">
        <f>IF(('Activity data'!AT21*EF!$H34)*kgtoGg=0,"NO",('Activity data'!AT21*EF!$H34)*kgtoGg)</f>
        <v>6.3799966711723347E-2</v>
      </c>
      <c r="AB1409" s="27">
        <f>IF(('Activity data'!AU21*EF!$H34)*kgtoGg=0,"NO",('Activity data'!AU21*EF!$H34)*kgtoGg)</f>
        <v>6.4609971647092854E-2</v>
      </c>
      <c r="AC1409" s="27">
        <f>IF(('Activity data'!AV21*EF!$H34)*kgtoGg=0,"NO",('Activity data'!AV21*EF!$H34)*kgtoGg)</f>
        <v>6.5326158516229374E-2</v>
      </c>
      <c r="AD1409" s="27">
        <f>IF(('Activity data'!AW21*EF!$H34)*kgtoGg=0,"NO",('Activity data'!AW21*EF!$H34)*kgtoGg)</f>
        <v>6.5945063808234589E-2</v>
      </c>
      <c r="AE1409" s="27">
        <f>IF(('Activity data'!AX21*EF!$H34)*kgtoGg=0,"NO",('Activity data'!AX21*EF!$H34)*kgtoGg)</f>
        <v>6.6463970587373244E-2</v>
      </c>
      <c r="AF1409" s="27">
        <f>IF(('Activity data'!AY21*EF!$H34)*kgtoGg=0,"NO",('Activity data'!AY21*EF!$H34)*kgtoGg)</f>
        <v>6.6880427805656326E-2</v>
      </c>
      <c r="AG1409" s="27">
        <f>IF(('Activity data'!AZ21*EF!$H34)*kgtoGg=0,"NO",('Activity data'!AZ21*EF!$H34)*kgtoGg)</f>
        <v>6.7192255511818053E-2</v>
      </c>
      <c r="AH1409" s="27">
        <f>IF(('Activity data'!BA21*EF!$H34)*kgtoGg=0,"NO",('Activity data'!BA21*EF!$H34)*kgtoGg)</f>
        <v>6.7398141293831301E-2</v>
      </c>
      <c r="AI1409" s="27">
        <f>IF(('Activity data'!BB21*EF!$H34)*kgtoGg=0,"NO",('Activity data'!BB21*EF!$H34)*kgtoGg)</f>
        <v>6.7497405924335729E-2</v>
      </c>
      <c r="AJ1409" s="27">
        <f>IF(('Activity data'!BC21*EF!$H34)*kgtoGg=0,"NO",('Activity data'!BC21*EF!$H34)*kgtoGg)</f>
        <v>8.7991886779588708E-3</v>
      </c>
      <c r="AK1409" s="27">
        <f>IF(('Activity data'!BD21*EF!$H34)*kgtoGg=0,"NO",('Activity data'!BD21*EF!$H34)*kgtoGg)</f>
        <v>8.8637689566539793E-3</v>
      </c>
      <c r="AL1409" s="27">
        <f>IF(('Activity data'!BE21*EF!$H34)*kgtoGg=0,"NO",('Activity data'!BE21*EF!$H34)*kgtoGg)</f>
        <v>8.9267483735029646E-3</v>
      </c>
      <c r="AM1409" s="27">
        <f>IF(('Activity data'!BF21*EF!$H34)*kgtoGg=0,"NO",('Activity data'!BF21*EF!$H34)*kgtoGg)</f>
        <v>8.9882218030821696E-3</v>
      </c>
      <c r="AN1409" s="27">
        <f>IF(('Activity data'!BG21*EF!$H34)*kgtoGg=0,"NO",('Activity data'!BG21*EF!$H34)*kgtoGg)</f>
        <v>9.0482986130435011E-3</v>
      </c>
      <c r="AO1409" s="27">
        <f>IF(('Activity data'!BH21*EF!$H34)*kgtoGg=0,"NO",('Activity data'!BH21*EF!$H34)*kgtoGg)</f>
        <v>9.1067324781659627E-3</v>
      </c>
      <c r="AP1409" s="27">
        <f>IF(('Activity data'!BI21*EF!$H34)*kgtoGg=0,"NO",('Activity data'!BI21*EF!$H34)*kgtoGg)</f>
        <v>9.1633611840193346E-3</v>
      </c>
      <c r="AQ1409" s="27">
        <f>IF(('Activity data'!BJ21*EF!$H34)*kgtoGg=0,"NO",('Activity data'!BJ21*EF!$H34)*kgtoGg)</f>
        <v>9.2181727841291489E-3</v>
      </c>
      <c r="AR1409" s="27">
        <f>IF(('Activity data'!BK21*EF!$H34)*kgtoGg=0,"NO",('Activity data'!BK21*EF!$H34)*kgtoGg)</f>
        <v>9.2709740520652353E-3</v>
      </c>
      <c r="AS1409" s="27">
        <f>IF(('Activity data'!BL21*EF!$H34)*kgtoGg=0,"NO",('Activity data'!BL21*EF!$H34)*kgtoGg)</f>
        <v>9.3215498773796274E-3</v>
      </c>
      <c r="AT1409" s="27">
        <f>IF(('Activity data'!BM21*EF!$H34)*kgtoGg=0,"NO",('Activity data'!BM21*EF!$H34)*kgtoGg)</f>
        <v>9.3698814479497017E-3</v>
      </c>
      <c r="AU1409" s="27">
        <f>IF(('Activity data'!BN21*EF!$H34)*kgtoGg=0,"NO",('Activity data'!BN21*EF!$H34)*kgtoGg)</f>
        <v>9.4160095285836763E-3</v>
      </c>
      <c r="AV1409" s="27">
        <f>IF(('Activity data'!BO21*EF!$H34)*kgtoGg=0,"NO",('Activity data'!BO21*EF!$H34)*kgtoGg)</f>
        <v>9.4599645533896878E-3</v>
      </c>
      <c r="AW1409" s="27">
        <f>IF(('Activity data'!BP21*EF!$H34)*kgtoGg=0,"NO",('Activity data'!BP21*EF!$H34)*kgtoGg)</f>
        <v>9.5015367589008064E-3</v>
      </c>
    </row>
    <row r="1410" spans="1:49" x14ac:dyDescent="0.25">
      <c r="A1410" s="95" t="s">
        <v>960</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9.2084154088933889E-2</v>
      </c>
      <c r="L1410" s="27">
        <f>IF(('Activity data'!AE22*EF!$H35)*kgtoGg=0,"NO",('Activity data'!AE22*EF!$H35)*kgtoGg)</f>
        <v>9.3296737810214664E-2</v>
      </c>
      <c r="M1410" s="27">
        <f>IF(('Activity data'!AF22*EF!$H35)*kgtoGg=0,"NO",('Activity data'!AF22*EF!$H35)*kgtoGg)</f>
        <v>9.5244495094686882E-2</v>
      </c>
      <c r="N1410" s="27">
        <f>IF(('Activity data'!AG22*EF!$H35)*kgtoGg=0,"NO",('Activity data'!AG22*EF!$H35)*kgtoGg)</f>
        <v>9.5803753116994267E-2</v>
      </c>
      <c r="O1410" s="27">
        <f>IF(('Activity data'!AH22*EF!$H35)*kgtoGg=0,"NO",('Activity data'!AH22*EF!$H35)*kgtoGg)</f>
        <v>9.5460820340069155E-2</v>
      </c>
      <c r="P1410" s="27">
        <f>IF(('Activity data'!AI22*EF!$H35)*kgtoGg=0,"NO",('Activity data'!AI22*EF!$H35)*kgtoGg)</f>
        <v>9.4219345357912279E-2</v>
      </c>
      <c r="Q1410" s="27">
        <f>IF(('Activity data'!AJ22*EF!$H35)*kgtoGg=0,"NO",('Activity data'!AJ22*EF!$H35)*kgtoGg)</f>
        <v>9.3696712749775993E-2</v>
      </c>
      <c r="R1410" s="27">
        <f>IF(('Activity data'!AK22*EF!$H35)*kgtoGg=0,"NO",('Activity data'!AK22*EF!$H35)*kgtoGg)</f>
        <v>9.3292648760063338E-2</v>
      </c>
      <c r="S1410" s="27">
        <f>IF(('Activity data'!AL22*EF!$H35)*kgtoGg=0,"NO",('Activity data'!AL22*EF!$H35)*kgtoGg)</f>
        <v>8.1361686340733153E-2</v>
      </c>
      <c r="T1410" s="27">
        <f>IF(('Activity data'!AM22*EF!$H35)*kgtoGg=0,"NO",('Activity data'!AM22*EF!$H35)*kgtoGg)</f>
        <v>8.7519158525767499E-2</v>
      </c>
      <c r="U1410" s="27">
        <f>IF(('Activity data'!AN22*EF!$H35)*kgtoGg=0,"NO",('Activity data'!AN22*EF!$H35)*kgtoGg)</f>
        <v>0.38055522418312043</v>
      </c>
      <c r="V1410" s="27">
        <f>IF(('Activity data'!AO22*EF!$H35)*kgtoGg=0,"NO",('Activity data'!AO22*EF!$H35)*kgtoGg)</f>
        <v>0.38737794766400691</v>
      </c>
      <c r="W1410" s="27">
        <f>IF(('Activity data'!AP22*EF!$H35)*kgtoGg=0,"NO",('Activity data'!AP22*EF!$H35)*kgtoGg)</f>
        <v>0.39343920417290035</v>
      </c>
      <c r="X1410" s="27">
        <f>IF(('Activity data'!AQ22*EF!$H35)*kgtoGg=0,"NO",('Activity data'!AQ22*EF!$H35)*kgtoGg)</f>
        <v>0.39876487470149208</v>
      </c>
      <c r="Y1410" s="27">
        <f>IF(('Activity data'!AR22*EF!$H35)*kgtoGg=0,"NO",('Activity data'!AR22*EF!$H35)*kgtoGg)</f>
        <v>0.40342733598806829</v>
      </c>
      <c r="Z1410" s="27">
        <f>IF(('Activity data'!AS22*EF!$H35)*kgtoGg=0,"NO",('Activity data'!AS22*EF!$H35)*kgtoGg)</f>
        <v>0.40739161526609236</v>
      </c>
      <c r="AA1410" s="27">
        <f>IF(('Activity data'!AT22*EF!$H35)*kgtoGg=0,"NO",('Activity data'!AT22*EF!$H35)*kgtoGg)</f>
        <v>0.41063086290427719</v>
      </c>
      <c r="AB1410" s="27">
        <f>IF(('Activity data'!AU22*EF!$H35)*kgtoGg=0,"NO",('Activity data'!AU22*EF!$H35)*kgtoGg)</f>
        <v>0.41311868820096576</v>
      </c>
      <c r="AC1410" s="27">
        <f>IF(('Activity data'!AV22*EF!$H35)*kgtoGg=0,"NO",('Activity data'!AV22*EF!$H35)*kgtoGg)</f>
        <v>0.41483155404850092</v>
      </c>
      <c r="AD1410" s="27">
        <f>IF(('Activity data'!AW22*EF!$H35)*kgtoGg=0,"NO",('Activity data'!AW22*EF!$H35)*kgtoGg)</f>
        <v>0.4157534105968208</v>
      </c>
      <c r="AE1410" s="27">
        <f>IF(('Activity data'!AX22*EF!$H35)*kgtoGg=0,"NO",('Activity data'!AX22*EF!$H35)*kgtoGg)</f>
        <v>0.41586937761576692</v>
      </c>
      <c r="AF1410" s="27">
        <f>IF(('Activity data'!AY22*EF!$H35)*kgtoGg=0,"NO",('Activity data'!AY22*EF!$H35)*kgtoGg)</f>
        <v>0.41517143719283295</v>
      </c>
      <c r="AG1410" s="27">
        <f>IF(('Activity data'!AZ22*EF!$H35)*kgtoGg=0,"NO",('Activity data'!AZ22*EF!$H35)*kgtoGg)</f>
        <v>0.41365861505534796</v>
      </c>
      <c r="AH1410" s="27">
        <f>IF(('Activity data'!BA22*EF!$H35)*kgtoGg=0,"NO",('Activity data'!BA22*EF!$H35)*kgtoGg)</f>
        <v>0.41133079331280648</v>
      </c>
      <c r="AI1410" s="27">
        <f>IF(('Activity data'!BB22*EF!$H35)*kgtoGg=0,"NO",('Activity data'!BB22*EF!$H35)*kgtoGg)</f>
        <v>0.40819145890302061</v>
      </c>
      <c r="AJ1410" s="27">
        <f>IF(('Activity data'!BC22*EF!$H35)*kgtoGg=0,"NO",('Activity data'!BC22*EF!$H35)*kgtoGg)</f>
        <v>-8.7165642075574146E-2</v>
      </c>
      <c r="AK1410" s="27">
        <f>IF(('Activity data'!BD22*EF!$H35)*kgtoGg=0,"NO",('Activity data'!BD22*EF!$H35)*kgtoGg)</f>
        <v>-8.7288995420516255E-2</v>
      </c>
      <c r="AL1410" s="27">
        <f>IF(('Activity data'!BE22*EF!$H35)*kgtoGg=0,"NO",('Activity data'!BE22*EF!$H35)*kgtoGg)</f>
        <v>-8.7400689777532417E-2</v>
      </c>
      <c r="AM1410" s="27">
        <f>IF(('Activity data'!BF22*EF!$H35)*kgtoGg=0,"NO",('Activity data'!BF22*EF!$H35)*kgtoGg)</f>
        <v>-8.7501674968968782E-2</v>
      </c>
      <c r="AN1410" s="27">
        <f>IF(('Activity data'!BG22*EF!$H35)*kgtoGg=0,"NO",('Activity data'!BG22*EF!$H35)*kgtoGg)</f>
        <v>-8.759303690104156E-2</v>
      </c>
      <c r="AO1410" s="27">
        <f>IF(('Activity data'!BH22*EF!$H35)*kgtoGg=0,"NO",('Activity data'!BH22*EF!$H35)*kgtoGg)</f>
        <v>-8.7672225765400638E-2</v>
      </c>
      <c r="AP1410" s="27">
        <f>IF(('Activity data'!BI22*EF!$H35)*kgtoGg=0,"NO",('Activity data'!BI22*EF!$H35)*kgtoGg)</f>
        <v>-8.773761110126993E-2</v>
      </c>
      <c r="AQ1410" s="27">
        <f>IF(('Activity data'!BJ22*EF!$H35)*kgtoGg=0,"NO",('Activity data'!BJ22*EF!$H35)*kgtoGg)</f>
        <v>-8.7789118885945122E-2</v>
      </c>
      <c r="AR1410" s="27">
        <f>IF(('Activity data'!BK22*EF!$H35)*kgtoGg=0,"NO",('Activity data'!BK22*EF!$H35)*kgtoGg)</f>
        <v>-8.7824869446460341E-2</v>
      </c>
      <c r="AS1410" s="27">
        <f>IF(('Activity data'!BL22*EF!$H35)*kgtoGg=0,"NO",('Activity data'!BL22*EF!$H35)*kgtoGg)</f>
        <v>-8.7842812552050467E-2</v>
      </c>
      <c r="AT1410" s="27">
        <f>IF(('Activity data'!BM22*EF!$H35)*kgtoGg=0,"NO",('Activity data'!BM22*EF!$H35)*kgtoGg)</f>
        <v>-8.7842889451098083E-2</v>
      </c>
      <c r="AU1410" s="27">
        <f>IF(('Activity data'!BN22*EF!$H35)*kgtoGg=0,"NO",('Activity data'!BN22*EF!$H35)*kgtoGg)</f>
        <v>-8.7825632469861054E-2</v>
      </c>
      <c r="AV1410" s="27">
        <f>IF(('Activity data'!BO22*EF!$H35)*kgtoGg=0,"NO",('Activity data'!BO22*EF!$H35)*kgtoGg)</f>
        <v>-8.7791464656619661E-2</v>
      </c>
      <c r="AW1410" s="27">
        <f>IF(('Activity data'!BP22*EF!$H35)*kgtoGg=0,"NO",('Activity data'!BP22*EF!$H35)*kgtoGg)</f>
        <v>-8.7738464001201541E-2</v>
      </c>
    </row>
    <row r="1411" spans="1:49" x14ac:dyDescent="0.25">
      <c r="A1411" s="95" t="s">
        <v>960</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5.9806569587962537E-2</v>
      </c>
      <c r="M1411" s="27">
        <f>IF(('Activity data'!AF5*EF!$H36*EF!$H54)*NtoN2O*kgtoGg=0,"NO",('Activity data'!AF5*EF!$H36*EF!$H54)*NtoN2O*kgtoGg)</f>
        <v>6.0278316688762053E-2</v>
      </c>
      <c r="N1411" s="27">
        <f>IF(('Activity data'!AG5*EF!$H36*EF!$H54)*NtoN2O*kgtoGg=0,"NO",('Activity data'!AG5*EF!$H36*EF!$H54)*NtoN2O*kgtoGg)</f>
        <v>6.0581464452445992E-2</v>
      </c>
      <c r="O1411" s="27">
        <f>IF(('Activity data'!AH5*EF!$H36*EF!$H54)*NtoN2O*kgtoGg=0,"NO",('Activity data'!AH5*EF!$H36*EF!$H54)*NtoN2O*kgtoGg)</f>
        <v>6.0782907527895308E-2</v>
      </c>
      <c r="P1411" s="27">
        <f>IF(('Activity data'!AI5*EF!$H36*EF!$H54)*NtoN2O*kgtoGg=0,"NO",('Activity data'!AI5*EF!$H36*EF!$H54)*NtoN2O*kgtoGg)</f>
        <v>6.0880663265441164E-2</v>
      </c>
      <c r="Q1411" s="27">
        <f>IF(('Activity data'!AJ5*EF!$H36*EF!$H54)*NtoN2O*kgtoGg=0,"NO",('Activity data'!AJ5*EF!$H36*EF!$H54)*NtoN2O*kgtoGg)</f>
        <v>6.1096642070638009E-2</v>
      </c>
      <c r="R1411" s="27">
        <f>IF(('Activity data'!AK5*EF!$H36*EF!$H54)*NtoN2O*kgtoGg=0,"NO",('Activity data'!AK5*EF!$H36*EF!$H54)*NtoN2O*kgtoGg)</f>
        <v>6.1344406036983781E-2</v>
      </c>
      <c r="S1411" s="27">
        <f>IF(('Activity data'!AL5*EF!$H36*EF!$H54)*NtoN2O*kgtoGg=0,"NO",('Activity data'!AL5*EF!$H36*EF!$H54)*NtoN2O*kgtoGg)</f>
        <v>5.9601328930113273E-2</v>
      </c>
      <c r="T1411" s="27">
        <f>IF(('Activity data'!AM5*EF!$H36*EF!$H54)*NtoN2O*kgtoGg=0,"NO",('Activity data'!AM5*EF!$H36*EF!$H54)*NtoN2O*kgtoGg)</f>
        <v>6.0626854202705693E-2</v>
      </c>
      <c r="U1411" s="27">
        <f>IF(('Activity data'!AN5*EF!$H36*EF!$H54)*NtoN2O*kgtoGg=0,"NO",('Activity data'!AN5*EF!$H36*EF!$H54)*NtoN2O*kgtoGg)</f>
        <v>0.10431335111869787</v>
      </c>
      <c r="V1411" s="27">
        <f>IF(('Activity data'!AO5*EF!$H36*EF!$H54)*NtoN2O*kgtoGg=0,"NO",('Activity data'!AO5*EF!$H36*EF!$H54)*NtoN2O*kgtoGg)</f>
        <v>0.10557079987792001</v>
      </c>
      <c r="W1411" s="27">
        <f>IF(('Activity data'!AP5*EF!$H36*EF!$H54)*NtoN2O*kgtoGg=0,"NO",('Activity data'!AP5*EF!$H36*EF!$H54)*NtoN2O*kgtoGg)</f>
        <v>0.10677309385797164</v>
      </c>
      <c r="X1411" s="27">
        <f>IF(('Activity data'!AQ5*EF!$H36*EF!$H54)*NtoN2O*kgtoGg=0,"NO",('Activity data'!AQ5*EF!$H36*EF!$H54)*NtoN2O*kgtoGg)</f>
        <v>0.10789978230362134</v>
      </c>
      <c r="Y1411" s="27">
        <f>IF(('Activity data'!AR5*EF!$H36*EF!$H54)*NtoN2O*kgtoGg=0,"NO",('Activity data'!AR5*EF!$H36*EF!$H54)*NtoN2O*kgtoGg)</f>
        <v>0.10892077673602073</v>
      </c>
      <c r="Z1411" s="27">
        <f>IF(('Activity data'!AS5*EF!$H36*EF!$H54)*NtoN2O*kgtoGg=0,"NO",('Activity data'!AS5*EF!$H36*EF!$H54)*NtoN2O*kgtoGg)</f>
        <v>0.10983130908819148</v>
      </c>
      <c r="AA1411" s="27">
        <f>IF(('Activity data'!AT5*EF!$H36*EF!$H54)*NtoN2O*kgtoGg=0,"NO",('Activity data'!AT5*EF!$H36*EF!$H54)*NtoN2O*kgtoGg)</f>
        <v>0.11062607502856897</v>
      </c>
      <c r="AB1411" s="27">
        <f>IF(('Activity data'!AU5*EF!$H36*EF!$H54)*NtoN2O*kgtoGg=0,"NO",('Activity data'!AU5*EF!$H36*EF!$H54)*NtoN2O*kgtoGg)</f>
        <v>0.11130105996088024</v>
      </c>
      <c r="AC1411" s="27">
        <f>IF(('Activity data'!AV5*EF!$H36*EF!$H54)*NtoN2O*kgtoGg=0,"NO",('Activity data'!AV5*EF!$H36*EF!$H54)*NtoN2O*kgtoGg)</f>
        <v>0.11185308002540331</v>
      </c>
      <c r="AD1411" s="27">
        <f>IF(('Activity data'!AW5*EF!$H36*EF!$H54)*NtoN2O*kgtoGg=0,"NO",('Activity data'!AW5*EF!$H36*EF!$H54)*NtoN2O*kgtoGg)</f>
        <v>0.11227878827005904</v>
      </c>
      <c r="AE1411" s="27">
        <f>IF(('Activity data'!AX5*EF!$H36*EF!$H54)*NtoN2O*kgtoGg=0,"NO",('Activity data'!AX5*EF!$H36*EF!$H54)*NtoN2O*kgtoGg)</f>
        <v>0.11257618100536711</v>
      </c>
      <c r="AF1411" s="27">
        <f>IF(('Activity data'!AY5*EF!$H36*EF!$H54)*NtoN2O*kgtoGg=0,"NO",('Activity data'!AY5*EF!$H36*EF!$H54)*NtoN2O*kgtoGg)</f>
        <v>0.11274333624880213</v>
      </c>
      <c r="AG1411" s="27">
        <f>IF(('Activity data'!AZ5*EF!$H36*EF!$H54)*NtoN2O*kgtoGg=0,"NO",('Activity data'!AZ5*EF!$H36*EF!$H54)*NtoN2O*kgtoGg)</f>
        <v>0.11277839712706036</v>
      </c>
      <c r="AH1411" s="27">
        <f>IF(('Activity data'!BA5*EF!$H36*EF!$H54)*NtoN2O*kgtoGg=0,"NO",('Activity data'!BA5*EF!$H36*EF!$H54)*NtoN2O*kgtoGg)</f>
        <v>0.11268102453940491</v>
      </c>
      <c r="AI1411" s="27">
        <f>IF(('Activity data'!BB5*EF!$H36*EF!$H54)*NtoN2O*kgtoGg=0,"NO",('Activity data'!BB5*EF!$H36*EF!$H54)*NtoN2O*kgtoGg)</f>
        <v>0.11245177283662604</v>
      </c>
      <c r="AJ1411" s="27">
        <f>IF(('Activity data'!BC5*EF!$H36*EF!$H54)*NtoN2O*kgtoGg=0,"NO",('Activity data'!BC5*EF!$H36*EF!$H54)*NtoN2O*kgtoGg)</f>
        <v>3.5577796363991845E-2</v>
      </c>
      <c r="AK1411" s="27">
        <f>IF(('Activity data'!BD5*EF!$H36*EF!$H54)*NtoN2O*kgtoGg=0,"NO",('Activity data'!BD5*EF!$H36*EF!$H54)*NtoN2O*kgtoGg)</f>
        <v>3.5603767558276704E-2</v>
      </c>
      <c r="AL1411" s="27">
        <f>IF(('Activity data'!BE5*EF!$H36*EF!$H54)*NtoN2O*kgtoGg=0,"NO",('Activity data'!BE5*EF!$H36*EF!$H54)*NtoN2O*kgtoGg)</f>
        <v>3.5627869174539424E-2</v>
      </c>
      <c r="AM1411" s="27">
        <f>IF(('Activity data'!BF5*EF!$H36*EF!$H54)*NtoN2O*kgtoGg=0,"NO",('Activity data'!BF5*EF!$H36*EF!$H54)*NtoN2O*kgtoGg)</f>
        <v>3.5650264251912672E-2</v>
      </c>
      <c r="AN1411" s="27">
        <f>IF(('Activity data'!BG5*EF!$H36*EF!$H54)*NtoN2O*kgtoGg=0,"NO",('Activity data'!BG5*EF!$H36*EF!$H54)*NtoN2O*kgtoGg)</f>
        <v>3.5671153620438649E-2</v>
      </c>
      <c r="AO1411" s="27">
        <f>IF(('Activity data'!BH5*EF!$H36*EF!$H54)*NtoN2O*kgtoGg=0,"NO",('Activity data'!BH5*EF!$H36*EF!$H54)*NtoN2O*kgtoGg)</f>
        <v>3.5689881664317018E-2</v>
      </c>
      <c r="AP1411" s="27">
        <f>IF(('Activity data'!BI5*EF!$H36*EF!$H54)*NtoN2O*kgtoGg=0,"NO",('Activity data'!BI5*EF!$H36*EF!$H54)*NtoN2O*kgtoGg)</f>
        <v>3.5706008112300056E-2</v>
      </c>
      <c r="AQ1411" s="27">
        <f>IF(('Activity data'!BJ5*EF!$H36*EF!$H54)*NtoN2O*kgtoGg=0,"NO",('Activity data'!BJ5*EF!$H36*EF!$H54)*NtoN2O*kgtoGg)</f>
        <v>3.5719462361704167E-2</v>
      </c>
      <c r="AR1411" s="27">
        <f>IF(('Activity data'!BK5*EF!$H36*EF!$H54)*NtoN2O*kgtoGg=0,"NO",('Activity data'!BK5*EF!$H36*EF!$H54)*NtoN2O*kgtoGg)</f>
        <v>3.5729744862623404E-2</v>
      </c>
      <c r="AS1411" s="27">
        <f>IF(('Activity data'!BL5*EF!$H36*EF!$H54)*NtoN2O*kgtoGg=0,"NO",('Activity data'!BL5*EF!$H36*EF!$H54)*NtoN2O*kgtoGg)</f>
        <v>3.5736313260064892E-2</v>
      </c>
      <c r="AT1411" s="27">
        <f>IF(('Activity data'!BM5*EF!$H36*EF!$H54)*NtoN2O*kgtoGg=0,"NO",('Activity data'!BM5*EF!$H36*EF!$H54)*NtoN2O*kgtoGg)</f>
        <v>3.5739100565622635E-2</v>
      </c>
      <c r="AU1411" s="27">
        <f>IF(('Activity data'!BN5*EF!$H36*EF!$H54)*NtoN2O*kgtoGg=0,"NO",('Activity data'!BN5*EF!$H36*EF!$H54)*NtoN2O*kgtoGg)</f>
        <v>3.5738183814189306E-2</v>
      </c>
      <c r="AV1411" s="27">
        <f>IF(('Activity data'!BO5*EF!$H36*EF!$H54)*NtoN2O*kgtoGg=0,"NO",('Activity data'!BO5*EF!$H36*EF!$H54)*NtoN2O*kgtoGg)</f>
        <v>3.5733616728715514E-2</v>
      </c>
      <c r="AW1411" s="27">
        <f>IF(('Activity data'!BP5*EF!$H36*EF!$H54)*NtoN2O*kgtoGg=0,"NO",('Activity data'!BP5*EF!$H36*EF!$H54)*NtoN2O*kgtoGg)</f>
        <v>3.5724889195264529E-2</v>
      </c>
    </row>
    <row r="1412" spans="1:49" x14ac:dyDescent="0.25">
      <c r="A1412" s="95" t="s">
        <v>960</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0.26187096745907495</v>
      </c>
      <c r="M1412" s="27">
        <f>IF(('Activity data'!AF6*EF!$H37*EF!$H55)*NtoN2O*kgtoGg=0,"NO",('Activity data'!AF6*EF!$H37*EF!$H55)*NtoN2O*kgtoGg)</f>
        <v>0.26393657447404822</v>
      </c>
      <c r="N1412" s="27">
        <f>IF(('Activity data'!AG6*EF!$H37*EF!$H55)*NtoN2O*kgtoGg=0,"NO",('Activity data'!AG6*EF!$H37*EF!$H55)*NtoN2O*kgtoGg)</f>
        <v>0.26526394701365208</v>
      </c>
      <c r="O1412" s="27">
        <f>IF(('Activity data'!AH6*EF!$H37*EF!$H55)*NtoN2O*kgtoGg=0,"NO",('Activity data'!AH6*EF!$H37*EF!$H55)*NtoN2O*kgtoGg)</f>
        <v>0.26614599213711054</v>
      </c>
      <c r="P1412" s="27">
        <f>IF(('Activity data'!AI6*EF!$H37*EF!$H55)*NtoN2O*kgtoGg=0,"NO",('Activity data'!AI6*EF!$H37*EF!$H55)*NtoN2O*kgtoGg)</f>
        <v>0.26657402855087214</v>
      </c>
      <c r="Q1412" s="27">
        <f>IF(('Activity data'!AJ6*EF!$H37*EF!$H55)*NtoN2O*kgtoGg=0,"NO",('Activity data'!AJ6*EF!$H37*EF!$H55)*NtoN2O*kgtoGg)</f>
        <v>0.26751972028770321</v>
      </c>
      <c r="R1412" s="27">
        <f>IF(('Activity data'!AK6*EF!$H37*EF!$H55)*NtoN2O*kgtoGg=0,"NO",('Activity data'!AK6*EF!$H37*EF!$H55)*NtoN2O*kgtoGg)</f>
        <v>0.26860458755254507</v>
      </c>
      <c r="S1412" s="27">
        <f>IF(('Activity data'!AL6*EF!$H37*EF!$H55)*NtoN2O*kgtoGg=0,"NO",('Activity data'!AL6*EF!$H37*EF!$H55)*NtoN2O*kgtoGg)</f>
        <v>0.26097229411928624</v>
      </c>
      <c r="T1412" s="27">
        <f>IF(('Activity data'!AM6*EF!$H37*EF!$H55)*NtoN2O*kgtoGg=0,"NO",('Activity data'!AM6*EF!$H37*EF!$H55)*NtoN2O*kgtoGg)</f>
        <v>0.26546269203272144</v>
      </c>
      <c r="U1412" s="27">
        <f>IF(('Activity data'!AN6*EF!$H37*EF!$H55)*NtoN2O*kgtoGg=0,"NO",('Activity data'!AN6*EF!$H37*EF!$H55)*NtoN2O*kgtoGg)</f>
        <v>0.45674979127794169</v>
      </c>
      <c r="V1412" s="27">
        <f>IF(('Activity data'!AO6*EF!$H37*EF!$H55)*NtoN2O*kgtoGg=0,"NO",('Activity data'!AO6*EF!$H37*EF!$H55)*NtoN2O*kgtoGg)</f>
        <v>0.46225569682270645</v>
      </c>
      <c r="W1412" s="27">
        <f>IF(('Activity data'!AP6*EF!$H37*EF!$H55)*NtoN2O*kgtoGg=0,"NO",('Activity data'!AP6*EF!$H37*EF!$H55)*NtoN2O*kgtoGg)</f>
        <v>0.46752009987901733</v>
      </c>
      <c r="X1412" s="27">
        <f>IF(('Activity data'!AQ6*EF!$H37*EF!$H55)*NtoN2O*kgtoGg=0,"NO",('Activity data'!AQ6*EF!$H37*EF!$H55)*NtoN2O*kgtoGg)</f>
        <v>0.47245345411284095</v>
      </c>
      <c r="Y1412" s="27">
        <f>IF(('Activity data'!AR6*EF!$H37*EF!$H55)*NtoN2O*kgtoGg=0,"NO",('Activity data'!AR6*EF!$H37*EF!$H55)*NtoN2O*kgtoGg)</f>
        <v>0.47692401314381044</v>
      </c>
      <c r="Z1412" s="27">
        <f>IF(('Activity data'!AS6*EF!$H37*EF!$H55)*NtoN2O*kgtoGg=0,"NO",('Activity data'!AS6*EF!$H37*EF!$H55)*NtoN2O*kgtoGg)</f>
        <v>0.48091089936063391</v>
      </c>
      <c r="AA1412" s="27">
        <f>IF(('Activity data'!AT6*EF!$H37*EF!$H55)*NtoN2O*kgtoGg=0,"NO",('Activity data'!AT6*EF!$H37*EF!$H55)*NtoN2O*kgtoGg)</f>
        <v>0.48439088704666999</v>
      </c>
      <c r="AB1412" s="27">
        <f>IF(('Activity data'!AU6*EF!$H37*EF!$H55)*NtoN2O*kgtoGg=0,"NO",('Activity data'!AU6*EF!$H37*EF!$H55)*NtoN2O*kgtoGg)</f>
        <v>0.48734639776167055</v>
      </c>
      <c r="AC1412" s="27">
        <f>IF(('Activity data'!AV6*EF!$H37*EF!$H55)*NtoN2O*kgtoGg=0,"NO",('Activity data'!AV6*EF!$H37*EF!$H55)*NtoN2O*kgtoGg)</f>
        <v>0.48976349055514479</v>
      </c>
      <c r="AD1412" s="27">
        <f>IF(('Activity data'!AW6*EF!$H37*EF!$H55)*NtoN2O*kgtoGg=0,"NO",('Activity data'!AW6*EF!$H37*EF!$H55)*NtoN2O*kgtoGg)</f>
        <v>0.49162751035516583</v>
      </c>
      <c r="AE1412" s="27">
        <f>IF(('Activity data'!AX6*EF!$H37*EF!$H55)*NtoN2O*kgtoGg=0,"NO",('Activity data'!AX6*EF!$H37*EF!$H55)*NtoN2O*kgtoGg)</f>
        <v>0.49292968374258739</v>
      </c>
      <c r="AF1412" s="27">
        <f>IF(('Activity data'!AY6*EF!$H37*EF!$H55)*NtoN2O*kgtoGg=0,"NO",('Activity data'!AY6*EF!$H37*EF!$H55)*NtoN2O*kgtoGg)</f>
        <v>0.49366159506296176</v>
      </c>
      <c r="AG1412" s="27">
        <f>IF(('Activity data'!AZ6*EF!$H37*EF!$H55)*NtoN2O*kgtoGg=0,"NO",('Activity data'!AZ6*EF!$H37*EF!$H55)*NtoN2O*kgtoGg)</f>
        <v>0.49381511375117121</v>
      </c>
      <c r="AH1412" s="27">
        <f>IF(('Activity data'!BA6*EF!$H37*EF!$H55)*NtoN2O*kgtoGg=0,"NO",('Activity data'!BA6*EF!$H37*EF!$H55)*NtoN2O*kgtoGg)</f>
        <v>0.4933887550098322</v>
      </c>
      <c r="AI1412" s="27">
        <f>IF(('Activity data'!BB6*EF!$H37*EF!$H55)*NtoN2O*kgtoGg=0,"NO",('Activity data'!BB6*EF!$H37*EF!$H55)*NtoN2O*kgtoGg)</f>
        <v>0.49238494613712885</v>
      </c>
      <c r="AJ1412" s="27">
        <f>IF(('Activity data'!BC6*EF!$H37*EF!$H55)*NtoN2O*kgtoGg=0,"NO",('Activity data'!BC6*EF!$H37*EF!$H55)*NtoN2O*kgtoGg)</f>
        <v>0.15578208243824307</v>
      </c>
      <c r="AK1412" s="27">
        <f>IF(('Activity data'!BD6*EF!$H37*EF!$H55)*NtoN2O*kgtoGg=0,"NO",('Activity data'!BD6*EF!$H37*EF!$H55)*NtoN2O*kgtoGg)</f>
        <v>0.15589580074411316</v>
      </c>
      <c r="AL1412" s="27">
        <f>IF(('Activity data'!BE6*EF!$H37*EF!$H55)*NtoN2O*kgtoGg=0,"NO",('Activity data'!BE6*EF!$H37*EF!$H55)*NtoN2O*kgtoGg)</f>
        <v>0.15600133285557738</v>
      </c>
      <c r="AM1412" s="27">
        <f>IF(('Activity data'!BF6*EF!$H37*EF!$H55)*NtoN2O*kgtoGg=0,"NO",('Activity data'!BF6*EF!$H37*EF!$H55)*NtoN2O*kgtoGg)</f>
        <v>0.1560993926610211</v>
      </c>
      <c r="AN1412" s="27">
        <f>IF(('Activity data'!BG6*EF!$H37*EF!$H55)*NtoN2O*kgtoGg=0,"NO",('Activity data'!BG6*EF!$H37*EF!$H55)*NtoN2O*kgtoGg)</f>
        <v>0.15619085952132081</v>
      </c>
      <c r="AO1412" s="27">
        <f>IF(('Activity data'!BH6*EF!$H37*EF!$H55)*NtoN2O*kgtoGg=0,"NO",('Activity data'!BH6*EF!$H37*EF!$H55)*NtoN2O*kgtoGg)</f>
        <v>0.15627286273606522</v>
      </c>
      <c r="AP1412" s="27">
        <f>IF(('Activity data'!BI6*EF!$H37*EF!$H55)*NtoN2O*kgtoGg=0,"NO",('Activity data'!BI6*EF!$H37*EF!$H55)*NtoN2O*kgtoGg)</f>
        <v>0.15634347451942091</v>
      </c>
      <c r="AQ1412" s="27">
        <f>IF(('Activity data'!BJ6*EF!$H37*EF!$H55)*NtoN2O*kgtoGg=0,"NO",('Activity data'!BJ6*EF!$H37*EF!$H55)*NtoN2O*kgtoGg)</f>
        <v>0.15640238572820886</v>
      </c>
      <c r="AR1412" s="27">
        <f>IF(('Activity data'!BK6*EF!$H37*EF!$H55)*NtoN2O*kgtoGg=0,"NO",('Activity data'!BK6*EF!$H37*EF!$H55)*NtoN2O*kgtoGg)</f>
        <v>0.15644740901715809</v>
      </c>
      <c r="AS1412" s="27">
        <f>IF(('Activity data'!BL6*EF!$H37*EF!$H55)*NtoN2O*kgtoGg=0,"NO",('Activity data'!BL6*EF!$H37*EF!$H55)*NtoN2O*kgtoGg)</f>
        <v>0.15647616961326835</v>
      </c>
      <c r="AT1412" s="27">
        <f>IF(('Activity data'!BM6*EF!$H37*EF!$H55)*NtoN2O*kgtoGg=0,"NO",('Activity data'!BM6*EF!$H37*EF!$H55)*NtoN2O*kgtoGg)</f>
        <v>0.15648837419895245</v>
      </c>
      <c r="AU1412" s="27">
        <f>IF(('Activity data'!BN6*EF!$H37*EF!$H55)*NtoN2O*kgtoGg=0,"NO",('Activity data'!BN6*EF!$H37*EF!$H55)*NtoN2O*kgtoGg)</f>
        <v>0.15648436008166708</v>
      </c>
      <c r="AV1412" s="27">
        <f>IF(('Activity data'!BO6*EF!$H37*EF!$H55)*NtoN2O*kgtoGg=0,"NO",('Activity data'!BO6*EF!$H37*EF!$H55)*NtoN2O*kgtoGg)</f>
        <v>0.15646436249445</v>
      </c>
      <c r="AW1412" s="27">
        <f>IF(('Activity data'!BP6*EF!$H37*EF!$H55)*NtoN2O*kgtoGg=0,"NO",('Activity data'!BP6*EF!$H37*EF!$H55)*NtoN2O*kgtoGg)</f>
        <v>0.15642614783602549</v>
      </c>
    </row>
    <row r="1413" spans="1:49" x14ac:dyDescent="0.25">
      <c r="A1413" s="95" t="s">
        <v>960</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1.1651711689683767E-2</v>
      </c>
      <c r="M1413" s="27">
        <f>IF(('Activity data'!AF7*EF!$H38*EF!$H56)*NtoN2O*kgtoGg=0,"NO",('Activity data'!AF7*EF!$H38*EF!$H56)*NtoN2O*kgtoGg)</f>
        <v>1.1743619004328788E-2</v>
      </c>
      <c r="N1413" s="27">
        <f>IF(('Activity data'!AG7*EF!$H38*EF!$H56)*NtoN2O*kgtoGg=0,"NO",('Activity data'!AG7*EF!$H38*EF!$H56)*NtoN2O*kgtoGg)</f>
        <v>1.1802679244134426E-2</v>
      </c>
      <c r="O1413" s="27">
        <f>IF(('Activity data'!AH7*EF!$H38*EF!$H56)*NtoN2O*kgtoGg=0,"NO",('Activity data'!AH7*EF!$H38*EF!$H56)*NtoN2O*kgtoGg)</f>
        <v>1.1841925043604104E-2</v>
      </c>
      <c r="P1413" s="27">
        <f>IF(('Activity data'!AI7*EF!$H38*EF!$H56)*NtoN2O*kgtoGg=0,"NO",('Activity data'!AI7*EF!$H38*EF!$H56)*NtoN2O*kgtoGg)</f>
        <v>1.186097013643829E-2</v>
      </c>
      <c r="Q1413" s="27">
        <f>IF(('Activity data'!AJ7*EF!$H38*EF!$H56)*NtoN2O*kgtoGg=0,"NO",('Activity data'!AJ7*EF!$H38*EF!$H56)*NtoN2O*kgtoGg)</f>
        <v>1.1903047834366352E-2</v>
      </c>
      <c r="R1413" s="27">
        <f>IF(('Activity data'!AK7*EF!$H38*EF!$H56)*NtoN2O*kgtoGg=0,"NO",('Activity data'!AK7*EF!$H38*EF!$H56)*NtoN2O*kgtoGg)</f>
        <v>1.1951318021451862E-2</v>
      </c>
      <c r="S1413" s="27">
        <f>IF(('Activity data'!AL7*EF!$H38*EF!$H56)*NtoN2O*kgtoGg=0,"NO",('Activity data'!AL7*EF!$H38*EF!$H56)*NtoN2O*kgtoGg)</f>
        <v>1.1611726032777913E-2</v>
      </c>
      <c r="T1413" s="27">
        <f>IF(('Activity data'!AM7*EF!$H38*EF!$H56)*NtoN2O*kgtoGg=0,"NO",('Activity data'!AM7*EF!$H38*EF!$H56)*NtoN2O*kgtoGg)</f>
        <v>1.1811522223882912E-2</v>
      </c>
      <c r="U1413" s="27">
        <f>IF(('Activity data'!AN7*EF!$H38*EF!$H56)*NtoN2O*kgtoGg=0,"NO",('Activity data'!AN7*EF!$H38*EF!$H56)*NtoN2O*kgtoGg)</f>
        <v>2.0322668579614574E-2</v>
      </c>
      <c r="V1413" s="27">
        <f>IF(('Activity data'!AO7*EF!$H38*EF!$H56)*NtoN2O*kgtoGg=0,"NO",('Activity data'!AO7*EF!$H38*EF!$H56)*NtoN2O*kgtoGg)</f>
        <v>2.0567648863686182E-2</v>
      </c>
      <c r="W1413" s="27">
        <f>IF(('Activity data'!AP7*EF!$H38*EF!$H56)*NtoN2O*kgtoGg=0,"NO",('Activity data'!AP7*EF!$H38*EF!$H56)*NtoN2O*kgtoGg)</f>
        <v>2.0801883713106869E-2</v>
      </c>
      <c r="X1413" s="27">
        <f>IF(('Activity data'!AQ7*EF!$H38*EF!$H56)*NtoN2O*kgtoGg=0,"NO",('Activity data'!AQ7*EF!$H38*EF!$H56)*NtoN2O*kgtoGg)</f>
        <v>2.1021388844788085E-2</v>
      </c>
      <c r="Y1413" s="27">
        <f>IF(('Activity data'!AR7*EF!$H38*EF!$H56)*NtoN2O*kgtoGg=0,"NO",('Activity data'!AR7*EF!$H38*EF!$H56)*NtoN2O*kgtoGg)</f>
        <v>2.1220302322773034E-2</v>
      </c>
      <c r="Z1413" s="27">
        <f>IF(('Activity data'!AS7*EF!$H38*EF!$H56)*NtoN2O*kgtoGg=0,"NO",('Activity data'!AS7*EF!$H38*EF!$H56)*NtoN2O*kgtoGg)</f>
        <v>2.1397695216642653E-2</v>
      </c>
      <c r="AA1413" s="27">
        <f>IF(('Activity data'!AT7*EF!$H38*EF!$H56)*NtoN2O*kgtoGg=0,"NO",('Activity data'!AT7*EF!$H38*EF!$H56)*NtoN2O*kgtoGg)</f>
        <v>2.1552534119155507E-2</v>
      </c>
      <c r="AB1413" s="27">
        <f>IF(('Activity data'!AU7*EF!$H38*EF!$H56)*NtoN2O*kgtoGg=0,"NO",('Activity data'!AU7*EF!$H38*EF!$H56)*NtoN2O*kgtoGg)</f>
        <v>2.1684036893522194E-2</v>
      </c>
      <c r="AC1413" s="27">
        <f>IF(('Activity data'!AV7*EF!$H38*EF!$H56)*NtoN2O*kgtoGg=0,"NO",('Activity data'!AV7*EF!$H38*EF!$H56)*NtoN2O*kgtoGg)</f>
        <v>2.1791583249767946E-2</v>
      </c>
      <c r="AD1413" s="27">
        <f>IF(('Activity data'!AW7*EF!$H38*EF!$H56)*NtoN2O*kgtoGg=0,"NO",('Activity data'!AW7*EF!$H38*EF!$H56)*NtoN2O*kgtoGg)</f>
        <v>2.1874521123731019E-2</v>
      </c>
      <c r="AE1413" s="27">
        <f>IF(('Activity data'!AX7*EF!$H38*EF!$H56)*NtoN2O*kgtoGg=0,"NO",('Activity data'!AX7*EF!$H38*EF!$H56)*NtoN2O*kgtoGg)</f>
        <v>2.1932460150066901E-2</v>
      </c>
      <c r="AF1413" s="27">
        <f>IF(('Activity data'!AY7*EF!$H38*EF!$H56)*NtoN2O*kgtoGg=0,"NO",('Activity data'!AY7*EF!$H38*EF!$H56)*NtoN2O*kgtoGg)</f>
        <v>2.1965025881847573E-2</v>
      </c>
      <c r="AG1413" s="27">
        <f>IF(('Activity data'!AZ7*EF!$H38*EF!$H56)*NtoN2O*kgtoGg=0,"NO",('Activity data'!AZ7*EF!$H38*EF!$H56)*NtoN2O*kgtoGg)</f>
        <v>2.1971856556936734E-2</v>
      </c>
      <c r="AH1413" s="27">
        <f>IF(('Activity data'!BA7*EF!$H38*EF!$H56)*NtoN2O*kgtoGg=0,"NO",('Activity data'!BA7*EF!$H38*EF!$H56)*NtoN2O*kgtoGg)</f>
        <v>2.1952886110618599E-2</v>
      </c>
      <c r="AI1413" s="27">
        <f>IF(('Activity data'!BB7*EF!$H38*EF!$H56)*NtoN2O*kgtoGg=0,"NO",('Activity data'!BB7*EF!$H38*EF!$H56)*NtoN2O*kgtoGg)</f>
        <v>2.190822254332906E-2</v>
      </c>
      <c r="AJ1413" s="27">
        <f>IF(('Activity data'!BC7*EF!$H38*EF!$H56)*NtoN2O*kgtoGg=0,"NO",('Activity data'!BC7*EF!$H38*EF!$H56)*NtoN2O*kgtoGg)</f>
        <v>6.931382766868284E-3</v>
      </c>
      <c r="AK1413" s="27">
        <f>IF(('Activity data'!BD7*EF!$H38*EF!$H56)*NtoN2O*kgtoGg=0,"NO",('Activity data'!BD7*EF!$H38*EF!$H56)*NtoN2O*kgtoGg)</f>
        <v>6.9364425599667493E-3</v>
      </c>
      <c r="AL1413" s="27">
        <f>IF(('Activity data'!BE7*EF!$H38*EF!$H56)*NtoN2O*kgtoGg=0,"NO",('Activity data'!BE7*EF!$H38*EF!$H56)*NtoN2O*kgtoGg)</f>
        <v>6.9411381157540699E-3</v>
      </c>
      <c r="AM1413" s="27">
        <f>IF(('Activity data'!BF7*EF!$H38*EF!$H56)*NtoN2O*kgtoGg=0,"NO",('Activity data'!BF7*EF!$H38*EF!$H56)*NtoN2O*kgtoGg)</f>
        <v>6.9455011980478565E-3</v>
      </c>
      <c r="AN1413" s="27">
        <f>IF(('Activity data'!BG7*EF!$H38*EF!$H56)*NtoN2O*kgtoGg=0,"NO",('Activity data'!BG7*EF!$H38*EF!$H56)*NtoN2O*kgtoGg)</f>
        <v>6.9495709332144289E-3</v>
      </c>
      <c r="AO1413" s="27">
        <f>IF(('Activity data'!BH7*EF!$H38*EF!$H56)*NtoN2O*kgtoGg=0,"NO",('Activity data'!BH7*EF!$H38*EF!$H56)*NtoN2O*kgtoGg)</f>
        <v>6.9532195920371295E-3</v>
      </c>
      <c r="AP1413" s="27">
        <f>IF(('Activity data'!BI7*EF!$H38*EF!$H56)*NtoN2O*kgtoGg=0,"NO",('Activity data'!BI7*EF!$H38*EF!$H56)*NtoN2O*kgtoGg)</f>
        <v>6.9563613994300545E-3</v>
      </c>
      <c r="AQ1413" s="27">
        <f>IF(('Activity data'!BJ7*EF!$H38*EF!$H56)*NtoN2O*kgtoGg=0,"NO",('Activity data'!BJ7*EF!$H38*EF!$H56)*NtoN2O*kgtoGg)</f>
        <v>6.9589826003472414E-3</v>
      </c>
      <c r="AR1413" s="27">
        <f>IF(('Activity data'!BK7*EF!$H38*EF!$H56)*NtoN2O*kgtoGg=0,"NO",('Activity data'!BK7*EF!$H38*EF!$H56)*NtoN2O*kgtoGg)</f>
        <v>6.9609858708405197E-3</v>
      </c>
      <c r="AS1413" s="27">
        <f>IF(('Activity data'!BL7*EF!$H38*EF!$H56)*NtoN2O*kgtoGg=0,"NO",('Activity data'!BL7*EF!$H38*EF!$H56)*NtoN2O*kgtoGg)</f>
        <v>6.9622655475345486E-3</v>
      </c>
      <c r="AT1413" s="27">
        <f>IF(('Activity data'!BM7*EF!$H38*EF!$H56)*NtoN2O*kgtoGg=0,"NO",('Activity data'!BM7*EF!$H38*EF!$H56)*NtoN2O*kgtoGg)</f>
        <v>6.9628085795287523E-3</v>
      </c>
      <c r="AU1413" s="27">
        <f>IF(('Activity data'!BN7*EF!$H38*EF!$H56)*NtoN2O*kgtoGg=0,"NO",('Activity data'!BN7*EF!$H38*EF!$H56)*NtoN2O*kgtoGg)</f>
        <v>6.9626299750131342E-3</v>
      </c>
      <c r="AV1413" s="27">
        <f>IF(('Activity data'!BO7*EF!$H38*EF!$H56)*NtoN2O*kgtoGg=0,"NO",('Activity data'!BO7*EF!$H38*EF!$H56)*NtoN2O*kgtoGg)</f>
        <v>6.9617402004688092E-3</v>
      </c>
      <c r="AW1413" s="27">
        <f>IF(('Activity data'!BP7*EF!$H38*EF!$H56)*NtoN2O*kgtoGg=0,"NO",('Activity data'!BP7*EF!$H38*EF!$H56)*NtoN2O*kgtoGg)</f>
        <v>6.960039873828548E-3</v>
      </c>
    </row>
    <row r="1414" spans="1:49" x14ac:dyDescent="0.25">
      <c r="A1414" s="95" t="s">
        <v>960</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0.52525224947331295</v>
      </c>
      <c r="L1414" s="27">
        <f>IF(('Activity data'!AE8*EF!$H39*EF!$H57)*NtoN2O*kgtoGg=0,"NO",('Activity data'!AE8*EF!$H39*EF!$H57)*NtoN2O*kgtoGg)</f>
        <v>0.5206969044571037</v>
      </c>
      <c r="M1414" s="27">
        <f>IF(('Activity data'!AF8*EF!$H39*EF!$H57)*NtoN2O*kgtoGg=0,"NO",('Activity data'!AF8*EF!$H39*EF!$H57)*NtoN2O*kgtoGg)</f>
        <v>0.51896282251134873</v>
      </c>
      <c r="N1414" s="27">
        <f>IF(('Activity data'!AG8*EF!$H39*EF!$H57)*NtoN2O*kgtoGg=0,"NO",('Activity data'!AG8*EF!$H39*EF!$H57)*NtoN2O*kgtoGg)</f>
        <v>0.51203275332440923</v>
      </c>
      <c r="O1414" s="27">
        <f>IF(('Activity data'!AH8*EF!$H39*EF!$H57)*NtoN2O*kgtoGg=0,"NO",('Activity data'!AH8*EF!$H39*EF!$H57)*NtoN2O*kgtoGg)</f>
        <v>0.50197358865556674</v>
      </c>
      <c r="P1414" s="27">
        <f>IF(('Activity data'!AI8*EF!$H39*EF!$H57)*NtoN2O*kgtoGg=0,"NO",('Activity data'!AI8*EF!$H39*EF!$H57)*NtoN2O*kgtoGg)</f>
        <v>0.48899333628247277</v>
      </c>
      <c r="Q1414" s="27">
        <f>IF(('Activity data'!AJ8*EF!$H39*EF!$H57)*NtoN2O*kgtoGg=0,"NO",('Activity data'!AJ8*EF!$H39*EF!$H57)*NtoN2O*kgtoGg)</f>
        <v>0.47875543160314166</v>
      </c>
      <c r="R1414" s="27">
        <f>IF(('Activity data'!AK8*EF!$H39*EF!$H57)*NtoN2O*kgtoGg=0,"NO",('Activity data'!AK8*EF!$H39*EF!$H57)*NtoN2O*kgtoGg)</f>
        <v>0.46906920988966783</v>
      </c>
      <c r="S1414" s="27">
        <f>IF(('Activity data'!AL8*EF!$H39*EF!$H57)*NtoN2O*kgtoGg=0,"NO",('Activity data'!AL8*EF!$H39*EF!$H57)*NtoN2O*kgtoGg)</f>
        <v>0.41949739097667643</v>
      </c>
      <c r="T1414" s="27">
        <f>IF(('Activity data'!AM8*EF!$H39*EF!$H57)*NtoN2O*kgtoGg=0,"NO",('Activity data'!AM8*EF!$H39*EF!$H57)*NtoN2O*kgtoGg)</f>
        <v>0.43565935064957972</v>
      </c>
      <c r="U1414" s="27">
        <f>IF(('Activity data'!AN8*EF!$H39*EF!$H57)*NtoN2O*kgtoGg=0,"NO",('Activity data'!AN8*EF!$H39*EF!$H57)*NtoN2O*kgtoGg)</f>
        <v>1.3730656770552265</v>
      </c>
      <c r="V1414" s="27">
        <f>IF(('Activity data'!AO8*EF!$H39*EF!$H57)*NtoN2O*kgtoGg=0,"NO",('Activity data'!AO8*EF!$H39*EF!$H57)*NtoN2O*kgtoGg)</f>
        <v>1.3796884935069886</v>
      </c>
      <c r="W1414" s="27">
        <f>IF(('Activity data'!AP8*EF!$H39*EF!$H57)*NtoN2O*kgtoGg=0,"NO",('Activity data'!AP8*EF!$H39*EF!$H57)*NtoN2O*kgtoGg)</f>
        <v>1.3839270796629521</v>
      </c>
      <c r="X1414" s="27">
        <f>IF(('Activity data'!AQ8*EF!$H39*EF!$H57)*NtoN2O*kgtoGg=0,"NO",('Activity data'!AQ8*EF!$H39*EF!$H57)*NtoN2O*kgtoGg)</f>
        <v>1.3857805722044871</v>
      </c>
      <c r="Y1414" s="27">
        <f>IF(('Activity data'!AR8*EF!$H39*EF!$H57)*NtoN2O*kgtoGg=0,"NO",('Activity data'!AR8*EF!$H39*EF!$H57)*NtoN2O*kgtoGg)</f>
        <v>1.3852882351123565</v>
      </c>
      <c r="Z1414" s="27">
        <f>IF(('Activity data'!AS8*EF!$H39*EF!$H57)*NtoN2O*kgtoGg=0,"NO",('Activity data'!AS8*EF!$H39*EF!$H57)*NtoN2O*kgtoGg)</f>
        <v>1.3824264694708266</v>
      </c>
      <c r="AA1414" s="27">
        <f>IF(('Activity data'!AT8*EF!$H39*EF!$H57)*NtoN2O*kgtoGg=0,"NO",('Activity data'!AT8*EF!$H39*EF!$H57)*NtoN2O*kgtoGg)</f>
        <v>1.3771882651473364</v>
      </c>
      <c r="AB1414" s="27">
        <f>IF(('Activity data'!AU8*EF!$H39*EF!$H57)*NtoN2O*kgtoGg=0,"NO",('Activity data'!AU8*EF!$H39*EF!$H57)*NtoN2O*kgtoGg)</f>
        <v>1.3695779562696064</v>
      </c>
      <c r="AC1414" s="27">
        <f>IF(('Activity data'!AV8*EF!$H39*EF!$H57)*NtoN2O*kgtoGg=0,"NO",('Activity data'!AV8*EF!$H39*EF!$H57)*NtoN2O*kgtoGg)</f>
        <v>1.3596126553947701</v>
      </c>
      <c r="AD1414" s="27">
        <f>IF(('Activity data'!AW8*EF!$H39*EF!$H57)*NtoN2O*kgtoGg=0,"NO",('Activity data'!AW8*EF!$H39*EF!$H57)*NtoN2O*kgtoGg)</f>
        <v>1.33600285419975</v>
      </c>
      <c r="AE1414" s="27">
        <f>IF(('Activity data'!AX8*EF!$H39*EF!$H57)*NtoN2O*kgtoGg=0,"NO",('Activity data'!AX8*EF!$H39*EF!$H57)*NtoN2O*kgtoGg)</f>
        <v>1.3101691590672178</v>
      </c>
      <c r="AF1414" s="27">
        <f>IF(('Activity data'!AY8*EF!$H39*EF!$H57)*NtoN2O*kgtoGg=0,"NO",('Activity data'!AY8*EF!$H39*EF!$H57)*NtoN2O*kgtoGg)</f>
        <v>1.2822276459176047</v>
      </c>
      <c r="AG1414" s="27">
        <f>IF(('Activity data'!AZ8*EF!$H39*EF!$H57)*NtoN2O*kgtoGg=0,"NO",('Activity data'!AZ8*EF!$H39*EF!$H57)*NtoN2O*kgtoGg)</f>
        <v>1.2523075801974097</v>
      </c>
      <c r="AH1414" s="27">
        <f>IF(('Activity data'!BA8*EF!$H39*EF!$H57)*NtoN2O*kgtoGg=0,"NO",('Activity data'!BA8*EF!$H39*EF!$H57)*NtoN2O*kgtoGg)</f>
        <v>1.2205465760046283</v>
      </c>
      <c r="AI1414" s="27">
        <f>IF(('Activity data'!BB8*EF!$H39*EF!$H57)*NtoN2O*kgtoGg=0,"NO",('Activity data'!BB8*EF!$H39*EF!$H57)*NtoN2O*kgtoGg)</f>
        <v>1.1870911726481781</v>
      </c>
      <c r="AJ1414" s="27">
        <f>IF(('Activity data'!BC8*EF!$H39*EF!$H57)*NtoN2O*kgtoGg=0,"NO",('Activity data'!BC8*EF!$H39*EF!$H57)*NtoN2O*kgtoGg)</f>
        <v>-9.1659099684125458E-2</v>
      </c>
      <c r="AK1414" s="27">
        <f>IF(('Activity data'!BD8*EF!$H39*EF!$H57)*NtoN2O*kgtoGg=0,"NO",('Activity data'!BD8*EF!$H39*EF!$H57)*NtoN2O*kgtoGg)</f>
        <v>-8.9452213438823466E-2</v>
      </c>
      <c r="AL1414" s="27">
        <f>IF(('Activity data'!BE8*EF!$H39*EF!$H57)*NtoN2O*kgtoGg=0,"NO",('Activity data'!BE8*EF!$H39*EF!$H57)*NtoN2O*kgtoGg)</f>
        <v>-8.7268288718690495E-2</v>
      </c>
      <c r="AM1414" s="27">
        <f>IF(('Activity data'!BF8*EF!$H39*EF!$H57)*NtoN2O*kgtoGg=0,"NO",('Activity data'!BF8*EF!$H39*EF!$H57)*NtoN2O*kgtoGg)</f>
        <v>-8.5107099964586319E-2</v>
      </c>
      <c r="AN1414" s="27">
        <f>IF(('Activity data'!BG8*EF!$H39*EF!$H57)*NtoN2O*kgtoGg=0,"NO",('Activity data'!BG8*EF!$H39*EF!$H57)*NtoN2O*kgtoGg)</f>
        <v>-8.3391821536204336E-2</v>
      </c>
      <c r="AO1414" s="27">
        <f>IF(('Activity data'!BH8*EF!$H39*EF!$H57)*NtoN2O*kgtoGg=0,"NO",('Activity data'!BH8*EF!$H39*EF!$H57)*NtoN2O*kgtoGg)</f>
        <v>-8.1692814399719135E-2</v>
      </c>
      <c r="AP1414" s="27">
        <f>IF(('Activity data'!BI8*EF!$H39*EF!$H57)*NtoN2O*kgtoGg=0,"NO",('Activity data'!BI8*EF!$H39*EF!$H57)*NtoN2O*kgtoGg)</f>
        <v>-8.0008814881266738E-2</v>
      </c>
      <c r="AQ1414" s="27">
        <f>IF(('Activity data'!BJ8*EF!$H39*EF!$H57)*NtoN2O*kgtoGg=0,"NO",('Activity data'!BJ8*EF!$H39*EF!$H57)*NtoN2O*kgtoGg)</f>
        <v>-7.8339405843548718E-2</v>
      </c>
      <c r="AR1414" s="27">
        <f>IF(('Activity data'!BK8*EF!$H39*EF!$H57)*NtoN2O*kgtoGg=0,"NO",('Activity data'!BK8*EF!$H39*EF!$H57)*NtoN2O*kgtoGg)</f>
        <v>-7.6683366781164067E-2</v>
      </c>
      <c r="AS1414" s="27">
        <f>IF(('Activity data'!BL8*EF!$H39*EF!$H57)*NtoN2O*kgtoGg=0,"NO",('Activity data'!BL8*EF!$H39*EF!$H57)*NtoN2O*kgtoGg)</f>
        <v>-7.5039502453707246E-2</v>
      </c>
      <c r="AT1414" s="27">
        <f>IF(('Activity data'!BM8*EF!$H39*EF!$H57)*NtoN2O*kgtoGg=0,"NO",('Activity data'!BM8*EF!$H39*EF!$H57)*NtoN2O*kgtoGg)</f>
        <v>-7.3407620898571099E-2</v>
      </c>
      <c r="AU1414" s="27">
        <f>IF(('Activity data'!BN8*EF!$H39*EF!$H57)*NtoN2O*kgtoGg=0,"NO",('Activity data'!BN8*EF!$H39*EF!$H57)*NtoN2O*kgtoGg)</f>
        <v>-7.1787822935495418E-2</v>
      </c>
      <c r="AV1414" s="27">
        <f>IF(('Activity data'!BO8*EF!$H39*EF!$H57)*NtoN2O*kgtoGg=0,"NO",('Activity data'!BO8*EF!$H39*EF!$H57)*NtoN2O*kgtoGg)</f>
        <v>-7.0180170412069726E-2</v>
      </c>
      <c r="AW1414" s="27">
        <f>IF(('Activity data'!BP8*EF!$H39*EF!$H57)*NtoN2O*kgtoGg=0,"NO",('Activity data'!BP8*EF!$H39*EF!$H57)*NtoN2O*kgtoGg)</f>
        <v>-6.8583739954492046E-2</v>
      </c>
    </row>
    <row r="1415" spans="1:49" x14ac:dyDescent="0.25">
      <c r="A1415" s="95" t="s">
        <v>960</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0.80452586370517853</v>
      </c>
      <c r="L1415" s="27">
        <f>IF(('Activity data'!AE9*EF!$H40*EF!$H58)*NtoN2O*kgtoGg=0,"NO",('Activity data'!AE9*EF!$H40*EF!$H58)*NtoN2O*kgtoGg)</f>
        <v>0.79754846782098077</v>
      </c>
      <c r="M1415" s="27">
        <f>IF(('Activity data'!AF9*EF!$H40*EF!$H58)*NtoN2O*kgtoGg=0,"NO",('Activity data'!AF9*EF!$H40*EF!$H58)*NtoN2O*kgtoGg)</f>
        <v>0.79489238443144161</v>
      </c>
      <c r="N1415" s="27">
        <f>IF(('Activity data'!AG9*EF!$H40*EF!$H58)*NtoN2O*kgtoGg=0,"NO",('Activity data'!AG9*EF!$H40*EF!$H58)*NtoN2O*kgtoGg)</f>
        <v>0.78427763712907461</v>
      </c>
      <c r="O1415" s="27">
        <f>IF(('Activity data'!AH9*EF!$H40*EF!$H58)*NtoN2O*kgtoGg=0,"NO",('Activity data'!AH9*EF!$H40*EF!$H58)*NtoN2O*kgtoGg)</f>
        <v>0.76887007218962322</v>
      </c>
      <c r="P1415" s="27">
        <f>IF(('Activity data'!AI9*EF!$H40*EF!$H58)*NtoN2O*kgtoGg=0,"NO",('Activity data'!AI9*EF!$H40*EF!$H58)*NtoN2O*kgtoGg)</f>
        <v>0.74898829393537247</v>
      </c>
      <c r="Q1415" s="27">
        <f>IF(('Activity data'!AJ9*EF!$H40*EF!$H58)*NtoN2O*kgtoGg=0,"NO",('Activity data'!AJ9*EF!$H40*EF!$H58)*NtoN2O*kgtoGg)</f>
        <v>0.73330695394505496</v>
      </c>
      <c r="R1415" s="27">
        <f>IF(('Activity data'!AK9*EF!$H40*EF!$H58)*NtoN2O*kgtoGg=0,"NO",('Activity data'!AK9*EF!$H40*EF!$H58)*NtoN2O*kgtoGg)</f>
        <v>0.71847062359542468</v>
      </c>
      <c r="S1415" s="27">
        <f>IF(('Activity data'!AL9*EF!$H40*EF!$H58)*NtoN2O*kgtoGg=0,"NO",('Activity data'!AL9*EF!$H40*EF!$H58)*NtoN2O*kgtoGg)</f>
        <v>0.64254175234089539</v>
      </c>
      <c r="T1415" s="27">
        <f>IF(('Activity data'!AM9*EF!$H40*EF!$H58)*NtoN2O*kgtoGg=0,"NO",('Activity data'!AM9*EF!$H40*EF!$H58)*NtoN2O*kgtoGg)</f>
        <v>0.66729693345254038</v>
      </c>
      <c r="U1415" s="27">
        <f>IF(('Activity data'!AN9*EF!$H40*EF!$H58)*NtoN2O*kgtoGg=0,"NO",('Activity data'!AN9*EF!$H40*EF!$H58)*NtoN2O*kgtoGg)</f>
        <v>2.1031168374137881</v>
      </c>
      <c r="V1415" s="27">
        <f>IF(('Activity data'!AO9*EF!$H40*EF!$H58)*NtoN2O*kgtoGg=0,"NO",('Activity data'!AO9*EF!$H40*EF!$H58)*NtoN2O*kgtoGg)</f>
        <v>2.1132609674605565</v>
      </c>
      <c r="W1415" s="27">
        <f>IF(('Activity data'!AP9*EF!$H40*EF!$H58)*NtoN2O*kgtoGg=0,"NO",('Activity data'!AP9*EF!$H40*EF!$H58)*NtoN2O*kgtoGg)</f>
        <v>2.1197531856118057</v>
      </c>
      <c r="X1415" s="27">
        <f>IF(('Activity data'!AQ9*EF!$H40*EF!$H58)*NtoN2O*kgtoGg=0,"NO",('Activity data'!AQ9*EF!$H40*EF!$H58)*NtoN2O*kgtoGg)</f>
        <v>2.1225921695273335</v>
      </c>
      <c r="Y1415" s="27">
        <f>IF(('Activity data'!AR9*EF!$H40*EF!$H58)*NtoN2O*kgtoGg=0,"NO",('Activity data'!AR9*EF!$H40*EF!$H58)*NtoN2O*kgtoGg)</f>
        <v>2.1218380596217075</v>
      </c>
      <c r="Z1415" s="27">
        <f>IF(('Activity data'!AS9*EF!$H40*EF!$H58)*NtoN2O*kgtoGg=0,"NO",('Activity data'!AS9*EF!$H40*EF!$H58)*NtoN2O*kgtoGg)</f>
        <v>2.1174547095707896</v>
      </c>
      <c r="AA1415" s="27">
        <f>IF(('Activity data'!AT9*EF!$H40*EF!$H58)*NtoN2O*kgtoGg=0,"NO",('Activity data'!AT9*EF!$H40*EF!$H58)*NtoN2O*kgtoGg)</f>
        <v>2.1094313819946655</v>
      </c>
      <c r="AB1415" s="27">
        <f>IF(('Activity data'!AU9*EF!$H40*EF!$H58)*NtoN2O*kgtoGg=0,"NO",('Activity data'!AU9*EF!$H40*EF!$H58)*NtoN2O*kgtoGg)</f>
        <v>2.0977747154519557</v>
      </c>
      <c r="AC1415" s="27">
        <f>IF(('Activity data'!AV9*EF!$H40*EF!$H58)*NtoN2O*kgtoGg=0,"NO",('Activity data'!AV9*EF!$H40*EF!$H58)*NtoN2O*kgtoGg)</f>
        <v>2.0825109211484589</v>
      </c>
      <c r="AD1415" s="27">
        <f>IF(('Activity data'!AW9*EF!$H40*EF!$H58)*NtoN2O*kgtoGg=0,"NO",('Activity data'!AW9*EF!$H40*EF!$H58)*NtoN2O*kgtoGg)</f>
        <v>2.0463479238126498</v>
      </c>
      <c r="AE1415" s="27">
        <f>IF(('Activity data'!AX9*EF!$H40*EF!$H58)*NtoN2O*kgtoGg=0,"NO",('Activity data'!AX9*EF!$H40*EF!$H58)*NtoN2O*kgtoGg)</f>
        <v>2.0067786008634618</v>
      </c>
      <c r="AF1415" s="27">
        <f>IF(('Activity data'!AY9*EF!$H40*EF!$H58)*NtoN2O*kgtoGg=0,"NO",('Activity data'!AY9*EF!$H40*EF!$H58)*NtoN2O*kgtoGg)</f>
        <v>1.9639807451237425</v>
      </c>
      <c r="AG1415" s="27">
        <f>IF(('Activity data'!AZ9*EF!$H40*EF!$H58)*NtoN2O*kgtoGg=0,"NO",('Activity data'!AZ9*EF!$H40*EF!$H58)*NtoN2O*kgtoGg)</f>
        <v>1.9181523517379118</v>
      </c>
      <c r="AH1415" s="27">
        <f>IF(('Activity data'!BA9*EF!$H40*EF!$H58)*NtoN2O*kgtoGg=0,"NO",('Activity data'!BA9*EF!$H40*EF!$H58)*NtoN2O*kgtoGg)</f>
        <v>1.8695042034320957</v>
      </c>
      <c r="AI1415" s="27">
        <f>IF(('Activity data'!BB9*EF!$H40*EF!$H58)*NtoN2O*kgtoGg=0,"NO",('Activity data'!BB9*EF!$H40*EF!$H58)*NtoN2O*kgtoGg)</f>
        <v>1.8182607536268967</v>
      </c>
      <c r="AJ1415" s="27">
        <f>IF(('Activity data'!BC9*EF!$H40*EF!$H58)*NtoN2O*kgtoGg=0,"NO",('Activity data'!BC9*EF!$H40*EF!$H58)*NtoN2O*kgtoGg)</f>
        <v>-0.14039371828250841</v>
      </c>
      <c r="AK1415" s="27">
        <f>IF(('Activity data'!BD9*EF!$H40*EF!$H58)*NtoN2O*kgtoGg=0,"NO",('Activity data'!BD9*EF!$H40*EF!$H58)*NtoN2O*kgtoGg)</f>
        <v>-0.13701344325392734</v>
      </c>
      <c r="AL1415" s="27">
        <f>IF(('Activity data'!BE9*EF!$H40*EF!$H58)*NtoN2O*kgtoGg=0,"NO",('Activity data'!BE9*EF!$H40*EF!$H58)*NtoN2O*kgtoGg)</f>
        <v>-0.13366833826200414</v>
      </c>
      <c r="AM1415" s="27">
        <f>IF(('Activity data'!BF9*EF!$H40*EF!$H58)*NtoN2O*kgtoGg=0,"NO",('Activity data'!BF9*EF!$H40*EF!$H58)*NtoN2O*kgtoGg)</f>
        <v>-0.13035805781909493</v>
      </c>
      <c r="AN1415" s="27">
        <f>IF(('Activity data'!BG9*EF!$H40*EF!$H58)*NtoN2O*kgtoGg=0,"NO",('Activity data'!BG9*EF!$H40*EF!$H58)*NtoN2O*kgtoGg)</f>
        <v>-0.12773077566947513</v>
      </c>
      <c r="AO1415" s="27">
        <f>IF(('Activity data'!BH9*EF!$H40*EF!$H58)*NtoN2O*kgtoGg=0,"NO",('Activity data'!BH9*EF!$H40*EF!$H58)*NtoN2O*kgtoGg)</f>
        <v>-0.12512841616450843</v>
      </c>
      <c r="AP1415" s="27">
        <f>IF(('Activity data'!BI9*EF!$H40*EF!$H58)*NtoN2O*kgtoGg=0,"NO",('Activity data'!BI9*EF!$H40*EF!$H58)*NtoN2O*kgtoGg)</f>
        <v>-0.12254904374217125</v>
      </c>
      <c r="AQ1415" s="27">
        <f>IF(('Activity data'!BJ9*EF!$H40*EF!$H58)*NtoN2O*kgtoGg=0,"NO",('Activity data'!BJ9*EF!$H40*EF!$H58)*NtoN2O*kgtoGg)</f>
        <v>-0.11999201947565157</v>
      </c>
      <c r="AR1415" s="27">
        <f>IF(('Activity data'!BK9*EF!$H40*EF!$H58)*NtoN2O*kgtoGg=0,"NO",('Activity data'!BK9*EF!$H40*EF!$H58)*NtoN2O*kgtoGg)</f>
        <v>-0.11745547392381339</v>
      </c>
      <c r="AS1415" s="27">
        <f>IF(('Activity data'!BL9*EF!$H40*EF!$H58)*NtoN2O*kgtoGg=0,"NO",('Activity data'!BL9*EF!$H40*EF!$H58)*NtoN2O*kgtoGg)</f>
        <v>-0.11493757634376978</v>
      </c>
      <c r="AT1415" s="27">
        <f>IF(('Activity data'!BM9*EF!$H40*EF!$H58)*NtoN2O*kgtoGg=0,"NO",('Activity data'!BM9*EF!$H40*EF!$H58)*NtoN2O*kgtoGg)</f>
        <v>-0.11243803270749411</v>
      </c>
      <c r="AU1415" s="27">
        <f>IF(('Activity data'!BN9*EF!$H40*EF!$H58)*NtoN2O*kgtoGg=0,"NO",('Activity data'!BN9*EF!$H40*EF!$H58)*NtoN2O*kgtoGg)</f>
        <v>-0.10995699744000494</v>
      </c>
      <c r="AV1415" s="27">
        <f>IF(('Activity data'!BO9*EF!$H40*EF!$H58)*NtoN2O*kgtoGg=0,"NO",('Activity data'!BO9*EF!$H40*EF!$H58)*NtoN2O*kgtoGg)</f>
        <v>-0.10749456527290084</v>
      </c>
      <c r="AW1415" s="27">
        <f>IF(('Activity data'!BP9*EF!$H40*EF!$H58)*NtoN2O*kgtoGg=0,"NO",('Activity data'!BP9*EF!$H40*EF!$H58)*NtoN2O*kgtoGg)</f>
        <v>-0.10504932187981528</v>
      </c>
    </row>
    <row r="1416" spans="1:49" x14ac:dyDescent="0.25">
      <c r="A1416" s="95" t="s">
        <v>960</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1.0122801448609147</v>
      </c>
      <c r="M1416" s="27">
        <f>IF(('Activity data'!AF10*EF!$H41*EF!$H59)*NtoN2O*kgtoGg=0,"NO",('Activity data'!AF10*EF!$H41*EF!$H59)*NtoN2O*kgtoGg)</f>
        <v>1.0514701788925804</v>
      </c>
      <c r="N1416" s="27">
        <f>IF(('Activity data'!AG10*EF!$H41*EF!$H59)*NtoN2O*kgtoGg=0,"NO",('Activity data'!AG10*EF!$H41*EF!$H59)*NtoN2O*kgtoGg)</f>
        <v>1.0806972456941155</v>
      </c>
      <c r="O1416" s="27">
        <f>IF(('Activity data'!AH10*EF!$H41*EF!$H59)*NtoN2O*kgtoGg=0,"NO",('Activity data'!AH10*EF!$H41*EF!$H59)*NtoN2O*kgtoGg)</f>
        <v>1.1032367943433714</v>
      </c>
      <c r="P1416" s="27">
        <f>IF(('Activity data'!AI10*EF!$H41*EF!$H59)*NtoN2O*kgtoGg=0,"NO",('Activity data'!AI10*EF!$H41*EF!$H59)*NtoN2O*kgtoGg)</f>
        <v>1.1187666946803869</v>
      </c>
      <c r="Q1416" s="27">
        <f>IF(('Activity data'!AJ10*EF!$H41*EF!$H59)*NtoN2O*kgtoGg=0,"NO",('Activity data'!AJ10*EF!$H41*EF!$H59)*NtoN2O*kgtoGg)</f>
        <v>1.1399714801203364</v>
      </c>
      <c r="R1416" s="27">
        <f>IF(('Activity data'!AK10*EF!$H41*EF!$H59)*NtoN2O*kgtoGg=0,"NO",('Activity data'!AK10*EF!$H41*EF!$H59)*NtoN2O*kgtoGg)</f>
        <v>1.1622002864669057</v>
      </c>
      <c r="S1416" s="27">
        <f>IF(('Activity data'!AL10*EF!$H41*EF!$H59)*NtoN2O*kgtoGg=0,"NO",('Activity data'!AL10*EF!$H41*EF!$H59)*NtoN2O*kgtoGg)</f>
        <v>1.0813845600959935</v>
      </c>
      <c r="T1416" s="27">
        <f>IF(('Activity data'!AM10*EF!$H41*EF!$H59)*NtoN2O*kgtoGg=0,"NO",('Activity data'!AM10*EF!$H41*EF!$H59)*NtoN2O*kgtoGg)</f>
        <v>1.1501042489069657</v>
      </c>
      <c r="U1416" s="27">
        <f>IF(('Activity data'!AN10*EF!$H41*EF!$H59)*NtoN2O*kgtoGg=0,"NO",('Activity data'!AN10*EF!$H41*EF!$H59)*NtoN2O*kgtoGg)</f>
        <v>3.7109100106027491</v>
      </c>
      <c r="V1416" s="27">
        <f>IF(('Activity data'!AO10*EF!$H41*EF!$H59)*NtoN2O*kgtoGg=0,"NO",('Activity data'!AO10*EF!$H41*EF!$H59)*NtoN2O*kgtoGg)</f>
        <v>3.81628643561459</v>
      </c>
      <c r="W1416" s="27">
        <f>IF(('Activity data'!AP10*EF!$H41*EF!$H59)*NtoN2O*kgtoGg=0,"NO",('Activity data'!AP10*EF!$H41*EF!$H59)*NtoN2O*kgtoGg)</f>
        <v>3.9167580657264067</v>
      </c>
      <c r="X1416" s="27">
        <f>IF(('Activity data'!AQ10*EF!$H41*EF!$H59)*NtoN2O*kgtoGg=0,"NO",('Activity data'!AQ10*EF!$H41*EF!$H59)*NtoN2O*kgtoGg)</f>
        <v>4.0119388397207816</v>
      </c>
      <c r="Y1416" s="27">
        <f>IF(('Activity data'!AR10*EF!$H41*EF!$H59)*NtoN2O*kgtoGg=0,"NO",('Activity data'!AR10*EF!$H41*EF!$H59)*NtoN2O*kgtoGg)</f>
        <v>4.1015489666041693</v>
      </c>
      <c r="Z1416" s="27">
        <f>IF(('Activity data'!AS10*EF!$H41*EF!$H59)*NtoN2O*kgtoGg=0,"NO",('Activity data'!AS10*EF!$H41*EF!$H59)*NtoN2O*kgtoGg)</f>
        <v>4.185115809425092</v>
      </c>
      <c r="AA1416" s="27">
        <f>IF(('Activity data'!AT10*EF!$H41*EF!$H59)*NtoN2O*kgtoGg=0,"NO",('Activity data'!AT10*EF!$H41*EF!$H59)*NtoN2O*kgtoGg)</f>
        <v>4.2621982223461794</v>
      </c>
      <c r="AB1416" s="27">
        <f>IF(('Activity data'!AU10*EF!$H41*EF!$H59)*NtoN2O*kgtoGg=0,"NO",('Activity data'!AU10*EF!$H41*EF!$H59)*NtoN2O*kgtoGg)</f>
        <v>4.332374707921506</v>
      </c>
      <c r="AC1416" s="27">
        <f>IF(('Activity data'!AV10*EF!$H41*EF!$H59)*NtoN2O*kgtoGg=0,"NO",('Activity data'!AV10*EF!$H41*EF!$H59)*NtoN2O*kgtoGg)</f>
        <v>4.3952511811697104</v>
      </c>
      <c r="AD1416" s="27">
        <f>IF(('Activity data'!AW10*EF!$H41*EF!$H59)*NtoN2O*kgtoGg=0,"NO",('Activity data'!AW10*EF!$H41*EF!$H59)*NtoN2O*kgtoGg)</f>
        <v>4.4621545606882416</v>
      </c>
      <c r="AE1416" s="27">
        <f>IF(('Activity data'!AX10*EF!$H41*EF!$H59)*NtoN2O*kgtoGg=0,"NO",('Activity data'!AX10*EF!$H41*EF!$H59)*NtoN2O*kgtoGg)</f>
        <v>4.5212658165225097</v>
      </c>
      <c r="AF1416" s="27">
        <f>IF(('Activity data'!AY10*EF!$H41*EF!$H59)*NtoN2O*kgtoGg=0,"NO",('Activity data'!AY10*EF!$H41*EF!$H59)*NtoN2O*kgtoGg)</f>
        <v>4.572238941429692</v>
      </c>
      <c r="AG1416" s="27">
        <f>IF(('Activity data'!AZ10*EF!$H41*EF!$H59)*NtoN2O*kgtoGg=0,"NO",('Activity data'!AZ10*EF!$H41*EF!$H59)*NtoN2O*kgtoGg)</f>
        <v>4.6147735825145579</v>
      </c>
      <c r="AH1416" s="27">
        <f>IF(('Activity data'!BA10*EF!$H41*EF!$H59)*NtoN2O*kgtoGg=0,"NO",('Activity data'!BA10*EF!$H41*EF!$H59)*NtoN2O*kgtoGg)</f>
        <v>4.6486045920264791</v>
      </c>
      <c r="AI1416" s="27">
        <f>IF(('Activity data'!BB10*EF!$H41*EF!$H59)*NtoN2O*kgtoGg=0,"NO",('Activity data'!BB10*EF!$H41*EF!$H59)*NtoN2O*kgtoGg)</f>
        <v>4.6735101171168392</v>
      </c>
      <c r="AJ1416" s="27">
        <f>IF(('Activity data'!BC10*EF!$H41*EF!$H59)*NtoN2O*kgtoGg=0,"NO",('Activity data'!BC10*EF!$H41*EF!$H59)*NtoN2O*kgtoGg)</f>
        <v>-0.37307516132200708</v>
      </c>
      <c r="AK1416" s="27">
        <f>IF(('Activity data'!BD10*EF!$H41*EF!$H59)*NtoN2O*kgtoGg=0,"NO",('Activity data'!BD10*EF!$H41*EF!$H59)*NtoN2O*kgtoGg)</f>
        <v>-0.37648970355727795</v>
      </c>
      <c r="AL1416" s="27">
        <f>IF(('Activity data'!BE10*EF!$H41*EF!$H59)*NtoN2O*kgtoGg=0,"NO",('Activity data'!BE10*EF!$H41*EF!$H59)*NtoN2O*kgtoGg)</f>
        <v>-0.37988166723122341</v>
      </c>
      <c r="AM1416" s="27">
        <f>IF(('Activity data'!BF10*EF!$H41*EF!$H59)*NtoN2O*kgtoGg=0,"NO",('Activity data'!BF10*EF!$H41*EF!$H59)*NtoN2O*kgtoGg)</f>
        <v>-0.38325274179247815</v>
      </c>
      <c r="AN1416" s="27">
        <f>IF(('Activity data'!BG10*EF!$H41*EF!$H59)*NtoN2O*kgtoGg=0,"NO",('Activity data'!BG10*EF!$H41*EF!$H59)*NtoN2O*kgtoGg)</f>
        <v>-0.3861241570916577</v>
      </c>
      <c r="AO1416" s="27">
        <f>IF(('Activity data'!BH10*EF!$H41*EF!$H59)*NtoN2O*kgtoGg=0,"NO",('Activity data'!BH10*EF!$H41*EF!$H59)*NtoN2O*kgtoGg)</f>
        <v>-0.38896686054418655</v>
      </c>
      <c r="AP1416" s="27">
        <f>IF(('Activity data'!BI10*EF!$H41*EF!$H59)*NtoN2O*kgtoGg=0,"NO",('Activity data'!BI10*EF!$H41*EF!$H59)*NtoN2O*kgtoGg)</f>
        <v>-0.39177650128046815</v>
      </c>
      <c r="AQ1416" s="27">
        <f>IF(('Activity data'!BJ10*EF!$H41*EF!$H59)*NtoN2O*kgtoGg=0,"NO",('Activity data'!BJ10*EF!$H41*EF!$H59)*NtoN2O*kgtoGg)</f>
        <v>-0.39455230658450102</v>
      </c>
      <c r="AR1416" s="27">
        <f>IF(('Activity data'!BK10*EF!$H41*EF!$H59)*NtoN2O*kgtoGg=0,"NO",('Activity data'!BK10*EF!$H41*EF!$H59)*NtoN2O*kgtoGg)</f>
        <v>-0.39728909714720628</v>
      </c>
      <c r="AS1416" s="27">
        <f>IF(('Activity data'!BL10*EF!$H41*EF!$H59)*NtoN2O*kgtoGg=0,"NO",('Activity data'!BL10*EF!$H41*EF!$H59)*NtoN2O*kgtoGg)</f>
        <v>-0.39998109146847105</v>
      </c>
      <c r="AT1416" s="27">
        <f>IF(('Activity data'!BM10*EF!$H41*EF!$H59)*NtoN2O*kgtoGg=0,"NO",('Activity data'!BM10*EF!$H41*EF!$H59)*NtoN2O*kgtoGg)</f>
        <v>-0.40262723351695445</v>
      </c>
      <c r="AU1416" s="27">
        <f>IF(('Activity data'!BN10*EF!$H41*EF!$H59)*NtoN2O*kgtoGg=0,"NO",('Activity data'!BN10*EF!$H41*EF!$H59)*NtoN2O*kgtoGg)</f>
        <v>-0.4052279233246403</v>
      </c>
      <c r="AV1416" s="27">
        <f>IF(('Activity data'!BO10*EF!$H41*EF!$H59)*NtoN2O*kgtoGg=0,"NO",('Activity data'!BO10*EF!$H41*EF!$H59)*NtoN2O*kgtoGg)</f>
        <v>-0.40778332090512204</v>
      </c>
      <c r="AW1416" s="27">
        <f>IF(('Activity data'!BP10*EF!$H41*EF!$H59)*NtoN2O*kgtoGg=0,"NO",('Activity data'!BP10*EF!$H41*EF!$H59)*NtoN2O*kgtoGg)</f>
        <v>-0.41028765697691083</v>
      </c>
    </row>
    <row r="1417" spans="1:49" x14ac:dyDescent="0.25">
      <c r="A1417" s="95" t="s">
        <v>960</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0.11888990250365807</v>
      </c>
      <c r="T1417" s="27">
        <f>IF(('Activity data'!AM11*EF!$H42*EF!$H60)*NtoN2O*kgtoGg=0,"NO",('Activity data'!AM11*EF!$H42*EF!$H60)*NtoN2O*kgtoGg)</f>
        <v>0.1189690287837306</v>
      </c>
      <c r="U1417" s="27">
        <f>IF(('Activity data'!AN11*EF!$H42*EF!$H60)*NtoN2O*kgtoGg=0,"NO",('Activity data'!AN11*EF!$H42*EF!$H60)*NtoN2O*kgtoGg)</f>
        <v>0.12051861082287679</v>
      </c>
      <c r="V1417" s="27">
        <f>IF(('Activity data'!AO11*EF!$H42*EF!$H60)*NtoN2O*kgtoGg=0,"NO",('Activity data'!AO11*EF!$H42*EF!$H60)*NtoN2O*kgtoGg)</f>
        <v>0.1205564116673056</v>
      </c>
      <c r="W1417" s="27">
        <f>IF(('Activity data'!AP11*EF!$H42*EF!$H60)*NtoN2O*kgtoGg=0,"NO",('Activity data'!AP11*EF!$H42*EF!$H60)*NtoN2O*kgtoGg)</f>
        <v>0.1207181038170992</v>
      </c>
      <c r="X1417" s="27">
        <f>IF(('Activity data'!AQ11*EF!$H42*EF!$H60)*NtoN2O*kgtoGg=0,"NO",('Activity data'!AQ11*EF!$H42*EF!$H60)*NtoN2O*kgtoGg)</f>
        <v>0.1209518337442019</v>
      </c>
      <c r="Y1417" s="27">
        <f>IF(('Activity data'!AR11*EF!$H42*EF!$H60)*NtoN2O*kgtoGg=0,"NO",('Activity data'!AR11*EF!$H42*EF!$H60)*NtoN2O*kgtoGg)</f>
        <v>0.12116896083678347</v>
      </c>
      <c r="Z1417" s="27">
        <f>IF(('Activity data'!AS11*EF!$H42*EF!$H60)*NtoN2O*kgtoGg=0,"NO",('Activity data'!AS11*EF!$H42*EF!$H60)*NtoN2O*kgtoGg)</f>
        <v>0.12137217342001694</v>
      </c>
      <c r="AA1417" s="27">
        <f>IF(('Activity data'!AT11*EF!$H42*EF!$H60)*NtoN2O*kgtoGg=0,"NO",('Activity data'!AT11*EF!$H42*EF!$H60)*NtoN2O*kgtoGg)</f>
        <v>0.1215603878714394</v>
      </c>
      <c r="AB1417" s="27">
        <f>IF(('Activity data'!AU11*EF!$H42*EF!$H60)*NtoN2O*kgtoGg=0,"NO",('Activity data'!AU11*EF!$H42*EF!$H60)*NtoN2O*kgtoGg)</f>
        <v>0.12173530001872475</v>
      </c>
      <c r="AC1417" s="27">
        <f>IF(('Activity data'!AV11*EF!$H42*EF!$H60)*NtoN2O*kgtoGg=0,"NO",('Activity data'!AV11*EF!$H42*EF!$H60)*NtoN2O*kgtoGg)</f>
        <v>0.12189956310100271</v>
      </c>
      <c r="AD1417" s="27">
        <f>IF(('Activity data'!AW11*EF!$H42*EF!$H60)*NtoN2O*kgtoGg=0,"NO",('Activity data'!AW11*EF!$H42*EF!$H60)*NtoN2O*kgtoGg)</f>
        <v>0.12205302234453672</v>
      </c>
      <c r="AE1417" s="27">
        <f>IF(('Activity data'!AX11*EF!$H42*EF!$H60)*NtoN2O*kgtoGg=0,"NO",('Activity data'!AX11*EF!$H42*EF!$H60)*NtoN2O*kgtoGg)</f>
        <v>0.12219813225383717</v>
      </c>
      <c r="AF1417" s="27">
        <f>IF(('Activity data'!AY11*EF!$H42*EF!$H60)*NtoN2O*kgtoGg=0,"NO",('Activity data'!AY11*EF!$H42*EF!$H60)*NtoN2O*kgtoGg)</f>
        <v>0.12233524409037175</v>
      </c>
      <c r="AG1417" s="27">
        <f>IF(('Activity data'!AZ11*EF!$H42*EF!$H60)*NtoN2O*kgtoGg=0,"NO",('Activity data'!AZ11*EF!$H42*EF!$H60)*NtoN2O*kgtoGg)</f>
        <v>0.12246247857835596</v>
      </c>
      <c r="AH1417" s="27">
        <f>IF(('Activity data'!BA11*EF!$H42*EF!$H60)*NtoN2O*kgtoGg=0,"NO",('Activity data'!BA11*EF!$H42*EF!$H60)*NtoN2O*kgtoGg)</f>
        <v>0.12258099962950754</v>
      </c>
      <c r="AI1417" s="27">
        <f>IF(('Activity data'!BB11*EF!$H42*EF!$H60)*NtoN2O*kgtoGg=0,"NO",('Activity data'!BB11*EF!$H42*EF!$H60)*NtoN2O*kgtoGg)</f>
        <v>0.1226926980528978</v>
      </c>
      <c r="AJ1417" s="27">
        <f>IF(('Activity data'!BC11*EF!$H42*EF!$H60)*NtoN2O*kgtoGg=0,"NO",('Activity data'!BC11*EF!$H42*EF!$H60)*NtoN2O*kgtoGg)</f>
        <v>0.12000006421083369</v>
      </c>
      <c r="AK1417" s="27">
        <f>IF(('Activity data'!BD11*EF!$H42*EF!$H60)*NtoN2O*kgtoGg=0,"NO",('Activity data'!BD11*EF!$H42*EF!$H60)*NtoN2O*kgtoGg)</f>
        <v>0.12011041514130365</v>
      </c>
      <c r="AL1417" s="27">
        <f>IF(('Activity data'!BE11*EF!$H42*EF!$H60)*NtoN2O*kgtoGg=0,"NO",('Activity data'!BE11*EF!$H42*EF!$H60)*NtoN2O*kgtoGg)</f>
        <v>0.12021334415571779</v>
      </c>
      <c r="AM1417" s="27">
        <f>IF(('Activity data'!BF11*EF!$H42*EF!$H60)*NtoN2O*kgtoGg=0,"NO",('Activity data'!BF11*EF!$H42*EF!$H60)*NtoN2O*kgtoGg)</f>
        <v>0.12030948030331916</v>
      </c>
      <c r="AN1417" s="27">
        <f>IF(('Activity data'!BG11*EF!$H42*EF!$H60)*NtoN2O*kgtoGg=0,"NO",('Activity data'!BG11*EF!$H42*EF!$H60)*NtoN2O*kgtoGg)</f>
        <v>0.12039958826810335</v>
      </c>
      <c r="AO1417" s="27">
        <f>IF(('Activity data'!BH11*EF!$H42*EF!$H60)*NtoN2O*kgtoGg=0,"NO",('Activity data'!BH11*EF!$H42*EF!$H60)*NtoN2O*kgtoGg)</f>
        <v>0.12048129784431058</v>
      </c>
      <c r="AP1417" s="27">
        <f>IF(('Activity data'!BI11*EF!$H42*EF!$H60)*NtoN2O*kgtoGg=0,"NO",('Activity data'!BI11*EF!$H42*EF!$H60)*NtoN2O*kgtoGg)</f>
        <v>0.12055302618273207</v>
      </c>
      <c r="AQ1417" s="27">
        <f>IF(('Activity data'!BJ11*EF!$H42*EF!$H60)*NtoN2O*kgtoGg=0,"NO",('Activity data'!BJ11*EF!$H42*EF!$H60)*NtoN2O*kgtoGg)</f>
        <v>0.12061454144456668</v>
      </c>
      <c r="AR1417" s="27">
        <f>IF(('Activity data'!BK11*EF!$H42*EF!$H60)*NtoN2O*kgtoGg=0,"NO",('Activity data'!BK11*EF!$H42*EF!$H60)*NtoN2O*kgtoGg)</f>
        <v>0.12066404237348154</v>
      </c>
      <c r="AS1417" s="27">
        <f>IF(('Activity data'!BL11*EF!$H42*EF!$H60)*NtoN2O*kgtoGg=0,"NO",('Activity data'!BL11*EF!$H42*EF!$H60)*NtoN2O*kgtoGg)</f>
        <v>0.12069957105311468</v>
      </c>
      <c r="AT1417" s="27">
        <f>IF(('Activity data'!BM11*EF!$H42*EF!$H60)*NtoN2O*kgtoGg=0,"NO",('Activity data'!BM11*EF!$H42*EF!$H60)*NtoN2O*kgtoGg)</f>
        <v>0.12072090668873016</v>
      </c>
      <c r="AU1417" s="27">
        <f>IF(('Activity data'!BN11*EF!$H42*EF!$H60)*NtoN2O*kgtoGg=0,"NO",('Activity data'!BN11*EF!$H42*EF!$H60)*NtoN2O*kgtoGg)</f>
        <v>0.12072835361242823</v>
      </c>
      <c r="AV1417" s="27">
        <f>IF(('Activity data'!BO11*EF!$H42*EF!$H60)*NtoN2O*kgtoGg=0,"NO",('Activity data'!BO11*EF!$H42*EF!$H60)*NtoN2O*kgtoGg)</f>
        <v>0.12072212964886384</v>
      </c>
      <c r="AW1417" s="27">
        <f>IF(('Activity data'!BP11*EF!$H42*EF!$H60)*NtoN2O*kgtoGg=0,"NO",('Activity data'!BP11*EF!$H42*EF!$H60)*NtoN2O*kgtoGg)</f>
        <v>0.12070039195556491</v>
      </c>
    </row>
    <row r="1418" spans="1:49" x14ac:dyDescent="0.25">
      <c r="A1418" s="95" t="s">
        <v>960</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6.3575358075834407E-2</v>
      </c>
      <c r="T1418" s="27">
        <f>IF(('Activity data'!AM12*EF!$H43*EF!$H61)*NtoN2O*kgtoGg=0,"NO",('Activity data'!AM12*EF!$H43*EF!$H61)*NtoN2O*kgtoGg)</f>
        <v>6.3617670177054816E-2</v>
      </c>
      <c r="U1418" s="27">
        <f>IF(('Activity data'!AN12*EF!$H43*EF!$H61)*NtoN2O*kgtoGg=0,"NO",('Activity data'!AN12*EF!$H43*EF!$H61)*NtoN2O*kgtoGg)</f>
        <v>6.4446295913404186E-2</v>
      </c>
      <c r="V1418" s="27">
        <f>IF(('Activity data'!AO12*EF!$H43*EF!$H61)*NtoN2O*kgtoGg=0,"NO",('Activity data'!AO12*EF!$H43*EF!$H61)*NtoN2O*kgtoGg)</f>
        <v>6.4466509591517507E-2</v>
      </c>
      <c r="W1418" s="27">
        <f>IF(('Activity data'!AP12*EF!$H43*EF!$H61)*NtoN2O*kgtoGg=0,"NO",('Activity data'!AP12*EF!$H43*EF!$H61)*NtoN2O*kgtoGg)</f>
        <v>6.4552973085091836E-2</v>
      </c>
      <c r="X1418" s="27">
        <f>IF(('Activity data'!AQ12*EF!$H43*EF!$H61)*NtoN2O*kgtoGg=0,"NO",('Activity data'!AQ12*EF!$H43*EF!$H61)*NtoN2O*kgtoGg)</f>
        <v>6.4677958163687016E-2</v>
      </c>
      <c r="Y1418" s="27">
        <f>IF(('Activity data'!AR12*EF!$H43*EF!$H61)*NtoN2O*kgtoGg=0,"NO",('Activity data'!AR12*EF!$H43*EF!$H61)*NtoN2O*kgtoGg)</f>
        <v>6.479406501858509E-2</v>
      </c>
      <c r="Z1418" s="27">
        <f>IF(('Activity data'!AS12*EF!$H43*EF!$H61)*NtoN2O*kgtoGg=0,"NO",('Activity data'!AS12*EF!$H43*EF!$H61)*NtoN2O*kgtoGg)</f>
        <v>6.4902731208669517E-2</v>
      </c>
      <c r="AA1418" s="27">
        <f>IF(('Activity data'!AT12*EF!$H43*EF!$H61)*NtoN2O*kgtoGg=0,"NO",('Activity data'!AT12*EF!$H43*EF!$H61)*NtoN2O*kgtoGg)</f>
        <v>6.500337727610038E-2</v>
      </c>
      <c r="AB1418" s="27">
        <f>IF(('Activity data'!AU12*EF!$H43*EF!$H61)*NtoN2O*kgtoGg=0,"NO",('Activity data'!AU12*EF!$H43*EF!$H61)*NtoN2O*kgtoGg)</f>
        <v>6.5096910050215798E-2</v>
      </c>
      <c r="AC1418" s="27">
        <f>IF(('Activity data'!AV12*EF!$H43*EF!$H61)*NtoN2O*kgtoGg=0,"NO",('Activity data'!AV12*EF!$H43*EF!$H61)*NtoN2O*kgtoGg)</f>
        <v>6.518474832793783E-2</v>
      </c>
      <c r="AD1418" s="27">
        <f>IF(('Activity data'!AW12*EF!$H43*EF!$H61)*NtoN2O*kgtoGg=0,"NO",('Activity data'!AW12*EF!$H43*EF!$H61)*NtoN2O*kgtoGg)</f>
        <v>6.5266809345335172E-2</v>
      </c>
      <c r="AE1418" s="27">
        <f>IF(('Activity data'!AX12*EF!$H43*EF!$H61)*NtoN2O*kgtoGg=0,"NO",('Activity data'!AX12*EF!$H43*EF!$H61)*NtoN2O*kgtoGg)</f>
        <v>6.5344405627692656E-2</v>
      </c>
      <c r="AF1418" s="27">
        <f>IF(('Activity data'!AY12*EF!$H43*EF!$H61)*NtoN2O*kgtoGg=0,"NO",('Activity data'!AY12*EF!$H43*EF!$H61)*NtoN2O*kgtoGg)</f>
        <v>6.5417725009074529E-2</v>
      </c>
      <c r="AG1418" s="27">
        <f>IF(('Activity data'!AZ12*EF!$H43*EF!$H61)*NtoN2O*kgtoGg=0,"NO",('Activity data'!AZ12*EF!$H43*EF!$H61)*NtoN2O*kgtoGg)</f>
        <v>6.5485762562835198E-2</v>
      </c>
      <c r="AH1418" s="27">
        <f>IF(('Activity data'!BA12*EF!$H43*EF!$H61)*NtoN2O*kgtoGg=0,"NO",('Activity data'!BA12*EF!$H43*EF!$H61)*NtoN2O*kgtoGg)</f>
        <v>6.5549140680806597E-2</v>
      </c>
      <c r="AI1418" s="27">
        <f>IF(('Activity data'!BB12*EF!$H43*EF!$H61)*NtoN2O*kgtoGg=0,"NO",('Activity data'!BB12*EF!$H43*EF!$H61)*NtoN2O*kgtoGg)</f>
        <v>6.560887045696083E-2</v>
      </c>
      <c r="AJ1418" s="27">
        <f>IF(('Activity data'!BC12*EF!$H43*EF!$H61)*NtoN2O*kgtoGg=0,"NO",('Activity data'!BC12*EF!$H43*EF!$H61)*NtoN2O*kgtoGg)</f>
        <v>6.4169007549586779E-2</v>
      </c>
      <c r="AK1418" s="27">
        <f>IF(('Activity data'!BD12*EF!$H43*EF!$H61)*NtoN2O*kgtoGg=0,"NO",('Activity data'!BD12*EF!$H43*EF!$H61)*NtoN2O*kgtoGg)</f>
        <v>6.42280167654318E-2</v>
      </c>
      <c r="AL1418" s="27">
        <f>IF(('Activity data'!BE12*EF!$H43*EF!$H61)*NtoN2O*kgtoGg=0,"NO",('Activity data'!BE12*EF!$H43*EF!$H61)*NtoN2O*kgtoGg)</f>
        <v>6.4283057175171951E-2</v>
      </c>
      <c r="AM1418" s="27">
        <f>IF(('Activity data'!BF12*EF!$H43*EF!$H61)*NtoN2O*kgtoGg=0,"NO",('Activity data'!BF12*EF!$H43*EF!$H61)*NtoN2O*kgtoGg)</f>
        <v>6.4334465157507542E-2</v>
      </c>
      <c r="AN1418" s="27">
        <f>IF(('Activity data'!BG12*EF!$H43*EF!$H61)*NtoN2O*kgtoGg=0,"NO",('Activity data'!BG12*EF!$H43*EF!$H61)*NtoN2O*kgtoGg)</f>
        <v>6.4382649620662147E-2</v>
      </c>
      <c r="AO1418" s="27">
        <f>IF(('Activity data'!BH12*EF!$H43*EF!$H61)*NtoN2O*kgtoGg=0,"NO",('Activity data'!BH12*EF!$H43*EF!$H61)*NtoN2O*kgtoGg)</f>
        <v>6.4426343117386445E-2</v>
      </c>
      <c r="AP1418" s="27">
        <f>IF(('Activity data'!BI12*EF!$H43*EF!$H61)*NtoN2O*kgtoGg=0,"NO",('Activity data'!BI12*EF!$H43*EF!$H61)*NtoN2O*kgtoGg)</f>
        <v>6.4464699232609876E-2</v>
      </c>
      <c r="AQ1418" s="27">
        <f>IF(('Activity data'!BJ12*EF!$H43*EF!$H61)*NtoN2O*kgtoGg=0,"NO",('Activity data'!BJ12*EF!$H43*EF!$H61)*NtoN2O*kgtoGg)</f>
        <v>6.4497593992517213E-2</v>
      </c>
      <c r="AR1418" s="27">
        <f>IF(('Activity data'!BK12*EF!$H43*EF!$H61)*NtoN2O*kgtoGg=0,"NO",('Activity data'!BK12*EF!$H43*EF!$H61)*NtoN2O*kgtoGg)</f>
        <v>6.452406419069702E-2</v>
      </c>
      <c r="AS1418" s="27">
        <f>IF(('Activity data'!BL12*EF!$H43*EF!$H61)*NtoN2O*kgtoGg=0,"NO",('Activity data'!BL12*EF!$H43*EF!$H61)*NtoN2O*kgtoGg)</f>
        <v>6.4543062848127733E-2</v>
      </c>
      <c r="AT1418" s="27">
        <f>IF(('Activity data'!BM12*EF!$H43*EF!$H61)*NtoN2O*kgtoGg=0,"NO",('Activity data'!BM12*EF!$H43*EF!$H61)*NtoN2O*kgtoGg)</f>
        <v>6.4554471896713567E-2</v>
      </c>
      <c r="AU1418" s="27">
        <f>IF(('Activity data'!BN12*EF!$H43*EF!$H61)*NtoN2O*kgtoGg=0,"NO",('Activity data'!BN12*EF!$H43*EF!$H61)*NtoN2O*kgtoGg)</f>
        <v>6.4558454075441099E-2</v>
      </c>
      <c r="AV1418" s="27">
        <f>IF(('Activity data'!BO12*EF!$H43*EF!$H61)*NtoN2O*kgtoGg=0,"NO",('Activity data'!BO12*EF!$H43*EF!$H61)*NtoN2O*kgtoGg)</f>
        <v>6.4555125864180746E-2</v>
      </c>
      <c r="AW1418" s="27">
        <f>IF(('Activity data'!BP12*EF!$H43*EF!$H61)*NtoN2O*kgtoGg=0,"NO",('Activity data'!BP12*EF!$H43*EF!$H61)*NtoN2O*kgtoGg)</f>
        <v>6.4543501818688898E-2</v>
      </c>
    </row>
    <row r="1419" spans="1:49" x14ac:dyDescent="0.25">
      <c r="A1419" s="95" t="s">
        <v>960</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1.4486129996083084E-2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1.4890706011157261E-2</v>
      </c>
      <c r="R1419" s="27">
        <f>IF(('Activity data'!AK13*EF!$H44*EF!$H62)*NtoN2O*kgtoGg=0,"NO",('Activity data'!AK13*EF!$H44*EF!$H62)*NtoN2O*kgtoGg)</f>
        <v>1.4988675221399694E-2</v>
      </c>
      <c r="S1419" s="27">
        <f>IF(('Activity data'!AL13*EF!$H44*EF!$H62)*NtoN2O*kgtoGg=0,"NO",('Activity data'!AL13*EF!$H44*EF!$H62)*NtoN2O*kgtoGg)</f>
        <v>1.4952125307683931E-2</v>
      </c>
      <c r="T1419" s="27">
        <f>IF(('Activity data'!AM13*EF!$H44*EF!$H62)*NtoN2O*kgtoGg=0,"NO",('Activity data'!AM13*EF!$H44*EF!$H62)*NtoN2O*kgtoGg)</f>
        <v>1.497659485650934E-2</v>
      </c>
      <c r="U1419" s="27">
        <f>IF(('Activity data'!AN13*EF!$H44*EF!$H62)*NtoN2O*kgtoGg=0,"NO",('Activity data'!AN13*EF!$H44*EF!$H62)*NtoN2O*kgtoGg)</f>
        <v>1.5280249217669807E-2</v>
      </c>
      <c r="V1419" s="27">
        <f>IF(('Activity data'!AO13*EF!$H44*EF!$H62)*NtoN2O*kgtoGg=0,"NO",('Activity data'!AO13*EF!$H44*EF!$H62)*NtoN2O*kgtoGg)</f>
        <v>1.5293967954982137E-2</v>
      </c>
      <c r="W1419" s="27">
        <f>IF(('Activity data'!AP13*EF!$H44*EF!$H62)*NtoN2O*kgtoGg=0,"NO",('Activity data'!AP13*EF!$H44*EF!$H62)*NtoN2O*kgtoGg)</f>
        <v>1.5330288500558316E-2</v>
      </c>
      <c r="X1419" s="27">
        <f>IF(('Activity data'!AQ13*EF!$H44*EF!$H62)*NtoN2O*kgtoGg=0,"NO",('Activity data'!AQ13*EF!$H44*EF!$H62)*NtoN2O*kgtoGg)</f>
        <v>1.5379307775042967E-2</v>
      </c>
      <c r="Y1419" s="27">
        <f>IF(('Activity data'!AR13*EF!$H44*EF!$H62)*NtoN2O*kgtoGg=0,"NO",('Activity data'!AR13*EF!$H44*EF!$H62)*NtoN2O*kgtoGg)</f>
        <v>1.5424265287422665E-2</v>
      </c>
      <c r="Z1419" s="27">
        <f>IF(('Activity data'!AS13*EF!$H44*EF!$H62)*NtoN2O*kgtoGg=0,"NO",('Activity data'!AS13*EF!$H44*EF!$H62)*NtoN2O*kgtoGg)</f>
        <v>1.5465755297522263E-2</v>
      </c>
      <c r="AA1419" s="27">
        <f>IF(('Activity data'!AT13*EF!$H44*EF!$H62)*NtoN2O*kgtoGg=0,"NO",('Activity data'!AT13*EF!$H44*EF!$H62)*NtoN2O*kgtoGg)</f>
        <v>1.5503650543984475E-2</v>
      </c>
      <c r="AB1419" s="27">
        <f>IF(('Activity data'!AU13*EF!$H44*EF!$H62)*NtoN2O*kgtoGg=0,"NO",('Activity data'!AU13*EF!$H44*EF!$H62)*NtoN2O*kgtoGg)</f>
        <v>1.5538340165319426E-2</v>
      </c>
      <c r="AC1419" s="27">
        <f>IF(('Activity data'!AV13*EF!$H44*EF!$H62)*NtoN2O*kgtoGg=0,"NO",('Activity data'!AV13*EF!$H44*EF!$H62)*NtoN2O*kgtoGg)</f>
        <v>1.5570383853796523E-2</v>
      </c>
      <c r="AD1419" s="27">
        <f>IF(('Activity data'!AW13*EF!$H44*EF!$H62)*NtoN2O*kgtoGg=0,"NO",('Activity data'!AW13*EF!$H44*EF!$H62)*NtoN2O*kgtoGg)</f>
        <v>1.5599807426957595E-2</v>
      </c>
      <c r="AE1419" s="27">
        <f>IF(('Activity data'!AX13*EF!$H44*EF!$H62)*NtoN2O*kgtoGg=0,"NO",('Activity data'!AX13*EF!$H44*EF!$H62)*NtoN2O*kgtoGg)</f>
        <v>1.5627118939580072E-2</v>
      </c>
      <c r="AF1419" s="27">
        <f>IF(('Activity data'!AY13*EF!$H44*EF!$H62)*NtoN2O*kgtoGg=0,"NO",('Activity data'!AY13*EF!$H44*EF!$H62)*NtoN2O*kgtoGg)</f>
        <v>1.5652427506297684E-2</v>
      </c>
      <c r="AG1419" s="27">
        <f>IF(('Activity data'!AZ13*EF!$H44*EF!$H62)*NtoN2O*kgtoGg=0,"NO",('Activity data'!AZ13*EF!$H44*EF!$H62)*NtoN2O*kgtoGg)</f>
        <v>1.5675424120776597E-2</v>
      </c>
      <c r="AH1419" s="27">
        <f>IF(('Activity data'!BA13*EF!$H44*EF!$H62)*NtoN2O*kgtoGg=0,"NO",('Activity data'!BA13*EF!$H44*EF!$H62)*NtoN2O*kgtoGg)</f>
        <v>1.5696363462061685E-2</v>
      </c>
      <c r="AI1419" s="27">
        <f>IF(('Activity data'!BB13*EF!$H44*EF!$H62)*NtoN2O*kgtoGg=0,"NO",('Activity data'!BB13*EF!$H44*EF!$H62)*NtoN2O*kgtoGg)</f>
        <v>1.5715630256505467E-2</v>
      </c>
      <c r="AJ1419" s="27">
        <f>IF(('Activity data'!BC13*EF!$H44*EF!$H62)*NtoN2O*kgtoGg=0,"NO",('Activity data'!BC13*EF!$H44*EF!$H62)*NtoN2O*kgtoGg)</f>
        <v>1.5216731234132433E-2</v>
      </c>
      <c r="AK1419" s="27">
        <f>IF(('Activity data'!BD13*EF!$H44*EF!$H62)*NtoN2O*kgtoGg=0,"NO",('Activity data'!BD13*EF!$H44*EF!$H62)*NtoN2O*kgtoGg)</f>
        <v>1.5235961154748286E-2</v>
      </c>
      <c r="AL1419" s="27">
        <f>IF(('Activity data'!BE13*EF!$H44*EF!$H62)*NtoN2O*kgtoGg=0,"NO",('Activity data'!BE13*EF!$H44*EF!$H62)*NtoN2O*kgtoGg)</f>
        <v>1.5253469736089939E-2</v>
      </c>
      <c r="AM1419" s="27">
        <f>IF(('Activity data'!BF13*EF!$H44*EF!$H62)*NtoN2O*kgtoGg=0,"NO",('Activity data'!BF13*EF!$H44*EF!$H62)*NtoN2O*kgtoGg)</f>
        <v>1.5269398678749371E-2</v>
      </c>
      <c r="AN1419" s="27">
        <f>IF(('Activity data'!BG13*EF!$H44*EF!$H62)*NtoN2O*kgtoGg=0,"NO",('Activity data'!BG13*EF!$H44*EF!$H62)*NtoN2O*kgtoGg)</f>
        <v>1.5283912082079585E-2</v>
      </c>
      <c r="AO1419" s="27">
        <f>IF(('Activity data'!BH13*EF!$H44*EF!$H62)*NtoN2O*kgtoGg=0,"NO",('Activity data'!BH13*EF!$H44*EF!$H62)*NtoN2O*kgtoGg)</f>
        <v>1.5296597939016455E-2</v>
      </c>
      <c r="AP1419" s="27">
        <f>IF(('Activity data'!BI13*EF!$H44*EF!$H62)*NtoN2O*kgtoGg=0,"NO",('Activity data'!BI13*EF!$H44*EF!$H62)*NtoN2O*kgtoGg)</f>
        <v>1.530718972818932E-2</v>
      </c>
      <c r="AQ1419" s="27">
        <f>IF(('Activity data'!BJ13*EF!$H44*EF!$H62)*NtoN2O*kgtoGg=0,"NO",('Activity data'!BJ13*EF!$H44*EF!$H62)*NtoN2O*kgtoGg)</f>
        <v>1.5315667991874672E-2</v>
      </c>
      <c r="AR1419" s="27">
        <f>IF(('Activity data'!BK13*EF!$H44*EF!$H62)*NtoN2O*kgtoGg=0,"NO",('Activity data'!BK13*EF!$H44*EF!$H62)*NtoN2O*kgtoGg)</f>
        <v>1.5321726619352006E-2</v>
      </c>
      <c r="AS1419" s="27">
        <f>IF(('Activity data'!BL13*EF!$H44*EF!$H62)*NtoN2O*kgtoGg=0,"NO",('Activity data'!BL13*EF!$H44*EF!$H62)*NtoN2O*kgtoGg)</f>
        <v>1.5325032079315765E-2</v>
      </c>
      <c r="AT1419" s="27">
        <f>IF(('Activity data'!BM13*EF!$H44*EF!$H62)*NtoN2O*kgtoGg=0,"NO",('Activity data'!BM13*EF!$H44*EF!$H62)*NtoN2O*kgtoGg)</f>
        <v>1.5325567315367106E-2</v>
      </c>
      <c r="AU1419" s="27">
        <f>IF(('Activity data'!BN13*EF!$H44*EF!$H62)*NtoN2O*kgtoGg=0,"NO",('Activity data'!BN13*EF!$H44*EF!$H62)*NtoN2O*kgtoGg)</f>
        <v>1.5323409630922659E-2</v>
      </c>
      <c r="AV1419" s="27">
        <f>IF(('Activity data'!BO13*EF!$H44*EF!$H62)*NtoN2O*kgtoGg=0,"NO",('Activity data'!BO13*EF!$H44*EF!$H62)*NtoN2O*kgtoGg)</f>
        <v>1.5318619367085746E-2</v>
      </c>
      <c r="AW1419" s="27">
        <f>IF(('Activity data'!BP13*EF!$H44*EF!$H62)*NtoN2O*kgtoGg=0,"NO",('Activity data'!BP13*EF!$H44*EF!$H62)*NtoN2O*kgtoGg)</f>
        <v>1.5310883587655623E-2</v>
      </c>
    </row>
    <row r="1420" spans="1:49" x14ac:dyDescent="0.25">
      <c r="A1420" s="95" t="s">
        <v>960</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0.11664735601685972</v>
      </c>
      <c r="P1420" s="27">
        <f>IF(('Activity data'!AI14*EF!$H45*EF!$H63)*NtoN2O*kgtoGg=0,"NO",('Activity data'!AI14*EF!$H45*EF!$H63)*NtoN2O*kgtoGg)</f>
        <v>0.11732381389682567</v>
      </c>
      <c r="Q1420" s="27">
        <f>IF(('Activity data'!AJ14*EF!$H45*EF!$H63)*NtoN2O*kgtoGg=0,"NO",('Activity data'!AJ14*EF!$H45*EF!$H63)*NtoN2O*kgtoGg)</f>
        <v>0.11805182815822728</v>
      </c>
      <c r="R1420" s="27">
        <f>IF(('Activity data'!AK14*EF!$H45*EF!$H63)*NtoN2O*kgtoGg=0,"NO",('Activity data'!AK14*EF!$H45*EF!$H63)*NtoN2O*kgtoGg)</f>
        <v>0.11882851694408277</v>
      </c>
      <c r="S1420" s="27">
        <f>IF(('Activity data'!AL14*EF!$H45*EF!$H63)*NtoN2O*kgtoGg=0,"NO",('Activity data'!AL14*EF!$H45*EF!$H63)*NtoN2O*kgtoGg)</f>
        <v>0.11853875337411246</v>
      </c>
      <c r="T1420" s="27">
        <f>IF(('Activity data'!AM14*EF!$H45*EF!$H63)*NtoN2O*kgtoGg=0,"NO",('Activity data'!AM14*EF!$H45*EF!$H63)*NtoN2O*kgtoGg)</f>
        <v>0.11873274518154472</v>
      </c>
      <c r="U1420" s="27">
        <f>IF(('Activity data'!AN14*EF!$H45*EF!$H63)*NtoN2O*kgtoGg=0,"NO",('Activity data'!AN14*EF!$H45*EF!$H63)*NtoN2O*kgtoGg)</f>
        <v>0.12114008251238399</v>
      </c>
      <c r="V1420" s="27">
        <f>IF(('Activity data'!AO14*EF!$H45*EF!$H63)*NtoN2O*kgtoGg=0,"NO",('Activity data'!AO14*EF!$H45*EF!$H63)*NtoN2O*kgtoGg)</f>
        <v>0.12124884310563787</v>
      </c>
      <c r="W1420" s="27">
        <f>IF(('Activity data'!AP14*EF!$H45*EF!$H63)*NtoN2O*kgtoGg=0,"NO",('Activity data'!AP14*EF!$H45*EF!$H63)*NtoN2O*kgtoGg)</f>
        <v>0.12153678827101554</v>
      </c>
      <c r="X1420" s="27">
        <f>IF(('Activity data'!AQ14*EF!$H45*EF!$H63)*NtoN2O*kgtoGg=0,"NO",('Activity data'!AQ14*EF!$H45*EF!$H63)*NtoN2O*kgtoGg)</f>
        <v>0.12192540751872388</v>
      </c>
      <c r="Y1420" s="27">
        <f>IF(('Activity data'!AR14*EF!$H45*EF!$H63)*NtoN2O*kgtoGg=0,"NO",('Activity data'!AR14*EF!$H45*EF!$H63)*NtoN2O*kgtoGg)</f>
        <v>0.12228182557720234</v>
      </c>
      <c r="Z1420" s="27">
        <f>IF(('Activity data'!AS14*EF!$H45*EF!$H63)*NtoN2O*kgtoGg=0,"NO",('Activity data'!AS14*EF!$H45*EF!$H63)*NtoN2O*kgtoGg)</f>
        <v>0.12261075367093349</v>
      </c>
      <c r="AA1420" s="27">
        <f>IF(('Activity data'!AT14*EF!$H45*EF!$H63)*NtoN2O*kgtoGg=0,"NO",('Activity data'!AT14*EF!$H45*EF!$H63)*NtoN2O*kgtoGg)</f>
        <v>0.12291118288631245</v>
      </c>
      <c r="AB1420" s="27">
        <f>IF(('Activity data'!AU14*EF!$H45*EF!$H63)*NtoN2O*kgtoGg=0,"NO",('Activity data'!AU14*EF!$H45*EF!$H63)*NtoN2O*kgtoGg)</f>
        <v>0.12318619826930632</v>
      </c>
      <c r="AC1420" s="27">
        <f>IF(('Activity data'!AV14*EF!$H45*EF!$H63)*NtoN2O*kgtoGg=0,"NO",('Activity data'!AV14*EF!$H45*EF!$H63)*NtoN2O*kgtoGg)</f>
        <v>0.12344023699673938</v>
      </c>
      <c r="AD1420" s="27">
        <f>IF(('Activity data'!AW14*EF!$H45*EF!$H63)*NtoN2O*kgtoGg=0,"NO",('Activity data'!AW14*EF!$H45*EF!$H63)*NtoN2O*kgtoGg)</f>
        <v>0.12367350374715462</v>
      </c>
      <c r="AE1420" s="27">
        <f>IF(('Activity data'!AX14*EF!$H45*EF!$H63)*NtoN2O*kgtoGg=0,"NO",('Activity data'!AX14*EF!$H45*EF!$H63)*NtoN2O*kgtoGg)</f>
        <v>0.12389002632119744</v>
      </c>
      <c r="AF1420" s="27">
        <f>IF(('Activity data'!AY14*EF!$H45*EF!$H63)*NtoN2O*kgtoGg=0,"NO",('Activity data'!AY14*EF!$H45*EF!$H63)*NtoN2O*kgtoGg)</f>
        <v>0.12409066976730669</v>
      </c>
      <c r="AG1420" s="27">
        <f>IF(('Activity data'!AZ14*EF!$H45*EF!$H63)*NtoN2O*kgtoGg=0,"NO",('Activity data'!AZ14*EF!$H45*EF!$H63)*NtoN2O*kgtoGg)</f>
        <v>0.12427298431831933</v>
      </c>
      <c r="AH1420" s="27">
        <f>IF(('Activity data'!BA14*EF!$H45*EF!$H63)*NtoN2O*kgtoGg=0,"NO",('Activity data'!BA14*EF!$H45*EF!$H63)*NtoN2O*kgtoGg)</f>
        <v>0.12443898904081413</v>
      </c>
      <c r="AI1420" s="27">
        <f>IF(('Activity data'!BB14*EF!$H45*EF!$H63)*NtoN2O*kgtoGg=0,"NO",('Activity data'!BB14*EF!$H45*EF!$H63)*NtoN2O*kgtoGg)</f>
        <v>0.12459173400167312</v>
      </c>
      <c r="AJ1420" s="27">
        <f>IF(('Activity data'!BC14*EF!$H45*EF!$H63)*NtoN2O*kgtoGg=0,"NO",('Activity data'!BC14*EF!$H45*EF!$H63)*NtoN2O*kgtoGg)</f>
        <v>0.12063651914393841</v>
      </c>
      <c r="AK1420" s="27">
        <f>IF(('Activity data'!BD14*EF!$H45*EF!$H63)*NtoN2O*kgtoGg=0,"NO",('Activity data'!BD14*EF!$H45*EF!$H63)*NtoN2O*kgtoGg)</f>
        <v>0.12078897177327232</v>
      </c>
      <c r="AL1420" s="27">
        <f>IF(('Activity data'!BE14*EF!$H45*EF!$H63)*NtoN2O*kgtoGg=0,"NO",('Activity data'!BE14*EF!$H45*EF!$H63)*NtoN2O*kgtoGg)</f>
        <v>0.12092777782009714</v>
      </c>
      <c r="AM1420" s="27">
        <f>IF(('Activity data'!BF14*EF!$H45*EF!$H63)*NtoN2O*kgtoGg=0,"NO",('Activity data'!BF14*EF!$H45*EF!$H63)*NtoN2O*kgtoGg)</f>
        <v>0.12105406067063253</v>
      </c>
      <c r="AN1420" s="27">
        <f>IF(('Activity data'!BG14*EF!$H45*EF!$H63)*NtoN2O*kgtoGg=0,"NO",('Activity data'!BG14*EF!$H45*EF!$H63)*NtoN2O*kgtoGg)</f>
        <v>0.12116912128593484</v>
      </c>
      <c r="AO1420" s="27">
        <f>IF(('Activity data'!BH14*EF!$H45*EF!$H63)*NtoN2O*kgtoGg=0,"NO",('Activity data'!BH14*EF!$H45*EF!$H63)*NtoN2O*kgtoGg)</f>
        <v>0.12126969332073484</v>
      </c>
      <c r="AP1420" s="27">
        <f>IF(('Activity data'!BI14*EF!$H45*EF!$H63)*NtoN2O*kgtoGg=0,"NO",('Activity data'!BI14*EF!$H45*EF!$H63)*NtoN2O*kgtoGg)</f>
        <v>0.12135366382383837</v>
      </c>
      <c r="AQ1420" s="27">
        <f>IF(('Activity data'!BJ14*EF!$H45*EF!$H63)*NtoN2O*kgtoGg=0,"NO",('Activity data'!BJ14*EF!$H45*EF!$H63)*NtoN2O*kgtoGg)</f>
        <v>0.12142087853662052</v>
      </c>
      <c r="AR1420" s="27">
        <f>IF(('Activity data'!BK14*EF!$H45*EF!$H63)*NtoN2O*kgtoGg=0,"NO",('Activity data'!BK14*EF!$H45*EF!$H63)*NtoN2O*kgtoGg)</f>
        <v>0.12146891064801223</v>
      </c>
      <c r="AS1420" s="27">
        <f>IF(('Activity data'!BL14*EF!$H45*EF!$H63)*NtoN2O*kgtoGg=0,"NO",('Activity data'!BL14*EF!$H45*EF!$H63)*NtoN2O*kgtoGg)</f>
        <v>0.12149511595965648</v>
      </c>
      <c r="AT1420" s="27">
        <f>IF(('Activity data'!BM14*EF!$H45*EF!$H63)*NtoN2O*kgtoGg=0,"NO",('Activity data'!BM14*EF!$H45*EF!$H63)*NtoN2O*kgtoGg)</f>
        <v>0.12149935925035804</v>
      </c>
      <c r="AU1420" s="27">
        <f>IF(('Activity data'!BN14*EF!$H45*EF!$H63)*NtoN2O*kgtoGg=0,"NO",('Activity data'!BN14*EF!$H45*EF!$H63)*NtoN2O*kgtoGg)</f>
        <v>0.12148225337283523</v>
      </c>
      <c r="AV1420" s="27">
        <f>IF(('Activity data'!BO14*EF!$H45*EF!$H63)*NtoN2O*kgtoGg=0,"NO",('Activity data'!BO14*EF!$H45*EF!$H63)*NtoN2O*kgtoGg)</f>
        <v>0.12144427670451041</v>
      </c>
      <c r="AW1420" s="27">
        <f>IF(('Activity data'!BP14*EF!$H45*EF!$H63)*NtoN2O*kgtoGg=0,"NO",('Activity data'!BP14*EF!$H45*EF!$H63)*NtoN2O*kgtoGg)</f>
        <v>0.12138294832268144</v>
      </c>
    </row>
    <row r="1421" spans="1:49" x14ac:dyDescent="0.25">
      <c r="A1421" s="95" t="s">
        <v>960</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25">
      <c r="A1422" s="95" t="s">
        <v>960</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25">
      <c r="A1423" s="95" t="s">
        <v>960</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9.7466979224281824E-2</v>
      </c>
      <c r="L1423" s="27">
        <f>IF(('Activity data'!AE17*EF!$H48*EF!$H66)*NtoN2O*kgtoGg=0,"NO",('Activity data'!AE17*EF!$H48*EF!$H66)*NtoN2O*kgtoGg)</f>
        <v>9.6937181363551519E-2</v>
      </c>
      <c r="M1423" s="27">
        <f>IF(('Activity data'!AF17*EF!$H48*EF!$H66)*NtoN2O*kgtoGg=0,"NO",('Activity data'!AF17*EF!$H48*EF!$H66)*NtoN2O*kgtoGg)</f>
        <v>9.6980665528366608E-2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9.2641437622218339E-2</v>
      </c>
      <c r="Q1423" s="27">
        <f>IF(('Activity data'!AJ17*EF!$H48*EF!$H66)*NtoN2O*kgtoGg=0,"NO",('Activity data'!AJ17*EF!$H48*EF!$H66)*NtoN2O*kgtoGg)</f>
        <v>9.1193054757597189E-2</v>
      </c>
      <c r="R1423" s="27">
        <f>IF(('Activity data'!AK17*EF!$H48*EF!$H66)*NtoN2O*kgtoGg=0,"NO",('Activity data'!AK17*EF!$H48*EF!$H66)*NtoN2O*kgtoGg)</f>
        <v>8.9872834352323558E-2</v>
      </c>
      <c r="S1423" s="27">
        <f>IF(('Activity data'!AL17*EF!$H48*EF!$H66)*NtoN2O*kgtoGg=0,"NO",('Activity data'!AL17*EF!$H48*EF!$H66)*NtoN2O*kgtoGg)</f>
        <v>8.0860772779409465E-2</v>
      </c>
      <c r="T1423" s="27">
        <f>IF(('Activity data'!AM17*EF!$H48*EF!$H66)*NtoN2O*kgtoGg=0,"NO",('Activity data'!AM17*EF!$H48*EF!$H66)*NtoN2O*kgtoGg)</f>
        <v>8.3748164551472229E-2</v>
      </c>
      <c r="U1423" s="27">
        <f>IF(('Activity data'!AN17*EF!$H48*EF!$H66)*NtoN2O*kgtoGg=0,"NO",('Activity data'!AN17*EF!$H48*EF!$H66)*NtoN2O*kgtoGg)</f>
        <v>0.26770254430249885</v>
      </c>
      <c r="V1423" s="27">
        <f>IF(('Activity data'!AO17*EF!$H48*EF!$H66)*NtoN2O*kgtoGg=0,"NO",('Activity data'!AO17*EF!$H48*EF!$H66)*NtoN2O*kgtoGg)</f>
        <v>0.26843638329557273</v>
      </c>
      <c r="W1423" s="27">
        <f>IF(('Activity data'!AP17*EF!$H48*EF!$H66)*NtoN2O*kgtoGg=0,"NO",('Activity data'!AP17*EF!$H48*EF!$H66)*NtoN2O*kgtoGg)</f>
        <v>0.26870741156063732</v>
      </c>
      <c r="X1423" s="27">
        <f>IF(('Activity data'!AQ17*EF!$H48*EF!$H66)*NtoN2O*kgtoGg=0,"NO",('Activity data'!AQ17*EF!$H48*EF!$H66)*NtoN2O*kgtoGg)</f>
        <v>0.26852785801231227</v>
      </c>
      <c r="Y1423" s="27">
        <f>IF(('Activity data'!AR17*EF!$H48*EF!$H66)*NtoN2O*kgtoGg=0,"NO",('Activity data'!AR17*EF!$H48*EF!$H66)*NtoN2O*kgtoGg)</f>
        <v>0.26792481068861962</v>
      </c>
      <c r="Z1423" s="27">
        <f>IF(('Activity data'!AS17*EF!$H48*EF!$H66)*NtoN2O*kgtoGg=0,"NO",('Activity data'!AS17*EF!$H48*EF!$H66)*NtoN2O*kgtoGg)</f>
        <v>0.26689273021889548</v>
      </c>
      <c r="AA1423" s="27">
        <f>IF(('Activity data'!AT17*EF!$H48*EF!$H66)*NtoN2O*kgtoGg=0,"NO",('Activity data'!AT17*EF!$H48*EF!$H66)*NtoN2O*kgtoGg)</f>
        <v>0.26543013343256128</v>
      </c>
      <c r="AB1423" s="27">
        <f>IF(('Activity data'!AU17*EF!$H48*EF!$H66)*NtoN2O*kgtoGg=0,"NO",('Activity data'!AU17*EF!$H48*EF!$H66)*NtoN2O*kgtoGg)</f>
        <v>0.26353715747778594</v>
      </c>
      <c r="AC1423" s="27">
        <f>IF(('Activity data'!AV17*EF!$H48*EF!$H66)*NtoN2O*kgtoGg=0,"NO",('Activity data'!AV17*EF!$H48*EF!$H66)*NtoN2O*kgtoGg)</f>
        <v>0.26121623026966229</v>
      </c>
      <c r="AD1423" s="27">
        <f>IF(('Activity data'!AW17*EF!$H48*EF!$H66)*NtoN2O*kgtoGg=0,"NO",('Activity data'!AW17*EF!$H48*EF!$H66)*NtoN2O*kgtoGg)</f>
        <v>0.25847332541622875</v>
      </c>
      <c r="AE1423" s="27">
        <f>IF(('Activity data'!AX17*EF!$H48*EF!$H66)*NtoN2O*kgtoGg=0,"NO",('Activity data'!AX17*EF!$H48*EF!$H66)*NtoN2O*kgtoGg)</f>
        <v>0.25531599764072704</v>
      </c>
      <c r="AF1423" s="27">
        <f>IF(('Activity data'!AY17*EF!$H48*EF!$H66)*NtoN2O*kgtoGg=0,"NO",('Activity data'!AY17*EF!$H48*EF!$H66)*NtoN2O*kgtoGg)</f>
        <v>0.25175492240639524</v>
      </c>
      <c r="AG1423" s="27">
        <f>IF(('Activity data'!AZ17*EF!$H48*EF!$H66)*NtoN2O*kgtoGg=0,"NO",('Activity data'!AZ17*EF!$H48*EF!$H66)*NtoN2O*kgtoGg)</f>
        <v>0.2478037797344021</v>
      </c>
      <c r="AH1423" s="27">
        <f>IF(('Activity data'!BA17*EF!$H48*EF!$H66)*NtoN2O*kgtoGg=0,"NO",('Activity data'!BA17*EF!$H48*EF!$H66)*NtoN2O*kgtoGg)</f>
        <v>0.24347738783336567</v>
      </c>
      <c r="AI1423" s="27">
        <f>IF(('Activity data'!BB17*EF!$H48*EF!$H66)*NtoN2O*kgtoGg=0,"NO",('Activity data'!BB17*EF!$H48*EF!$H66)*NtoN2O*kgtoGg)</f>
        <v>0.23879237534138331</v>
      </c>
      <c r="AJ1423" s="27">
        <f>IF(('Activity data'!BC17*EF!$H48*EF!$H66)*NtoN2O*kgtoGg=0,"NO",('Activity data'!BC17*EF!$H48*EF!$H66)*NtoN2O*kgtoGg)</f>
        <v>-2.2251219051901461E-2</v>
      </c>
      <c r="AK1423" s="27">
        <f>IF(('Activity data'!BD17*EF!$H48*EF!$H66)*NtoN2O*kgtoGg=0,"NO",('Activity data'!BD17*EF!$H48*EF!$H66)*NtoN2O*kgtoGg)</f>
        <v>-2.2010329292297307E-2</v>
      </c>
      <c r="AL1423" s="27">
        <f>IF(('Activity data'!BE17*EF!$H48*EF!$H66)*NtoN2O*kgtoGg=0,"NO",('Activity data'!BE17*EF!$H48*EF!$H66)*NtoN2O*kgtoGg)</f>
        <v>-2.1768586076349947E-2</v>
      </c>
      <c r="AM1423" s="27">
        <f>IF(('Activity data'!BF17*EF!$H48*EF!$H66)*NtoN2O*kgtoGg=0,"NO",('Activity data'!BF17*EF!$H48*EF!$H66)*NtoN2O*kgtoGg)</f>
        <v>-2.1526240200831197E-2</v>
      </c>
      <c r="AN1423" s="27">
        <f>IF(('Activity data'!BG17*EF!$H48*EF!$H66)*NtoN2O*kgtoGg=0,"NO",('Activity data'!BG17*EF!$H48*EF!$H66)*NtoN2O*kgtoGg)</f>
        <v>-2.1283568844564598E-2</v>
      </c>
      <c r="AO1423" s="27">
        <f>IF(('Activity data'!BH17*EF!$H48*EF!$H66)*NtoN2O*kgtoGg=0,"NO",('Activity data'!BH17*EF!$H48*EF!$H66)*NtoN2O*kgtoGg)</f>
        <v>-2.1039928732674035E-2</v>
      </c>
      <c r="AP1423" s="27">
        <f>IF(('Activity data'!BI17*EF!$H48*EF!$H66)*NtoN2O*kgtoGg=0,"NO",('Activity data'!BI17*EF!$H48*EF!$H66)*NtoN2O*kgtoGg)</f>
        <v>-2.0794940089199746E-2</v>
      </c>
      <c r="AQ1423" s="27">
        <f>IF(('Activity data'!BJ17*EF!$H48*EF!$H66)*NtoN2O*kgtoGg=0,"NO",('Activity data'!BJ17*EF!$H48*EF!$H66)*NtoN2O*kgtoGg)</f>
        <v>-2.054862658012397E-2</v>
      </c>
      <c r="AR1423" s="27">
        <f>IF(('Activity data'!BK17*EF!$H48*EF!$H66)*NtoN2O*kgtoGg=0,"NO",('Activity data'!BK17*EF!$H48*EF!$H66)*NtoN2O*kgtoGg)</f>
        <v>-2.0300580022227385E-2</v>
      </c>
      <c r="AS1423" s="27">
        <f>IF(('Activity data'!BL17*EF!$H48*EF!$H66)*NtoN2O*kgtoGg=0,"NO",('Activity data'!BL17*EF!$H48*EF!$H66)*NtoN2O*kgtoGg)</f>
        <v>-2.0050376976853562E-2</v>
      </c>
      <c r="AT1423" s="27">
        <f>IF(('Activity data'!BM17*EF!$H48*EF!$H66)*NtoN2O*kgtoGg=0,"NO",('Activity data'!BM17*EF!$H48*EF!$H66)*NtoN2O*kgtoGg)</f>
        <v>-1.9798088456072588E-2</v>
      </c>
      <c r="AU1423" s="27">
        <f>IF(('Activity data'!BN17*EF!$H48*EF!$H66)*NtoN2O*kgtoGg=0,"NO",('Activity data'!BN17*EF!$H48*EF!$H66)*NtoN2O*kgtoGg)</f>
        <v>-1.9543924397373666E-2</v>
      </c>
      <c r="AV1423" s="27">
        <f>IF(('Activity data'!BO17*EF!$H48*EF!$H66)*NtoN2O*kgtoGg=0,"NO",('Activity data'!BO17*EF!$H48*EF!$H66)*NtoN2O*kgtoGg)</f>
        <v>-1.9288064378450123E-2</v>
      </c>
      <c r="AW1423" s="27">
        <f>IF(('Activity data'!BP17*EF!$H48*EF!$H66)*NtoN2O*kgtoGg=0,"NO",('Activity data'!BP17*EF!$H48*EF!$H66)*NtoN2O*kgtoGg)</f>
        <v>-1.9030154173993289E-2</v>
      </c>
    </row>
    <row r="1424" spans="1:49" x14ac:dyDescent="0.25">
      <c r="A1424" s="95" t="s">
        <v>960</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3.8131055665722169E-2</v>
      </c>
      <c r="L1424" s="27">
        <f>IF(('Activity data'!AE18*EF!$H49*EF!$H67)*NtoN2O*kgtoGg=0,"NO",('Activity data'!AE18*EF!$H49*EF!$H67)*NtoN2O*kgtoGg)</f>
        <v>3.7923788015899962E-2</v>
      </c>
      <c r="M1424" s="27">
        <f>IF(('Activity data'!AF18*EF!$H49*EF!$H67)*NtoN2O*kgtoGg=0,"NO",('Activity data'!AF18*EF!$H49*EF!$H67)*NtoN2O*kgtoGg)</f>
        <v>3.7940799901590251E-2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3.6243206089281214E-2</v>
      </c>
      <c r="Q1424" s="27">
        <f>IF(('Activity data'!AJ18*EF!$H49*EF!$H67)*NtoN2O*kgtoGg=0,"NO",('Activity data'!AJ18*EF!$H49*EF!$H67)*NtoN2O*kgtoGg)</f>
        <v>3.567656938754183E-2</v>
      </c>
      <c r="R1424" s="27">
        <f>IF(('Activity data'!AK18*EF!$H49*EF!$H67)*NtoN2O*kgtoGg=0,"NO",('Activity data'!AK18*EF!$H49*EF!$H67)*NtoN2O*kgtoGg)</f>
        <v>3.5160072434777256E-2</v>
      </c>
      <c r="S1424" s="27">
        <f>IF(('Activity data'!AL18*EF!$H49*EF!$H67)*NtoN2O*kgtoGg=0,"NO",('Activity data'!AL18*EF!$H49*EF!$H67)*NtoN2O*kgtoGg)</f>
        <v>3.1634371482160743E-2</v>
      </c>
      <c r="T1424" s="27">
        <f>IF(('Activity data'!AM18*EF!$H49*EF!$H67)*NtoN2O*kgtoGg=0,"NO",('Activity data'!AM18*EF!$H49*EF!$H67)*NtoN2O*kgtoGg)</f>
        <v>3.2763977603798337E-2</v>
      </c>
      <c r="U1424" s="27">
        <f>IF(('Activity data'!AN18*EF!$H49*EF!$H67)*NtoN2O*kgtoGg=0,"NO",('Activity data'!AN18*EF!$H49*EF!$H67)*NtoN2O*kgtoGg)</f>
        <v>0.10473065544757326</v>
      </c>
      <c r="V1424" s="27">
        <f>IF(('Activity data'!AO18*EF!$H49*EF!$H67)*NtoN2O*kgtoGg=0,"NO",('Activity data'!AO18*EF!$H49*EF!$H67)*NtoN2O*kgtoGg)</f>
        <v>0.10501774811954566</v>
      </c>
      <c r="W1424" s="27">
        <f>IF(('Activity data'!AP18*EF!$H49*EF!$H67)*NtoN2O*kgtoGg=0,"NO",('Activity data'!AP18*EF!$H49*EF!$H67)*NtoN2O*kgtoGg)</f>
        <v>0.10512377986429053</v>
      </c>
      <c r="X1424" s="27">
        <f>IF(('Activity data'!AQ18*EF!$H49*EF!$H67)*NtoN2O*kgtoGg=0,"NO",('Activity data'!AQ18*EF!$H49*EF!$H67)*NtoN2O*kgtoGg)</f>
        <v>0.10505353488080327</v>
      </c>
      <c r="Y1424" s="27">
        <f>IF(('Activity data'!AR18*EF!$H49*EF!$H67)*NtoN2O*kgtoGg=0,"NO",('Activity data'!AR18*EF!$H49*EF!$H67)*NtoN2O*kgtoGg)</f>
        <v>0.10481761055800391</v>
      </c>
      <c r="Z1424" s="27">
        <f>IF(('Activity data'!AS18*EF!$H49*EF!$H67)*NtoN2O*kgtoGg=0,"NO",('Activity data'!AS18*EF!$H49*EF!$H67)*NtoN2O*kgtoGg)</f>
        <v>0.10441383978193423</v>
      </c>
      <c r="AA1424" s="27">
        <f>IF(('Activity data'!AT18*EF!$H49*EF!$H67)*NtoN2O*kgtoGg=0,"NO",('Activity data'!AT18*EF!$H49*EF!$H67)*NtoN2O*kgtoGg)</f>
        <v>0.10384164230623445</v>
      </c>
      <c r="AB1424" s="27">
        <f>IF(('Activity data'!AU18*EF!$H49*EF!$H67)*NtoN2O*kgtoGg=0,"NO",('Activity data'!AU18*EF!$H49*EF!$H67)*NtoN2O*kgtoGg)</f>
        <v>0.10310107178604509</v>
      </c>
      <c r="AC1424" s="27">
        <f>IF(('Activity data'!AV18*EF!$H49*EF!$H67)*NtoN2O*kgtoGg=0,"NO",('Activity data'!AV18*EF!$H49*EF!$H67)*NtoN2O*kgtoGg)</f>
        <v>0.10219307807090795</v>
      </c>
      <c r="AD1424" s="27">
        <f>IF(('Activity data'!AW18*EF!$H49*EF!$H67)*NtoN2O*kgtoGg=0,"NO",('Activity data'!AW18*EF!$H49*EF!$H67)*NtoN2O*kgtoGg)</f>
        <v>0.10111999815723396</v>
      </c>
      <c r="AE1424" s="27">
        <f>IF(('Activity data'!AX18*EF!$H49*EF!$H67)*NtoN2O*kgtoGg=0,"NO",('Activity data'!AX18*EF!$H49*EF!$H67)*NtoN2O*kgtoGg)</f>
        <v>9.9884787605714245E-2</v>
      </c>
      <c r="AF1424" s="27">
        <f>IF(('Activity data'!AY18*EF!$H49*EF!$H67)*NtoN2O*kgtoGg=0,"NO",('Activity data'!AY18*EF!$H49*EF!$H67)*NtoN2O*kgtoGg)</f>
        <v>9.8491622873711313E-2</v>
      </c>
      <c r="AG1424" s="27">
        <f>IF(('Activity data'!AZ18*EF!$H49*EF!$H67)*NtoN2O*kgtoGg=0,"NO",('Activity data'!AZ18*EF!$H49*EF!$H67)*NtoN2O*kgtoGg)</f>
        <v>9.6945855862482944E-2</v>
      </c>
      <c r="AH1424" s="27">
        <f>IF(('Activity data'!BA18*EF!$H49*EF!$H67)*NtoN2O*kgtoGg=0,"NO",('Activity data'!BA18*EF!$H49*EF!$H67)*NtoN2O*kgtoGg)</f>
        <v>9.5253283755261486E-2</v>
      </c>
      <c r="AI1424" s="27">
        <f>IF(('Activity data'!BB18*EF!$H49*EF!$H67)*NtoN2O*kgtoGg=0,"NO",('Activity data'!BB18*EF!$H49*EF!$H67)*NtoN2O*kgtoGg)</f>
        <v>9.3420412011947257E-2</v>
      </c>
      <c r="AJ1424" s="27">
        <f>IF(('Activity data'!BC18*EF!$H49*EF!$H67)*NtoN2O*kgtoGg=0,"NO",('Activity data'!BC18*EF!$H49*EF!$H67)*NtoN2O*kgtoGg)</f>
        <v>-8.7051274087999644E-3</v>
      </c>
      <c r="AK1424" s="27">
        <f>IF(('Activity data'!BD18*EF!$H49*EF!$H67)*NtoN2O*kgtoGg=0,"NO",('Activity data'!BD18*EF!$H49*EF!$H67)*NtoN2O*kgtoGg)</f>
        <v>-8.6108864575991286E-3</v>
      </c>
      <c r="AL1424" s="27">
        <f>IF(('Activity data'!BE18*EF!$H49*EF!$H67)*NtoN2O*kgtoGg=0,"NO",('Activity data'!BE18*EF!$H49*EF!$H67)*NtoN2O*kgtoGg)</f>
        <v>-8.5163116169970788E-3</v>
      </c>
      <c r="AM1424" s="27">
        <f>IF(('Activity data'!BF18*EF!$H49*EF!$H67)*NtoN2O*kgtoGg=0,"NO",('Activity data'!BF18*EF!$H49*EF!$H67)*NtoN2O*kgtoGg)</f>
        <v>-8.4215010037687853E-3</v>
      </c>
      <c r="AN1424" s="27">
        <f>IF(('Activity data'!BG18*EF!$H49*EF!$H67)*NtoN2O*kgtoGg=0,"NO",('Activity data'!BG18*EF!$H49*EF!$H67)*NtoN2O*kgtoGg)</f>
        <v>-8.3265630558819938E-3</v>
      </c>
      <c r="AO1424" s="27">
        <f>IF(('Activity data'!BH18*EF!$H49*EF!$H67)*NtoN2O*kgtoGg=0,"NO",('Activity data'!BH18*EF!$H49*EF!$H67)*NtoN2O*kgtoGg)</f>
        <v>-8.2312461111809163E-3</v>
      </c>
      <c r="AP1424" s="27">
        <f>IF(('Activity data'!BI18*EF!$H49*EF!$H67)*NtoN2O*kgtoGg=0,"NO",('Activity data'!BI18*EF!$H49*EF!$H67)*NtoN2O*kgtoGg)</f>
        <v>-8.135401593620856E-3</v>
      </c>
      <c r="AQ1424" s="27">
        <f>IF(('Activity data'!BJ18*EF!$H49*EF!$H67)*NtoN2O*kgtoGg=0,"NO",('Activity data'!BJ18*EF!$H49*EF!$H67)*NtoN2O*kgtoGg)</f>
        <v>-8.0390387618132202E-3</v>
      </c>
      <c r="AR1424" s="27">
        <f>IF(('Activity data'!BK18*EF!$H49*EF!$H67)*NtoN2O*kgtoGg=0,"NO",('Activity data'!BK18*EF!$H49*EF!$H67)*NtoN2O*kgtoGg)</f>
        <v>-7.9419979262182108E-3</v>
      </c>
      <c r="AS1424" s="27">
        <f>IF(('Activity data'!BL18*EF!$H49*EF!$H67)*NtoN2O*kgtoGg=0,"NO",('Activity data'!BL18*EF!$H49*EF!$H67)*NtoN2O*kgtoGg)</f>
        <v>-7.8441134290601709E-3</v>
      </c>
      <c r="AT1424" s="27">
        <f>IF(('Activity data'!BM18*EF!$H49*EF!$H67)*NtoN2O*kgtoGg=0,"NO",('Activity data'!BM18*EF!$H49*EF!$H67)*NtoN2O*kgtoGg)</f>
        <v>-7.7454130516986675E-3</v>
      </c>
      <c r="AU1424" s="27">
        <f>IF(('Activity data'!BN18*EF!$H49*EF!$H67)*NtoN2O*kgtoGg=0,"NO",('Activity data'!BN18*EF!$H49*EF!$H67)*NtoN2O*kgtoGg)</f>
        <v>-7.6459789259300508E-3</v>
      </c>
      <c r="AV1424" s="27">
        <f>IF(('Activity data'!BO18*EF!$H49*EF!$H67)*NtoN2O*kgtoGg=0,"NO",('Activity data'!BO18*EF!$H49*EF!$H67)*NtoN2O*kgtoGg)</f>
        <v>-7.5458813061838152E-3</v>
      </c>
      <c r="AW1424" s="27">
        <f>IF(('Activity data'!BP18*EF!$H49*EF!$H67)*NtoN2O*kgtoGg=0,"NO",('Activity data'!BP18*EF!$H49*EF!$H67)*NtoN2O*kgtoGg)</f>
        <v>-7.444981612347289E-3</v>
      </c>
    </row>
    <row r="1425" spans="1:49" x14ac:dyDescent="0.25">
      <c r="A1425" s="95" t="s">
        <v>960</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0.3278422472608899</v>
      </c>
      <c r="L1425" s="27">
        <f>IF(('Activity data'!AE19*EF!$H50*EF!$H68)*NtoN2O*kgtoGg=0,"NO",('Activity data'!AE19*EF!$H50*EF!$H68)*NtoN2O*kgtoGg)</f>
        <v>0.33450793008613738</v>
      </c>
      <c r="M1425" s="27">
        <f>IF(('Activity data'!AF19*EF!$H50*EF!$H68)*NtoN2O*kgtoGg=0,"NO",('Activity data'!AF19*EF!$H50*EF!$H68)*NtoN2O*kgtoGg)</f>
        <v>0.34229948156355033</v>
      </c>
      <c r="N1425" s="27">
        <f>IF(('Activity data'!AG19*EF!$H50*EF!$H68)*NtoN2O*kgtoGg=0,"NO",('Activity data'!AG19*EF!$H50*EF!$H68)*NtoN2O*kgtoGg)</f>
        <v>0.34828124731402305</v>
      </c>
      <c r="O1425" s="27">
        <f>IF(('Activity data'!AH19*EF!$H50*EF!$H68)*NtoN2O*kgtoGg=0,"NO",('Activity data'!AH19*EF!$H50*EF!$H68)*NtoN2O*kgtoGg)</f>
        <v>0.35308310351311478</v>
      </c>
      <c r="P1425" s="27">
        <f>IF(('Activity data'!AI19*EF!$H50*EF!$H68)*NtoN2O*kgtoGg=0,"NO",('Activity data'!AI19*EF!$H50*EF!$H68)*NtoN2O*kgtoGg)</f>
        <v>0.35667649320457162</v>
      </c>
      <c r="Q1425" s="27">
        <f>IF(('Activity data'!AJ19*EF!$H50*EF!$H68)*NtoN2O*kgtoGg=0,"NO",('Activity data'!AJ19*EF!$H50*EF!$H68)*NtoN2O*kgtoGg)</f>
        <v>0.36128421068096001</v>
      </c>
      <c r="R1425" s="27">
        <f>IF(('Activity data'!AK19*EF!$H50*EF!$H68)*NtoN2O*kgtoGg=0,"NO",('Activity data'!AK19*EF!$H50*EF!$H68)*NtoN2O*kgtoGg)</f>
        <v>0.36607496135357975</v>
      </c>
      <c r="S1425" s="27">
        <f>IF(('Activity data'!AL19*EF!$H50*EF!$H68)*NtoN2O*kgtoGg=0,"NO",('Activity data'!AL19*EF!$H50*EF!$H68)*NtoN2O*kgtoGg)</f>
        <v>0.35164354142672727</v>
      </c>
      <c r="T1425" s="27">
        <f>IF(('Activity data'!AM19*EF!$H50*EF!$H68)*NtoN2O*kgtoGg=0,"NO",('Activity data'!AM19*EF!$H50*EF!$H68)*NtoN2O*kgtoGg)</f>
        <v>0.36454239171647873</v>
      </c>
      <c r="U1425" s="27">
        <f>IF(('Activity data'!AN19*EF!$H50*EF!$H68)*NtoN2O*kgtoGg=0,"NO",('Activity data'!AN19*EF!$H50*EF!$H68)*NtoN2O*kgtoGg)</f>
        <v>0.81017234402499216</v>
      </c>
      <c r="V1425" s="27">
        <f>IF(('Activity data'!AO19*EF!$H50*EF!$H68)*NtoN2O*kgtoGg=0,"NO",('Activity data'!AO19*EF!$H50*EF!$H68)*NtoN2O*kgtoGg)</f>
        <v>0.82798351635276735</v>
      </c>
      <c r="W1425" s="27">
        <f>IF(('Activity data'!AP19*EF!$H50*EF!$H68)*NtoN2O*kgtoGg=0,"NO",('Activity data'!AP19*EF!$H50*EF!$H68)*NtoN2O*kgtoGg)</f>
        <v>0.84506426194084328</v>
      </c>
      <c r="X1425" s="27">
        <f>IF(('Activity data'!AQ19*EF!$H50*EF!$H68)*NtoN2O*kgtoGg=0,"NO",('Activity data'!AQ19*EF!$H50*EF!$H68)*NtoN2O*kgtoGg)</f>
        <v>0.86126373168327053</v>
      </c>
      <c r="Y1425" s="27">
        <f>IF(('Activity data'!AR19*EF!$H50*EF!$H68)*NtoN2O*kgtoGg=0,"NO",('Activity data'!AR19*EF!$H50*EF!$H68)*NtoN2O*kgtoGg)</f>
        <v>0.8763773651993314</v>
      </c>
      <c r="Z1425" s="27">
        <f>IF(('Activity data'!AS19*EF!$H50*EF!$H68)*NtoN2O*kgtoGg=0,"NO",('Activity data'!AS19*EF!$H50*EF!$H68)*NtoN2O*kgtoGg)</f>
        <v>0.89033910907341196</v>
      </c>
      <c r="AA1425" s="27">
        <f>IF(('Activity data'!AT19*EF!$H50*EF!$H68)*NtoN2O*kgtoGg=0,"NO",('Activity data'!AT19*EF!$H50*EF!$H68)*NtoN2O*kgtoGg)</f>
        <v>0.90308174157394194</v>
      </c>
      <c r="AB1425" s="27">
        <f>IF(('Activity data'!AU19*EF!$H50*EF!$H68)*NtoN2O*kgtoGg=0,"NO",('Activity data'!AU19*EF!$H50*EF!$H68)*NtoN2O*kgtoGg)</f>
        <v>0.91454727526335933</v>
      </c>
      <c r="AC1425" s="27">
        <f>IF(('Activity data'!AV19*EF!$H50*EF!$H68)*NtoN2O*kgtoGg=0,"NO",('Activity data'!AV19*EF!$H50*EF!$H68)*NtoN2O*kgtoGg)</f>
        <v>0.92468482420589437</v>
      </c>
      <c r="AD1425" s="27">
        <f>IF(('Activity data'!AW19*EF!$H50*EF!$H68)*NtoN2O*kgtoGg=0,"NO",('Activity data'!AW19*EF!$H50*EF!$H68)*NtoN2O*kgtoGg)</f>
        <v>0.93344536277323964</v>
      </c>
      <c r="AE1425" s="27">
        <f>IF(('Activity data'!AX19*EF!$H50*EF!$H68)*NtoN2O*kgtoGg=0,"NO",('Activity data'!AX19*EF!$H50*EF!$H68)*NtoN2O*kgtoGg)</f>
        <v>0.94079043302909848</v>
      </c>
      <c r="AF1425" s="27">
        <f>IF(('Activity data'!AY19*EF!$H50*EF!$H68)*NtoN2O*kgtoGg=0,"NO",('Activity data'!AY19*EF!$H50*EF!$H68)*NtoN2O*kgtoGg)</f>
        <v>0.94668534064993604</v>
      </c>
      <c r="AG1425" s="27">
        <f>IF(('Activity data'!AZ19*EF!$H50*EF!$H68)*NtoN2O*kgtoGg=0,"NO",('Activity data'!AZ19*EF!$H50*EF!$H68)*NtoN2O*kgtoGg)</f>
        <v>0.95109922865749519</v>
      </c>
      <c r="AH1425" s="27">
        <f>IF(('Activity data'!BA19*EF!$H50*EF!$H68)*NtoN2O*kgtoGg=0,"NO",('Activity data'!BA19*EF!$H50*EF!$H68)*NtoN2O*kgtoGg)</f>
        <v>0.95401351999914974</v>
      </c>
      <c r="AI1425" s="27">
        <f>IF(('Activity data'!BB19*EF!$H50*EF!$H68)*NtoN2O*kgtoGg=0,"NO",('Activity data'!BB19*EF!$H50*EF!$H68)*NtoN2O*kgtoGg)</f>
        <v>0.95541860028387315</v>
      </c>
      <c r="AJ1425" s="27">
        <f>IF(('Activity data'!BC19*EF!$H50*EF!$H68)*NtoN2O*kgtoGg=0,"NO",('Activity data'!BC19*EF!$H50*EF!$H68)*NtoN2O*kgtoGg)</f>
        <v>0.12455157965260578</v>
      </c>
      <c r="AK1425" s="27">
        <f>IF(('Activity data'!BD19*EF!$H50*EF!$H68)*NtoN2O*kgtoGg=0,"NO",('Activity data'!BD19*EF!$H50*EF!$H68)*NtoN2O*kgtoGg)</f>
        <v>0.12546570662729262</v>
      </c>
      <c r="AL1425" s="27">
        <f>IF(('Activity data'!BE19*EF!$H50*EF!$H68)*NtoN2O*kgtoGg=0,"NO",('Activity data'!BE19*EF!$H50*EF!$H68)*NtoN2O*kgtoGg)</f>
        <v>0.12635717357285206</v>
      </c>
      <c r="AM1425" s="27">
        <f>IF(('Activity data'!BF19*EF!$H50*EF!$H68)*NtoN2O*kgtoGg=0,"NO",('Activity data'!BF19*EF!$H50*EF!$H68)*NtoN2O*kgtoGg)</f>
        <v>0.12722732342881915</v>
      </c>
      <c r="AN1425" s="27">
        <f>IF(('Activity data'!BG19*EF!$H50*EF!$H68)*NtoN2O*kgtoGg=0,"NO",('Activity data'!BG19*EF!$H50*EF!$H68)*NtoN2O*kgtoGg)</f>
        <v>0.12807770428267184</v>
      </c>
      <c r="AO1425" s="27">
        <f>IF(('Activity data'!BH19*EF!$H50*EF!$H68)*NtoN2O*kgtoGg=0,"NO",('Activity data'!BH19*EF!$H50*EF!$H68)*NtoN2O*kgtoGg)</f>
        <v>0.12890482942711159</v>
      </c>
      <c r="AP1425" s="27">
        <f>IF(('Activity data'!BI19*EF!$H50*EF!$H68)*NtoN2O*kgtoGg=0,"NO",('Activity data'!BI19*EF!$H50*EF!$H68)*NtoN2O*kgtoGg)</f>
        <v>0.12970640273413572</v>
      </c>
      <c r="AQ1425" s="27">
        <f>IF(('Activity data'!BJ19*EF!$H50*EF!$H68)*NtoN2O*kgtoGg=0,"NO",('Activity data'!BJ19*EF!$H50*EF!$H68)*NtoN2O*kgtoGg)</f>
        <v>0.13048225510266878</v>
      </c>
      <c r="AR1425" s="27">
        <f>IF(('Activity data'!BK19*EF!$H50*EF!$H68)*NtoN2O*kgtoGg=0,"NO",('Activity data'!BK19*EF!$H50*EF!$H68)*NtoN2O*kgtoGg)</f>
        <v>0.13122965143314799</v>
      </c>
      <c r="AS1425" s="27">
        <f>IF(('Activity data'!BL19*EF!$H50*EF!$H68)*NtoN2O*kgtoGg=0,"NO",('Activity data'!BL19*EF!$H50*EF!$H68)*NtoN2O*kgtoGg)</f>
        <v>0.13194554686006624</v>
      </c>
      <c r="AT1425" s="27">
        <f>IF(('Activity data'!BM19*EF!$H50*EF!$H68)*NtoN2O*kgtoGg=0,"NO",('Activity data'!BM19*EF!$H50*EF!$H68)*NtoN2O*kgtoGg)</f>
        <v>0.1326296750998292</v>
      </c>
      <c r="AU1425" s="27">
        <f>IF(('Activity data'!BN19*EF!$H50*EF!$H68)*NtoN2O*kgtoGg=0,"NO",('Activity data'!BN19*EF!$H50*EF!$H68)*NtoN2O*kgtoGg)</f>
        <v>0.13328261317396048</v>
      </c>
      <c r="AV1425" s="27">
        <f>IF(('Activity data'!BO19*EF!$H50*EF!$H68)*NtoN2O*kgtoGg=0,"NO",('Activity data'!BO19*EF!$H50*EF!$H68)*NtoN2O*kgtoGg)</f>
        <v>0.1339047918740231</v>
      </c>
      <c r="AW1425" s="27">
        <f>IF(('Activity data'!BP19*EF!$H50*EF!$H68)*NtoN2O*kgtoGg=0,"NO",('Activity data'!BP19*EF!$H50*EF!$H68)*NtoN2O*kgtoGg)</f>
        <v>0.13449324202045793</v>
      </c>
    </row>
    <row r="1426" spans="1:49" x14ac:dyDescent="0.25">
      <c r="A1426" s="95" t="s">
        <v>960</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1.7017151675634967</v>
      </c>
      <c r="L1426" s="27">
        <f>IF(('Activity data'!AE20*EF!$H51*EF!$H69)*NtoN2O*kgtoGg=0,"NO",('Activity data'!AE20*EF!$H51*EF!$H69)*NtoN2O*kgtoGg)</f>
        <v>1.724123714732765</v>
      </c>
      <c r="M1426" s="27">
        <f>IF(('Activity data'!AF20*EF!$H51*EF!$H69)*NtoN2O*kgtoGg=0,"NO",('Activity data'!AF20*EF!$H51*EF!$H69)*NtoN2O*kgtoGg)</f>
        <v>1.7601182693498119</v>
      </c>
      <c r="N1426" s="27">
        <f>IF(('Activity data'!AG20*EF!$H51*EF!$H69)*NtoN2O*kgtoGg=0,"NO",('Activity data'!AG20*EF!$H51*EF!$H69)*NtoN2O*kgtoGg)</f>
        <v>1.7704533576020518</v>
      </c>
      <c r="O1426" s="27">
        <f>IF(('Activity data'!AH20*EF!$H51*EF!$H69)*NtoN2O*kgtoGg=0,"NO",('Activity data'!AH20*EF!$H51*EF!$H69)*NtoN2O*kgtoGg)</f>
        <v>1.7641159598844758</v>
      </c>
      <c r="P1426" s="27">
        <f>IF(('Activity data'!AI20*EF!$H51*EF!$H69)*NtoN2O*kgtoGg=0,"NO",('Activity data'!AI20*EF!$H51*EF!$H69)*NtoN2O*kgtoGg)</f>
        <v>1.741173502214217</v>
      </c>
      <c r="Q1426" s="27">
        <f>IF(('Activity data'!AJ20*EF!$H51*EF!$H69)*NtoN2O*kgtoGg=0,"NO",('Activity data'!AJ20*EF!$H51*EF!$H69)*NtoN2O*kgtoGg)</f>
        <v>1.7315152516158581</v>
      </c>
      <c r="R1426" s="27">
        <f>IF(('Activity data'!AK20*EF!$H51*EF!$H69)*NtoN2O*kgtoGg=0,"NO",('Activity data'!AK20*EF!$H51*EF!$H69)*NtoN2O*kgtoGg)</f>
        <v>1.7240481490859689</v>
      </c>
      <c r="S1426" s="27">
        <f>IF(('Activity data'!AL20*EF!$H51*EF!$H69)*NtoN2O*kgtoGg=0,"NO",('Activity data'!AL20*EF!$H51*EF!$H69)*NtoN2O*kgtoGg)</f>
        <v>1.5035639635767468</v>
      </c>
      <c r="T1426" s="27">
        <f>IF(('Activity data'!AM20*EF!$H51*EF!$H69)*NtoN2O*kgtoGg=0,"NO",('Activity data'!AM20*EF!$H51*EF!$H69)*NtoN2O*kgtoGg)</f>
        <v>1.6173540495561818</v>
      </c>
      <c r="U1426" s="27">
        <f>IF(('Activity data'!AN20*EF!$H51*EF!$H69)*NtoN2O*kgtoGg=0,"NO",('Activity data'!AN20*EF!$H51*EF!$H69)*NtoN2O*kgtoGg)</f>
        <v>7.0326605429040603</v>
      </c>
      <c r="V1426" s="27">
        <f>IF(('Activity data'!AO20*EF!$H51*EF!$H69)*NtoN2O*kgtoGg=0,"NO",('Activity data'!AO20*EF!$H51*EF!$H69)*NtoN2O*kgtoGg)</f>
        <v>7.1587444728308389</v>
      </c>
      <c r="W1426" s="27">
        <f>IF(('Activity data'!AP20*EF!$H51*EF!$H69)*NtoN2O*kgtoGg=0,"NO",('Activity data'!AP20*EF!$H51*EF!$H69)*NtoN2O*kgtoGg)</f>
        <v>7.2707564931151909</v>
      </c>
      <c r="X1426" s="27">
        <f>IF(('Activity data'!AQ20*EF!$H51*EF!$H69)*NtoN2O*kgtoGg=0,"NO",('Activity data'!AQ20*EF!$H51*EF!$H69)*NtoN2O*kgtoGg)</f>
        <v>7.3691748844835665</v>
      </c>
      <c r="Y1426" s="27">
        <f>IF(('Activity data'!AR20*EF!$H51*EF!$H69)*NtoN2O*kgtoGg=0,"NO",('Activity data'!AR20*EF!$H51*EF!$H69)*NtoN2O*kgtoGg)</f>
        <v>7.4553371690594963</v>
      </c>
      <c r="Z1426" s="27">
        <f>IF(('Activity data'!AS20*EF!$H51*EF!$H69)*NtoN2O*kgtoGg=0,"NO",('Activity data'!AS20*EF!$H51*EF!$H69)*NtoN2O*kgtoGg)</f>
        <v>7.5285970501173791</v>
      </c>
      <c r="AA1426" s="27">
        <f>IF(('Activity data'!AT20*EF!$H51*EF!$H69)*NtoN2O*kgtoGg=0,"NO",('Activity data'!AT20*EF!$H51*EF!$H69)*NtoN2O*kgtoGg)</f>
        <v>7.5884583464710351</v>
      </c>
      <c r="AB1426" s="27">
        <f>IF(('Activity data'!AU20*EF!$H51*EF!$H69)*NtoN2O*kgtoGg=0,"NO",('Activity data'!AU20*EF!$H51*EF!$H69)*NtoN2O*kgtoGg)</f>
        <v>7.6344333579538368</v>
      </c>
      <c r="AC1426" s="27">
        <f>IF(('Activity data'!AV20*EF!$H51*EF!$H69)*NtoN2O*kgtoGg=0,"NO",('Activity data'!AV20*EF!$H51*EF!$H69)*NtoN2O*kgtoGg)</f>
        <v>7.6660871188162911</v>
      </c>
      <c r="AD1426" s="27">
        <f>IF(('Activity data'!AW20*EF!$H51*EF!$H69)*NtoN2O*kgtoGg=0,"NO",('Activity data'!AW20*EF!$H51*EF!$H69)*NtoN2O*kgtoGg)</f>
        <v>7.6831230278292386</v>
      </c>
      <c r="AE1426" s="27">
        <f>IF(('Activity data'!AX20*EF!$H51*EF!$H69)*NtoN2O*kgtoGg=0,"NO",('Activity data'!AX20*EF!$H51*EF!$H69)*NtoN2O*kgtoGg)</f>
        <v>7.6852660983393646</v>
      </c>
      <c r="AF1426" s="27">
        <f>IF(('Activity data'!AY20*EF!$H51*EF!$H69)*NtoN2O*kgtoGg=0,"NO",('Activity data'!AY20*EF!$H51*EF!$H69)*NtoN2O*kgtoGg)</f>
        <v>7.6723681593235442</v>
      </c>
      <c r="AG1426" s="27">
        <f>IF(('Activity data'!AZ20*EF!$H51*EF!$H69)*NtoN2O*kgtoGg=0,"NO",('Activity data'!AZ20*EF!$H51*EF!$H69)*NtoN2O*kgtoGg)</f>
        <v>7.6444112062228218</v>
      </c>
      <c r="AH1426" s="27">
        <f>IF(('Activity data'!BA20*EF!$H51*EF!$H69)*NtoN2O*kgtoGg=0,"NO",('Activity data'!BA20*EF!$H51*EF!$H69)*NtoN2O*kgtoGg)</f>
        <v>7.601393060420655</v>
      </c>
      <c r="AI1426" s="27">
        <f>IF(('Activity data'!BB20*EF!$H51*EF!$H69)*NtoN2O*kgtoGg=0,"NO",('Activity data'!BB20*EF!$H51*EF!$H69)*NtoN2O*kgtoGg)</f>
        <v>7.5433781605278138</v>
      </c>
      <c r="AJ1426" s="27">
        <f>IF(('Activity data'!BC20*EF!$H51*EF!$H69)*NtoN2O*kgtoGg=0,"NO",('Activity data'!BC20*EF!$H51*EF!$H69)*NtoN2O*kgtoGg)</f>
        <v>-1.6108210655566082</v>
      </c>
      <c r="AK1426" s="27">
        <f>IF(('Activity data'!BD20*EF!$H51*EF!$H69)*NtoN2O*kgtoGg=0,"NO",('Activity data'!BD20*EF!$H51*EF!$H69)*NtoN2O*kgtoGg)</f>
        <v>-1.613100635371139</v>
      </c>
      <c r="AL1426" s="27">
        <f>IF(('Activity data'!BE20*EF!$H51*EF!$H69)*NtoN2O*kgtoGg=0,"NO",('Activity data'!BE20*EF!$H51*EF!$H69)*NtoN2O*kgtoGg)</f>
        <v>-1.6151647470887973</v>
      </c>
      <c r="AM1426" s="27">
        <f>IF(('Activity data'!BF20*EF!$H51*EF!$H69)*NtoN2O*kgtoGg=0,"NO",('Activity data'!BF20*EF!$H51*EF!$H69)*NtoN2O*kgtoGg)</f>
        <v>-1.6170309534265412</v>
      </c>
      <c r="AN1426" s="27">
        <f>IF(('Activity data'!BG20*EF!$H51*EF!$H69)*NtoN2O*kgtoGg=0,"NO",('Activity data'!BG20*EF!$H51*EF!$H69)*NtoN2O*kgtoGg)</f>
        <v>-1.6187193219312461</v>
      </c>
      <c r="AO1426" s="27">
        <f>IF(('Activity data'!BH20*EF!$H51*EF!$H69)*NtoN2O*kgtoGg=0,"NO",('Activity data'!BH20*EF!$H51*EF!$H69)*NtoN2O*kgtoGg)</f>
        <v>-1.6201827321446018</v>
      </c>
      <c r="AP1426" s="27">
        <f>IF(('Activity data'!BI20*EF!$H51*EF!$H69)*NtoN2O*kgtoGg=0,"NO",('Activity data'!BI20*EF!$H51*EF!$H69)*NtoN2O*kgtoGg)</f>
        <v>-1.6213910531514668</v>
      </c>
      <c r="AQ1426" s="27">
        <f>IF(('Activity data'!BJ20*EF!$H51*EF!$H69)*NtoN2O*kgtoGg=0,"NO",('Activity data'!BJ20*EF!$H51*EF!$H69)*NtoN2O*kgtoGg)</f>
        <v>-1.6223429170122639</v>
      </c>
      <c r="AR1426" s="27">
        <f>IF(('Activity data'!BK20*EF!$H51*EF!$H69)*NtoN2O*kgtoGg=0,"NO",('Activity data'!BK20*EF!$H51*EF!$H69)*NtoN2O*kgtoGg)</f>
        <v>-1.623003587370585</v>
      </c>
      <c r="AS1426" s="27">
        <f>IF(('Activity data'!BL20*EF!$H51*EF!$H69)*NtoN2O*kgtoGg=0,"NO",('Activity data'!BL20*EF!$H51*EF!$H69)*NtoN2O*kgtoGg)</f>
        <v>-1.6233351759618906</v>
      </c>
      <c r="AT1426" s="27">
        <f>IF(('Activity data'!BM20*EF!$H51*EF!$H69)*NtoN2O*kgtoGg=0,"NO",('Activity data'!BM20*EF!$H51*EF!$H69)*NtoN2O*kgtoGg)</f>
        <v>-1.623336597056291</v>
      </c>
      <c r="AU1426" s="27">
        <f>IF(('Activity data'!BN20*EF!$H51*EF!$H69)*NtoN2O*kgtoGg=0,"NO",('Activity data'!BN20*EF!$H51*EF!$H69)*NtoN2O*kgtoGg)</f>
        <v>-1.6230176880430305</v>
      </c>
      <c r="AV1426" s="27">
        <f>IF(('Activity data'!BO20*EF!$H51*EF!$H69)*NtoN2O*kgtoGg=0,"NO",('Activity data'!BO20*EF!$H51*EF!$H69)*NtoN2O*kgtoGg)</f>
        <v>-1.6223862668543294</v>
      </c>
      <c r="AW1426" s="27">
        <f>IF(('Activity data'!BP20*EF!$H51*EF!$H69)*NtoN2O*kgtoGg=0,"NO",('Activity data'!BP20*EF!$H51*EF!$H69)*NtoN2O*kgtoGg)</f>
        <v>-1.6214068147422027</v>
      </c>
    </row>
    <row r="1427" spans="1:49" x14ac:dyDescent="0.25">
      <c r="A1427" s="95" t="s">
        <v>960</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1.3660093635870426E-2</v>
      </c>
      <c r="L1427" s="27">
        <f>IF(('Activity data'!AE21*EF!$H52*EF!$H70)*NtoN2O*kgtoGg=0,"NO",('Activity data'!AE21*EF!$H52*EF!$H70)*NtoN2O*kgtoGg)</f>
        <v>1.3937830420255738E-2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1.4861520550190495E-2</v>
      </c>
      <c r="Q1427" s="27">
        <f>IF(('Activity data'!AJ21*EF!$H52*EF!$H70)*NtoN2O*kgtoGg=0,"NO",('Activity data'!AJ21*EF!$H52*EF!$H70)*NtoN2O*kgtoGg)</f>
        <v>1.5053508778373347E-2</v>
      </c>
      <c r="R1427" s="27">
        <f>IF(('Activity data'!AK21*EF!$H52*EF!$H70)*NtoN2O*kgtoGg=0,"NO",('Activity data'!AK21*EF!$H52*EF!$H70)*NtoN2O*kgtoGg)</f>
        <v>1.5253123389732505E-2</v>
      </c>
      <c r="S1427" s="27">
        <f>IF(('Activity data'!AL21*EF!$H52*EF!$H70)*NtoN2O*kgtoGg=0,"NO",('Activity data'!AL21*EF!$H52*EF!$H70)*NtoN2O*kgtoGg)</f>
        <v>1.4651814226113646E-2</v>
      </c>
      <c r="T1427" s="27">
        <f>IF(('Activity data'!AM21*EF!$H52*EF!$H70)*NtoN2O*kgtoGg=0,"NO",('Activity data'!AM21*EF!$H52*EF!$H70)*NtoN2O*kgtoGg)</f>
        <v>1.5189266321519962E-2</v>
      </c>
      <c r="U1427" s="27">
        <f>IF(('Activity data'!AN21*EF!$H52*EF!$H70)*NtoN2O*kgtoGg=0,"NO",('Activity data'!AN21*EF!$H52*EF!$H70)*NtoN2O*kgtoGg)</f>
        <v>3.3757181001041366E-2</v>
      </c>
      <c r="V1427" s="27">
        <f>IF(('Activity data'!AO21*EF!$H52*EF!$H70)*NtoN2O*kgtoGg=0,"NO",('Activity data'!AO21*EF!$H52*EF!$H70)*NtoN2O*kgtoGg)</f>
        <v>3.4499313181365336E-2</v>
      </c>
      <c r="W1427" s="27">
        <f>IF(('Activity data'!AP21*EF!$H52*EF!$H70)*NtoN2O*kgtoGg=0,"NO",('Activity data'!AP21*EF!$H52*EF!$H70)*NtoN2O*kgtoGg)</f>
        <v>3.5211010914201833E-2</v>
      </c>
      <c r="X1427" s="27">
        <f>IF(('Activity data'!AQ21*EF!$H52*EF!$H70)*NtoN2O*kgtoGg=0,"NO",('Activity data'!AQ21*EF!$H52*EF!$H70)*NtoN2O*kgtoGg)</f>
        <v>3.5885988820136307E-2</v>
      </c>
      <c r="Y1427" s="27">
        <f>IF(('Activity data'!AR21*EF!$H52*EF!$H70)*NtoN2O*kgtoGg=0,"NO",('Activity data'!AR21*EF!$H52*EF!$H70)*NtoN2O*kgtoGg)</f>
        <v>3.6515723549972179E-2</v>
      </c>
      <c r="Z1427" s="27">
        <f>IF(('Activity data'!AS21*EF!$H52*EF!$H70)*NtoN2O*kgtoGg=0,"NO",('Activity data'!AS21*EF!$H52*EF!$H70)*NtoN2O*kgtoGg)</f>
        <v>3.7097462878058866E-2</v>
      </c>
      <c r="AA1427" s="27">
        <f>IF(('Activity data'!AT21*EF!$H52*EF!$H70)*NtoN2O*kgtoGg=0,"NO",('Activity data'!AT21*EF!$H52*EF!$H70)*NtoN2O*kgtoGg)</f>
        <v>3.7628405898914287E-2</v>
      </c>
      <c r="AB1427" s="27">
        <f>IF(('Activity data'!AU21*EF!$H52*EF!$H70)*NtoN2O*kgtoGg=0,"NO",('Activity data'!AU21*EF!$H52*EF!$H70)*NtoN2O*kgtoGg)</f>
        <v>3.8106136469306676E-2</v>
      </c>
      <c r="AC1427" s="27">
        <f>IF(('Activity data'!AV21*EF!$H52*EF!$H70)*NtoN2O*kgtoGg=0,"NO",('Activity data'!AV21*EF!$H52*EF!$H70)*NtoN2O*kgtoGg)</f>
        <v>3.85285343419123E-2</v>
      </c>
      <c r="AD1427" s="27">
        <f>IF(('Activity data'!AW21*EF!$H52*EF!$H70)*NtoN2O*kgtoGg=0,"NO",('Activity data'!AW21*EF!$H52*EF!$H70)*NtoN2O*kgtoGg)</f>
        <v>3.8893556782218362E-2</v>
      </c>
      <c r="AE1427" s="27">
        <f>IF(('Activity data'!AX21*EF!$H52*EF!$H70)*NtoN2O*kgtoGg=0,"NO",('Activity data'!AX21*EF!$H52*EF!$H70)*NtoN2O*kgtoGg)</f>
        <v>3.9199601376212471E-2</v>
      </c>
      <c r="AF1427" s="27">
        <f>IF(('Activity data'!AY21*EF!$H52*EF!$H70)*NtoN2O*kgtoGg=0,"NO",('Activity data'!AY21*EF!$H52*EF!$H70)*NtoN2O*kgtoGg)</f>
        <v>3.9445222527080714E-2</v>
      </c>
      <c r="AG1427" s="27">
        <f>IF(('Activity data'!AZ21*EF!$H52*EF!$H70)*NtoN2O*kgtoGg=0,"NO",('Activity data'!AZ21*EF!$H52*EF!$H70)*NtoN2O*kgtoGg)</f>
        <v>3.9629134527395672E-2</v>
      </c>
      <c r="AH1427" s="27">
        <f>IF(('Activity data'!BA21*EF!$H52*EF!$H70)*NtoN2O*kgtoGg=0,"NO",('Activity data'!BA21*EF!$H52*EF!$H70)*NtoN2O*kgtoGg)</f>
        <v>3.9750563333297947E-2</v>
      </c>
      <c r="AI1427" s="27">
        <f>IF(('Activity data'!BB21*EF!$H52*EF!$H70)*NtoN2O*kgtoGg=0,"NO",('Activity data'!BB21*EF!$H52*EF!$H70)*NtoN2O*kgtoGg)</f>
        <v>3.9809108345161416E-2</v>
      </c>
      <c r="AJ1427" s="27">
        <f>IF(('Activity data'!BC21*EF!$H52*EF!$H70)*NtoN2O*kgtoGg=0,"NO",('Activity data'!BC21*EF!$H52*EF!$H70)*NtoN2O*kgtoGg)</f>
        <v>5.189649152191912E-3</v>
      </c>
      <c r="AK1427" s="27">
        <f>IF(('Activity data'!BD21*EF!$H52*EF!$H70)*NtoN2O*kgtoGg=0,"NO",('Activity data'!BD21*EF!$H52*EF!$H70)*NtoN2O*kgtoGg)</f>
        <v>5.2277377761371976E-3</v>
      </c>
      <c r="AL1427" s="27">
        <f>IF(('Activity data'!BE21*EF!$H52*EF!$H70)*NtoN2O*kgtoGg=0,"NO",('Activity data'!BE21*EF!$H52*EF!$H70)*NtoN2O*kgtoGg)</f>
        <v>5.2648822322021753E-3</v>
      </c>
      <c r="AM1427" s="27">
        <f>IF(('Activity data'!BF21*EF!$H52*EF!$H70)*NtoN2O*kgtoGg=0,"NO",('Activity data'!BF21*EF!$H52*EF!$H70)*NtoN2O*kgtoGg)</f>
        <v>5.3011384762008023E-3</v>
      </c>
      <c r="AN1427" s="27">
        <f>IF(('Activity data'!BG21*EF!$H52*EF!$H70)*NtoN2O*kgtoGg=0,"NO",('Activity data'!BG21*EF!$H52*EF!$H70)*NtoN2O*kgtoGg)</f>
        <v>5.3365710117779979E-3</v>
      </c>
      <c r="AO1427" s="27">
        <f>IF(('Activity data'!BH21*EF!$H52*EF!$H70)*NtoN2O*kgtoGg=0,"NO",('Activity data'!BH21*EF!$H52*EF!$H70)*NtoN2O*kgtoGg)</f>
        <v>5.3710345594629892E-3</v>
      </c>
      <c r="AP1427" s="27">
        <f>IF(('Activity data'!BI21*EF!$H52*EF!$H70)*NtoN2O*kgtoGg=0,"NO",('Activity data'!BI21*EF!$H52*EF!$H70)*NtoN2O*kgtoGg)</f>
        <v>5.4044334472556589E-3</v>
      </c>
      <c r="AQ1427" s="27">
        <f>IF(('Activity data'!BJ21*EF!$H52*EF!$H70)*NtoN2O*kgtoGg=0,"NO",('Activity data'!BJ21*EF!$H52*EF!$H70)*NtoN2O*kgtoGg)</f>
        <v>5.4367606292778717E-3</v>
      </c>
      <c r="AR1427" s="27">
        <f>IF(('Activity data'!BK21*EF!$H52*EF!$H70)*NtoN2O*kgtoGg=0,"NO",('Activity data'!BK21*EF!$H52*EF!$H70)*NtoN2O*kgtoGg)</f>
        <v>5.4679021430478368E-3</v>
      </c>
      <c r="AS1427" s="27">
        <f>IF(('Activity data'!BL21*EF!$H52*EF!$H70)*NtoN2O*kgtoGg=0,"NO",('Activity data'!BL21*EF!$H52*EF!$H70)*NtoN2O*kgtoGg)</f>
        <v>5.4977311191694326E-3</v>
      </c>
      <c r="AT1427" s="27">
        <f>IF(('Activity data'!BM21*EF!$H52*EF!$H70)*NtoN2O*kgtoGg=0,"NO",('Activity data'!BM21*EF!$H52*EF!$H70)*NtoN2O*kgtoGg)</f>
        <v>5.5262364624928872E-3</v>
      </c>
      <c r="AU1427" s="27">
        <f>IF(('Activity data'!BN21*EF!$H52*EF!$H70)*NtoN2O*kgtoGg=0,"NO",('Activity data'!BN21*EF!$H52*EF!$H70)*NtoN2O*kgtoGg)</f>
        <v>5.5534422155816918E-3</v>
      </c>
      <c r="AV1427" s="27">
        <f>IF(('Activity data'!BO21*EF!$H52*EF!$H70)*NtoN2O*kgtoGg=0,"NO",('Activity data'!BO21*EF!$H52*EF!$H70)*NtoN2O*kgtoGg)</f>
        <v>5.5793663280842998E-3</v>
      </c>
      <c r="AW1427" s="27">
        <f>IF(('Activity data'!BP21*EF!$H52*EF!$H70)*NtoN2O*kgtoGg=0,"NO",('Activity data'!BP21*EF!$H52*EF!$H70)*NtoN2O*kgtoGg)</f>
        <v>5.6038850841857524E-3</v>
      </c>
    </row>
    <row r="1428" spans="1:49" x14ac:dyDescent="0.25">
      <c r="A1428" s="95" t="s">
        <v>960</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7.0904798648479081E-2</v>
      </c>
      <c r="L1428" s="27">
        <f>IF(('Activity data'!AE22*EF!$H53*EF!$H71)*NtoN2O*kgtoGg=0,"NO",('Activity data'!AE22*EF!$H53*EF!$H71)*NtoN2O*kgtoGg)</f>
        <v>7.183848811386527E-2</v>
      </c>
      <c r="M1428" s="27">
        <f>IF(('Activity data'!AF22*EF!$H53*EF!$H71)*NtoN2O*kgtoGg=0,"NO",('Activity data'!AF22*EF!$H53*EF!$H71)*NtoN2O*kgtoGg)</f>
        <v>7.3338261222908901E-2</v>
      </c>
      <c r="N1428" s="27">
        <f>IF(('Activity data'!AG22*EF!$H53*EF!$H71)*NtoN2O*kgtoGg=0,"NO",('Activity data'!AG22*EF!$H53*EF!$H71)*NtoN2O*kgtoGg)</f>
        <v>7.3768889900085566E-2</v>
      </c>
      <c r="O1428" s="27">
        <f>IF(('Activity data'!AH22*EF!$H53*EF!$H71)*NtoN2O*kgtoGg=0,"NO",('Activity data'!AH22*EF!$H53*EF!$H71)*NtoN2O*kgtoGg)</f>
        <v>7.3504831661853232E-2</v>
      </c>
      <c r="P1428" s="27">
        <f>IF(('Activity data'!AI22*EF!$H53*EF!$H71)*NtoN2O*kgtoGg=0,"NO",('Activity data'!AI22*EF!$H53*EF!$H71)*NtoN2O*kgtoGg)</f>
        <v>7.2548895925592438E-2</v>
      </c>
      <c r="Q1428" s="27">
        <f>IF(('Activity data'!AJ22*EF!$H53*EF!$H71)*NtoN2O*kgtoGg=0,"NO",('Activity data'!AJ22*EF!$H53*EF!$H71)*NtoN2O*kgtoGg)</f>
        <v>7.2146468817327503E-2</v>
      </c>
      <c r="R1428" s="27">
        <f>IF(('Activity data'!AK22*EF!$H53*EF!$H71)*NtoN2O*kgtoGg=0,"NO",('Activity data'!AK22*EF!$H53*EF!$H71)*NtoN2O*kgtoGg)</f>
        <v>7.1835339545248775E-2</v>
      </c>
      <c r="S1428" s="27">
        <f>IF(('Activity data'!AL22*EF!$H53*EF!$H71)*NtoN2O*kgtoGg=0,"NO",('Activity data'!AL22*EF!$H53*EF!$H71)*NtoN2O*kgtoGg)</f>
        <v>6.264849848236452E-2</v>
      </c>
      <c r="T1428" s="27">
        <f>IF(('Activity data'!AM22*EF!$H53*EF!$H71)*NtoN2O*kgtoGg=0,"NO",('Activity data'!AM22*EF!$H53*EF!$H71)*NtoN2O*kgtoGg)</f>
        <v>6.7389752064840963E-2</v>
      </c>
      <c r="U1428" s="27">
        <f>IF(('Activity data'!AN22*EF!$H53*EF!$H71)*NtoN2O*kgtoGg=0,"NO",('Activity data'!AN22*EF!$H53*EF!$H71)*NtoN2O*kgtoGg)</f>
        <v>0.29302752262100273</v>
      </c>
      <c r="V1428" s="27">
        <f>IF(('Activity data'!AO22*EF!$H53*EF!$H71)*NtoN2O*kgtoGg=0,"NO",('Activity data'!AO22*EF!$H53*EF!$H71)*NtoN2O*kgtoGg)</f>
        <v>0.29828101970128529</v>
      </c>
      <c r="W1428" s="27">
        <f>IF(('Activity data'!AP22*EF!$H53*EF!$H71)*NtoN2O*kgtoGg=0,"NO",('Activity data'!AP22*EF!$H53*EF!$H71)*NtoN2O*kgtoGg)</f>
        <v>0.30294818721313321</v>
      </c>
      <c r="X1428" s="27">
        <f>IF(('Activity data'!AQ22*EF!$H53*EF!$H71)*NtoN2O*kgtoGg=0,"NO",('Activity data'!AQ22*EF!$H53*EF!$H71)*NtoN2O*kgtoGg)</f>
        <v>0.30704895352014883</v>
      </c>
      <c r="Y1428" s="27">
        <f>IF(('Activity data'!AR22*EF!$H53*EF!$H71)*NtoN2O*kgtoGg=0,"NO",('Activity data'!AR22*EF!$H53*EF!$H71)*NtoN2O*kgtoGg)</f>
        <v>0.31063904871081255</v>
      </c>
      <c r="Z1428" s="27">
        <f>IF(('Activity data'!AS22*EF!$H53*EF!$H71)*NtoN2O*kgtoGg=0,"NO",('Activity data'!AS22*EF!$H53*EF!$H71)*NtoN2O*kgtoGg)</f>
        <v>0.31369154375489111</v>
      </c>
      <c r="AA1428" s="27">
        <f>IF(('Activity data'!AT22*EF!$H53*EF!$H71)*NtoN2O*kgtoGg=0,"NO",('Activity data'!AT22*EF!$H53*EF!$H71)*NtoN2O*kgtoGg)</f>
        <v>0.31618576443629343</v>
      </c>
      <c r="AB1428" s="27">
        <f>IF(('Activity data'!AU22*EF!$H53*EF!$H71)*NtoN2O*kgtoGg=0,"NO",('Activity data'!AU22*EF!$H53*EF!$H71)*NtoN2O*kgtoGg)</f>
        <v>0.31810138991474352</v>
      </c>
      <c r="AC1428" s="27">
        <f>IF(('Activity data'!AV22*EF!$H53*EF!$H71)*NtoN2O*kgtoGg=0,"NO",('Activity data'!AV22*EF!$H53*EF!$H71)*NtoN2O*kgtoGg)</f>
        <v>0.31942029661734572</v>
      </c>
      <c r="AD1428" s="27">
        <f>IF(('Activity data'!AW22*EF!$H53*EF!$H71)*NtoN2O*kgtoGg=0,"NO",('Activity data'!AW22*EF!$H53*EF!$H71)*NtoN2O*kgtoGg)</f>
        <v>0.320130126159552</v>
      </c>
      <c r="AE1428" s="27">
        <f>IF(('Activity data'!AX22*EF!$H53*EF!$H71)*NtoN2O*kgtoGg=0,"NO",('Activity data'!AX22*EF!$H53*EF!$H71)*NtoN2O*kgtoGg)</f>
        <v>0.32021942076414051</v>
      </c>
      <c r="AF1428" s="27">
        <f>IF(('Activity data'!AY22*EF!$H53*EF!$H71)*NtoN2O*kgtoGg=0,"NO",('Activity data'!AY22*EF!$H53*EF!$H71)*NtoN2O*kgtoGg)</f>
        <v>0.31968200663848134</v>
      </c>
      <c r="AG1428" s="27">
        <f>IF(('Activity data'!AZ22*EF!$H53*EF!$H71)*NtoN2O*kgtoGg=0,"NO",('Activity data'!AZ22*EF!$H53*EF!$H71)*NtoN2O*kgtoGg)</f>
        <v>0.31851713359261785</v>
      </c>
      <c r="AH1428" s="27">
        <f>IF(('Activity data'!BA22*EF!$H53*EF!$H71)*NtoN2O*kgtoGg=0,"NO",('Activity data'!BA22*EF!$H53*EF!$H71)*NtoN2O*kgtoGg)</f>
        <v>0.31672471085086101</v>
      </c>
      <c r="AI1428" s="27">
        <f>IF(('Activity data'!BB22*EF!$H53*EF!$H71)*NtoN2O*kgtoGg=0,"NO",('Activity data'!BB22*EF!$H53*EF!$H71)*NtoN2O*kgtoGg)</f>
        <v>0.31430742335532585</v>
      </c>
      <c r="AJ1428" s="27">
        <f>IF(('Activity data'!BC22*EF!$H53*EF!$H71)*NtoN2O*kgtoGg=0,"NO",('Activity data'!BC22*EF!$H53*EF!$H71)*NtoN2O*kgtoGg)</f>
        <v>-6.7117544398192078E-2</v>
      </c>
      <c r="AK1428" s="27">
        <f>IF(('Activity data'!BD22*EF!$H53*EF!$H71)*NtoN2O*kgtoGg=0,"NO",('Activity data'!BD22*EF!$H53*EF!$H71)*NtoN2O*kgtoGg)</f>
        <v>-6.7212526473797524E-2</v>
      </c>
      <c r="AL1428" s="27">
        <f>IF(('Activity data'!BE22*EF!$H53*EF!$H71)*NtoN2O*kgtoGg=0,"NO",('Activity data'!BE22*EF!$H53*EF!$H71)*NtoN2O*kgtoGg)</f>
        <v>-6.7298531128699962E-2</v>
      </c>
      <c r="AM1428" s="27">
        <f>IF(('Activity data'!BF22*EF!$H53*EF!$H71)*NtoN2O*kgtoGg=0,"NO",('Activity data'!BF22*EF!$H53*EF!$H71)*NtoN2O*kgtoGg)</f>
        <v>-6.7376289726105959E-2</v>
      </c>
      <c r="AN1428" s="27">
        <f>IF(('Activity data'!BG22*EF!$H53*EF!$H71)*NtoN2O*kgtoGg=0,"NO",('Activity data'!BG22*EF!$H53*EF!$H71)*NtoN2O*kgtoGg)</f>
        <v>-6.7446638413801982E-2</v>
      </c>
      <c r="AO1428" s="27">
        <f>IF(('Activity data'!BH22*EF!$H53*EF!$H71)*NtoN2O*kgtoGg=0,"NO",('Activity data'!BH22*EF!$H53*EF!$H71)*NtoN2O*kgtoGg)</f>
        <v>-6.750761383935848E-2</v>
      </c>
      <c r="AP1428" s="27">
        <f>IF(('Activity data'!BI22*EF!$H53*EF!$H71)*NtoN2O*kgtoGg=0,"NO",('Activity data'!BI22*EF!$H53*EF!$H71)*NtoN2O*kgtoGg)</f>
        <v>-6.7557960547977858E-2</v>
      </c>
      <c r="AQ1428" s="27">
        <f>IF(('Activity data'!BJ22*EF!$H53*EF!$H71)*NtoN2O*kgtoGg=0,"NO",('Activity data'!BJ22*EF!$H53*EF!$H71)*NtoN2O*kgtoGg)</f>
        <v>-6.759762154217773E-2</v>
      </c>
      <c r="AR1428" s="27">
        <f>IF(('Activity data'!BK22*EF!$H53*EF!$H71)*NtoN2O*kgtoGg=0,"NO",('Activity data'!BK22*EF!$H53*EF!$H71)*NtoN2O*kgtoGg)</f>
        <v>-6.7625149473774446E-2</v>
      </c>
      <c r="AS1428" s="27">
        <f>IF(('Activity data'!BL22*EF!$H53*EF!$H71)*NtoN2O*kgtoGg=0,"NO",('Activity data'!BL22*EF!$H53*EF!$H71)*NtoN2O*kgtoGg)</f>
        <v>-6.7638965665078848E-2</v>
      </c>
      <c r="AT1428" s="27">
        <f>IF(('Activity data'!BM22*EF!$H53*EF!$H71)*NtoN2O*kgtoGg=0,"NO",('Activity data'!BM22*EF!$H53*EF!$H71)*NtoN2O*kgtoGg)</f>
        <v>-6.7639024877345522E-2</v>
      </c>
      <c r="AU1428" s="27">
        <f>IF(('Activity data'!BN22*EF!$H53*EF!$H71)*NtoN2O*kgtoGg=0,"NO",('Activity data'!BN22*EF!$H53*EF!$H71)*NtoN2O*kgtoGg)</f>
        <v>-6.7625737001792988E-2</v>
      </c>
      <c r="AV1428" s="27">
        <f>IF(('Activity data'!BO22*EF!$H53*EF!$H71)*NtoN2O*kgtoGg=0,"NO",('Activity data'!BO22*EF!$H53*EF!$H71)*NtoN2O*kgtoGg)</f>
        <v>-6.7599427785597133E-2</v>
      </c>
      <c r="AW1428" s="27">
        <f>IF(('Activity data'!BP22*EF!$H53*EF!$H71)*NtoN2O*kgtoGg=0,"NO",('Activity data'!BP22*EF!$H53*EF!$H71)*NtoN2O*kgtoGg)</f>
        <v>-6.7558617280925187E-2</v>
      </c>
    </row>
    <row r="1429" spans="1:49" x14ac:dyDescent="0.25">
      <c r="A1429" s="95" t="s">
        <v>960</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95" t="s">
        <v>960</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95" t="s">
        <v>960</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95" t="s">
        <v>960</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95" t="s">
        <v>960</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95" t="s">
        <v>960</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95" t="s">
        <v>960</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95" t="s">
        <v>960</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95" t="s">
        <v>960</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95" t="s">
        <v>960</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95" t="s">
        <v>960</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95" t="s">
        <v>960</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95" t="s">
        <v>960</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95" t="s">
        <v>960</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95" t="s">
        <v>960</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95" t="s">
        <v>960</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95" t="s">
        <v>960</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95" t="s">
        <v>960</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95" t="s">
        <v>960</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95" t="s">
        <v>960</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95" t="s">
        <v>960</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95" t="s">
        <v>960</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95" t="s">
        <v>960</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95" t="s">
        <v>960</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95" t="s">
        <v>960</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95" t="s">
        <v>960</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95" t="s">
        <v>960</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95" t="s">
        <v>960</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95" t="s">
        <v>960</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95" t="s">
        <v>960</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95" t="s">
        <v>960</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95" t="s">
        <v>960</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95" t="s">
        <v>960</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893.8099998865514</v>
      </c>
      <c r="U1461" s="22">
        <f>'Activity data'!AN45*EF!$H$149*CtoCO2*ttoGg</f>
        <v>900.67357822106953</v>
      </c>
      <c r="V1461" s="22">
        <f>'Activity data'!AO45*EF!$H$149*CtoCO2*ttoGg</f>
        <v>1065.3940139484962</v>
      </c>
      <c r="W1461" s="22">
        <f>'Activity data'!AP45*EF!$H$149*CtoCO2*ttoGg</f>
        <v>1069.5090816299301</v>
      </c>
      <c r="X1461" s="22">
        <f>'Activity data'!AQ45*EF!$H$149*CtoCO2*ttoGg</f>
        <v>1073.3182252319168</v>
      </c>
      <c r="Y1461" s="22">
        <f>'Activity data'!AR45*EF!$H$149*CtoCO2*ttoGg</f>
        <v>1076.8218555552182</v>
      </c>
      <c r="Z1461" s="22">
        <f>'Activity data'!AS45*EF!$H$149*CtoCO2*ttoGg</f>
        <v>1080.0226317758113</v>
      </c>
      <c r="AA1461" s="22">
        <f>'Activity data'!AT45*EF!$H$149*CtoCO2*ttoGg</f>
        <v>1082.9177749187229</v>
      </c>
      <c r="AB1461" s="22">
        <f>'Activity data'!AU45*EF!$H$149*CtoCO2*ttoGg</f>
        <v>1085.5049609833559</v>
      </c>
      <c r="AC1461" s="22">
        <f>'Activity data'!AV45*EF!$H$149*CtoCO2*ttoGg</f>
        <v>1087.7819132444117</v>
      </c>
      <c r="AD1461" s="22">
        <f>'Activity data'!AW45*EF!$H$149*CtoCO2*ttoGg</f>
        <v>1089.7465011362146</v>
      </c>
      <c r="AE1461" s="22">
        <f>'Activity data'!AX45*EF!$H$149*CtoCO2*ttoGg</f>
        <v>1091.3969473327843</v>
      </c>
      <c r="AF1461" s="22">
        <f>'Activity data'!AY45*EF!$H$149*CtoCO2*ttoGg</f>
        <v>1092.7315009729246</v>
      </c>
      <c r="AG1461" s="22">
        <f>'Activity data'!AZ45*EF!$H$149*CtoCO2*ttoGg</f>
        <v>1093.7487030524378</v>
      </c>
      <c r="AH1461" s="22">
        <f>'Activity data'!BA45*EF!$H$149*CtoCO2*ttoGg</f>
        <v>1094.4473857214566</v>
      </c>
      <c r="AI1461" s="22">
        <f>'Activity data'!BB45*EF!$H$149*CtoCO2*ttoGg</f>
        <v>1094.8263628266327</v>
      </c>
      <c r="AJ1461" s="22">
        <f>'Activity data'!BC45*EF!$H$149*CtoCO2*ttoGg</f>
        <v>1094.8845593444271</v>
      </c>
      <c r="AK1461" s="22">
        <f>'Activity data'!BD45*EF!$H$149*CtoCO2*ttoGg</f>
        <v>607.97020905828253</v>
      </c>
      <c r="AL1461" s="22">
        <f>'Activity data'!BE45*EF!$H$149*CtoCO2*ttoGg</f>
        <v>607.55745037474526</v>
      </c>
      <c r="AM1461" s="22">
        <f>'Activity data'!BF45*EF!$H$149*CtoCO2*ttoGg</f>
        <v>607.15409314091119</v>
      </c>
      <c r="AN1461" s="22">
        <f>'Activity data'!BG45*EF!$H$149*CtoCO2*ttoGg</f>
        <v>606.75958690378332</v>
      </c>
      <c r="AO1461" s="22">
        <f>'Activity data'!BH45*EF!$H$149*CtoCO2*ttoGg</f>
        <v>606.37328175345601</v>
      </c>
      <c r="AP1461" s="22">
        <f>'Activity data'!BI45*EF!$H$149*CtoCO2*ttoGg</f>
        <v>605.99682053444815</v>
      </c>
      <c r="AQ1461" s="22">
        <f>'Activity data'!BJ45*EF!$H$149*CtoCO2*ttoGg</f>
        <v>605.63131244884619</v>
      </c>
      <c r="AR1461" s="22">
        <f>'Activity data'!BK45*EF!$H$149*CtoCO2*ttoGg</f>
        <v>605.27689810634104</v>
      </c>
      <c r="AS1461" s="22">
        <f>'Activity data'!BL45*EF!$H$149*CtoCO2*ttoGg</f>
        <v>604.93489516166983</v>
      </c>
      <c r="AT1461" s="22">
        <f>'Activity data'!BM45*EF!$H$149*CtoCO2*ttoGg</f>
        <v>604.60677047885349</v>
      </c>
      <c r="AU1461" s="22">
        <f>'Activity data'!BN45*EF!$H$149*CtoCO2*ttoGg</f>
        <v>604.29271780451234</v>
      </c>
      <c r="AV1461" s="22">
        <f>'Activity data'!BO45*EF!$H$149*CtoCO2*ttoGg</f>
        <v>603.99253980993103</v>
      </c>
      <c r="AW1461" s="22">
        <f>'Activity data'!BP45*EF!$H$149*CtoCO2*ttoGg</f>
        <v>603.70610230649959</v>
      </c>
    </row>
    <row r="1462" spans="1:49" x14ac:dyDescent="0.25">
      <c r="A1462" s="95" t="s">
        <v>960</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469.91049414760272</v>
      </c>
      <c r="U1462" s="22">
        <f>'Activity data'!AN46*EF!$H$150*CtoCO2*ttoGg</f>
        <v>469.73756057025111</v>
      </c>
      <c r="V1462" s="22">
        <f>'Activity data'!AO46*EF!$H$150*CtoCO2*ttoGg</f>
        <v>465.58729188751397</v>
      </c>
      <c r="W1462" s="22">
        <f>'Activity data'!AP46*EF!$H$150*CtoCO2*ttoGg</f>
        <v>465.48360932711904</v>
      </c>
      <c r="X1462" s="22">
        <f>'Activity data'!AQ46*EF!$H$150*CtoCO2*ttoGg</f>
        <v>465.38763477891212</v>
      </c>
      <c r="Y1462" s="22">
        <f>'Activity data'!AR46*EF!$H$150*CtoCO2*ttoGg</f>
        <v>465.29935789242586</v>
      </c>
      <c r="Z1462" s="22">
        <f>'Activity data'!AS46*EF!$H$150*CtoCO2*ttoGg</f>
        <v>465.21871166750475</v>
      </c>
      <c r="AA1462" s="22">
        <f>'Activity data'!AT46*EF!$H$150*CtoCO2*ttoGg</f>
        <v>465.1457661227397</v>
      </c>
      <c r="AB1462" s="22">
        <f>'Activity data'!AU46*EF!$H$150*CtoCO2*ttoGg</f>
        <v>465.080579813263</v>
      </c>
      <c r="AC1462" s="22">
        <f>'Activity data'!AV46*EF!$H$150*CtoCO2*ttoGg</f>
        <v>465.02321010306639</v>
      </c>
      <c r="AD1462" s="22">
        <f>'Activity data'!AW46*EF!$H$150*CtoCO2*ttoGg</f>
        <v>464.97371067352793</v>
      </c>
      <c r="AE1462" s="22">
        <f>'Activity data'!AX46*EF!$H$150*CtoCO2*ttoGg</f>
        <v>464.93212630585725</v>
      </c>
      <c r="AF1462" s="22">
        <f>'Activity data'!AY46*EF!$H$150*CtoCO2*ttoGg</f>
        <v>464.89850111446157</v>
      </c>
      <c r="AG1462" s="22">
        <f>'Activity data'!AZ46*EF!$H$150*CtoCO2*ttoGg</f>
        <v>464.87287186016789</v>
      </c>
      <c r="AH1462" s="22">
        <f>'Activity data'!BA46*EF!$H$150*CtoCO2*ttoGg</f>
        <v>464.8552679679272</v>
      </c>
      <c r="AI1462" s="22">
        <f>'Activity data'!BB46*EF!$H$150*CtoCO2*ttoGg</f>
        <v>464.84571932386154</v>
      </c>
      <c r="AJ1462" s="22">
        <f>'Activity data'!BC46*EF!$H$150*CtoCO2*ttoGg</f>
        <v>464.84425301408538</v>
      </c>
      <c r="AK1462" s="22">
        <f>'Activity data'!BD46*EF!$H$150*CtoCO2*ttoGg</f>
        <v>477.11246594251554</v>
      </c>
      <c r="AL1462" s="22">
        <f>'Activity data'!BE46*EF!$H$150*CtoCO2*ttoGg</f>
        <v>477.12286574160703</v>
      </c>
      <c r="AM1462" s="22">
        <f>'Activity data'!BF46*EF!$H$150*CtoCO2*ttoGg</f>
        <v>477.13302866333646</v>
      </c>
      <c r="AN1462" s="22">
        <f>'Activity data'!BG46*EF!$H$150*CtoCO2*ttoGg</f>
        <v>477.14296857682592</v>
      </c>
      <c r="AO1462" s="22">
        <f>'Activity data'!BH46*EF!$H$150*CtoCO2*ttoGg</f>
        <v>477.15270185709755</v>
      </c>
      <c r="AP1462" s="22">
        <f>'Activity data'!BI46*EF!$H$150*CtoCO2*ttoGg</f>
        <v>477.16218711131398</v>
      </c>
      <c r="AQ1462" s="22">
        <f>'Activity data'!BJ46*EF!$H$150*CtoCO2*ttoGg</f>
        <v>477.17139639220409</v>
      </c>
      <c r="AR1462" s="22">
        <f>'Activity data'!BK46*EF!$H$150*CtoCO2*ttoGg</f>
        <v>477.18032615698962</v>
      </c>
      <c r="AS1462" s="22">
        <f>'Activity data'!BL46*EF!$H$150*CtoCO2*ttoGg</f>
        <v>477.18894320626106</v>
      </c>
      <c r="AT1462" s="22">
        <f>'Activity data'!BM46*EF!$H$150*CtoCO2*ttoGg</f>
        <v>477.1972105811567</v>
      </c>
      <c r="AU1462" s="22">
        <f>'Activity data'!BN46*EF!$H$150*CtoCO2*ttoGg</f>
        <v>477.20512340006883</v>
      </c>
      <c r="AV1462" s="22">
        <f>'Activity data'!BO46*EF!$H$150*CtoCO2*ttoGg</f>
        <v>477.2126866348591</v>
      </c>
      <c r="AW1462" s="22">
        <f>'Activity data'!BP46*EF!$H$150*CtoCO2*ttoGg</f>
        <v>477.21990366652125</v>
      </c>
    </row>
    <row r="1463" spans="1:49" x14ac:dyDescent="0.25">
      <c r="A1463" s="95" t="s">
        <v>960</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6.6035651430821094</v>
      </c>
      <c r="U1463" s="22">
        <f>'Activity data'!AN47*ttokg*SNEF*NtoN2O*kgtoGg</f>
        <v>6.6008394987584191</v>
      </c>
      <c r="V1463" s="22">
        <f>'Activity data'!AO47*ttokg*SNEF*NtoN2O*kgtoGg</f>
        <v>6.5354261970149441</v>
      </c>
      <c r="W1463" s="22">
        <f>'Activity data'!AP47*ttokg*SNEF*NtoN2O*kgtoGg</f>
        <v>6.5337920332710731</v>
      </c>
      <c r="X1463" s="22">
        <f>'Activity data'!AQ47*ttokg*SNEF*NtoN2O*kgtoGg</f>
        <v>6.5322793572104443</v>
      </c>
      <c r="Y1463" s="22">
        <f>'Activity data'!AR47*ttokg*SNEF*NtoN2O*kgtoGg</f>
        <v>6.5308880056970544</v>
      </c>
      <c r="Z1463" s="22">
        <f>'Activity data'!AS47*ttokg*SNEF*NtoN2O*kgtoGg</f>
        <v>6.5296169227266478</v>
      </c>
      <c r="AA1463" s="22">
        <f>'Activity data'!AT47*ttokg*SNEF*NtoN2O*kgtoGg</f>
        <v>6.5284672118777083</v>
      </c>
      <c r="AB1463" s="22">
        <f>'Activity data'!AU47*ttokg*SNEF*NtoN2O*kgtoGg</f>
        <v>6.5274397960506132</v>
      </c>
      <c r="AC1463" s="22">
        <f>'Activity data'!AV47*ttokg*SNEF*NtoN2O*kgtoGg</f>
        <v>6.5265355793719113</v>
      </c>
      <c r="AD1463" s="22">
        <f>'Activity data'!AW47*ttokg*SNEF*NtoN2O*kgtoGg</f>
        <v>6.5257554079256641</v>
      </c>
      <c r="AE1463" s="22">
        <f>'Activity data'!AX47*ttokg*SNEF*NtoN2O*kgtoGg</f>
        <v>6.5250999875184093</v>
      </c>
      <c r="AF1463" s="22">
        <f>'Activity data'!AY47*ttokg*SNEF*NtoN2O*kgtoGg</f>
        <v>6.524570013447069</v>
      </c>
      <c r="AG1463" s="22">
        <f>'Activity data'!AZ47*ttokg*SNEF*NtoN2O*kgtoGg</f>
        <v>6.524166065107158</v>
      </c>
      <c r="AH1463" s="22">
        <f>'Activity data'!BA47*ttokg*SNEF*NtoN2O*kgtoGg</f>
        <v>6.5238886062718322</v>
      </c>
      <c r="AI1463" s="22">
        <f>'Activity data'!BB47*ttokg*SNEF*NtoN2O*kgtoGg</f>
        <v>6.523738107982866</v>
      </c>
      <c r="AJ1463" s="22">
        <f>'Activity data'!BC47*ttokg*SNEF*NtoN2O*kgtoGg</f>
        <v>6.5237149971504902</v>
      </c>
      <c r="AK1463" s="22">
        <f>'Activity data'!BD47*ttokg*SNEF*NtoN2O*kgtoGg</f>
        <v>6.7170770118746468</v>
      </c>
      <c r="AL1463" s="22">
        <f>'Activity data'!BE47*ttokg*SNEF*NtoN2O*kgtoGg</f>
        <v>6.7172409254060446</v>
      </c>
      <c r="AM1463" s="22">
        <f>'Activity data'!BF47*ttokg*SNEF*NtoN2O*kgtoGg</f>
        <v>6.7174011054610014</v>
      </c>
      <c r="AN1463" s="22">
        <f>'Activity data'!BG47*ttokg*SNEF*NtoN2O*kgtoGg</f>
        <v>6.717557770633813</v>
      </c>
      <c r="AO1463" s="22">
        <f>'Activity data'!BH47*ttokg*SNEF*NtoN2O*kgtoGg</f>
        <v>6.7177111790148194</v>
      </c>
      <c r="AP1463" s="22">
        <f>'Activity data'!BI47*ttokg*SNEF*NtoN2O*kgtoGg</f>
        <v>6.7178606782023653</v>
      </c>
      <c r="AQ1463" s="22">
        <f>'Activity data'!BJ47*ttokg*SNEF*NtoN2O*kgtoGg</f>
        <v>6.7180058277133394</v>
      </c>
      <c r="AR1463" s="22">
        <f>'Activity data'!BK47*ttokg*SNEF*NtoN2O*kgtoGg</f>
        <v>6.7181465717092257</v>
      </c>
      <c r="AS1463" s="22">
        <f>'Activity data'!BL47*ttokg*SNEF*NtoN2O*kgtoGg</f>
        <v>6.7182823869267976</v>
      </c>
      <c r="AT1463" s="22">
        <f>'Activity data'!BM47*ttokg*SNEF*NtoN2O*kgtoGg</f>
        <v>6.7184126908492701</v>
      </c>
      <c r="AU1463" s="22">
        <f>'Activity data'!BN47*ttokg*SNEF*NtoN2O*kgtoGg</f>
        <v>6.7185374065365453</v>
      </c>
      <c r="AV1463" s="22">
        <f>'Activity data'!BO47*ttokg*SNEF*NtoN2O*kgtoGg</f>
        <v>6.7186566123512304</v>
      </c>
      <c r="AW1463" s="22">
        <f>'Activity data'!BP47*ttokg*SNEF*NtoN2O*kgtoGg</f>
        <v>6.7187703615819192</v>
      </c>
    </row>
    <row r="1464" spans="1:49" x14ac:dyDescent="0.25">
      <c r="A1464" s="95" t="s">
        <v>960</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4.358352994434192E-2</v>
      </c>
      <c r="U1464" s="22">
        <f>'Activity data'!AN48*ttokg*ONEF*NtoN2O*kgtoGg</f>
        <v>4.3565540691805578E-2</v>
      </c>
      <c r="V1464" s="22">
        <f>'Activity data'!AO48*ttokg*ONEF*NtoN2O*kgtoGg</f>
        <v>4.3133812900298642E-2</v>
      </c>
      <c r="W1464" s="22">
        <f>'Activity data'!AP48*ttokg*ONEF*NtoN2O*kgtoGg</f>
        <v>4.312302741958908E-2</v>
      </c>
      <c r="X1464" s="22">
        <f>'Activity data'!AQ48*ttokg*ONEF*NtoN2O*kgtoGg</f>
        <v>4.3113043757588947E-2</v>
      </c>
      <c r="Y1464" s="22">
        <f>'Activity data'!AR48*ttokg*ONEF*NtoN2O*kgtoGg</f>
        <v>4.3103860837600566E-2</v>
      </c>
      <c r="Z1464" s="22">
        <f>'Activity data'!AS48*ttokg*ONEF*NtoN2O*kgtoGg</f>
        <v>4.3095471689995883E-2</v>
      </c>
      <c r="AA1464" s="22">
        <f>'Activity data'!AT48*ttokg*ONEF*NtoN2O*kgtoGg</f>
        <v>4.3087883598392877E-2</v>
      </c>
      <c r="AB1464" s="22">
        <f>'Activity data'!AU48*ttokg*ONEF*NtoN2O*kgtoGg</f>
        <v>4.3081102653934056E-2</v>
      </c>
      <c r="AC1464" s="22">
        <f>'Activity data'!AV48*ttokg*ONEF*NtoN2O*kgtoGg</f>
        <v>4.3075134823854618E-2</v>
      </c>
      <c r="AD1464" s="22">
        <f>'Activity data'!AW48*ttokg*ONEF*NtoN2O*kgtoGg</f>
        <v>4.3069985692309382E-2</v>
      </c>
      <c r="AE1464" s="22">
        <f>'Activity data'!AX48*ttokg*ONEF*NtoN2O*kgtoGg</f>
        <v>4.3065659917621506E-2</v>
      </c>
      <c r="AF1464" s="22">
        <f>'Activity data'!AY48*ttokg*ONEF*NtoN2O*kgtoGg</f>
        <v>4.3062162088750661E-2</v>
      </c>
      <c r="AG1464" s="22">
        <f>'Activity data'!AZ48*ttokg*ONEF*NtoN2O*kgtoGg</f>
        <v>4.3059496029707253E-2</v>
      </c>
      <c r="AH1464" s="22">
        <f>'Activity data'!BA48*ttokg*ONEF*NtoN2O*kgtoGg</f>
        <v>4.3057664801394106E-2</v>
      </c>
      <c r="AI1464" s="22">
        <f>'Activity data'!BB48*ttokg*ONEF*NtoN2O*kgtoGg</f>
        <v>4.3056671512686932E-2</v>
      </c>
      <c r="AJ1464" s="22">
        <f>'Activity data'!BC48*ttokg*ONEF*NtoN2O*kgtoGg</f>
        <v>4.3056518981193247E-2</v>
      </c>
      <c r="AK1464" s="22">
        <f>'Activity data'!BD48*ttokg*ONEF*NtoN2O*kgtoGg</f>
        <v>4.4332708278372678E-2</v>
      </c>
      <c r="AL1464" s="22">
        <f>'Activity data'!BE48*ttokg*ONEF*NtoN2O*kgtoGg</f>
        <v>4.4333790107679898E-2</v>
      </c>
      <c r="AM1464" s="22">
        <f>'Activity data'!BF48*ttokg*ONEF*NtoN2O*kgtoGg</f>
        <v>4.4334847296042611E-2</v>
      </c>
      <c r="AN1464" s="22">
        <f>'Activity data'!BG48*ttokg*ONEF*NtoN2O*kgtoGg</f>
        <v>4.4335881286183175E-2</v>
      </c>
      <c r="AO1464" s="22">
        <f>'Activity data'!BH48*ttokg*ONEF*NtoN2O*kgtoGg</f>
        <v>4.433689378149782E-2</v>
      </c>
      <c r="AP1464" s="22">
        <f>'Activity data'!BI48*ttokg*ONEF*NtoN2O*kgtoGg</f>
        <v>4.433788047613562E-2</v>
      </c>
      <c r="AQ1464" s="22">
        <f>'Activity data'!BJ48*ttokg*ONEF*NtoN2O*kgtoGg</f>
        <v>4.4338838462908037E-2</v>
      </c>
      <c r="AR1464" s="22">
        <f>'Activity data'!BK48*ttokg*ONEF*NtoN2O*kgtoGg</f>
        <v>4.4339767373280901E-2</v>
      </c>
      <c r="AS1464" s="22">
        <f>'Activity data'!BL48*ttokg*ONEF*NtoN2O*kgtoGg</f>
        <v>4.4340663753716876E-2</v>
      </c>
      <c r="AT1464" s="22">
        <f>'Activity data'!BM48*ttokg*ONEF*NtoN2O*kgtoGg</f>
        <v>4.4341523759605192E-2</v>
      </c>
      <c r="AU1464" s="22">
        <f>'Activity data'!BN48*ttokg*ONEF*NtoN2O*kgtoGg</f>
        <v>4.4342346883141204E-2</v>
      </c>
      <c r="AV1464" s="22">
        <f>'Activity data'!BO48*ttokg*ONEF*NtoN2O*kgtoGg</f>
        <v>4.4343133641518123E-2</v>
      </c>
      <c r="AW1464" s="22">
        <f>'Activity data'!BP48*ttokg*ONEF*NtoN2O*kgtoGg</f>
        <v>4.4343884386440678E-2</v>
      </c>
    </row>
    <row r="1465" spans="1:49" x14ac:dyDescent="0.25">
      <c r="A1465" s="95" t="s">
        <v>960</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2.9710792197336011</v>
      </c>
      <c r="U1465" s="22">
        <f>'Activity data'!AN85*CREF*NtoN2O*kgtoGg</f>
        <v>2.9914277552243997</v>
      </c>
      <c r="V1465" s="22">
        <f>'Activity data'!AO85*CREF*NtoN2O*kgtoGg</f>
        <v>3.4797764662170874</v>
      </c>
      <c r="W1465" s="22">
        <f>'Activity data'!AP85*CREF*NtoN2O*kgtoGg</f>
        <v>3.4919764582156594</v>
      </c>
      <c r="X1465" s="22">
        <f>'Activity data'!AQ85*CREF*NtoN2O*kgtoGg</f>
        <v>3.5032694733160721</v>
      </c>
      <c r="Y1465" s="22">
        <f>'Activity data'!AR85*CREF*NtoN2O*kgtoGg</f>
        <v>3.5136567294244192</v>
      </c>
      <c r="Z1465" s="22">
        <f>'Activity data'!AS85*CREF*NtoN2O*kgtoGg</f>
        <v>3.5231461102325734</v>
      </c>
      <c r="AA1465" s="22">
        <f>'Activity data'!AT85*CREF*NtoN2O*kgtoGg</f>
        <v>3.5317293768790967</v>
      </c>
      <c r="AB1465" s="22">
        <f>'Activity data'!AU85*CREF*NtoN2O*kgtoGg</f>
        <v>3.539399639370707</v>
      </c>
      <c r="AC1465" s="22">
        <f>'Activity data'!AV85*CREF*NtoN2O*kgtoGg</f>
        <v>3.5461501478717818</v>
      </c>
      <c r="AD1465" s="22">
        <f>'Activity data'!AW85*CREF*NtoN2O*kgtoGg</f>
        <v>3.5519745858679355</v>
      </c>
      <c r="AE1465" s="22">
        <f>'Activity data'!AX85*CREF*NtoN2O*kgtoGg</f>
        <v>3.5568676840988758</v>
      </c>
      <c r="AF1465" s="22">
        <f>'Activity data'!AY85*CREF*NtoN2O*kgtoGg</f>
        <v>3.5608242517647808</v>
      </c>
      <c r="AG1465" s="22">
        <f>'Activity data'!AZ85*CREF*NtoN2O*kgtoGg</f>
        <v>3.5638399633378826</v>
      </c>
      <c r="AH1465" s="22">
        <f>'Activity data'!BA85*CREF*NtoN2O*kgtoGg</f>
        <v>3.5659113564792468</v>
      </c>
      <c r="AI1465" s="22">
        <f>'Activity data'!BB85*CREF*NtoN2O*kgtoGg</f>
        <v>3.5670349145853852</v>
      </c>
      <c r="AJ1465" s="22">
        <f>'Activity data'!BC85*CREF*NtoN2O*kgtoGg</f>
        <v>3.5672074505207347</v>
      </c>
      <c r="AK1465" s="22">
        <f>'Activity data'!BD85*CREF*NtoN2O*kgtoGg</f>
        <v>2.1236464601919001</v>
      </c>
      <c r="AL1465" s="22">
        <f>'Activity data'!BE85*CREF*NtoN2O*kgtoGg</f>
        <v>2.122422749423007</v>
      </c>
      <c r="AM1465" s="22">
        <f>'Activity data'!BF85*CREF*NtoN2O*kgtoGg</f>
        <v>2.1212269112482072</v>
      </c>
      <c r="AN1465" s="22">
        <f>'Activity data'!BG85*CREF*NtoN2O*kgtoGg</f>
        <v>2.1200573137327008</v>
      </c>
      <c r="AO1465" s="22">
        <f>'Activity data'!BH85*CREF*NtoN2O*kgtoGg</f>
        <v>2.1189120300805597</v>
      </c>
      <c r="AP1465" s="22">
        <f>'Activity data'!BI85*CREF*NtoN2O*kgtoGg</f>
        <v>2.1177959308532275</v>
      </c>
      <c r="AQ1465" s="22">
        <f>'Activity data'!BJ85*CREF*NtoN2O*kgtoGg</f>
        <v>2.1167123045158354</v>
      </c>
      <c r="AR1465" s="22">
        <f>'Activity data'!BK85*CREF*NtoN2O*kgtoGg</f>
        <v>2.1156615679356672</v>
      </c>
      <c r="AS1465" s="22">
        <f>'Activity data'!BL85*CREF*NtoN2O*kgtoGg</f>
        <v>2.1146476275800086</v>
      </c>
      <c r="AT1465" s="22">
        <f>'Activity data'!BM85*CREF*NtoN2O*kgtoGg</f>
        <v>2.1136748322787415</v>
      </c>
      <c r="AU1465" s="22">
        <f>'Activity data'!BN85*CREF*NtoN2O*kgtoGg</f>
        <v>2.1127437564348668</v>
      </c>
      <c r="AV1465" s="22">
        <f>'Activity data'!BO85*CREF*NtoN2O*kgtoGg</f>
        <v>2.111853815025504</v>
      </c>
      <c r="AW1465" s="22">
        <f>'Activity data'!BP85*CREF*NtoN2O*kgtoGg</f>
        <v>2.1110046102200224</v>
      </c>
    </row>
    <row r="1466" spans="1:49" x14ac:dyDescent="0.25">
      <c r="A1466" s="95" t="s">
        <v>960</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0.32056321299147922</v>
      </c>
      <c r="M1466" s="22">
        <f>'Activity data'!AF50*ManureNEF*NtoN2O*kgtoGg</f>
        <v>0.32309177745176459</v>
      </c>
      <c r="N1466" s="22">
        <f>'Activity data'!AG50*ManureNEF*NtoN2O*kgtoGg</f>
        <v>0.32471664946511047</v>
      </c>
      <c r="O1466" s="22">
        <f>'Activity data'!AH50*ManureNEF*NtoN2O*kgtoGg</f>
        <v>0.32579638434951891</v>
      </c>
      <c r="P1466" s="22">
        <f>'Activity data'!AI50*ManureNEF*NtoN2O*kgtoGg</f>
        <v>0.32632035510276458</v>
      </c>
      <c r="Q1466" s="22">
        <f>'Activity data'!AJ50*ManureNEF*NtoN2O*kgtoGg</f>
        <v>0.32747800149861978</v>
      </c>
      <c r="R1466" s="22">
        <f>'Activity data'!AK50*ManureNEF*NtoN2O*kgtoGg</f>
        <v>0.32880601635823309</v>
      </c>
      <c r="S1466" s="22">
        <f>'Activity data'!AL50*ManureNEF*NtoN2O*kgtoGg</f>
        <v>0.3194631230654072</v>
      </c>
      <c r="T1466" s="22">
        <f>'Activity data'!AM50*ManureNEF*NtoN2O*kgtoGg</f>
        <v>0.32495993852650251</v>
      </c>
      <c r="U1466" s="22">
        <f>'Activity data'!AN50*ManureNEF*NtoN2O*kgtoGg</f>
        <v>0.55911956199622048</v>
      </c>
      <c r="V1466" s="22">
        <f>'Activity data'!AO50*ManureNEF*NtoN2O*kgtoGg</f>
        <v>0.56585948734565139</v>
      </c>
      <c r="W1466" s="22">
        <f>'Activity data'!AP50*ManureNEF*NtoN2O*kgtoGg</f>
        <v>0.57230378307872798</v>
      </c>
      <c r="X1466" s="22">
        <f>'Activity data'!AQ50*ManureNEF*NtoN2O*kgtoGg</f>
        <v>0.57834283314741031</v>
      </c>
      <c r="Y1466" s="22">
        <f>'Activity data'!AR50*ManureNEF*NtoN2O*kgtoGg</f>
        <v>0.58381536330507111</v>
      </c>
      <c r="Z1466" s="22">
        <f>'Activity data'!AS50*ManureNEF*NtoN2O*kgtoGg</f>
        <v>0.58869581671270654</v>
      </c>
      <c r="AA1466" s="22">
        <f>'Activity data'!AT50*ManureNEF*NtoN2O*kgtoGg</f>
        <v>0.59295576215312973</v>
      </c>
      <c r="AB1466" s="22">
        <f>'Activity data'!AU50*ManureNEF*NtoN2O*kgtoGg</f>
        <v>0.59657368139031808</v>
      </c>
      <c r="AC1466" s="22">
        <f>'Activity data'!AV50*ManureNEF*NtoN2O*kgtoGg</f>
        <v>0.59953250893616183</v>
      </c>
      <c r="AD1466" s="22">
        <f>'Activity data'!AW50*ManureNEF*NtoN2O*kgtoGg</f>
        <v>0.60181430512751644</v>
      </c>
      <c r="AE1466" s="22">
        <f>'Activity data'!AX50*ManureNEF*NtoN2O*kgtoGg</f>
        <v>0.60340833018876772</v>
      </c>
      <c r="AF1466" s="22">
        <f>'Activity data'!AY50*ManureNEF*NtoN2O*kgtoGg</f>
        <v>0.60430428229357946</v>
      </c>
      <c r="AG1466" s="22">
        <f>'Activity data'!AZ50*ManureNEF*NtoN2O*kgtoGg</f>
        <v>0.60449220860104358</v>
      </c>
      <c r="AH1466" s="22">
        <f>'Activity data'!BA50*ManureNEF*NtoN2O*kgtoGg</f>
        <v>0.60397029153121029</v>
      </c>
      <c r="AI1466" s="22">
        <f>'Activity data'!BB50*ManureNEF*NtoN2O*kgtoGg</f>
        <v>0.60274150240431557</v>
      </c>
      <c r="AJ1466" s="22">
        <f>'Activity data'!BC50*ManureNEF*NtoN2O*kgtoGg</f>
        <v>0.19069698851099628</v>
      </c>
      <c r="AK1466" s="22">
        <f>'Activity data'!BD50*ManureNEF*NtoN2O*kgtoGg</f>
        <v>0.19083619411236313</v>
      </c>
      <c r="AL1466" s="22">
        <f>'Activity data'!BE50*ManureNEF*NtoN2O*kgtoGg</f>
        <v>0.19096537877553132</v>
      </c>
      <c r="AM1466" s="22">
        <f>'Activity data'!BF50*ManureNEF*NtoN2O*kgtoGg</f>
        <v>0.19108541639025195</v>
      </c>
      <c r="AN1466" s="22">
        <f>'Activity data'!BG50*ManureNEF*NtoN2O*kgtoGg</f>
        <v>0.19119738340555115</v>
      </c>
      <c r="AO1466" s="22">
        <f>'Activity data'!BH50*ManureNEF*NtoN2O*kgtoGg</f>
        <v>0.19129776572073925</v>
      </c>
      <c r="AP1466" s="22">
        <f>'Activity data'!BI50*ManureNEF*NtoN2O*kgtoGg</f>
        <v>0.19138420348192833</v>
      </c>
      <c r="AQ1466" s="22">
        <f>'Activity data'!BJ50*ManureNEF*NtoN2O*kgtoGg</f>
        <v>0.19145631825873433</v>
      </c>
      <c r="AR1466" s="22">
        <f>'Activity data'!BK50*ManureNEF*NtoN2O*kgtoGg</f>
        <v>0.19151143246366148</v>
      </c>
      <c r="AS1466" s="22">
        <f>'Activity data'!BL50*ManureNEF*NtoN2O*kgtoGg</f>
        <v>0.19154663907394784</v>
      </c>
      <c r="AT1466" s="22">
        <f>'Activity data'!BM50*ManureNEF*NtoN2O*kgtoGg</f>
        <v>0.19156157903173729</v>
      </c>
      <c r="AU1466" s="22">
        <f>'Activity data'!BN50*ManureNEF*NtoN2O*kgtoGg</f>
        <v>0.19155666524405471</v>
      </c>
      <c r="AV1466" s="22">
        <f>'Activity data'!BO50*ManureNEF*NtoN2O*kgtoGg</f>
        <v>0.19153218566591518</v>
      </c>
      <c r="AW1466" s="22">
        <f>'Activity data'!BP50*ManureNEF*NtoN2O*kgtoGg</f>
        <v>0.1914854060866179</v>
      </c>
    </row>
    <row r="1467" spans="1:49" x14ac:dyDescent="0.25">
      <c r="A1467" s="95" t="s">
        <v>960</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0.93731746283627526</v>
      </c>
      <c r="M1467" s="22">
        <f>'Activity data'!AF51*ManureNEF*NtoN2O*kgtoGg</f>
        <v>0.94471091139331731</v>
      </c>
      <c r="N1467" s="22">
        <f>'Activity data'!AG51*ManureNEF*NtoN2O*kgtoGg</f>
        <v>0.94946198965576145</v>
      </c>
      <c r="O1467" s="22">
        <f>'Activity data'!AH51*ManureNEF*NtoN2O*kgtoGg</f>
        <v>0.95261910289076102</v>
      </c>
      <c r="P1467" s="22">
        <f>'Activity data'!AI51*ManureNEF*NtoN2O*kgtoGg</f>
        <v>0.954151178054501</v>
      </c>
      <c r="Q1467" s="22">
        <f>'Activity data'!AJ51*ManureNEF*NtoN2O*kgtoGg</f>
        <v>0.95753610227115837</v>
      </c>
      <c r="R1467" s="22">
        <f>'Activity data'!AK51*ManureNEF*NtoN2O*kgtoGg</f>
        <v>0.96141917889497153</v>
      </c>
      <c r="S1467" s="22">
        <f>'Activity data'!AL51*ManureNEF*NtoN2O*kgtoGg</f>
        <v>0.93410083205454864</v>
      </c>
      <c r="T1467" s="22">
        <f>'Activity data'!AM51*ManureNEF*NtoN2O*kgtoGg</f>
        <v>0.95017335975849948</v>
      </c>
      <c r="U1467" s="22">
        <f>'Activity data'!AN51*ManureNEF*NtoN2O*kgtoGg</f>
        <v>1.6348492529189775</v>
      </c>
      <c r="V1467" s="22">
        <f>'Activity data'!AO51*ManureNEF*NtoN2O*kgtoGg</f>
        <v>1.654556597592997</v>
      </c>
      <c r="W1467" s="22">
        <f>'Activity data'!AP51*ManureNEF*NtoN2O*kgtoGg</f>
        <v>1.6733995299117927</v>
      </c>
      <c r="X1467" s="22">
        <f>'Activity data'!AQ51*ManureNEF*NtoN2O*kgtoGg</f>
        <v>1.6910575357556168</v>
      </c>
      <c r="Y1467" s="22">
        <f>'Activity data'!AR51*ManureNEF*NtoN2O*kgtoGg</f>
        <v>1.7070590539423278</v>
      </c>
      <c r="Z1467" s="22">
        <f>'Activity data'!AS51*ManureNEF*NtoN2O*kgtoGg</f>
        <v>1.7213293570218551</v>
      </c>
      <c r="AA1467" s="22">
        <f>'Activity data'!AT51*ManureNEF*NtoN2O*kgtoGg</f>
        <v>1.7337853129463565</v>
      </c>
      <c r="AB1467" s="22">
        <f>'Activity data'!AU51*ManureNEF*NtoN2O*kgtoGg</f>
        <v>1.7443640030228067</v>
      </c>
      <c r="AC1467" s="22">
        <f>'Activity data'!AV51*ManureNEF*NtoN2O*kgtoGg</f>
        <v>1.753015528262897</v>
      </c>
      <c r="AD1467" s="22">
        <f>'Activity data'!AW51*ManureNEF*NtoN2O*kgtoGg</f>
        <v>1.7596874336160764</v>
      </c>
      <c r="AE1467" s="22">
        <f>'Activity data'!AX51*ManureNEF*NtoN2O*kgtoGg</f>
        <v>1.7643483162924332</v>
      </c>
      <c r="AF1467" s="22">
        <f>'Activity data'!AY51*ManureNEF*NtoN2O*kgtoGg</f>
        <v>1.7669680540529458</v>
      </c>
      <c r="AG1467" s="22">
        <f>'Activity data'!AZ51*ManureNEF*NtoN2O*kgtoGg</f>
        <v>1.7675175450817782</v>
      </c>
      <c r="AH1467" s="22">
        <f>'Activity data'!BA51*ManureNEF*NtoN2O*kgtoGg</f>
        <v>1.7659914748282959</v>
      </c>
      <c r="AI1467" s="22">
        <f>'Activity data'!BB51*ManureNEF*NtoN2O*kgtoGg</f>
        <v>1.7623985313459991</v>
      </c>
      <c r="AJ1467" s="22">
        <f>'Activity data'!BC51*ManureNEF*NtoN2O*kgtoGg</f>
        <v>0.55759241920998737</v>
      </c>
      <c r="AK1467" s="22">
        <f>'Activity data'!BD51*ManureNEF*NtoN2O*kgtoGg</f>
        <v>0.55799945231858428</v>
      </c>
      <c r="AL1467" s="22">
        <f>'Activity data'!BE51*ManureNEF*NtoN2O*kgtoGg</f>
        <v>0.55837718449685969</v>
      </c>
      <c r="AM1467" s="22">
        <f>'Activity data'!BF51*ManureNEF*NtoN2O*kgtoGg</f>
        <v>0.55872817097289618</v>
      </c>
      <c r="AN1467" s="22">
        <f>'Activity data'!BG51*ManureNEF*NtoN2O*kgtoGg</f>
        <v>0.55905555925217576</v>
      </c>
      <c r="AO1467" s="22">
        <f>'Activity data'!BH51*ManureNEF*NtoN2O*kgtoGg</f>
        <v>0.55934907420701951</v>
      </c>
      <c r="AP1467" s="22">
        <f>'Activity data'!BI51*ManureNEF*NtoN2O*kgtoGg</f>
        <v>0.55960181569365119</v>
      </c>
      <c r="AQ1467" s="22">
        <f>'Activity data'!BJ51*ManureNEF*NtoN2O*kgtoGg</f>
        <v>0.55981267719269234</v>
      </c>
      <c r="AR1467" s="22">
        <f>'Activity data'!BK51*ManureNEF*NtoN2O*kgtoGg</f>
        <v>0.55997382951658647</v>
      </c>
      <c r="AS1467" s="22">
        <f>'Activity data'!BL51*ManureNEF*NtoN2O*kgtoGg</f>
        <v>0.56007677261576738</v>
      </c>
      <c r="AT1467" s="22">
        <f>'Activity data'!BM51*ManureNEF*NtoN2O*kgtoGg</f>
        <v>0.56012045661556076</v>
      </c>
      <c r="AU1467" s="22">
        <f>'Activity data'!BN51*ManureNEF*NtoN2O*kgtoGg</f>
        <v>0.56010608884403601</v>
      </c>
      <c r="AV1467" s="22">
        <f>'Activity data'!BO51*ManureNEF*NtoN2O*kgtoGg</f>
        <v>0.56003451127323822</v>
      </c>
      <c r="AW1467" s="22">
        <f>'Activity data'!BP51*ManureNEF*NtoN2O*kgtoGg</f>
        <v>0.55989772915101532</v>
      </c>
    </row>
    <row r="1468" spans="1:49" x14ac:dyDescent="0.25">
      <c r="A1468" s="95" t="s">
        <v>960</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5.0141199304605817E-2</v>
      </c>
      <c r="M1468" s="22">
        <f>'Activity data'!AF52*ManureNEF*NtoN2O*kgtoGg</f>
        <v>5.0536707115294892E-2</v>
      </c>
      <c r="N1468" s="22">
        <f>'Activity data'!AG52*ManureNEF*NtoN2O*kgtoGg</f>
        <v>5.0790863013925151E-2</v>
      </c>
      <c r="O1468" s="22">
        <f>'Activity data'!AH52*ManureNEF*NtoN2O*kgtoGg</f>
        <v>5.0959750770976343E-2</v>
      </c>
      <c r="P1468" s="22">
        <f>'Activity data'!AI52*ManureNEF*NtoN2O*kgtoGg</f>
        <v>5.1041708153806126E-2</v>
      </c>
      <c r="Q1468" s="22">
        <f>'Activity data'!AJ52*ManureNEF*NtoN2O*kgtoGg</f>
        <v>5.122278251388987E-2</v>
      </c>
      <c r="R1468" s="22">
        <f>'Activity data'!AK52*ManureNEF*NtoN2O*kgtoGg</f>
        <v>5.1430505218981189E-2</v>
      </c>
      <c r="S1468" s="22">
        <f>'Activity data'!AL52*ManureNEF*NtoN2O*kgtoGg</f>
        <v>4.9969127694387626E-2</v>
      </c>
      <c r="T1468" s="22">
        <f>'Activity data'!AM52*ManureNEF*NtoN2O*kgtoGg</f>
        <v>5.08289173034428E-2</v>
      </c>
      <c r="U1468" s="22">
        <f>'Activity data'!AN52*ManureNEF*NtoN2O*kgtoGg</f>
        <v>8.7455217120941425E-2</v>
      </c>
      <c r="V1468" s="22">
        <f>'Activity data'!AO52*ManureNEF*NtoN2O*kgtoGg</f>
        <v>8.8509448943396227E-2</v>
      </c>
      <c r="W1468" s="22">
        <f>'Activity data'!AP52*ManureNEF*NtoN2O*kgtoGg</f>
        <v>8.9517439578736563E-2</v>
      </c>
      <c r="X1468" s="22">
        <f>'Activity data'!AQ52*ManureNEF*NtoN2O*kgtoGg</f>
        <v>9.0462043328738057E-2</v>
      </c>
      <c r="Y1468" s="22">
        <f>'Activity data'!AR52*ManureNEF*NtoN2O*kgtoGg</f>
        <v>9.1318034328999972E-2</v>
      </c>
      <c r="Z1468" s="22">
        <f>'Activity data'!AS52*ManureNEF*NtoN2O*kgtoGg</f>
        <v>9.2081415082285539E-2</v>
      </c>
      <c r="AA1468" s="22">
        <f>'Activity data'!AT52*ManureNEF*NtoN2O*kgtoGg</f>
        <v>9.2747738492765894E-2</v>
      </c>
      <c r="AB1468" s="22">
        <f>'Activity data'!AU52*ManureNEF*NtoN2O*kgtoGg</f>
        <v>9.3313638765123857E-2</v>
      </c>
      <c r="AC1468" s="22">
        <f>'Activity data'!AV52*ManureNEF*NtoN2O*kgtoGg</f>
        <v>9.3776446584834763E-2</v>
      </c>
      <c r="AD1468" s="22">
        <f>'Activity data'!AW52*ManureNEF*NtoN2O*kgtoGg</f>
        <v>9.4133355902455834E-2</v>
      </c>
      <c r="AE1468" s="22">
        <f>'Activity data'!AX52*ManureNEF*NtoN2O*kgtoGg</f>
        <v>9.4382686845787919E-2</v>
      </c>
      <c r="AF1468" s="22">
        <f>'Activity data'!AY52*ManureNEF*NtoN2O*kgtoGg</f>
        <v>9.4522828044884072E-2</v>
      </c>
      <c r="AG1468" s="22">
        <f>'Activity data'!AZ52*ManureNEF*NtoN2O*kgtoGg</f>
        <v>9.4552222716684439E-2</v>
      </c>
      <c r="AH1468" s="22">
        <f>'Activity data'!BA52*ManureNEF*NtoN2O*kgtoGg</f>
        <v>9.4470586562695413E-2</v>
      </c>
      <c r="AI1468" s="22">
        <f>'Activity data'!BB52*ManureNEF*NtoN2O*kgtoGg</f>
        <v>9.4278384344792743E-2</v>
      </c>
      <c r="AJ1468" s="22">
        <f>'Activity data'!BC52*ManureNEF*NtoN2O*kgtoGg</f>
        <v>2.9828050506756527E-2</v>
      </c>
      <c r="AK1468" s="22">
        <f>'Activity data'!BD52*ManureNEF*NtoN2O*kgtoGg</f>
        <v>2.9849824483056911E-2</v>
      </c>
      <c r="AL1468" s="22">
        <f>'Activity data'!BE52*ManureNEF*NtoN2O*kgtoGg</f>
        <v>2.9870031024795022E-2</v>
      </c>
      <c r="AM1468" s="22">
        <f>'Activity data'!BF52*ManureNEF*NtoN2O*kgtoGg</f>
        <v>2.9888806822265943E-2</v>
      </c>
      <c r="AN1468" s="22">
        <f>'Activity data'!BG52*ManureNEF*NtoN2O*kgtoGg</f>
        <v>2.9906320249266097E-2</v>
      </c>
      <c r="AO1468" s="22">
        <f>'Activity data'!BH52*ManureNEF*NtoN2O*kgtoGg</f>
        <v>2.9922021644399784E-2</v>
      </c>
      <c r="AP1468" s="22">
        <f>'Activity data'!BI52*ManureNEF*NtoN2O*kgtoGg</f>
        <v>2.9935541888880673E-2</v>
      </c>
      <c r="AQ1468" s="22">
        <f>'Activity data'!BJ52*ManureNEF*NtoN2O*kgtoGg</f>
        <v>2.9946821790160959E-2</v>
      </c>
      <c r="AR1468" s="22">
        <f>'Activity data'!BK52*ManureNEF*NtoN2O*kgtoGg</f>
        <v>2.995544253085038E-2</v>
      </c>
      <c r="AS1468" s="22">
        <f>'Activity data'!BL52*ManureNEF*NtoN2O*kgtoGg</f>
        <v>2.9960949406223684E-2</v>
      </c>
      <c r="AT1468" s="22">
        <f>'Activity data'!BM52*ManureNEF*NtoN2O*kgtoGg</f>
        <v>2.9963286253905406E-2</v>
      </c>
      <c r="AU1468" s="22">
        <f>'Activity data'!BN52*ManureNEF*NtoN2O*kgtoGg</f>
        <v>2.9962517659139858E-2</v>
      </c>
      <c r="AV1468" s="22">
        <f>'Activity data'!BO52*ManureNEF*NtoN2O*kgtoGg</f>
        <v>2.995868866268411E-2</v>
      </c>
      <c r="AW1468" s="22">
        <f>'Activity data'!BP52*ManureNEF*NtoN2O*kgtoGg</f>
        <v>2.9951371590375517E-2</v>
      </c>
    </row>
    <row r="1469" spans="1:49" x14ac:dyDescent="0.25">
      <c r="A1469" s="95" t="s">
        <v>960</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0.39999978998352292</v>
      </c>
      <c r="L1469" s="22">
        <f>'Activity data'!AE53*ManureNEF*NtoN2O*kgtoGg</f>
        <v>0.39653071954810204</v>
      </c>
      <c r="M1469" s="22">
        <f>'Activity data'!AF53*ManureNEF*NtoN2O*kgtoGg</f>
        <v>0.39521014945095018</v>
      </c>
      <c r="N1469" s="22">
        <f>'Activity data'!AG53*ManureNEF*NtoN2O*kgtoGg</f>
        <v>0.38993263522397326</v>
      </c>
      <c r="O1469" s="22">
        <f>'Activity data'!AH53*ManureNEF*NtoN2O*kgtoGg</f>
        <v>0.382272194437701</v>
      </c>
      <c r="P1469" s="22">
        <f>'Activity data'!AI53*ManureNEF*NtoN2O*kgtoGg</f>
        <v>0.37238723301511389</v>
      </c>
      <c r="Q1469" s="22">
        <f>'Activity data'!AJ53*ManureNEF*NtoN2O*kgtoGg</f>
        <v>0.36459067483623864</v>
      </c>
      <c r="R1469" s="22">
        <f>'Activity data'!AK53*ManureNEF*NtoN2O*kgtoGg</f>
        <v>0.35721424445443944</v>
      </c>
      <c r="S1469" s="22">
        <f>'Activity data'!AL53*ManureNEF*NtoN2O*kgtoGg</f>
        <v>0.31946339774377674</v>
      </c>
      <c r="T1469" s="22">
        <f>'Activity data'!AM53*ManureNEF*NtoN2O*kgtoGg</f>
        <v>0.33177135164852617</v>
      </c>
      <c r="U1469" s="22">
        <f>'Activity data'!AN53*ManureNEF*NtoN2O*kgtoGg</f>
        <v>1.0456423232959036</v>
      </c>
      <c r="V1469" s="22">
        <f>'Activity data'!AO53*ManureNEF*NtoN2O*kgtoGg</f>
        <v>1.0506858527476302</v>
      </c>
      <c r="W1469" s="22">
        <f>'Activity data'!AP53*ManureNEF*NtoN2O*kgtoGg</f>
        <v>1.0539136991279403</v>
      </c>
      <c r="X1469" s="22">
        <f>'Activity data'!AQ53*ManureNEF*NtoN2O*kgtoGg</f>
        <v>1.0553252049864941</v>
      </c>
      <c r="Y1469" s="22">
        <f>'Activity data'!AR53*ManureNEF*NtoN2O*kgtoGg</f>
        <v>1.0549502713547947</v>
      </c>
      <c r="Z1469" s="22">
        <f>'Activity data'!AS53*ManureNEF*NtoN2O*kgtoGg</f>
        <v>1.0527709267508603</v>
      </c>
      <c r="AA1469" s="22">
        <f>'Activity data'!AT53*ManureNEF*NtoN2O*kgtoGg</f>
        <v>1.0487818326891256</v>
      </c>
      <c r="AB1469" s="22">
        <f>'Activity data'!AU53*ManureNEF*NtoN2O*kgtoGg</f>
        <v>1.0429862897745465</v>
      </c>
      <c r="AC1469" s="22">
        <f>'Activity data'!AV53*ManureNEF*NtoN2O*kgtoGg</f>
        <v>1.0353973298775558</v>
      </c>
      <c r="AD1469" s="22">
        <f>'Activity data'!AW53*ManureNEF*NtoN2O*kgtoGg</f>
        <v>1.0174175581982712</v>
      </c>
      <c r="AE1469" s="22">
        <f>'Activity data'!AX53*ManureNEF*NtoN2O*kgtoGg</f>
        <v>0.99774420575118894</v>
      </c>
      <c r="AF1469" s="22">
        <f>'Activity data'!AY53*ManureNEF*NtoN2O*kgtoGg</f>
        <v>0.97646566881417607</v>
      </c>
      <c r="AG1469" s="22">
        <f>'Activity data'!AZ53*ManureNEF*NtoN2O*kgtoGg</f>
        <v>0.95368038799648891</v>
      </c>
      <c r="AH1469" s="22">
        <f>'Activity data'!BA53*ManureNEF*NtoN2O*kgtoGg</f>
        <v>0.92949316172660157</v>
      </c>
      <c r="AI1469" s="22">
        <f>'Activity data'!BB53*ManureNEF*NtoN2O*kgtoGg</f>
        <v>0.90401558532438187</v>
      </c>
      <c r="AJ1469" s="22">
        <f>'Activity data'!BC53*ManureNEF*NtoN2O*kgtoGg</f>
        <v>-6.9801929759449391E-2</v>
      </c>
      <c r="AK1469" s="22">
        <f>'Activity data'!BD53*ManureNEF*NtoN2O*kgtoGg</f>
        <v>-6.8121301003411724E-2</v>
      </c>
      <c r="AL1469" s="22">
        <f>'Activity data'!BE53*ManureNEF*NtoN2O*kgtoGg</f>
        <v>-6.6458158331925851E-2</v>
      </c>
      <c r="AM1469" s="22">
        <f>'Activity data'!BF53*ManureNEF*NtoN2O*kgtoGg</f>
        <v>-6.481232997303113E-2</v>
      </c>
      <c r="AN1469" s="22">
        <f>'Activity data'!BG53*ManureNEF*NtoN2O*kgtoGg</f>
        <v>-6.3506079477571004E-2</v>
      </c>
      <c r="AO1469" s="22">
        <f>'Activity data'!BH53*ManureNEF*NtoN2O*kgtoGg</f>
        <v>-6.2212220196709189E-2</v>
      </c>
      <c r="AP1469" s="22">
        <f>'Activity data'!BI53*ManureNEF*NtoN2O*kgtoGg</f>
        <v>-6.0929789794195444E-2</v>
      </c>
      <c r="AQ1469" s="22">
        <f>'Activity data'!BJ53*ManureNEF*NtoN2O*kgtoGg</f>
        <v>-5.9658470603933263E-2</v>
      </c>
      <c r="AR1469" s="22">
        <f>'Activity data'!BK53*ManureNEF*NtoN2O*kgtoGg</f>
        <v>-5.839733316411725E-2</v>
      </c>
      <c r="AS1469" s="22">
        <f>'Activity data'!BL53*ManureNEF*NtoN2O*kgtoGg</f>
        <v>-5.7145467253207828E-2</v>
      </c>
      <c r="AT1469" s="22">
        <f>'Activity data'!BM53*ManureNEF*NtoN2O*kgtoGg</f>
        <v>-5.590272668429646E-2</v>
      </c>
      <c r="AU1469" s="22">
        <f>'Activity data'!BN53*ManureNEF*NtoN2O*kgtoGg</f>
        <v>-5.4669188235492674E-2</v>
      </c>
      <c r="AV1469" s="22">
        <f>'Activity data'!BO53*ManureNEF*NtoN2O*kgtoGg</f>
        <v>-5.3444899006114648E-2</v>
      </c>
      <c r="AW1469" s="22">
        <f>'Activity data'!BP53*ManureNEF*NtoN2O*kgtoGg</f>
        <v>-5.2229155811497792E-2</v>
      </c>
    </row>
    <row r="1470" spans="1:49" x14ac:dyDescent="0.25">
      <c r="A1470" s="95" t="s">
        <v>960</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2.6602988559851242</v>
      </c>
      <c r="L1470" s="22">
        <f>'Activity data'!AE54*ManureNEF*NtoN2O*kgtoGg</f>
        <v>2.6372269335947092</v>
      </c>
      <c r="M1470" s="22">
        <f>'Activity data'!AF54*ManureNEF*NtoN2O*kgtoGg</f>
        <v>2.6284441511866339</v>
      </c>
      <c r="N1470" s="22">
        <f>'Activity data'!AG54*ManureNEF*NtoN2O*kgtoGg</f>
        <v>2.5933447201068063</v>
      </c>
      <c r="O1470" s="22">
        <f>'Activity data'!AH54*ManureNEF*NtoN2O*kgtoGg</f>
        <v>2.5423970387070201</v>
      </c>
      <c r="P1470" s="22">
        <f>'Activity data'!AI54*ManureNEF*NtoN2O*kgtoGg</f>
        <v>2.4766546252796315</v>
      </c>
      <c r="Q1470" s="22">
        <f>'Activity data'!AJ54*ManureNEF*NtoN2O*kgtoGg</f>
        <v>2.4248016610449814</v>
      </c>
      <c r="R1470" s="22">
        <f>'Activity data'!AK54*ManureNEF*NtoN2O*kgtoGg</f>
        <v>2.3757428620222041</v>
      </c>
      <c r="S1470" s="22">
        <f>'Activity data'!AL54*ManureNEF*NtoN2O*kgtoGg</f>
        <v>2.1246713944072271</v>
      </c>
      <c r="T1470" s="22">
        <f>'Activity data'!AM54*ManureNEF*NtoN2O*kgtoGg</f>
        <v>2.2065285266163999</v>
      </c>
      <c r="U1470" s="22">
        <f>'Activity data'!AN54*ManureNEF*NtoN2O*kgtoGg</f>
        <v>6.9543063423815932</v>
      </c>
      <c r="V1470" s="22">
        <f>'Activity data'!AO54*ManureNEF*NtoN2O*kgtoGg</f>
        <v>6.9878495990695715</v>
      </c>
      <c r="W1470" s="22">
        <f>'Activity data'!AP54*ManureNEF*NtoN2O*kgtoGg</f>
        <v>7.0093172004230366</v>
      </c>
      <c r="X1470" s="22">
        <f>'Activity data'!AQ54*ManureNEF*NtoN2O*kgtoGg</f>
        <v>7.0187047739037158</v>
      </c>
      <c r="Y1470" s="22">
        <f>'Activity data'!AR54*ManureNEF*NtoN2O*kgtoGg</f>
        <v>7.0162111838157779</v>
      </c>
      <c r="Z1470" s="22">
        <f>'Activity data'!AS54*ManureNEF*NtoN2O*kgtoGg</f>
        <v>7.0017169063140772</v>
      </c>
      <c r="AA1470" s="22">
        <f>'Activity data'!AT54*ManureNEF*NtoN2O*kgtoGg</f>
        <v>6.9751864364623621</v>
      </c>
      <c r="AB1470" s="22">
        <f>'Activity data'!AU54*ManureNEF*NtoN2O*kgtoGg</f>
        <v>6.9366417257611337</v>
      </c>
      <c r="AC1470" s="22">
        <f>'Activity data'!AV54*ManureNEF*NtoN2O*kgtoGg</f>
        <v>6.8861694459309035</v>
      </c>
      <c r="AD1470" s="22">
        <f>'Activity data'!AW54*ManureNEF*NtoN2O*kgtoGg</f>
        <v>6.7665904680738294</v>
      </c>
      <c r="AE1470" s="22">
        <f>'Activity data'!AX54*ManureNEF*NtoN2O*kgtoGg</f>
        <v>6.6357479068551806</v>
      </c>
      <c r="AF1470" s="22">
        <f>'Activity data'!AY54*ManureNEF*NtoN2O*kgtoGg</f>
        <v>6.4942296638758421</v>
      </c>
      <c r="AG1470" s="22">
        <f>'Activity data'!AZ54*ManureNEF*NtoN2O*kgtoGg</f>
        <v>6.3426904430800271</v>
      </c>
      <c r="AH1470" s="22">
        <f>'Activity data'!BA54*ManureNEF*NtoN2O*kgtoGg</f>
        <v>6.181827232682128</v>
      </c>
      <c r="AI1470" s="22">
        <f>'Activity data'!BB54*ManureNEF*NtoN2O*kgtoGg</f>
        <v>6.0123822253262711</v>
      </c>
      <c r="AJ1470" s="22">
        <f>'Activity data'!BC54*ManureNEF*NtoN2O*kgtoGg</f>
        <v>-0.46423522845416099</v>
      </c>
      <c r="AK1470" s="22">
        <f>'Activity data'!BD54*ManureNEF*NtoN2O*kgtoGg</f>
        <v>-0.45305778569298638</v>
      </c>
      <c r="AL1470" s="22">
        <f>'Activity data'!BE54*ManureNEF*NtoN2O*kgtoGg</f>
        <v>-0.44199663851969367</v>
      </c>
      <c r="AM1470" s="22">
        <f>'Activity data'!BF54*ManureNEF*NtoN2O*kgtoGg</f>
        <v>-0.43105064452180719</v>
      </c>
      <c r="AN1470" s="22">
        <f>'Activity data'!BG54*ManureNEF*NtoN2O*kgtoGg</f>
        <v>-0.42236309821373103</v>
      </c>
      <c r="AO1470" s="22">
        <f>'Activity data'!BH54*ManureNEF*NtoN2O*kgtoGg</f>
        <v>-0.41375796278397442</v>
      </c>
      <c r="AP1470" s="22">
        <f>'Activity data'!BI54*ManureNEF*NtoN2O*kgtoGg</f>
        <v>-0.40522883797411285</v>
      </c>
      <c r="AQ1470" s="22">
        <f>'Activity data'!BJ54*ManureNEF*NtoN2O*kgtoGg</f>
        <v>-0.3967736110661545</v>
      </c>
      <c r="AR1470" s="22">
        <f>'Activity data'!BK54*ManureNEF*NtoN2O*kgtoGg</f>
        <v>-0.38838610044140948</v>
      </c>
      <c r="AS1470" s="22">
        <f>'Activity data'!BL54*ManureNEF*NtoN2O*kgtoGg</f>
        <v>-0.38006025244339864</v>
      </c>
      <c r="AT1470" s="22">
        <f>'Activity data'!BM54*ManureNEF*NtoN2O*kgtoGg</f>
        <v>-0.37179509481944717</v>
      </c>
      <c r="AU1470" s="22">
        <f>'Activity data'!BN54*ManureNEF*NtoN2O*kgtoGg</f>
        <v>-0.36359113820161632</v>
      </c>
      <c r="AV1470" s="22">
        <f>'Activity data'!BO54*ManureNEF*NtoN2O*kgtoGg</f>
        <v>-0.35544869583572547</v>
      </c>
      <c r="AW1470" s="22">
        <f>'Activity data'!BP54*ManureNEF*NtoN2O*kgtoGg</f>
        <v>-0.34736309101592239</v>
      </c>
    </row>
    <row r="1471" spans="1:49" x14ac:dyDescent="0.25">
      <c r="A1471" s="95" t="s">
        <v>960</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0.35516571939691516</v>
      </c>
      <c r="M1471" s="22">
        <f>'Activity data'!AF55*ManureNEF*NtoN2O*kgtoGg</f>
        <v>0.36891582276573964</v>
      </c>
      <c r="N1471" s="22">
        <f>'Activity data'!AG55*ManureNEF*NtoN2O*kgtoGg</f>
        <v>0.379170347917821</v>
      </c>
      <c r="O1471" s="22">
        <f>'Activity data'!AH55*ManureNEF*NtoN2O*kgtoGg</f>
        <v>0.38707850955818851</v>
      </c>
      <c r="P1471" s="22">
        <f>'Activity data'!AI55*ManureNEF*NtoN2O*kgtoGg</f>
        <v>0.39252728601928999</v>
      </c>
      <c r="Q1471" s="22">
        <f>'Activity data'!AJ55*ManureNEF*NtoN2O*kgtoGg</f>
        <v>0.3999671364536494</v>
      </c>
      <c r="R1471" s="22">
        <f>'Activity data'!AK55*ManureNEF*NtoN2O*kgtoGg</f>
        <v>0.40776627193753145</v>
      </c>
      <c r="S1471" s="22">
        <f>'Activity data'!AL55*ManureNEF*NtoN2O*kgtoGg</f>
        <v>0.37941149708510857</v>
      </c>
      <c r="T1471" s="22">
        <f>'Activity data'!AM55*ManureNEF*NtoN2O*kgtoGg</f>
        <v>0.40352229075935825</v>
      </c>
      <c r="U1471" s="22">
        <f>'Activity data'!AN55*ManureNEF*NtoN2O*kgtoGg</f>
        <v>1.3019992837200502</v>
      </c>
      <c r="V1471" s="22">
        <f>'Activity data'!AO55*ManureNEF*NtoN2O*kgtoGg</f>
        <v>1.3389713551242044</v>
      </c>
      <c r="W1471" s="22">
        <f>'Activity data'!AP55*ManureNEF*NtoN2O*kgtoGg</f>
        <v>1.3742225442034364</v>
      </c>
      <c r="X1471" s="22">
        <f>'Activity data'!AQ55*ManureNEF*NtoN2O*kgtoGg</f>
        <v>1.4076173986220344</v>
      </c>
      <c r="Y1471" s="22">
        <f>'Activity data'!AR55*ManureNEF*NtoN2O*kgtoGg</f>
        <v>1.4390577517114058</v>
      </c>
      <c r="Z1471" s="22">
        <f>'Activity data'!AS55*ManureNEF*NtoN2O*kgtoGg</f>
        <v>1.4683777754211462</v>
      </c>
      <c r="AA1471" s="22">
        <f>'Activity data'!AT55*ManureNEF*NtoN2O*kgtoGg</f>
        <v>1.4954226905831736</v>
      </c>
      <c r="AB1471" s="22">
        <f>'Activity data'!AU55*ManureNEF*NtoN2O*kgtoGg</f>
        <v>1.5200446118078883</v>
      </c>
      <c r="AC1471" s="22">
        <f>'Activity data'!AV55*ManureNEF*NtoN2O*kgtoGg</f>
        <v>1.5421052715646864</v>
      </c>
      <c r="AD1471" s="22">
        <f>'Activity data'!AW55*ManureNEF*NtoN2O*kgtoGg</f>
        <v>1.5655788001500457</v>
      </c>
      <c r="AE1471" s="22">
        <f>'Activity data'!AX55*ManureNEF*NtoN2O*kgtoGg</f>
        <v>1.5863184064827547</v>
      </c>
      <c r="AF1471" s="22">
        <f>'Activity data'!AY55*ManureNEF*NtoN2O*kgtoGg</f>
        <v>1.604202691450189</v>
      </c>
      <c r="AG1471" s="22">
        <f>'Activity data'!AZ55*ManureNEF*NtoN2O*kgtoGg</f>
        <v>1.6191262740936789</v>
      </c>
      <c r="AH1471" s="22">
        <f>'Activity data'!BA55*ManureNEF*NtoN2O*kgtoGg</f>
        <v>1.6309961254310048</v>
      </c>
      <c r="AI1471" s="22">
        <f>'Activity data'!BB55*ManureNEF*NtoN2O*kgtoGg</f>
        <v>1.6397344068055653</v>
      </c>
      <c r="AJ1471" s="22">
        <f>'Activity data'!BC55*ManureNEF*NtoN2O*kgtoGg</f>
        <v>-0.13089608517240703</v>
      </c>
      <c r="AK1471" s="22">
        <f>'Activity data'!BD55*ManureNEF*NtoN2O*kgtoGg</f>
        <v>-0.13209410170523925</v>
      </c>
      <c r="AL1471" s="22">
        <f>'Activity data'!BE55*ManureNEF*NtoN2O*kgtoGg</f>
        <v>-0.13328419638855493</v>
      </c>
      <c r="AM1471" s="22">
        <f>'Activity data'!BF55*ManureNEF*NtoN2O*kgtoGg</f>
        <v>-0.13446696197747518</v>
      </c>
      <c r="AN1471" s="22">
        <f>'Activity data'!BG55*ManureNEF*NtoN2O*kgtoGg</f>
        <v>-0.13547441854530159</v>
      </c>
      <c r="AO1471" s="22">
        <f>'Activity data'!BH55*ManureNEF*NtoN2O*kgtoGg</f>
        <v>-0.13647180135664599</v>
      </c>
      <c r="AP1471" s="22">
        <f>'Activity data'!BI55*ManureNEF*NtoN2O*kgtoGg</f>
        <v>-0.1374575838778328</v>
      </c>
      <c r="AQ1471" s="22">
        <f>'Activity data'!BJ55*ManureNEF*NtoN2O*kgtoGg</f>
        <v>-0.13843149499593352</v>
      </c>
      <c r="AR1471" s="22">
        <f>'Activity data'!BK55*ManureNEF*NtoN2O*kgtoGg</f>
        <v>-0.13939171751336263</v>
      </c>
      <c r="AS1471" s="22">
        <f>'Activity data'!BL55*ManureNEF*NtoN2O*kgtoGg</f>
        <v>-0.14033622294950923</v>
      </c>
      <c r="AT1471" s="22">
        <f>'Activity data'!BM55*ManureNEF*NtoN2O*kgtoGg</f>
        <v>-0.14126464078823431</v>
      </c>
      <c r="AU1471" s="22">
        <f>'Activity data'!BN55*ManureNEF*NtoN2O*kgtoGg</f>
        <v>-0.14217711138361663</v>
      </c>
      <c r="AV1471" s="22">
        <f>'Activity data'!BO55*ManureNEF*NtoN2O*kgtoGg</f>
        <v>-0.14307369087756849</v>
      </c>
      <c r="AW1471" s="22">
        <f>'Activity data'!BP55*ManureNEF*NtoN2O*kgtoGg</f>
        <v>-0.14395235507647042</v>
      </c>
    </row>
    <row r="1472" spans="1:49" x14ac:dyDescent="0.25">
      <c r="A1472" s="95" t="s">
        <v>960</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5.9207171446821721E-2</v>
      </c>
      <c r="T1472" s="22">
        <f>'Activity data'!AM56*ManureNEF*NtoN2O*kgtoGg</f>
        <v>5.9246576334297835E-2</v>
      </c>
      <c r="U1472" s="22">
        <f>'Activity data'!AN56*ManureNEF*NtoN2O*kgtoGg</f>
        <v>6.0018268189792646E-2</v>
      </c>
      <c r="V1472" s="22">
        <f>'Activity data'!AO56*ManureNEF*NtoN2O*kgtoGg</f>
        <v>6.0037093010318184E-2</v>
      </c>
      <c r="W1472" s="22">
        <f>'Activity data'!AP56*ManureNEF*NtoN2O*kgtoGg</f>
        <v>6.0117615700915394E-2</v>
      </c>
      <c r="X1472" s="22">
        <f>'Activity data'!AQ56*ManureNEF*NtoN2O*kgtoGg</f>
        <v>6.0234013204612538E-2</v>
      </c>
      <c r="Y1472" s="22">
        <f>'Activity data'!AR56*ManureNEF*NtoN2O*kgtoGg</f>
        <v>6.0342142496718161E-2</v>
      </c>
      <c r="Z1472" s="22">
        <f>'Activity data'!AS56*ManureNEF*NtoN2O*kgtoGg</f>
        <v>6.0443342363168437E-2</v>
      </c>
      <c r="AA1472" s="22">
        <f>'Activity data'!AT56*ManureNEF*NtoN2O*kgtoGg</f>
        <v>6.0537073159976813E-2</v>
      </c>
      <c r="AB1472" s="22">
        <f>'Activity data'!AU56*ManureNEF*NtoN2O*kgtoGg</f>
        <v>6.0624179409324928E-2</v>
      </c>
      <c r="AC1472" s="22">
        <f>'Activity data'!AV56*ManureNEF*NtoN2O*kgtoGg</f>
        <v>6.0705982424299358E-2</v>
      </c>
      <c r="AD1472" s="22">
        <f>'Activity data'!AW56*ManureNEF*NtoN2O*kgtoGg</f>
        <v>6.0782405127579278E-2</v>
      </c>
      <c r="AE1472" s="22">
        <f>'Activity data'!AX56*ManureNEF*NtoN2O*kgtoGg</f>
        <v>6.0854669862410914E-2</v>
      </c>
      <c r="AF1472" s="22">
        <f>'Activity data'!AY56*ManureNEF*NtoN2O*kgtoGg</f>
        <v>6.0922951557005132E-2</v>
      </c>
      <c r="AG1472" s="22">
        <f>'Activity data'!AZ56*ManureNEF*NtoN2O*kgtoGg</f>
        <v>6.0986314332021271E-2</v>
      </c>
      <c r="AH1472" s="22">
        <f>'Activity data'!BA56*ManureNEF*NtoN2O*kgtoGg</f>
        <v>6.1045337815494746E-2</v>
      </c>
      <c r="AI1472" s="22">
        <f>'Activity data'!BB56*ManureNEF*NtoN2O*kgtoGg</f>
        <v>6.1100963630343091E-2</v>
      </c>
      <c r="AJ1472" s="22">
        <f>'Activity data'!BC56*ManureNEF*NtoN2O*kgtoGg</f>
        <v>5.9760031976995184E-2</v>
      </c>
      <c r="AK1472" s="22">
        <f>'Activity data'!BD56*ManureNEF*NtoN2O*kgtoGg</f>
        <v>5.9814986740369232E-2</v>
      </c>
      <c r="AL1472" s="22">
        <f>'Activity data'!BE56*ManureNEF*NtoN2O*kgtoGg</f>
        <v>5.9866245389547455E-2</v>
      </c>
      <c r="AM1472" s="22">
        <f>'Activity data'!BF56*ManureNEF*NtoN2O*kgtoGg</f>
        <v>5.9914121191052938E-2</v>
      </c>
      <c r="AN1472" s="22">
        <f>'Activity data'!BG56*ManureNEF*NtoN2O*kgtoGg</f>
        <v>5.9958994957515464E-2</v>
      </c>
      <c r="AO1472" s="22">
        <f>'Activity data'!BH56*ManureNEF*NtoN2O*kgtoGg</f>
        <v>5.9999686326466663E-2</v>
      </c>
      <c r="AP1472" s="22">
        <f>'Activity data'!BI56*ManureNEF*NtoN2O*kgtoGg</f>
        <v>6.0035407039000573E-2</v>
      </c>
      <c r="AQ1472" s="22">
        <f>'Activity data'!BJ56*ManureNEF*NtoN2O*kgtoGg</f>
        <v>6.0066041639394212E-2</v>
      </c>
      <c r="AR1472" s="22">
        <f>'Activity data'!BK56*ManureNEF*NtoN2O*kgtoGg</f>
        <v>6.0090693101993796E-2</v>
      </c>
      <c r="AS1472" s="22">
        <f>'Activity data'!BL56*ManureNEF*NtoN2O*kgtoGg</f>
        <v>6.010838638445111E-2</v>
      </c>
      <c r="AT1472" s="22">
        <f>'Activity data'!BM56*ManureNEF*NtoN2O*kgtoGg</f>
        <v>6.0119011530987615E-2</v>
      </c>
      <c r="AU1472" s="22">
        <f>'Activity data'!BN56*ManureNEF*NtoN2O*kgtoGg</f>
        <v>6.0122720098989259E-2</v>
      </c>
      <c r="AV1472" s="22">
        <f>'Activity data'!BO56*ManureNEF*NtoN2O*kgtoGg</f>
        <v>6.0119620565134202E-2</v>
      </c>
      <c r="AW1472" s="22">
        <f>'Activity data'!BP56*ManureNEF*NtoN2O*kgtoGg</f>
        <v>6.0108795193871321E-2</v>
      </c>
    </row>
    <row r="1473" spans="1:49" x14ac:dyDescent="0.25">
      <c r="A1473" s="95" t="s">
        <v>960</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4.8186589457144935E-2</v>
      </c>
      <c r="T1473" s="22">
        <f>'Activity data'!AM57*ManureNEF*NtoN2O*kgtoGg</f>
        <v>4.8218659679197723E-2</v>
      </c>
      <c r="U1473" s="22">
        <f>'Activity data'!AN57*ManureNEF*NtoN2O*kgtoGg</f>
        <v>4.884671195258742E-2</v>
      </c>
      <c r="V1473" s="22">
        <f>'Activity data'!AO57*ManureNEF*NtoN2O*kgtoGg</f>
        <v>4.8862032797615189E-2</v>
      </c>
      <c r="W1473" s="22">
        <f>'Activity data'!AP57*ManureNEF*NtoN2O*kgtoGg</f>
        <v>4.8927567322217112E-2</v>
      </c>
      <c r="X1473" s="22">
        <f>'Activity data'!AQ57*ManureNEF*NtoN2O*kgtoGg</f>
        <v>4.9022299068176782E-2</v>
      </c>
      <c r="Y1473" s="22">
        <f>'Activity data'!AR57*ManureNEF*NtoN2O*kgtoGg</f>
        <v>4.9110301613808693E-2</v>
      </c>
      <c r="Z1473" s="22">
        <f>'Activity data'!AS57*ManureNEF*NtoN2O*kgtoGg</f>
        <v>4.9192664548882145E-2</v>
      </c>
      <c r="AA1473" s="22">
        <f>'Activity data'!AT57*ManureNEF*NtoN2O*kgtoGg</f>
        <v>4.9268948676546534E-2</v>
      </c>
      <c r="AB1473" s="22">
        <f>'Activity data'!AU57*ManureNEF*NtoN2O*kgtoGg</f>
        <v>4.9339841323060789E-2</v>
      </c>
      <c r="AC1473" s="22">
        <f>'Activity data'!AV57*ManureNEF*NtoN2O*kgtoGg</f>
        <v>4.9406417857669777E-2</v>
      </c>
      <c r="AD1473" s="22">
        <f>'Activity data'!AW57*ManureNEF*NtoN2O*kgtoGg</f>
        <v>4.9468615549911547E-2</v>
      </c>
      <c r="AE1473" s="22">
        <f>'Activity data'!AX57*ManureNEF*NtoN2O*kgtoGg</f>
        <v>4.9527429221033953E-2</v>
      </c>
      <c r="AF1473" s="22">
        <f>'Activity data'!AY57*ManureNEF*NtoN2O*kgtoGg</f>
        <v>4.9583001238822449E-2</v>
      </c>
      <c r="AG1473" s="22">
        <f>'Activity data'!AZ57*ManureNEF*NtoN2O*kgtoGg</f>
        <v>4.9634569924708931E-2</v>
      </c>
      <c r="AH1473" s="22">
        <f>'Activity data'!BA57*ManureNEF*NtoN2O*kgtoGg</f>
        <v>4.9682607017124701E-2</v>
      </c>
      <c r="AI1473" s="22">
        <f>'Activity data'!BB57*ManureNEF*NtoN2O*kgtoGg</f>
        <v>4.972787886912871E-2</v>
      </c>
      <c r="AJ1473" s="22">
        <f>'Activity data'!BC57*ManureNEF*NtoN2O*kgtoGg</f>
        <v>4.8636542777722926E-2</v>
      </c>
      <c r="AK1473" s="22">
        <f>'Activity data'!BD57*ManureNEF*NtoN2O*kgtoGg</f>
        <v>4.8681268485043679E-2</v>
      </c>
      <c r="AL1473" s="22">
        <f>'Activity data'!BE57*ManureNEF*NtoN2O*kgtoGg</f>
        <v>4.872298605782617E-2</v>
      </c>
      <c r="AM1473" s="22">
        <f>'Activity data'!BF57*ManureNEF*NtoN2O*kgtoGg</f>
        <v>4.8761950452437537E-2</v>
      </c>
      <c r="AN1473" s="22">
        <f>'Activity data'!BG57*ManureNEF*NtoN2O*kgtoGg</f>
        <v>4.8798471598594094E-2</v>
      </c>
      <c r="AO1473" s="22">
        <f>'Activity data'!BH57*ManureNEF*NtoN2O*kgtoGg</f>
        <v>4.8831588841694647E-2</v>
      </c>
      <c r="AP1473" s="22">
        <f>'Activity data'!BI57*ManureNEF*NtoN2O*kgtoGg</f>
        <v>4.8860660646138712E-2</v>
      </c>
      <c r="AQ1473" s="22">
        <f>'Activity data'!BJ57*ManureNEF*NtoN2O*kgtoGg</f>
        <v>4.8885593046661804E-2</v>
      </c>
      <c r="AR1473" s="22">
        <f>'Activity data'!BK57*ManureNEF*NtoN2O*kgtoGg</f>
        <v>4.8905655986315542E-2</v>
      </c>
      <c r="AS1473" s="22">
        <f>'Activity data'!BL57*ManureNEF*NtoN2O*kgtoGg</f>
        <v>4.8920055913167046E-2</v>
      </c>
      <c r="AT1473" s="22">
        <f>'Activity data'!BM57*ManureNEF*NtoN2O*kgtoGg</f>
        <v>4.8928703338159067E-2</v>
      </c>
      <c r="AU1473" s="22">
        <f>'Activity data'!BN57*ManureNEF*NtoN2O*kgtoGg</f>
        <v>4.8931721608402395E-2</v>
      </c>
      <c r="AV1473" s="22">
        <f>'Activity data'!BO57*ManureNEF*NtoN2O*kgtoGg</f>
        <v>4.8929199009167666E-2</v>
      </c>
      <c r="AW1473" s="22">
        <f>'Activity data'!BP57*ManureNEF*NtoN2O*kgtoGg</f>
        <v>4.892038862846515E-2</v>
      </c>
    </row>
    <row r="1474" spans="1:49" x14ac:dyDescent="0.25">
      <c r="A1474" s="95" t="s">
        <v>960</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7.214092738049376E-3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7.4155715935563154E-3</v>
      </c>
      <c r="R1474" s="22">
        <f>'Activity data'!AK58*ManureNEF*NtoN2O*kgtoGg</f>
        <v>7.4643602602570466E-3</v>
      </c>
      <c r="S1474" s="22">
        <f>'Activity data'!AL58*ManureNEF*NtoN2O*kgtoGg</f>
        <v>7.4461584032265975E-3</v>
      </c>
      <c r="T1474" s="22">
        <f>'Activity data'!AM58*ManureNEF*NtoN2O*kgtoGg</f>
        <v>7.4583442385416504E-3</v>
      </c>
      <c r="U1474" s="22">
        <f>'Activity data'!AN58*ManureNEF*NtoN2O*kgtoGg</f>
        <v>7.6095641103995637E-3</v>
      </c>
      <c r="V1474" s="22">
        <f>'Activity data'!AO58*ManureNEF*NtoN2O*kgtoGg</f>
        <v>7.616396041581105E-3</v>
      </c>
      <c r="W1474" s="22">
        <f>'Activity data'!AP58*ManureNEF*NtoN2O*kgtoGg</f>
        <v>7.6344836732780402E-3</v>
      </c>
      <c r="X1474" s="22">
        <f>'Activity data'!AQ58*ManureNEF*NtoN2O*kgtoGg</f>
        <v>7.6588952719713966E-3</v>
      </c>
      <c r="Y1474" s="22">
        <f>'Activity data'!AR58*ManureNEF*NtoN2O*kgtoGg</f>
        <v>7.6812841131364881E-3</v>
      </c>
      <c r="Z1474" s="22">
        <f>'Activity data'!AS58*ManureNEF*NtoN2O*kgtoGg</f>
        <v>7.7019461381660883E-3</v>
      </c>
      <c r="AA1474" s="22">
        <f>'Activity data'!AT58*ManureNEF*NtoN2O*kgtoGg</f>
        <v>7.7208179709042681E-3</v>
      </c>
      <c r="AB1474" s="22">
        <f>'Activity data'!AU58*ManureNEF*NtoN2O*kgtoGg</f>
        <v>7.7380934023290734E-3</v>
      </c>
      <c r="AC1474" s="22">
        <f>'Activity data'!AV58*ManureNEF*NtoN2O*kgtoGg</f>
        <v>7.754051159190669E-3</v>
      </c>
      <c r="AD1474" s="22">
        <f>'Activity data'!AW58*ManureNEF*NtoN2O*kgtoGg</f>
        <v>7.7687040986248812E-3</v>
      </c>
      <c r="AE1474" s="22">
        <f>'Activity data'!AX58*ManureNEF*NtoN2O*kgtoGg</f>
        <v>7.7823052319108766E-3</v>
      </c>
      <c r="AF1474" s="22">
        <f>'Activity data'!AY58*ManureNEF*NtoN2O*kgtoGg</f>
        <v>7.7949088981362474E-3</v>
      </c>
      <c r="AG1474" s="22">
        <f>'Activity data'!AZ58*ManureNEF*NtoN2O*kgtoGg</f>
        <v>7.8063612121467459E-3</v>
      </c>
      <c r="AH1474" s="22">
        <f>'Activity data'!BA58*ManureNEF*NtoN2O*kgtoGg</f>
        <v>7.8167890041067195E-3</v>
      </c>
      <c r="AI1474" s="22">
        <f>'Activity data'!BB58*ManureNEF*NtoN2O*kgtoGg</f>
        <v>7.8263838677397213E-3</v>
      </c>
      <c r="AJ1474" s="22">
        <f>'Activity data'!BC58*ManureNEF*NtoN2O*kgtoGg</f>
        <v>7.5779321545979533E-3</v>
      </c>
      <c r="AK1474" s="22">
        <f>'Activity data'!BD58*ManureNEF*NtoN2O*kgtoGg</f>
        <v>7.5875086550646472E-3</v>
      </c>
      <c r="AL1474" s="22">
        <f>'Activity data'!BE58*ManureNEF*NtoN2O*kgtoGg</f>
        <v>7.5962279285727895E-3</v>
      </c>
      <c r="AM1474" s="22">
        <f>'Activity data'!BF58*ManureNEF*NtoN2O*kgtoGg</f>
        <v>7.6041605420171859E-3</v>
      </c>
      <c r="AN1474" s="22">
        <f>'Activity data'!BG58*ManureNEF*NtoN2O*kgtoGg</f>
        <v>7.6113882168756348E-3</v>
      </c>
      <c r="AO1474" s="22">
        <f>'Activity data'!BH58*ManureNEF*NtoN2O*kgtoGg</f>
        <v>7.6177057736301935E-3</v>
      </c>
      <c r="AP1474" s="22">
        <f>'Activity data'!BI58*ManureNEF*NtoN2O*kgtoGg</f>
        <v>7.6229804846382823E-3</v>
      </c>
      <c r="AQ1474" s="22">
        <f>'Activity data'!BJ58*ManureNEF*NtoN2O*kgtoGg</f>
        <v>7.6272026599535862E-3</v>
      </c>
      <c r="AR1474" s="22">
        <f>'Activity data'!BK58*ManureNEF*NtoN2O*kgtoGg</f>
        <v>7.6302198564372984E-3</v>
      </c>
      <c r="AS1474" s="22">
        <f>'Activity data'!BL58*ManureNEF*NtoN2O*kgtoGg</f>
        <v>7.6318659754992515E-3</v>
      </c>
      <c r="AT1474" s="22">
        <f>'Activity data'!BM58*ManureNEF*NtoN2O*kgtoGg</f>
        <v>7.6321325230528187E-3</v>
      </c>
      <c r="AU1474" s="22">
        <f>'Activity data'!BN58*ManureNEF*NtoN2O*kgtoGg</f>
        <v>7.631057996199485E-3</v>
      </c>
      <c r="AV1474" s="22">
        <f>'Activity data'!BO58*ManureNEF*NtoN2O*kgtoGg</f>
        <v>7.6286724448087007E-3</v>
      </c>
      <c r="AW1474" s="22">
        <f>'Activity data'!BP58*ManureNEF*NtoN2O*kgtoGg</f>
        <v>7.6248200266524988E-3</v>
      </c>
    </row>
    <row r="1475" spans="1:49" x14ac:dyDescent="0.25">
      <c r="A1475" s="95" t="s">
        <v>960</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8.7045671471293537E-2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8.8412215452112072E-2</v>
      </c>
      <c r="P1475" s="22">
        <f>'Activity data'!AI59*ManureNEF*NtoN2O*kgtoGg</f>
        <v>8.8924932944132923E-2</v>
      </c>
      <c r="Q1475" s="22">
        <f>'Activity data'!AJ59*ManureNEF*NtoN2O*kgtoGg</f>
        <v>8.9476727309038592E-2</v>
      </c>
      <c r="R1475" s="22">
        <f>'Activity data'!AK59*ManureNEF*NtoN2O*kgtoGg</f>
        <v>9.0065414259340087E-2</v>
      </c>
      <c r="S1475" s="22">
        <f>'Activity data'!AL59*ManureNEF*NtoN2O*kgtoGg</f>
        <v>8.9845789571278714E-2</v>
      </c>
      <c r="T1475" s="22">
        <f>'Activity data'!AM59*ManureNEF*NtoN2O*kgtoGg</f>
        <v>8.9992824583989703E-2</v>
      </c>
      <c r="U1475" s="22">
        <f>'Activity data'!AN59*ManureNEF*NtoN2O*kgtoGg</f>
        <v>9.1817452539803057E-2</v>
      </c>
      <c r="V1475" s="22">
        <f>'Activity data'!AO59*ManureNEF*NtoN2O*kgtoGg</f>
        <v>9.1899887027234312E-2</v>
      </c>
      <c r="W1475" s="22">
        <f>'Activity data'!AP59*ManureNEF*NtoN2O*kgtoGg</f>
        <v>9.211813346563695E-2</v>
      </c>
      <c r="X1475" s="22">
        <f>'Activity data'!AQ59*ManureNEF*NtoN2O*kgtoGg</f>
        <v>9.2412685265441663E-2</v>
      </c>
      <c r="Y1475" s="22">
        <f>'Activity data'!AR59*ManureNEF*NtoN2O*kgtoGg</f>
        <v>9.2682830352765116E-2</v>
      </c>
      <c r="Z1475" s="22">
        <f>'Activity data'!AS59*ManureNEF*NtoN2O*kgtoGg</f>
        <v>9.293213957403032E-2</v>
      </c>
      <c r="AA1475" s="22">
        <f>'Activity data'!AT59*ManureNEF*NtoN2O*kgtoGg</f>
        <v>9.3159848228775613E-2</v>
      </c>
      <c r="AB1475" s="22">
        <f>'Activity data'!AU59*ManureNEF*NtoN2O*kgtoGg</f>
        <v>9.3368294610452568E-2</v>
      </c>
      <c r="AC1475" s="22">
        <f>'Activity data'!AV59*ManureNEF*NtoN2O*kgtoGg</f>
        <v>9.356084185258419E-2</v>
      </c>
      <c r="AD1475" s="22">
        <f>'Activity data'!AW59*ManureNEF*NtoN2O*kgtoGg</f>
        <v>9.3737645090135047E-2</v>
      </c>
      <c r="AE1475" s="22">
        <f>'Activity data'!AX59*ManureNEF*NtoN2O*kgtoGg</f>
        <v>9.390175717222761E-2</v>
      </c>
      <c r="AF1475" s="22">
        <f>'Activity data'!AY59*ManureNEF*NtoN2O*kgtoGg</f>
        <v>9.40538337575203E-2</v>
      </c>
      <c r="AG1475" s="22">
        <f>'Activity data'!AZ59*ManureNEF*NtoN2O*kgtoGg</f>
        <v>9.4192018058601723E-2</v>
      </c>
      <c r="AH1475" s="22">
        <f>'Activity data'!BA59*ManureNEF*NtoN2O*kgtoGg</f>
        <v>9.4317840415768184E-2</v>
      </c>
      <c r="AI1475" s="22">
        <f>'Activity data'!BB59*ManureNEF*NtoN2O*kgtoGg</f>
        <v>9.4433612610268142E-2</v>
      </c>
      <c r="AJ1475" s="22">
        <f>'Activity data'!BC59*ManureNEF*NtoN2O*kgtoGg</f>
        <v>9.1435779482264015E-2</v>
      </c>
      <c r="AK1475" s="22">
        <f>'Activity data'!BD59*ManureNEF*NtoN2O*kgtoGg</f>
        <v>9.1551330105708581E-2</v>
      </c>
      <c r="AL1475" s="22">
        <f>'Activity data'!BE59*ManureNEF*NtoN2O*kgtoGg</f>
        <v>9.1656537377754754E-2</v>
      </c>
      <c r="AM1475" s="22">
        <f>'Activity data'!BF59*ManureNEF*NtoN2O*kgtoGg</f>
        <v>9.175225276274665E-2</v>
      </c>
      <c r="AN1475" s="22">
        <f>'Activity data'!BG59*ManureNEF*NtoN2O*kgtoGg</f>
        <v>9.1839462316889414E-2</v>
      </c>
      <c r="AO1475" s="22">
        <f>'Activity data'!BH59*ManureNEF*NtoN2O*kgtoGg</f>
        <v>9.1915690331932545E-2</v>
      </c>
      <c r="AP1475" s="22">
        <f>'Activity data'!BI59*ManureNEF*NtoN2O*kgtoGg</f>
        <v>9.1979335308257068E-2</v>
      </c>
      <c r="AQ1475" s="22">
        <f>'Activity data'!BJ59*ManureNEF*NtoN2O*kgtoGg</f>
        <v>9.2030280326395222E-2</v>
      </c>
      <c r="AR1475" s="22">
        <f>'Activity data'!BK59*ManureNEF*NtoN2O*kgtoGg</f>
        <v>9.2066685998379513E-2</v>
      </c>
      <c r="AS1475" s="22">
        <f>'Activity data'!BL59*ManureNEF*NtoN2O*kgtoGg</f>
        <v>9.2086548168755195E-2</v>
      </c>
      <c r="AT1475" s="22">
        <f>'Activity data'!BM59*ManureNEF*NtoN2O*kgtoGg</f>
        <v>9.2089764347368611E-2</v>
      </c>
      <c r="AU1475" s="22">
        <f>'Activity data'!BN59*ManureNEF*NtoN2O*kgtoGg</f>
        <v>9.2076799042532853E-2</v>
      </c>
      <c r="AV1475" s="22">
        <f>'Activity data'!BO59*ManureNEF*NtoN2O*kgtoGg</f>
        <v>9.2048014837757555E-2</v>
      </c>
      <c r="AW1475" s="22">
        <f>'Activity data'!BP59*ManureNEF*NtoN2O*kgtoGg</f>
        <v>9.2001531331463521E-2</v>
      </c>
    </row>
    <row r="1476" spans="1:49" x14ac:dyDescent="0.25">
      <c r="A1476" s="95" t="s">
        <v>960</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95" t="s">
        <v>960</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95" t="s">
        <v>960</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0.12462873299340151</v>
      </c>
      <c r="L1478" s="22">
        <f>'Activity data'!AE62*ManureNEF*NtoN2O*kgtoGg</f>
        <v>0.12395129293471774</v>
      </c>
      <c r="M1478" s="22">
        <f>'Activity data'!AF62*ManureNEF*NtoN2O*kgtoGg</f>
        <v>0.12400689511310994</v>
      </c>
      <c r="N1478" s="22">
        <f>'Activity data'!AG62*ManureNEF*NtoN2O*kgtoGg</f>
        <v>0.12286841678965586</v>
      </c>
      <c r="O1478" s="22">
        <f>'Activity data'!AH62*ManureNEF*NtoN2O*kgtoGg</f>
        <v>0.12100901910044999</v>
      </c>
      <c r="P1478" s="22">
        <f>'Activity data'!AI62*ManureNEF*NtoN2O*kgtoGg</f>
        <v>0.11845842648899831</v>
      </c>
      <c r="Q1478" s="22">
        <f>'Activity data'!AJ62*ManureNEF*NtoN2O*kgtoGg</f>
        <v>0.11660641339960404</v>
      </c>
      <c r="R1478" s="22">
        <f>'Activity data'!AK62*ManureNEF*NtoN2O*kgtoGg</f>
        <v>0.1149182786313902</v>
      </c>
      <c r="S1478" s="22">
        <f>'Activity data'!AL62*ManureNEF*NtoN2O*kgtoGg</f>
        <v>0.10339476754661255</v>
      </c>
      <c r="T1478" s="22">
        <f>'Activity data'!AM62*ManureNEF*NtoN2O*kgtoGg</f>
        <v>0.10708680746691927</v>
      </c>
      <c r="U1478" s="22">
        <f>'Activity data'!AN62*ManureNEF*NtoN2O*kgtoGg</f>
        <v>0.34230494451620991</v>
      </c>
      <c r="V1478" s="22">
        <f>'Activity data'!AO62*ManureNEF*NtoN2O*kgtoGg</f>
        <v>0.34324328716985369</v>
      </c>
      <c r="W1478" s="22">
        <f>'Activity data'!AP62*ManureNEF*NtoN2O*kgtoGg</f>
        <v>0.3435898446352561</v>
      </c>
      <c r="X1478" s="22">
        <f>'Activity data'!AQ62*ManureNEF*NtoN2O*kgtoGg</f>
        <v>0.34336025373780221</v>
      </c>
      <c r="Y1478" s="22">
        <f>'Activity data'!AR62*ManureNEF*NtoN2O*kgtoGg</f>
        <v>0.34258915131434525</v>
      </c>
      <c r="Z1478" s="22">
        <f>'Activity data'!AS62*ManureNEF*NtoN2O*kgtoGg</f>
        <v>0.34126945430195527</v>
      </c>
      <c r="AA1478" s="22">
        <f>'Activity data'!AT62*ManureNEF*NtoN2O*kgtoGg</f>
        <v>0.3393992662053118</v>
      </c>
      <c r="AB1478" s="22">
        <f>'Activity data'!AU62*ManureNEF*NtoN2O*kgtoGg</f>
        <v>0.33697876239255126</v>
      </c>
      <c r="AC1478" s="22">
        <f>'Activity data'!AV62*ManureNEF*NtoN2O*kgtoGg</f>
        <v>0.3340110473815755</v>
      </c>
      <c r="AD1478" s="22">
        <f>'Activity data'!AW62*ManureNEF*NtoN2O*kgtoGg</f>
        <v>0.33050375948442778</v>
      </c>
      <c r="AE1478" s="22">
        <f>'Activity data'!AX62*ManureNEF*NtoN2O*kgtoGg</f>
        <v>0.32646655874795893</v>
      </c>
      <c r="AF1478" s="22">
        <f>'Activity data'!AY62*ManureNEF*NtoN2O*kgtoGg</f>
        <v>0.32191309563582443</v>
      </c>
      <c r="AG1478" s="22">
        <f>'Activity data'!AZ62*ManureNEF*NtoN2O*kgtoGg</f>
        <v>0.31686086246920969</v>
      </c>
      <c r="AH1478" s="22">
        <f>'Activity data'!BA62*ManureNEF*NtoN2O*kgtoGg</f>
        <v>0.31132880694281095</v>
      </c>
      <c r="AI1478" s="22">
        <f>'Activity data'!BB62*ManureNEF*NtoN2O*kgtoGg</f>
        <v>0.30533819170490117</v>
      </c>
      <c r="AJ1478" s="22">
        <f>'Activity data'!BC62*ManureNEF*NtoN2O*kgtoGg</f>
        <v>-2.8452110243571058E-2</v>
      </c>
      <c r="AK1478" s="22">
        <f>'Activity data'!BD62*ManureNEF*NtoN2O*kgtoGg</f>
        <v>-2.814409017595957E-2</v>
      </c>
      <c r="AL1478" s="22">
        <f>'Activity data'!BE62*ManureNEF*NtoN2O*kgtoGg</f>
        <v>-2.7834978813803351E-2</v>
      </c>
      <c r="AM1478" s="22">
        <f>'Activity data'!BF62*ManureNEF*NtoN2O*kgtoGg</f>
        <v>-2.7525096845033417E-2</v>
      </c>
      <c r="AN1478" s="22">
        <f>'Activity data'!BG62*ManureNEF*NtoN2O*kgtoGg</f>
        <v>-2.7214798691689582E-2</v>
      </c>
      <c r="AO1478" s="22">
        <f>'Activity data'!BH62*ManureNEF*NtoN2O*kgtoGg</f>
        <v>-2.6903261813323635E-2</v>
      </c>
      <c r="AP1478" s="22">
        <f>'Activity data'!BI62*ManureNEF*NtoN2O*kgtoGg</f>
        <v>-2.659000059935173E-2</v>
      </c>
      <c r="AQ1478" s="22">
        <f>'Activity data'!BJ62*ManureNEF*NtoN2O*kgtoGg</f>
        <v>-2.6275045310908511E-2</v>
      </c>
      <c r="AR1478" s="22">
        <f>'Activity data'!BK62*ManureNEF*NtoN2O*kgtoGg</f>
        <v>-2.5957874013715753E-2</v>
      </c>
      <c r="AS1478" s="22">
        <f>'Activity data'!BL62*ManureNEF*NtoN2O*kgtoGg</f>
        <v>-2.5637945266726723E-2</v>
      </c>
      <c r="AT1478" s="22">
        <f>'Activity data'!BM62*ManureNEF*NtoN2O*kgtoGg</f>
        <v>-2.5315349871404581E-2</v>
      </c>
      <c r="AU1478" s="22">
        <f>'Activity data'!BN62*ManureNEF*NtoN2O*kgtoGg</f>
        <v>-2.4990356269877063E-2</v>
      </c>
      <c r="AV1478" s="22">
        <f>'Activity data'!BO62*ManureNEF*NtoN2O*kgtoGg</f>
        <v>-2.4663194083915266E-2</v>
      </c>
      <c r="AW1478" s="22">
        <f>'Activity data'!BP62*ManureNEF*NtoN2O*kgtoGg</f>
        <v>-2.433341037395171E-2</v>
      </c>
    </row>
    <row r="1479" spans="1:49" x14ac:dyDescent="0.25">
      <c r="A1479" s="95" t="s">
        <v>960</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3.1618785484610064E-2</v>
      </c>
      <c r="L1479" s="22">
        <f>'Activity data'!AE63*ManureNEF*NtoN2O*kgtoGg</f>
        <v>3.1446916354757493E-2</v>
      </c>
      <c r="M1479" s="22">
        <f>'Activity data'!AF63*ManureNEF*NtoN2O*kgtoGg</f>
        <v>3.1461022839745618E-2</v>
      </c>
      <c r="N1479" s="22">
        <f>'Activity data'!AG63*ManureNEF*NtoN2O*kgtoGg</f>
        <v>3.1172186541537576E-2</v>
      </c>
      <c r="O1479" s="22">
        <f>'Activity data'!AH63*ManureNEF*NtoN2O*kgtoGg</f>
        <v>3.0700450247237825E-2</v>
      </c>
      <c r="P1479" s="22">
        <f>'Activity data'!AI63*ManureNEF*NtoN2O*kgtoGg</f>
        <v>3.0053355161673637E-2</v>
      </c>
      <c r="Q1479" s="22">
        <f>'Activity data'!AJ63*ManureNEF*NtoN2O*kgtoGg</f>
        <v>2.9583492368545915E-2</v>
      </c>
      <c r="R1479" s="22">
        <f>'Activity data'!AK63*ManureNEF*NtoN2O*kgtoGg</f>
        <v>2.9155206131309674E-2</v>
      </c>
      <c r="S1479" s="22">
        <f>'Activity data'!AL63*ManureNEF*NtoN2O*kgtoGg</f>
        <v>2.6231647363859134E-2</v>
      </c>
      <c r="T1479" s="22">
        <f>'Activity data'!AM63*ManureNEF*NtoN2O*kgtoGg</f>
        <v>2.716833199056537E-2</v>
      </c>
      <c r="U1479" s="22">
        <f>'Activity data'!AN63*ManureNEF*NtoN2O*kgtoGg</f>
        <v>8.684407159585289E-2</v>
      </c>
      <c r="V1479" s="22">
        <f>'Activity data'!AO63*ManureNEF*NtoN2O*kgtoGg</f>
        <v>8.7082132710364829E-2</v>
      </c>
      <c r="W1479" s="22">
        <f>'Activity data'!AP63*ManureNEF*NtoN2O*kgtoGg</f>
        <v>8.7170055662748783E-2</v>
      </c>
      <c r="X1479" s="22">
        <f>'Activity data'!AQ63*ManureNEF*NtoN2O*kgtoGg</f>
        <v>8.7111807575317793E-2</v>
      </c>
      <c r="Y1479" s="22">
        <f>'Activity data'!AR63*ManureNEF*NtoN2O*kgtoGg</f>
        <v>8.6916175945850438E-2</v>
      </c>
      <c r="Z1479" s="22">
        <f>'Activity data'!AS63*ManureNEF*NtoN2O*kgtoGg</f>
        <v>8.6581363774233103E-2</v>
      </c>
      <c r="AA1479" s="22">
        <f>'Activity data'!AT63*ManureNEF*NtoN2O*kgtoGg</f>
        <v>8.6106889912360693E-2</v>
      </c>
      <c r="AB1479" s="22">
        <f>'Activity data'!AU63*ManureNEF*NtoN2O*kgtoGg</f>
        <v>8.5492798851799182E-2</v>
      </c>
      <c r="AC1479" s="22">
        <f>'Activity data'!AV63*ManureNEF*NtoN2O*kgtoGg</f>
        <v>8.4739878220595588E-2</v>
      </c>
      <c r="AD1479" s="22">
        <f>'Activity data'!AW63*ManureNEF*NtoN2O*kgtoGg</f>
        <v>8.3850065887683914E-2</v>
      </c>
      <c r="AE1479" s="22">
        <f>'Activity data'!AX63*ManureNEF*NtoN2O*kgtoGg</f>
        <v>8.2825812643839453E-2</v>
      </c>
      <c r="AF1479" s="22">
        <f>'Activity data'!AY63*ManureNEF*NtoN2O*kgtoGg</f>
        <v>8.1670581663819047E-2</v>
      </c>
      <c r="AG1479" s="22">
        <f>'Activity data'!AZ63*ManureNEF*NtoN2O*kgtoGg</f>
        <v>8.0388810816306083E-2</v>
      </c>
      <c r="AH1479" s="22">
        <f>'Activity data'!BA63*ManureNEF*NtoN2O*kgtoGg</f>
        <v>7.8985307203801092E-2</v>
      </c>
      <c r="AI1479" s="22">
        <f>'Activity data'!BB63*ManureNEF*NtoN2O*kgtoGg</f>
        <v>7.7465465241367507E-2</v>
      </c>
      <c r="AJ1479" s="22">
        <f>'Activity data'!BC63*ManureNEF*NtoN2O*kgtoGg</f>
        <v>-7.2184090198813182E-3</v>
      </c>
      <c r="AK1479" s="22">
        <f>'Activity data'!BD63*ManureNEF*NtoN2O*kgtoGg</f>
        <v>-7.1402631524810738E-3</v>
      </c>
      <c r="AL1479" s="22">
        <f>'Activity data'!BE63*ManureNEF*NtoN2O*kgtoGg</f>
        <v>-7.0618404194874671E-3</v>
      </c>
      <c r="AM1479" s="22">
        <f>'Activity data'!BF63*ManureNEF*NtoN2O*kgtoGg</f>
        <v>-6.9832221806532197E-3</v>
      </c>
      <c r="AN1479" s="22">
        <f>'Activity data'!BG63*ManureNEF*NtoN2O*kgtoGg</f>
        <v>-6.9044983542032711E-3</v>
      </c>
      <c r="AO1479" s="22">
        <f>'Activity data'!BH63*ManureNEF*NtoN2O*kgtoGg</f>
        <v>-6.8254602584848501E-3</v>
      </c>
      <c r="AP1479" s="22">
        <f>'Activity data'!BI63*ManureNEF*NtoN2O*kgtoGg</f>
        <v>-6.7459846922384176E-3</v>
      </c>
      <c r="AQ1479" s="22">
        <f>'Activity data'!BJ63*ManureNEF*NtoN2O*kgtoGg</f>
        <v>-6.66607933282939E-3</v>
      </c>
      <c r="AR1479" s="22">
        <f>'Activity data'!BK63*ManureNEF*NtoN2O*kgtoGg</f>
        <v>-6.5856117635382473E-3</v>
      </c>
      <c r="AS1479" s="22">
        <f>'Activity data'!BL63*ManureNEF*NtoN2O*kgtoGg</f>
        <v>-6.5044446187038276E-3</v>
      </c>
      <c r="AT1479" s="22">
        <f>'Activity data'!BM63*ManureNEF*NtoN2O*kgtoGg</f>
        <v>-6.4226009350040626E-3</v>
      </c>
      <c r="AU1479" s="22">
        <f>'Activity data'!BN63*ManureNEF*NtoN2O*kgtoGg</f>
        <v>-6.3401488172318849E-3</v>
      </c>
      <c r="AV1479" s="22">
        <f>'Activity data'!BO63*ManureNEF*NtoN2O*kgtoGg</f>
        <v>-6.2571465213074788E-3</v>
      </c>
      <c r="AW1479" s="22">
        <f>'Activity data'!BP63*ManureNEF*NtoN2O*kgtoGg</f>
        <v>-6.1734791347329209E-3</v>
      </c>
    </row>
    <row r="1480" spans="1:49" x14ac:dyDescent="0.25">
      <c r="A1480" s="95" t="s">
        <v>960</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0.15700744358616767</v>
      </c>
      <c r="L1480" s="22">
        <f>'Activity data'!AE64*ManureNEF*NtoN2O*kgtoGg</f>
        <v>0.16019971617730661</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0.17081649742586288</v>
      </c>
      <c r="Q1480" s="22">
        <f>'Activity data'!AJ64*ManureNEF*NtoN2O*kgtoGg</f>
        <v>0.17302318661183388</v>
      </c>
      <c r="R1480" s="22">
        <f>'Activity data'!AK64*ManureNEF*NtoN2O*kgtoGg</f>
        <v>0.17531753251219057</v>
      </c>
      <c r="S1480" s="22">
        <f>'Activity data'!AL64*ManureNEF*NtoN2O*kgtoGg</f>
        <v>0.16840615861524894</v>
      </c>
      <c r="T1480" s="22">
        <f>'Activity data'!AM64*ManureNEF*NtoN2O*kgtoGg</f>
        <v>0.17458356718938842</v>
      </c>
      <c r="U1480" s="22">
        <f>'Activity data'!AN64*ManureNEF*NtoN2O*kgtoGg</f>
        <v>0.38800090489360167</v>
      </c>
      <c r="V1480" s="22">
        <f>'Activity data'!AO64*ManureNEF*NtoN2O*kgtoGg</f>
        <v>0.39653088130091707</v>
      </c>
      <c r="W1480" s="22">
        <f>'Activity data'!AP64*ManureNEF*NtoN2O*kgtoGg</f>
        <v>0.40471104789547857</v>
      </c>
      <c r="X1480" s="22">
        <f>'Activity data'!AQ64*ManureNEF*NtoN2O*kgtoGg</f>
        <v>0.41246916129593358</v>
      </c>
      <c r="Y1480" s="22">
        <f>'Activity data'!AR64*ManureNEF*NtoN2O*kgtoGg</f>
        <v>0.41970725517029195</v>
      </c>
      <c r="Z1480" s="22">
        <f>'Activity data'!AS64*ManureNEF*NtoN2O*kgtoGg</f>
        <v>0.42639369577393321</v>
      </c>
      <c r="AA1480" s="22">
        <f>'Activity data'!AT64*ManureNEF*NtoN2O*kgtoGg</f>
        <v>0.43249628984221433</v>
      </c>
      <c r="AB1480" s="22">
        <f>'Activity data'!AU64*ManureNEF*NtoN2O*kgtoGg</f>
        <v>0.4379872665206837</v>
      </c>
      <c r="AC1480" s="22">
        <f>'Activity data'!AV64*ManureNEF*NtoN2O*kgtoGg</f>
        <v>0.44284225594622417</v>
      </c>
      <c r="AD1480" s="22">
        <f>'Activity data'!AW64*ManureNEF*NtoN2O*kgtoGg</f>
        <v>0.44703777917847665</v>
      </c>
      <c r="AE1480" s="22">
        <f>'Activity data'!AX64*ManureNEF*NtoN2O*kgtoGg</f>
        <v>0.4505554182669968</v>
      </c>
      <c r="AF1480" s="22">
        <f>'Activity data'!AY64*ManureNEF*NtoN2O*kgtoGg</f>
        <v>0.45337855769901697</v>
      </c>
      <c r="AG1480" s="22">
        <f>'Activity data'!AZ64*ManureNEF*NtoN2O*kgtoGg</f>
        <v>0.45549241971080034</v>
      </c>
      <c r="AH1480" s="22">
        <f>'Activity data'!BA64*ManureNEF*NtoN2O*kgtoGg</f>
        <v>0.45688810753700776</v>
      </c>
      <c r="AI1480" s="22">
        <f>'Activity data'!BB64*ManureNEF*NtoN2O*kgtoGg</f>
        <v>0.45756101673458949</v>
      </c>
      <c r="AJ1480" s="22">
        <f>'Activity data'!BC64*ManureNEF*NtoN2O*kgtoGg</f>
        <v>5.9649191888050651E-2</v>
      </c>
      <c r="AK1480" s="22">
        <f>'Activity data'!BD64*ManureNEF*NtoN2O*kgtoGg</f>
        <v>6.0086977867764617E-2</v>
      </c>
      <c r="AL1480" s="22">
        <f>'Activity data'!BE64*ManureNEF*NtoN2O*kgtoGg</f>
        <v>6.051391169747472E-2</v>
      </c>
      <c r="AM1480" s="22">
        <f>'Activity data'!BF64*ManureNEF*NtoN2O*kgtoGg</f>
        <v>6.0930636526454876E-2</v>
      </c>
      <c r="AN1480" s="22">
        <f>'Activity data'!BG64*ManureNEF*NtoN2O*kgtoGg</f>
        <v>6.1337893751701338E-2</v>
      </c>
      <c r="AO1480" s="22">
        <f>'Activity data'!BH64*ManureNEF*NtoN2O*kgtoGg</f>
        <v>6.173401354876637E-2</v>
      </c>
      <c r="AP1480" s="22">
        <f>'Activity data'!BI64*ManureNEF*NtoN2O*kgtoGg</f>
        <v>6.2117896275395594E-2</v>
      </c>
      <c r="AQ1480" s="22">
        <f>'Activity data'!BJ64*ManureNEF*NtoN2O*kgtoGg</f>
        <v>6.2489460947128449E-2</v>
      </c>
      <c r="AR1480" s="22">
        <f>'Activity data'!BK64*ManureNEF*NtoN2O*kgtoGg</f>
        <v>6.2847397693153853E-2</v>
      </c>
      <c r="AS1480" s="22">
        <f>'Activity data'!BL64*ManureNEF*NtoN2O*kgtoGg</f>
        <v>6.3190248292167767E-2</v>
      </c>
      <c r="AT1480" s="22">
        <f>'Activity data'!BM64*ManureNEF*NtoN2O*kgtoGg</f>
        <v>6.3517885217877365E-2</v>
      </c>
      <c r="AU1480" s="22">
        <f>'Activity data'!BN64*ManureNEF*NtoN2O*kgtoGg</f>
        <v>6.3830584812563373E-2</v>
      </c>
      <c r="AV1480" s="22">
        <f>'Activity data'!BO64*ManureNEF*NtoN2O*kgtoGg</f>
        <v>6.4128553387287249E-2</v>
      </c>
      <c r="AW1480" s="22">
        <f>'Activity data'!BP64*ManureNEF*NtoN2O*kgtoGg</f>
        <v>6.4410368967620674E-2</v>
      </c>
    </row>
    <row r="1481" spans="1:49" x14ac:dyDescent="0.25">
      <c r="A1481" s="95" t="s">
        <v>960</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0.78620275218739066</v>
      </c>
      <c r="L1481" s="22">
        <f>'Activity data'!AE65*ManureNEF*NtoN2O*kgtoGg</f>
        <v>0.79655563720176403</v>
      </c>
      <c r="M1481" s="22">
        <f>'Activity data'!AF65*ManureNEF*NtoN2O*kgtoGg</f>
        <v>0.81318534024672162</v>
      </c>
      <c r="N1481" s="22">
        <f>'Activity data'!AG65*ManureNEF*NtoN2O*kgtoGg</f>
        <v>0.81796021384654061</v>
      </c>
      <c r="O1481" s="22">
        <f>'Activity data'!AH65*ManureNEF*NtoN2O*kgtoGg</f>
        <v>0.81503229757580642</v>
      </c>
      <c r="P1481" s="22">
        <f>'Activity data'!AI65*ManureNEF*NtoN2O*kgtoGg</f>
        <v>0.80443274266431919</v>
      </c>
      <c r="Q1481" s="22">
        <f>'Activity data'!AJ65*ManureNEF*NtoN2O*kgtoGg</f>
        <v>0.7999705721751077</v>
      </c>
      <c r="R1481" s="22">
        <f>'Activity data'!AK65*ManureNEF*NtoN2O*kgtoGg</f>
        <v>0.79652072541357855</v>
      </c>
      <c r="S1481" s="22">
        <f>'Activity data'!AL65*ManureNEF*NtoN2O*kgtoGg</f>
        <v>0.69465569137892269</v>
      </c>
      <c r="T1481" s="22">
        <f>'Activity data'!AM65*ManureNEF*NtoN2O*kgtoGg</f>
        <v>0.74722740283446698</v>
      </c>
      <c r="U1481" s="22">
        <f>'Activity data'!AN65*ManureNEF*NtoN2O*kgtoGg</f>
        <v>3.2491319225574986</v>
      </c>
      <c r="V1481" s="22">
        <f>'Activity data'!AO65*ManureNEF*NtoN2O*kgtoGg</f>
        <v>3.3073834646513305</v>
      </c>
      <c r="W1481" s="22">
        <f>'Activity data'!AP65*ManureNEF*NtoN2O*kgtoGg</f>
        <v>3.3591336989468359</v>
      </c>
      <c r="X1481" s="22">
        <f>'Activity data'!AQ65*ManureNEF*NtoN2O*kgtoGg</f>
        <v>3.4046035940471189</v>
      </c>
      <c r="Y1481" s="22">
        <f>'Activity data'!AR65*ManureNEF*NtoN2O*kgtoGg</f>
        <v>3.4444110933040832</v>
      </c>
      <c r="Z1481" s="22">
        <f>'Activity data'!AS65*ManureNEF*NtoN2O*kgtoGg</f>
        <v>3.4782576037016457</v>
      </c>
      <c r="AA1481" s="22">
        <f>'Activity data'!AT65*ManureNEF*NtoN2O*kgtoGg</f>
        <v>3.505913886515494</v>
      </c>
      <c r="AB1481" s="22">
        <f>'Activity data'!AU65*ManureNEF*NtoN2O*kgtoGg</f>
        <v>3.5271546213039011</v>
      </c>
      <c r="AC1481" s="22">
        <f>'Activity data'!AV65*ManureNEF*NtoN2O*kgtoGg</f>
        <v>3.5417788512464328</v>
      </c>
      <c r="AD1481" s="22">
        <f>'Activity data'!AW65*ManureNEF*NtoN2O*kgtoGg</f>
        <v>3.549649544772171</v>
      </c>
      <c r="AE1481" s="22">
        <f>'Activity data'!AX65*ManureNEF*NtoN2O*kgtoGg</f>
        <v>3.5506396563756342</v>
      </c>
      <c r="AF1481" s="22">
        <f>'Activity data'!AY65*ManureNEF*NtoN2O*kgtoGg</f>
        <v>3.5446807301434013</v>
      </c>
      <c r="AG1481" s="22">
        <f>'Activity data'!AZ65*ManureNEF*NtoN2O*kgtoGg</f>
        <v>3.5317644478597843</v>
      </c>
      <c r="AH1481" s="22">
        <f>'Activity data'!BA65*ManureNEF*NtoN2O*kgtoGg</f>
        <v>3.5118898029906984</v>
      </c>
      <c r="AI1481" s="22">
        <f>'Activity data'!BB65*ManureNEF*NtoN2O*kgtoGg</f>
        <v>3.4850865665660411</v>
      </c>
      <c r="AJ1481" s="22">
        <f>'Activity data'!BC65*ManureNEF*NtoN2O*kgtoGg</f>
        <v>-0.74420912451247578</v>
      </c>
      <c r="AK1481" s="22">
        <f>'Activity data'!BD65*ManureNEF*NtoN2O*kgtoGg</f>
        <v>-0.74526229962435608</v>
      </c>
      <c r="AL1481" s="22">
        <f>'Activity data'!BE65*ManureNEF*NtoN2O*kgtoGg</f>
        <v>-0.74621593178570578</v>
      </c>
      <c r="AM1481" s="22">
        <f>'Activity data'!BF65*ManureNEF*NtoN2O*kgtoGg</f>
        <v>-0.74707813045846294</v>
      </c>
      <c r="AN1481" s="22">
        <f>'Activity data'!BG65*ManureNEF*NtoN2O*kgtoGg</f>
        <v>-0.74785816697127483</v>
      </c>
      <c r="AO1481" s="22">
        <f>'Activity data'!BH65*ManureNEF*NtoN2O*kgtoGg</f>
        <v>-0.74853427138595596</v>
      </c>
      <c r="AP1481" s="22">
        <f>'Activity data'!BI65*ManureNEF*NtoN2O*kgtoGg</f>
        <v>-0.74909252303654383</v>
      </c>
      <c r="AQ1481" s="22">
        <f>'Activity data'!BJ65*ManureNEF*NtoN2O*kgtoGg</f>
        <v>-0.74953228992663867</v>
      </c>
      <c r="AR1481" s="22">
        <f>'Activity data'!BK65*ManureNEF*NtoN2O*kgtoGg</f>
        <v>-0.74983752364841638</v>
      </c>
      <c r="AS1481" s="22">
        <f>'Activity data'!BL65*ManureNEF*NtoN2O*kgtoGg</f>
        <v>-0.74999071959333552</v>
      </c>
      <c r="AT1481" s="22">
        <f>'Activity data'!BM65*ManureNEF*NtoN2O*kgtoGg</f>
        <v>-0.74999137614758737</v>
      </c>
      <c r="AU1481" s="22">
        <f>'Activity data'!BN65*ManureNEF*NtoN2O*kgtoGg</f>
        <v>-0.74984403824480428</v>
      </c>
      <c r="AV1481" s="22">
        <f>'Activity data'!BO65*ManureNEF*NtoN2O*kgtoGg</f>
        <v>-0.749552317817198</v>
      </c>
      <c r="AW1481" s="22">
        <f>'Activity data'!BP65*ManureNEF*NtoN2O*kgtoGg</f>
        <v>-0.74909980498727913</v>
      </c>
    </row>
    <row r="1482" spans="1:49" x14ac:dyDescent="0.25">
      <c r="A1482" s="95" t="s">
        <v>960</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95" t="s">
        <v>960</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1.0836040032789309</v>
      </c>
      <c r="M1483" s="22">
        <f>'Activity data'!AF67*UDCPPEF*NtoN2O*kgtoGg</f>
        <v>1.0921513426512339</v>
      </c>
      <c r="N1483" s="22">
        <f>'Activity data'!AG67*UDCPPEF*NtoN2O*kgtoGg</f>
        <v>1.0976439186771809</v>
      </c>
      <c r="O1483" s="22">
        <f>'Activity data'!AH67*UDCPPEF*NtoN2O*kgtoGg</f>
        <v>1.1012937605673541</v>
      </c>
      <c r="P1483" s="22">
        <f>'Activity data'!AI67*UDCPPEF*NtoN2O*kgtoGg</f>
        <v>1.1030649457277466</v>
      </c>
      <c r="Q1483" s="22">
        <f>'Activity data'!AJ67*UDCPPEF*NtoN2O*kgtoGg</f>
        <v>1.1069781529146336</v>
      </c>
      <c r="R1483" s="22">
        <f>'Activity data'!AK67*UDCPPEF*NtoN2O*kgtoGg</f>
        <v>1.1114672588381174</v>
      </c>
      <c r="S1483" s="22">
        <f>'Activity data'!AL67*UDCPPEF*NtoN2O*kgtoGg</f>
        <v>1.0798853549763567</v>
      </c>
      <c r="T1483" s="22">
        <f>'Activity data'!AM67*UDCPPEF*NtoN2O*kgtoGg</f>
        <v>1.098466311859537</v>
      </c>
      <c r="U1483" s="22">
        <f>'Activity data'!AN67*UDCPPEF*NtoN2O*kgtoGg</f>
        <v>1.889999136322517</v>
      </c>
      <c r="V1483" s="22">
        <f>'Activity data'!AO67*UDCPPEF*NtoN2O*kgtoGg</f>
        <v>1.9127821937491298</v>
      </c>
      <c r="W1483" s="22">
        <f>'Activity data'!AP67*UDCPPEF*NtoN2O*kgtoGg</f>
        <v>1.9345659305338647</v>
      </c>
      <c r="X1483" s="22">
        <f>'Activity data'!AQ67*UDCPPEF*NtoN2O*kgtoGg</f>
        <v>1.9549798101221001</v>
      </c>
      <c r="Y1483" s="22">
        <f>'Activity data'!AR67*UDCPPEF*NtoN2O*kgtoGg</f>
        <v>1.9734786750778357</v>
      </c>
      <c r="Z1483" s="22">
        <f>'Activity data'!AS67*UDCPPEF*NtoN2O*kgtoGg</f>
        <v>1.9899761352853818</v>
      </c>
      <c r="AA1483" s="22">
        <f>'Activity data'!AT67*UDCPPEF*NtoN2O*kgtoGg</f>
        <v>2.0043760843310485</v>
      </c>
      <c r="AB1483" s="22">
        <f>'Activity data'!AU67*UDCPPEF*NtoN2O*kgtoGg</f>
        <v>2.0166057838413951</v>
      </c>
      <c r="AC1483" s="22">
        <f>'Activity data'!AV67*UDCPPEF*NtoN2O*kgtoGg</f>
        <v>2.0266075471247365</v>
      </c>
      <c r="AD1483" s="22">
        <f>'Activity data'!AW67*UDCPPEF*NtoN2O*kgtoGg</f>
        <v>2.0343207325041344</v>
      </c>
      <c r="AE1483" s="22">
        <f>'Activity data'!AX67*UDCPPEF*NtoN2O*kgtoGg</f>
        <v>2.0397090361762231</v>
      </c>
      <c r="AF1483" s="22">
        <f>'Activity data'!AY67*UDCPPEF*NtoN2O*kgtoGg</f>
        <v>2.0427376347432897</v>
      </c>
      <c r="AG1483" s="22">
        <f>'Activity data'!AZ67*UDCPPEF*NtoN2O*kgtoGg</f>
        <v>2.0433728844876047</v>
      </c>
      <c r="AH1483" s="22">
        <f>'Activity data'!BA67*UDCPPEF*NtoN2O*kgtoGg</f>
        <v>2.0416086414199954</v>
      </c>
      <c r="AI1483" s="22">
        <f>'Activity data'!BB67*UDCPPEF*NtoN2O*kgtoGg</f>
        <v>2.0374549495329468</v>
      </c>
      <c r="AJ1483" s="22">
        <f>'Activity data'!BC67*UDCPPEF*NtoN2O*kgtoGg</f>
        <v>0.64461551353755753</v>
      </c>
      <c r="AK1483" s="22">
        <f>'Activity data'!BD67*UDCPPEF*NtoN2O*kgtoGg</f>
        <v>0.64508607204460633</v>
      </c>
      <c r="AL1483" s="22">
        <f>'Activity data'!BE67*UDCPPEF*NtoN2O*kgtoGg</f>
        <v>0.64552275664376835</v>
      </c>
      <c r="AM1483" s="22">
        <f>'Activity data'!BF67*UDCPPEF*NtoN2O*kgtoGg</f>
        <v>0.64592852135594947</v>
      </c>
      <c r="AN1483" s="22">
        <f>'Activity data'!BG67*UDCPPEF*NtoN2O*kgtoGg</f>
        <v>0.64630700491581017</v>
      </c>
      <c r="AO1483" s="22">
        <f>'Activity data'!BH67*UDCPPEF*NtoN2O*kgtoGg</f>
        <v>0.64664632856302828</v>
      </c>
      <c r="AP1483" s="22">
        <f>'Activity data'!BI67*UDCPPEF*NtoN2O*kgtoGg</f>
        <v>0.64693851525277601</v>
      </c>
      <c r="AQ1483" s="22">
        <f>'Activity data'!BJ67*UDCPPEF*NtoN2O*kgtoGg</f>
        <v>0.64718228577189862</v>
      </c>
      <c r="AR1483" s="22">
        <f>'Activity data'!BK67*UDCPPEF*NtoN2O*kgtoGg</f>
        <v>0.64736858903651606</v>
      </c>
      <c r="AS1483" s="22">
        <f>'Activity data'!BL67*UDCPPEF*NtoN2O*kgtoGg</f>
        <v>0.64748759839973102</v>
      </c>
      <c r="AT1483" s="22">
        <f>'Activity data'!BM67*UDCPPEF*NtoN2O*kgtoGg</f>
        <v>0.64753810013359636</v>
      </c>
      <c r="AU1483" s="22">
        <f>'Activity data'!BN67*UDCPPEF*NtoN2O*kgtoGg</f>
        <v>0.6475214899931051</v>
      </c>
      <c r="AV1483" s="22">
        <f>'Activity data'!BO67*UDCPPEF*NtoN2O*kgtoGg</f>
        <v>0.6474387413563446</v>
      </c>
      <c r="AW1483" s="22">
        <f>'Activity data'!BP67*UDCPPEF*NtoN2O*kgtoGg</f>
        <v>0.64728061173527773</v>
      </c>
    </row>
    <row r="1484" spans="1:49" x14ac:dyDescent="0.25">
      <c r="A1484" s="95" t="s">
        <v>960</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0.73794174034663862</v>
      </c>
      <c r="M1484" s="22">
        <f>'Activity data'!AF68*UDCPPEF*NtoN2O*kgtoGg</f>
        <v>0.74376253694082328</v>
      </c>
      <c r="N1484" s="22">
        <f>'Activity data'!AG68*UDCPPEF*NtoN2O*kgtoGg</f>
        <v>0.74750301879518044</v>
      </c>
      <c r="O1484" s="22">
        <f>'Activity data'!AH68*UDCPPEF*NtoN2O*kgtoGg</f>
        <v>0.74998858609492669</v>
      </c>
      <c r="P1484" s="22">
        <f>'Activity data'!AI68*UDCPPEF*NtoN2O*kgtoGg</f>
        <v>0.75119477530775858</v>
      </c>
      <c r="Q1484" s="22">
        <f>'Activity data'!AJ68*UDCPPEF*NtoN2O*kgtoGg</f>
        <v>0.7538596961765357</v>
      </c>
      <c r="R1484" s="22">
        <f>'Activity data'!AK68*UDCPPEF*NtoN2O*kgtoGg</f>
        <v>0.75691680802528449</v>
      </c>
      <c r="S1484" s="22">
        <f>'Activity data'!AL68*UDCPPEF*NtoN2O*kgtoGg</f>
        <v>0.73540931540926791</v>
      </c>
      <c r="T1484" s="22">
        <f>'Activity data'!AM68*UDCPPEF*NtoN2O*kgtoGg</f>
        <v>0.74806307417925111</v>
      </c>
      <c r="U1484" s="22">
        <f>'Activity data'!AN68*UDCPPEF*NtoN2O*kgtoGg</f>
        <v>1.2871023433755899</v>
      </c>
      <c r="V1484" s="22">
        <f>'Activity data'!AO68*UDCPPEF*NtoN2O*kgtoGg</f>
        <v>1.3026177613667917</v>
      </c>
      <c r="W1484" s="22">
        <f>'Activity data'!AP68*UDCPPEF*NtoN2O*kgtoGg</f>
        <v>1.3174526351634348</v>
      </c>
      <c r="X1484" s="22">
        <f>'Activity data'!AQ68*UDCPPEF*NtoN2O*kgtoGg</f>
        <v>1.3313546268365786</v>
      </c>
      <c r="Y1484" s="22">
        <f>'Activity data'!AR68*UDCPPEF*NtoN2O*kgtoGg</f>
        <v>1.3439524804422922</v>
      </c>
      <c r="Z1484" s="22">
        <f>'Activity data'!AS68*UDCPPEF*NtoN2O*kgtoGg</f>
        <v>1.3551873637207013</v>
      </c>
      <c r="AA1484" s="22">
        <f>'Activity data'!AT68*UDCPPEF*NtoN2O*kgtoGg</f>
        <v>1.3649938275465159</v>
      </c>
      <c r="AB1484" s="22">
        <f>'Activity data'!AU68*UDCPPEF*NtoN2O*kgtoGg</f>
        <v>1.3733223365897391</v>
      </c>
      <c r="AC1484" s="22">
        <f>'Activity data'!AV68*UDCPPEF*NtoN2O*kgtoGg</f>
        <v>1.3801336058186369</v>
      </c>
      <c r="AD1484" s="22">
        <f>'Activity data'!AW68*UDCPPEF*NtoN2O*kgtoGg</f>
        <v>1.3853863378362978</v>
      </c>
      <c r="AE1484" s="22">
        <f>'Activity data'!AX68*UDCPPEF*NtoN2O*kgtoGg</f>
        <v>1.3890558095042369</v>
      </c>
      <c r="AF1484" s="22">
        <f>'Activity data'!AY68*UDCPPEF*NtoN2O*kgtoGg</f>
        <v>1.3911183058503465</v>
      </c>
      <c r="AG1484" s="22">
        <f>'Activity data'!AZ68*UDCPPEF*NtoN2O*kgtoGg</f>
        <v>1.3915509152726599</v>
      </c>
      <c r="AH1484" s="22">
        <f>'Activity data'!BA68*UDCPPEF*NtoN2O*kgtoGg</f>
        <v>1.3903494536725116</v>
      </c>
      <c r="AI1484" s="22">
        <f>'Activity data'!BB68*UDCPPEF*NtoN2O*kgtoGg</f>
        <v>1.3875207610775073</v>
      </c>
      <c r="AJ1484" s="22">
        <f>'Activity data'!BC68*UDCPPEF*NtoN2O*kgtoGg</f>
        <v>0.43898757523499138</v>
      </c>
      <c r="AK1484" s="22">
        <f>'Activity data'!BD68*UDCPPEF*NtoN2O*kgtoGg</f>
        <v>0.43930802879789405</v>
      </c>
      <c r="AL1484" s="22">
        <f>'Activity data'!BE68*UDCPPEF*NtoN2O*kgtoGg</f>
        <v>0.43960541399775782</v>
      </c>
      <c r="AM1484" s="22">
        <f>'Activity data'!BF68*UDCPPEF*NtoN2O*kgtoGg</f>
        <v>0.43988174254303092</v>
      </c>
      <c r="AN1484" s="22">
        <f>'Activity data'!BG68*UDCPPEF*NtoN2O*kgtoGg</f>
        <v>0.44013949243691386</v>
      </c>
      <c r="AO1484" s="22">
        <f>'Activity data'!BH68*UDCPPEF*NtoN2O*kgtoGg</f>
        <v>0.44037057416235159</v>
      </c>
      <c r="AP1484" s="22">
        <f>'Activity data'!BI68*UDCPPEF*NtoN2O*kgtoGg</f>
        <v>0.44056955529723674</v>
      </c>
      <c r="AQ1484" s="22">
        <f>'Activity data'!BJ68*UDCPPEF*NtoN2O*kgtoGg</f>
        <v>0.4407355646886586</v>
      </c>
      <c r="AR1484" s="22">
        <f>'Activity data'!BK68*UDCPPEF*NtoN2O*kgtoGg</f>
        <v>0.44086243848656637</v>
      </c>
      <c r="AS1484" s="22">
        <f>'Activity data'!BL68*UDCPPEF*NtoN2O*kgtoGg</f>
        <v>0.44094348467718814</v>
      </c>
      <c r="AT1484" s="22">
        <f>'Activity data'!BM68*UDCPPEF*NtoN2O*kgtoGg</f>
        <v>0.44097787670348765</v>
      </c>
      <c r="AU1484" s="22">
        <f>'Activity data'!BN68*UDCPPEF*NtoN2O*kgtoGg</f>
        <v>0.44096656508416521</v>
      </c>
      <c r="AV1484" s="22">
        <f>'Activity data'!BO68*UDCPPEF*NtoN2O*kgtoGg</f>
        <v>0.44091021269635783</v>
      </c>
      <c r="AW1484" s="22">
        <f>'Activity data'!BP68*UDCPPEF*NtoN2O*kgtoGg</f>
        <v>0.44080252534247472</v>
      </c>
    </row>
    <row r="1485" spans="1:49" x14ac:dyDescent="0.25">
      <c r="A1485" s="95" t="s">
        <v>960</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15.353527292296841</v>
      </c>
      <c r="L1485" s="22">
        <f>'Activity data'!AE69*UDCPPEF*NtoN2O*kgtoGg</f>
        <v>15.220371053361493</v>
      </c>
      <c r="M1485" s="22">
        <f>'Activity data'!AF69*UDCPPEF*NtoN2O*kgtoGg</f>
        <v>15.169682504177887</v>
      </c>
      <c r="N1485" s="22">
        <f>'Activity data'!AG69*UDCPPEF*NtoN2O*kgtoGg</f>
        <v>14.967111251021194</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13.711253827544137</v>
      </c>
      <c r="S1485" s="22">
        <f>'Activity data'!AL69*UDCPPEF*NtoN2O*kgtoGg</f>
        <v>12.262231428549004</v>
      </c>
      <c r="T1485" s="22">
        <f>'Activity data'!AM69*UDCPPEF*NtoN2O*kgtoGg</f>
        <v>12.73465794206464</v>
      </c>
      <c r="U1485" s="22">
        <f>'Activity data'!AN69*UDCPPEF*NtoN2O*kgtoGg</f>
        <v>40.135765944691244</v>
      </c>
      <c r="V1485" s="22">
        <f>'Activity data'!AO69*UDCPPEF*NtoN2O*kgtoGg</f>
        <v>40.329355964050443</v>
      </c>
      <c r="W1485" s="22">
        <f>'Activity data'!AP69*UDCPPEF*NtoN2O*kgtoGg</f>
        <v>40.453253097840147</v>
      </c>
      <c r="X1485" s="22">
        <f>'Activity data'!AQ69*UDCPPEF*NtoN2O*kgtoGg</f>
        <v>40.507432110592688</v>
      </c>
      <c r="Y1485" s="22">
        <f>'Activity data'!AR69*UDCPPEF*NtoN2O*kgtoGg</f>
        <v>40.493040718668887</v>
      </c>
      <c r="Z1485" s="22">
        <f>'Activity data'!AS69*UDCPPEF*NtoN2O*kgtoGg</f>
        <v>40.409389107608789</v>
      </c>
      <c r="AA1485" s="22">
        <f>'Activity data'!AT69*UDCPPEF*NtoN2O*kgtoGg</f>
        <v>40.256272365845206</v>
      </c>
      <c r="AB1485" s="22">
        <f>'Activity data'!AU69*UDCPPEF*NtoN2O*kgtoGg</f>
        <v>40.033817183265413</v>
      </c>
      <c r="AC1485" s="22">
        <f>'Activity data'!AV69*UDCPPEF*NtoN2O*kgtoGg</f>
        <v>39.742523773077906</v>
      </c>
      <c r="AD1485" s="22">
        <f>'Activity data'!AW69*UDCPPEF*NtoN2O*kgtoGg</f>
        <v>39.052391122761925</v>
      </c>
      <c r="AE1485" s="22">
        <f>'Activity data'!AX69*UDCPPEF*NtoN2O*kgtoGg</f>
        <v>38.297252341964814</v>
      </c>
      <c r="AF1485" s="22">
        <f>'Activity data'!AY69*UDCPPEF*NtoN2O*kgtoGg</f>
        <v>37.480500419129982</v>
      </c>
      <c r="AG1485" s="22">
        <f>'Activity data'!AZ69*UDCPPEF*NtoN2O*kgtoGg</f>
        <v>36.605913882693514</v>
      </c>
      <c r="AH1485" s="22">
        <f>'Activity data'!BA69*UDCPPEF*NtoN2O*kgtoGg</f>
        <v>35.67751529859683</v>
      </c>
      <c r="AI1485" s="22">
        <f>'Activity data'!BB69*UDCPPEF*NtoN2O*kgtoGg</f>
        <v>34.699588123562123</v>
      </c>
      <c r="AJ1485" s="22">
        <f>'Activity data'!BC69*UDCPPEF*NtoN2O*kgtoGg</f>
        <v>-2.6792659907667447</v>
      </c>
      <c r="AK1485" s="22">
        <f>'Activity data'!BD69*UDCPPEF*NtoN2O*kgtoGg</f>
        <v>-2.6147570082117628</v>
      </c>
      <c r="AL1485" s="22">
        <f>'Activity data'!BE69*UDCPPEF*NtoN2O*kgtoGg</f>
        <v>-2.5509192087001833</v>
      </c>
      <c r="AM1485" s="22">
        <f>'Activity data'!BF69*UDCPPEF*NtoN2O*kgtoGg</f>
        <v>-2.4877459989648312</v>
      </c>
      <c r="AN1485" s="22">
        <f>'Activity data'!BG69*UDCPPEF*NtoN2O*kgtoGg</f>
        <v>-2.4376070910582812</v>
      </c>
      <c r="AO1485" s="22">
        <f>'Activity data'!BH69*UDCPPEF*NtoN2O*kgtoGg</f>
        <v>-2.3879438055302513</v>
      </c>
      <c r="AP1485" s="22">
        <f>'Activity data'!BI69*UDCPPEF*NtoN2O*kgtoGg</f>
        <v>-2.3387192042216429</v>
      </c>
      <c r="AQ1485" s="22">
        <f>'Activity data'!BJ69*UDCPPEF*NtoN2O*kgtoGg</f>
        <v>-2.2899210938883474</v>
      </c>
      <c r="AR1485" s="22">
        <f>'Activity data'!BK69*UDCPPEF*NtoN2O*kgtoGg</f>
        <v>-2.2415137982186422</v>
      </c>
      <c r="AS1485" s="22">
        <f>'Activity data'!BL69*UDCPPEF*NtoN2O*kgtoGg</f>
        <v>-2.1934623794160584</v>
      </c>
      <c r="AT1485" s="22">
        <f>'Activity data'!BM69*UDCPPEF*NtoN2O*kgtoGg</f>
        <v>-2.145761226265924</v>
      </c>
      <c r="AU1485" s="22">
        <f>'Activity data'!BN69*UDCPPEF*NtoN2O*kgtoGg</f>
        <v>-2.0984132858067897</v>
      </c>
      <c r="AV1485" s="22">
        <f>'Activity data'!BO69*UDCPPEF*NtoN2O*kgtoGg</f>
        <v>-2.0514203658912691</v>
      </c>
      <c r="AW1485" s="22">
        <f>'Activity data'!BP69*UDCPPEF*NtoN2O*kgtoGg</f>
        <v>-2.0047554755928445</v>
      </c>
    </row>
    <row r="1486" spans="1:49" x14ac:dyDescent="0.25">
      <c r="A1486" s="95" t="s">
        <v>960</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9.6543103644621429</v>
      </c>
      <c r="L1486" s="22">
        <f>'Activity data'!AE70*UDCPPEF*NtoN2O*kgtoGg</f>
        <v>9.5705816138517683</v>
      </c>
      <c r="M1486" s="22">
        <f>'Activity data'!AF70*UDCPPEF*NtoN2O*kgtoGg</f>
        <v>9.5387086131772989</v>
      </c>
      <c r="N1486" s="22">
        <f>'Activity data'!AG70*UDCPPEF*NtoN2O*kgtoGg</f>
        <v>9.4113316455488931</v>
      </c>
      <c r="O1486" s="22">
        <f>'Activity data'!AH70*UDCPPEF*NtoN2O*kgtoGg</f>
        <v>9.2264408662754782</v>
      </c>
      <c r="P1486" s="22">
        <f>'Activity data'!AI70*UDCPPEF*NtoN2O*kgtoGg</f>
        <v>8.987859527224467</v>
      </c>
      <c r="Q1486" s="22">
        <f>'Activity data'!AJ70*UDCPPEF*NtoN2O*kgtoGg</f>
        <v>8.7996834473406569</v>
      </c>
      <c r="R1486" s="22">
        <f>'Activity data'!AK70*UDCPPEF*NtoN2O*kgtoGg</f>
        <v>8.6216474831450949</v>
      </c>
      <c r="S1486" s="22">
        <f>'Activity data'!AL70*UDCPPEF*NtoN2O*kgtoGg</f>
        <v>7.7105010280907447</v>
      </c>
      <c r="T1486" s="22">
        <f>'Activity data'!AM70*UDCPPEF*NtoN2O*kgtoGg</f>
        <v>8.0075632014304841</v>
      </c>
      <c r="U1486" s="22">
        <f>'Activity data'!AN70*UDCPPEF*NtoN2O*kgtoGg</f>
        <v>25.237402048965457</v>
      </c>
      <c r="V1486" s="22">
        <f>'Activity data'!AO70*UDCPPEF*NtoN2O*kgtoGg</f>
        <v>25.359131609526678</v>
      </c>
      <c r="W1486" s="22">
        <f>'Activity data'!AP70*UDCPPEF*NtoN2O*kgtoGg</f>
        <v>25.43703822734167</v>
      </c>
      <c r="X1486" s="22">
        <f>'Activity data'!AQ70*UDCPPEF*NtoN2O*kgtoGg</f>
        <v>25.471106034328002</v>
      </c>
      <c r="Y1486" s="22">
        <f>'Activity data'!AR70*UDCPPEF*NtoN2O*kgtoGg</f>
        <v>25.462056715460484</v>
      </c>
      <c r="Z1486" s="22">
        <f>'Activity data'!AS70*UDCPPEF*NtoN2O*kgtoGg</f>
        <v>25.40945651484947</v>
      </c>
      <c r="AA1486" s="22">
        <f>'Activity data'!AT70*UDCPPEF*NtoN2O*kgtoGg</f>
        <v>25.313176583935984</v>
      </c>
      <c r="AB1486" s="22">
        <f>'Activity data'!AU70*UDCPPEF*NtoN2O*kgtoGg</f>
        <v>25.173296585423468</v>
      </c>
      <c r="AC1486" s="22">
        <f>'Activity data'!AV70*UDCPPEF*NtoN2O*kgtoGg</f>
        <v>24.9901310537815</v>
      </c>
      <c r="AD1486" s="22">
        <f>'Activity data'!AW70*UDCPPEF*NtoN2O*kgtoGg</f>
        <v>24.5561750857518</v>
      </c>
      <c r="AE1486" s="22">
        <f>'Activity data'!AX70*UDCPPEF*NtoN2O*kgtoGg</f>
        <v>24.081343210361542</v>
      </c>
      <c r="AF1486" s="22">
        <f>'Activity data'!AY70*UDCPPEF*NtoN2O*kgtoGg</f>
        <v>23.567768941484907</v>
      </c>
      <c r="AG1486" s="22">
        <f>'Activity data'!AZ70*UDCPPEF*NtoN2O*kgtoGg</f>
        <v>23.017828220854938</v>
      </c>
      <c r="AH1486" s="22">
        <f>'Activity data'!BA70*UDCPPEF*NtoN2O*kgtoGg</f>
        <v>22.434050441185143</v>
      </c>
      <c r="AI1486" s="22">
        <f>'Activity data'!BB70*UDCPPEF*NtoN2O*kgtoGg</f>
        <v>21.819129043522761</v>
      </c>
      <c r="AJ1486" s="22">
        <f>'Activity data'!BC70*UDCPPEF*NtoN2O*kgtoGg</f>
        <v>-1.6847246193901004</v>
      </c>
      <c r="AK1486" s="22">
        <f>'Activity data'!BD70*UDCPPEF*NtoN2O*kgtoGg</f>
        <v>-1.644161319047128</v>
      </c>
      <c r="AL1486" s="22">
        <f>'Activity data'!BE70*UDCPPEF*NtoN2O*kgtoGg</f>
        <v>-1.6040200591440494</v>
      </c>
      <c r="AM1486" s="22">
        <f>'Activity data'!BF70*UDCPPEF*NtoN2O*kgtoGg</f>
        <v>-1.5642966938291387</v>
      </c>
      <c r="AN1486" s="22">
        <f>'Activity data'!BG70*UDCPPEF*NtoN2O*kgtoGg</f>
        <v>-1.5327693080337013</v>
      </c>
      <c r="AO1486" s="22">
        <f>'Activity data'!BH70*UDCPPEF*NtoN2O*kgtoGg</f>
        <v>-1.5015409939741007</v>
      </c>
      <c r="AP1486" s="22">
        <f>'Activity data'!BI70*UDCPPEF*NtoN2O*kgtoGg</f>
        <v>-1.4705885249060549</v>
      </c>
      <c r="AQ1486" s="22">
        <f>'Activity data'!BJ70*UDCPPEF*NtoN2O*kgtoGg</f>
        <v>-1.4399042337078187</v>
      </c>
      <c r="AR1486" s="22">
        <f>'Activity data'!BK70*UDCPPEF*NtoN2O*kgtoGg</f>
        <v>-1.4094656870857605</v>
      </c>
      <c r="AS1486" s="22">
        <f>'Activity data'!BL70*UDCPPEF*NtoN2O*kgtoGg</f>
        <v>-1.3792509161252371</v>
      </c>
      <c r="AT1486" s="22">
        <f>'Activity data'!BM70*UDCPPEF*NtoN2O*kgtoGg</f>
        <v>-1.3492563924899292</v>
      </c>
      <c r="AU1486" s="22">
        <f>'Activity data'!BN70*UDCPPEF*NtoN2O*kgtoGg</f>
        <v>-1.3194839692800588</v>
      </c>
      <c r="AV1486" s="22">
        <f>'Activity data'!BO70*UDCPPEF*NtoN2O*kgtoGg</f>
        <v>-1.2899347832748098</v>
      </c>
      <c r="AW1486" s="22">
        <f>'Activity data'!BP70*UDCPPEF*NtoN2O*kgtoGg</f>
        <v>-1.2605918625577832</v>
      </c>
    </row>
    <row r="1487" spans="1:49" x14ac:dyDescent="0.25">
      <c r="A1487" s="95" t="s">
        <v>960</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95" t="s">
        <v>960</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5.8850501739310754</v>
      </c>
      <c r="T1488" s="22">
        <f>'Activity data'!AM72*UDSOEF*NtoN2O*kgtoGg</f>
        <v>5.8889669247946657</v>
      </c>
      <c r="U1488" s="22">
        <f>'Activity data'!AN72*UDSOEF*NtoN2O*kgtoGg</f>
        <v>5.9656712357324011</v>
      </c>
      <c r="V1488" s="22">
        <f>'Activity data'!AO72*UDSOEF*NtoN2O*kgtoGg</f>
        <v>5.9675423775316272</v>
      </c>
      <c r="W1488" s="22">
        <f>'Activity data'!AP72*UDSOEF*NtoN2O*kgtoGg</f>
        <v>5.9755461389464104</v>
      </c>
      <c r="X1488" s="22">
        <f>'Activity data'!AQ72*UDSOEF*NtoN2O*kgtoGg</f>
        <v>5.9871157703379936</v>
      </c>
      <c r="Y1488" s="22">
        <f>'Activity data'!AR72*UDSOEF*NtoN2O*kgtoGg</f>
        <v>5.9978635614207825</v>
      </c>
      <c r="Z1488" s="22">
        <f>'Activity data'!AS72*UDSOEF*NtoN2O*kgtoGg</f>
        <v>6.0079225842908377</v>
      </c>
      <c r="AA1488" s="22">
        <f>'Activity data'!AT72*UDSOEF*NtoN2O*kgtoGg</f>
        <v>6.0172391996362506</v>
      </c>
      <c r="AB1488" s="22">
        <f>'Activity data'!AU72*UDSOEF*NtoN2O*kgtoGg</f>
        <v>6.0258973509268747</v>
      </c>
      <c r="AC1488" s="22">
        <f>'Activity data'!AV72*UDSOEF*NtoN2O*kgtoGg</f>
        <v>6.0340283734996341</v>
      </c>
      <c r="AD1488" s="22">
        <f>'Activity data'!AW72*UDSOEF*NtoN2O*kgtoGg</f>
        <v>6.0416246060545662</v>
      </c>
      <c r="AE1488" s="22">
        <f>'Activity data'!AX72*UDSOEF*NtoN2O*kgtoGg</f>
        <v>6.0488075465649391</v>
      </c>
      <c r="AF1488" s="22">
        <f>'Activity data'!AY72*UDSOEF*NtoN2O*kgtoGg</f>
        <v>6.0555945824734003</v>
      </c>
      <c r="AG1488" s="22">
        <f>'Activity data'!AZ72*UDSOEF*NtoN2O*kgtoGg</f>
        <v>6.0618926896286194</v>
      </c>
      <c r="AH1488" s="22">
        <f>'Activity data'!BA72*UDSOEF*NtoN2O*kgtoGg</f>
        <v>6.0677594816606231</v>
      </c>
      <c r="AI1488" s="22">
        <f>'Activity data'!BB72*UDSOEF*NtoN2O*kgtoGg</f>
        <v>6.0732885536184407</v>
      </c>
      <c r="AJ1488" s="22">
        <f>'Activity data'!BC72*UDSOEF*NtoN2O*kgtoGg</f>
        <v>5.9400031784362666</v>
      </c>
      <c r="AK1488" s="22">
        <f>'Activity data'!BD72*UDSOEF*NtoN2O*kgtoGg</f>
        <v>5.9454655494945321</v>
      </c>
      <c r="AL1488" s="22">
        <f>'Activity data'!BE72*UDSOEF*NtoN2O*kgtoGg</f>
        <v>5.9505605357080302</v>
      </c>
      <c r="AM1488" s="22">
        <f>'Activity data'!BF72*UDSOEF*NtoN2O*kgtoGg</f>
        <v>5.9553192750142969</v>
      </c>
      <c r="AN1488" s="22">
        <f>'Activity data'!BG72*UDSOEF*NtoN2O*kgtoGg</f>
        <v>5.9597796192711163</v>
      </c>
      <c r="AO1488" s="22">
        <f>'Activity data'!BH72*UDSOEF*NtoN2O*kgtoGg</f>
        <v>5.9638242432933737</v>
      </c>
      <c r="AP1488" s="22">
        <f>'Activity data'!BI72*UDSOEF*NtoN2O*kgtoGg</f>
        <v>5.9673747960452372</v>
      </c>
      <c r="AQ1488" s="22">
        <f>'Activity data'!BJ72*UDSOEF*NtoN2O*kgtoGg</f>
        <v>5.9704198015060506</v>
      </c>
      <c r="AR1488" s="22">
        <f>'Activity data'!BK72*UDSOEF*NtoN2O*kgtoGg</f>
        <v>5.9728700974873359</v>
      </c>
      <c r="AS1488" s="22">
        <f>'Activity data'!BL72*UDSOEF*NtoN2O*kgtoGg</f>
        <v>5.9746287671291771</v>
      </c>
      <c r="AT1488" s="22">
        <f>'Activity data'!BM72*UDSOEF*NtoN2O*kgtoGg</f>
        <v>5.9756848810921417</v>
      </c>
      <c r="AU1488" s="22">
        <f>'Activity data'!BN72*UDSOEF*NtoN2O*kgtoGg</f>
        <v>5.9760535038151961</v>
      </c>
      <c r="AV1488" s="22">
        <f>'Activity data'!BO72*UDSOEF*NtoN2O*kgtoGg</f>
        <v>5.9757454176187608</v>
      </c>
      <c r="AW1488" s="22">
        <f>'Activity data'!BP72*UDSOEF*NtoN2O*kgtoGg</f>
        <v>5.9746694018004627</v>
      </c>
    </row>
    <row r="1489" spans="1:49" x14ac:dyDescent="0.25">
      <c r="A1489" s="95" t="s">
        <v>960</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0.65694536678362214</v>
      </c>
      <c r="T1489" s="22">
        <f>'Activity data'!AM73*UDSOEF*NtoN2O*kgtoGg</f>
        <v>0.65738259182956638</v>
      </c>
      <c r="U1489" s="22">
        <f>'Activity data'!AN73*UDSOEF*NtoN2O*kgtoGg</f>
        <v>0.66594505777184321</v>
      </c>
      <c r="V1489" s="22">
        <f>'Activity data'!AO73*UDSOEF*NtoN2O*kgtoGg</f>
        <v>0.66615393244568089</v>
      </c>
      <c r="W1489" s="22">
        <f>'Activity data'!AP73*UDSOEF*NtoN2O*kgtoGg</f>
        <v>0.66704738854594903</v>
      </c>
      <c r="X1489" s="22">
        <f>'Activity data'!AQ73*UDSOEF*NtoN2O*kgtoGg</f>
        <v>0.66833890102476579</v>
      </c>
      <c r="Y1489" s="22">
        <f>'Activity data'!AR73*UDSOEF*NtoN2O*kgtoGg</f>
        <v>0.66953867185871263</v>
      </c>
      <c r="Z1489" s="22">
        <f>'Activity data'!AS73*UDSOEF*NtoN2O*kgtoGg</f>
        <v>0.67066155582291842</v>
      </c>
      <c r="AA1489" s="22">
        <f>'Activity data'!AT73*UDSOEF*NtoN2O*kgtoGg</f>
        <v>0.67170156518637059</v>
      </c>
      <c r="AB1489" s="22">
        <f>'Activity data'!AU73*UDSOEF*NtoN2O*kgtoGg</f>
        <v>0.67266807051889643</v>
      </c>
      <c r="AC1489" s="22">
        <f>'Activity data'!AV73*UDSOEF*NtoN2O*kgtoGg</f>
        <v>0.67357573272202431</v>
      </c>
      <c r="AD1489" s="22">
        <f>'Activity data'!AW73*UDSOEF*NtoN2O*kgtoGg</f>
        <v>0.67442369656846346</v>
      </c>
      <c r="AE1489" s="22">
        <f>'Activity data'!AX73*UDSOEF*NtoN2O*kgtoGg</f>
        <v>0.67522552481949083</v>
      </c>
      <c r="AF1489" s="22">
        <f>'Activity data'!AY73*UDSOEF*NtoN2O*kgtoGg</f>
        <v>0.67598315842710355</v>
      </c>
      <c r="AG1489" s="22">
        <f>'Activity data'!AZ73*UDSOEF*NtoN2O*kgtoGg</f>
        <v>0.676686213149297</v>
      </c>
      <c r="AH1489" s="22">
        <f>'Activity data'!BA73*UDSOEF*NtoN2O*kgtoGg</f>
        <v>0.67734112036833483</v>
      </c>
      <c r="AI1489" s="22">
        <f>'Activity data'!BB73*UDSOEF*NtoN2O*kgtoGg</f>
        <v>0.67795832805526179</v>
      </c>
      <c r="AJ1489" s="22">
        <f>'Activity data'!BC73*UDSOEF*NtoN2O*kgtoGg</f>
        <v>0.66307974467906339</v>
      </c>
      <c r="AK1489" s="22">
        <f>'Activity data'!BD73*UDSOEF*NtoN2O*kgtoGg</f>
        <v>0.66368950657612846</v>
      </c>
      <c r="AL1489" s="22">
        <f>'Activity data'!BE73*UDSOEF*NtoN2O*kgtoGg</f>
        <v>0.6642582574767768</v>
      </c>
      <c r="AM1489" s="22">
        <f>'Activity data'!BF73*UDSOEF*NtoN2O*kgtoGg</f>
        <v>0.66478947329424454</v>
      </c>
      <c r="AN1489" s="22">
        <f>'Activity data'!BG73*UDSOEF*NtoN2O*kgtoGg</f>
        <v>0.66528737941350879</v>
      </c>
      <c r="AO1489" s="22">
        <f>'Activity data'!BH73*UDSOEF*NtoN2O*kgtoGg</f>
        <v>0.66573887887965999</v>
      </c>
      <c r="AP1489" s="22">
        <f>'Activity data'!BI73*UDSOEF*NtoN2O*kgtoGg</f>
        <v>0.66613522540363546</v>
      </c>
      <c r="AQ1489" s="22">
        <f>'Activity data'!BJ73*UDSOEF*NtoN2O*kgtoGg</f>
        <v>0.66647513792267787</v>
      </c>
      <c r="AR1489" s="22">
        <f>'Activity data'!BK73*UDSOEF*NtoN2O*kgtoGg</f>
        <v>0.66674866330386928</v>
      </c>
      <c r="AS1489" s="22">
        <f>'Activity data'!BL73*UDSOEF*NtoN2O*kgtoGg</f>
        <v>0.6669449827639865</v>
      </c>
      <c r="AT1489" s="22">
        <f>'Activity data'!BM73*UDSOEF*NtoN2O*kgtoGg</f>
        <v>0.66706287626604011</v>
      </c>
      <c r="AU1489" s="22">
        <f>'Activity data'!BN73*UDSOEF*NtoN2O*kgtoGg</f>
        <v>0.6671040254462246</v>
      </c>
      <c r="AV1489" s="22">
        <f>'Activity data'!BO73*UDSOEF*NtoN2O*kgtoGg</f>
        <v>0.66706963392986762</v>
      </c>
      <c r="AW1489" s="22">
        <f>'Activity data'!BP73*UDSOEF*NtoN2O*kgtoGg</f>
        <v>0.66694951879311848</v>
      </c>
    </row>
    <row r="1490" spans="1:49" x14ac:dyDescent="0.25">
      <c r="A1490" s="95" t="s">
        <v>960</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0.73708994755228441</v>
      </c>
      <c r="R1490" s="22">
        <f>'Activity data'!AK74*UDSOEF*NtoN2O*kgtoGg</f>
        <v>0.74193942345928476</v>
      </c>
      <c r="S1490" s="22">
        <f>'Activity data'!AL74*UDSOEF*NtoN2O*kgtoGg</f>
        <v>0.74013020273035457</v>
      </c>
      <c r="T1490" s="22">
        <f>'Activity data'!AM74*UDSOEF*NtoN2O*kgtoGg</f>
        <v>0.74134144539721225</v>
      </c>
      <c r="U1490" s="22">
        <f>'Activity data'!AN74*UDSOEF*NtoN2O*kgtoGg</f>
        <v>0.75637233627465528</v>
      </c>
      <c r="V1490" s="22">
        <f>'Activity data'!AO74*UDSOEF*NtoN2O*kgtoGg</f>
        <v>0.75705141377161567</v>
      </c>
      <c r="W1490" s="22">
        <f>'Activity data'!AP74*UDSOEF*NtoN2O*kgtoGg</f>
        <v>0.7588492807776368</v>
      </c>
      <c r="X1490" s="22">
        <f>'Activity data'!AQ74*UDSOEF*NtoN2O*kgtoGg</f>
        <v>0.76127573486462674</v>
      </c>
      <c r="Y1490" s="22">
        <f>'Activity data'!AR74*UDSOEF*NtoN2O*kgtoGg</f>
        <v>0.76350113172742184</v>
      </c>
      <c r="Z1490" s="22">
        <f>'Activity data'!AS74*UDSOEF*NtoN2O*kgtoGg</f>
        <v>0.76555488722735199</v>
      </c>
      <c r="AA1490" s="22">
        <f>'Activity data'!AT74*UDSOEF*NtoN2O*kgtoGg</f>
        <v>0.76743070192723151</v>
      </c>
      <c r="AB1490" s="22">
        <f>'Activity data'!AU74*UDSOEF*NtoN2O*kgtoGg</f>
        <v>0.76914783818331145</v>
      </c>
      <c r="AC1490" s="22">
        <f>'Activity data'!AV74*UDSOEF*NtoN2O*kgtoGg</f>
        <v>0.77073400076292786</v>
      </c>
      <c r="AD1490" s="22">
        <f>'Activity data'!AW74*UDSOEF*NtoN2O*kgtoGg</f>
        <v>0.77219046763440091</v>
      </c>
      <c r="AE1490" s="22">
        <f>'Activity data'!AX74*UDSOEF*NtoN2O*kgtoGg</f>
        <v>0.77354238750921345</v>
      </c>
      <c r="AF1490" s="22">
        <f>'Activity data'!AY74*UDSOEF*NtoN2O*kgtoGg</f>
        <v>0.77479516156173556</v>
      </c>
      <c r="AG1490" s="22">
        <f>'Activity data'!AZ74*UDSOEF*NtoN2O*kgtoGg</f>
        <v>0.77593349397844169</v>
      </c>
      <c r="AH1490" s="22">
        <f>'Activity data'!BA74*UDSOEF*NtoN2O*kgtoGg</f>
        <v>0.77696999137205336</v>
      </c>
      <c r="AI1490" s="22">
        <f>'Activity data'!BB74*UDSOEF*NtoN2O*kgtoGg</f>
        <v>0.77792369769702041</v>
      </c>
      <c r="AJ1490" s="22">
        <f>'Activity data'!BC74*UDSOEF*NtoN2O*kgtoGg</f>
        <v>0.75322819608955549</v>
      </c>
      <c r="AK1490" s="22">
        <f>'Activity data'!BD74*UDSOEF*NtoN2O*kgtoGg</f>
        <v>0.7541800771600401</v>
      </c>
      <c r="AL1490" s="22">
        <f>'Activity data'!BE74*UDSOEF*NtoN2O*kgtoGg</f>
        <v>0.75504675193645199</v>
      </c>
      <c r="AM1490" s="22">
        <f>'Activity data'!BF74*UDSOEF*NtoN2O*kgtoGg</f>
        <v>0.75583523459809387</v>
      </c>
      <c r="AN1490" s="22">
        <f>'Activity data'!BG74*UDSOEF*NtoN2O*kgtoGg</f>
        <v>0.75655364806293945</v>
      </c>
      <c r="AO1490" s="22">
        <f>'Activity data'!BH74*UDSOEF*NtoN2O*kgtoGg</f>
        <v>0.75718159798131446</v>
      </c>
      <c r="AP1490" s="22">
        <f>'Activity data'!BI74*UDSOEF*NtoN2O*kgtoGg</f>
        <v>0.75770589154537149</v>
      </c>
      <c r="AQ1490" s="22">
        <f>'Activity data'!BJ74*UDSOEF*NtoN2O*kgtoGg</f>
        <v>0.75812556559779631</v>
      </c>
      <c r="AR1490" s="22">
        <f>'Activity data'!BK74*UDSOEF*NtoN2O*kgtoGg</f>
        <v>0.75842546765792429</v>
      </c>
      <c r="AS1490" s="22">
        <f>'Activity data'!BL74*UDSOEF*NtoN2O*kgtoGg</f>
        <v>0.75858908792613033</v>
      </c>
      <c r="AT1490" s="22">
        <f>'Activity data'!BM74*UDSOEF*NtoN2O*kgtoGg</f>
        <v>0.7586155821106717</v>
      </c>
      <c r="AU1490" s="22">
        <f>'Activity data'!BN74*UDSOEF*NtoN2O*kgtoGg</f>
        <v>0.75850877673067174</v>
      </c>
      <c r="AV1490" s="22">
        <f>'Activity data'!BO74*UDSOEF*NtoN2O*kgtoGg</f>
        <v>0.75827165867074431</v>
      </c>
      <c r="AW1490" s="22">
        <f>'Activity data'!BP74*UDSOEF*NtoN2O*kgtoGg</f>
        <v>0.75788873758895325</v>
      </c>
    </row>
    <row r="1491" spans="1:49" x14ac:dyDescent="0.25">
      <c r="A1491" s="95" t="s">
        <v>960</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1.1867254191644503</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1.2198688909683484</v>
      </c>
      <c r="R1491" s="22">
        <f>'Activity data'!AK75*UDSOEF*NtoN2O*kgtoGg</f>
        <v>1.2278946750888551</v>
      </c>
      <c r="S1491" s="22">
        <f>'Activity data'!AL75*UDSOEF*NtoN2O*kgtoGg</f>
        <v>1.2249004515324955</v>
      </c>
      <c r="T1491" s="22">
        <f>'Activity data'!AM75*UDSOEF*NtoN2O*kgtoGg</f>
        <v>1.2269050335426288</v>
      </c>
      <c r="U1491" s="22">
        <f>'Activity data'!AN75*UDSOEF*NtoN2O*kgtoGg</f>
        <v>1.2517808526279679</v>
      </c>
      <c r="V1491" s="22">
        <f>'Activity data'!AO75*UDSOEF*NtoN2O*kgtoGg</f>
        <v>1.2529047120915915</v>
      </c>
      <c r="W1491" s="22">
        <f>'Activity data'!AP75*UDSOEF*NtoN2O*kgtoGg</f>
        <v>1.2558801454671604</v>
      </c>
      <c r="X1491" s="22">
        <f>'Activity data'!AQ75*UDSOEF*NtoN2O*kgtoGg</f>
        <v>1.2598958776934803</v>
      </c>
      <c r="Y1491" s="22">
        <f>'Activity data'!AR75*UDSOEF*NtoN2O*kgtoGg</f>
        <v>1.2635788642977572</v>
      </c>
      <c r="Z1491" s="22">
        <f>'Activity data'!AS75*UDSOEF*NtoN2O*kgtoGg</f>
        <v>1.2669777879329793</v>
      </c>
      <c r="AA1491" s="22">
        <f>'Activity data'!AT75*UDSOEF*NtoN2O*kgtoGg</f>
        <v>1.270082223158562</v>
      </c>
      <c r="AB1491" s="22">
        <f>'Activity data'!AU75*UDSOEF*NtoN2O*kgtoGg</f>
        <v>1.2729240487828319</v>
      </c>
      <c r="AC1491" s="22">
        <f>'Activity data'!AV75*UDSOEF*NtoN2O*kgtoGg</f>
        <v>1.2755491156329737</v>
      </c>
      <c r="AD1491" s="22">
        <f>'Activity data'!AW75*UDSOEF*NtoN2O*kgtoGg</f>
        <v>1.2779595387205978</v>
      </c>
      <c r="AE1491" s="22">
        <f>'Activity data'!AX75*UDSOEF*NtoN2O*kgtoGg</f>
        <v>1.2801969386523735</v>
      </c>
      <c r="AF1491" s="22">
        <f>'Activity data'!AY75*UDSOEF*NtoN2O*kgtoGg</f>
        <v>1.2822702542621691</v>
      </c>
      <c r="AG1491" s="22">
        <f>'Activity data'!AZ75*UDSOEF*NtoN2O*kgtoGg</f>
        <v>1.2841541712892999</v>
      </c>
      <c r="AH1491" s="22">
        <f>'Activity data'!BA75*UDSOEF*NtoN2O*kgtoGg</f>
        <v>1.2858695534217459</v>
      </c>
      <c r="AI1491" s="22">
        <f>'Activity data'!BB75*UDSOEF*NtoN2O*kgtoGg</f>
        <v>1.2874479180172889</v>
      </c>
      <c r="AJ1491" s="22">
        <f>'Activity data'!BC75*UDSOEF*NtoN2O*kgtoGg</f>
        <v>1.2465773644873634</v>
      </c>
      <c r="AK1491" s="22">
        <f>'Activity data'!BD75*UDSOEF*NtoN2O*kgtoGg</f>
        <v>1.2481527083238142</v>
      </c>
      <c r="AL1491" s="22">
        <f>'Activity data'!BE75*UDSOEF*NtoN2O*kgtoGg</f>
        <v>1.249587037474337</v>
      </c>
      <c r="AM1491" s="22">
        <f>'Activity data'!BF75*UDSOEF*NtoN2O*kgtoGg</f>
        <v>1.2508919602632027</v>
      </c>
      <c r="AN1491" s="22">
        <f>'Activity data'!BG75*UDSOEF*NtoN2O*kgtoGg</f>
        <v>1.2520809199546599</v>
      </c>
      <c r="AO1491" s="22">
        <f>'Activity data'!BH75*UDSOEF*NtoN2O*kgtoGg</f>
        <v>1.25312016431426</v>
      </c>
      <c r="AP1491" s="22">
        <f>'Activity data'!BI75*UDSOEF*NtoN2O*kgtoGg</f>
        <v>1.2539878595129963</v>
      </c>
      <c r="AQ1491" s="22">
        <f>'Activity data'!BJ75*UDSOEF*NtoN2O*kgtoGg</f>
        <v>1.2546824115450788</v>
      </c>
      <c r="AR1491" s="22">
        <f>'Activity data'!BK75*UDSOEF*NtoN2O*kgtoGg</f>
        <v>1.255178743362793</v>
      </c>
      <c r="AS1491" s="22">
        <f>'Activity data'!BL75*UDSOEF*NtoN2O*kgtoGg</f>
        <v>1.2554495315831169</v>
      </c>
      <c r="AT1491" s="22">
        <f>'Activity data'!BM75*UDSOEF*NtoN2O*kgtoGg</f>
        <v>1.2554933789203664</v>
      </c>
      <c r="AU1491" s="22">
        <f>'Activity data'!BN75*UDSOEF*NtoN2O*kgtoGg</f>
        <v>1.2553166181859641</v>
      </c>
      <c r="AV1491" s="22">
        <f>'Activity data'!BO75*UDSOEF*NtoN2O*kgtoGg</f>
        <v>1.2549241926132744</v>
      </c>
      <c r="AW1491" s="22">
        <f>'Activity data'!BP75*UDSOEF*NtoN2O*kgtoGg</f>
        <v>1.2542904660010414</v>
      </c>
    </row>
    <row r="1492" spans="1:49" x14ac:dyDescent="0.25">
      <c r="A1492" s="95" t="s">
        <v>960</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0.19240499933397137</v>
      </c>
      <c r="M1492" s="22">
        <f>'Activity data'!AF76*UDSOEF*NtoN2O*kgtoGg</f>
        <v>0.19381280191845887</v>
      </c>
      <c r="N1492" s="22">
        <f>'Activity data'!AG76*UDSOEF*NtoN2O*kgtoGg</f>
        <v>0.19411375969056666</v>
      </c>
      <c r="O1492" s="22">
        <f>'Activity data'!AH76*UDSOEF*NtoN2O*kgtoGg</f>
        <v>0.19368291106027899</v>
      </c>
      <c r="P1492" s="22">
        <f>'Activity data'!AI76*UDSOEF*NtoN2O*kgtoGg</f>
        <v>0.19253602379697465</v>
      </c>
      <c r="Q1492" s="22">
        <f>'Activity data'!AJ76*UDSOEF*NtoN2O*kgtoGg</f>
        <v>0.19190012409058904</v>
      </c>
      <c r="R1492" s="22">
        <f>'Activity data'!AK76*UDSOEF*NtoN2O*kgtoGg</f>
        <v>0.19132863754616411</v>
      </c>
      <c r="S1492" s="22">
        <f>'Activity data'!AL76*UDSOEF*NtoN2O*kgtoGg</f>
        <v>0.18281131471006393</v>
      </c>
      <c r="T1492" s="22">
        <f>'Activity data'!AM76*UDSOEF*NtoN2O*kgtoGg</f>
        <v>0.18736784640695911</v>
      </c>
      <c r="U1492" s="22">
        <f>'Activity data'!AN76*UDSOEF*NtoN2O*kgtoGg</f>
        <v>0.40219801863685228</v>
      </c>
      <c r="V1492" s="22">
        <f>'Activity data'!AO76*UDSOEF*NtoN2O*kgtoGg</f>
        <v>0.40734903420411533</v>
      </c>
      <c r="W1492" s="22">
        <f>'Activity data'!AP76*UDSOEF*NtoN2O*kgtoGg</f>
        <v>0.41149752828946928</v>
      </c>
      <c r="X1492" s="22">
        <f>'Activity data'!AQ76*UDSOEF*NtoN2O*kgtoGg</f>
        <v>0.41483621581205343</v>
      </c>
      <c r="Y1492" s="22">
        <f>'Activity data'!AR76*UDSOEF*NtoN2O*kgtoGg</f>
        <v>0.41773635782756013</v>
      </c>
      <c r="Z1492" s="22">
        <f>'Activity data'!AS76*UDSOEF*NtoN2O*kgtoGg</f>
        <v>0.42016501076041057</v>
      </c>
      <c r="AA1492" s="22">
        <f>'Activity data'!AT76*UDSOEF*NtoN2O*kgtoGg</f>
        <v>0.42210855342477654</v>
      </c>
      <c r="AB1492" s="22">
        <f>'Activity data'!AU76*UDSOEF*NtoN2O*kgtoGg</f>
        <v>0.42354330417098807</v>
      </c>
      <c r="AC1492" s="22">
        <f>'Activity data'!AV76*UDSOEF*NtoN2O*kgtoGg</f>
        <v>0.42444389710723196</v>
      </c>
      <c r="AD1492" s="22">
        <f>'Activity data'!AW76*UDSOEF*NtoN2O*kgtoGg</f>
        <v>0.42480049297226147</v>
      </c>
      <c r="AE1492" s="22">
        <f>'Activity data'!AX76*UDSOEF*NtoN2O*kgtoGg</f>
        <v>0.42459446865621531</v>
      </c>
      <c r="AF1492" s="22">
        <f>'Activity data'!AY76*UDSOEF*NtoN2O*kgtoGg</f>
        <v>0.42381980556219867</v>
      </c>
      <c r="AG1492" s="22">
        <f>'Activity data'!AZ76*UDSOEF*NtoN2O*kgtoGg</f>
        <v>0.42248350599041806</v>
      </c>
      <c r="AH1492" s="22">
        <f>'Activity data'!BA76*UDSOEF*NtoN2O*kgtoGg</f>
        <v>0.42058207160696442</v>
      </c>
      <c r="AI1492" s="22">
        <f>'Activity data'!BB76*UDSOEF*NtoN2O*kgtoGg</f>
        <v>0.41811210592034348</v>
      </c>
      <c r="AJ1492" s="22">
        <f>'Activity data'!BC76*UDSOEF*NtoN2O*kgtoGg</f>
        <v>6.1557811520144383E-2</v>
      </c>
      <c r="AK1492" s="22">
        <f>'Activity data'!BD76*UDSOEF*NtoN2O*kgtoGg</f>
        <v>6.1557811520144383E-2</v>
      </c>
      <c r="AL1492" s="22">
        <f>'Activity data'!BE76*UDSOEF*NtoN2O*kgtoGg</f>
        <v>6.1557811520144383E-2</v>
      </c>
      <c r="AM1492" s="22">
        <f>'Activity data'!BF76*UDSOEF*NtoN2O*kgtoGg</f>
        <v>6.1557811520144383E-2</v>
      </c>
      <c r="AN1492" s="22">
        <f>'Activity data'!BG76*UDSOEF*NtoN2O*kgtoGg</f>
        <v>6.1557811520144383E-2</v>
      </c>
      <c r="AO1492" s="22">
        <f>'Activity data'!BH76*UDSOEF*NtoN2O*kgtoGg</f>
        <v>6.1557811520144383E-2</v>
      </c>
      <c r="AP1492" s="22">
        <f>'Activity data'!BI76*UDSOEF*NtoN2O*kgtoGg</f>
        <v>6.1557811520144383E-2</v>
      </c>
      <c r="AQ1492" s="22">
        <f>'Activity data'!BJ76*UDSOEF*NtoN2O*kgtoGg</f>
        <v>6.1557811520144383E-2</v>
      </c>
      <c r="AR1492" s="22">
        <f>'Activity data'!BK76*UDSOEF*NtoN2O*kgtoGg</f>
        <v>6.1557811520144383E-2</v>
      </c>
      <c r="AS1492" s="22">
        <f>'Activity data'!BL76*UDSOEF*NtoN2O*kgtoGg</f>
        <v>6.1557811520144383E-2</v>
      </c>
      <c r="AT1492" s="22">
        <f>'Activity data'!BM76*UDSOEF*NtoN2O*kgtoGg</f>
        <v>6.1557811520144383E-2</v>
      </c>
      <c r="AU1492" s="22">
        <f>'Activity data'!BN76*UDSOEF*NtoN2O*kgtoGg</f>
        <v>6.1557811520144383E-2</v>
      </c>
      <c r="AV1492" s="22">
        <f>'Activity data'!BO76*UDSOEF*NtoN2O*kgtoGg</f>
        <v>6.1557811520144383E-2</v>
      </c>
      <c r="AW1492" s="22">
        <f>'Activity data'!BP76*UDSOEF*NtoN2O*kgtoGg</f>
        <v>6.1557811520144383E-2</v>
      </c>
    </row>
    <row r="1493" spans="1:49" x14ac:dyDescent="0.25">
      <c r="A1493" s="95" t="s">
        <v>960</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95" t="s">
        <v>960</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95" t="s">
        <v>960</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95" t="s">
        <v>960</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95" t="s">
        <v>960</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95" t="s">
        <v>960</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95" t="s">
        <v>960</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95" t="s">
        <v>960</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95" t="s">
        <v>960</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95" t="s">
        <v>960</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95" t="s">
        <v>960</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95" t="s">
        <v>960</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95" t="s">
        <v>960</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95" t="s">
        <v>960</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95" t="s">
        <v>960</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95" t="s">
        <v>960</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95" t="s">
        <v>960</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95" t="s">
        <v>960</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0.66035651430821074</v>
      </c>
      <c r="U1510" s="22">
        <f>'Activity data'!AN47*ttokg*FracGASF*MSVolatEF*NtoN2O*kgtoGg</f>
        <v>0.66008394987584207</v>
      </c>
      <c r="V1510" s="22">
        <f>'Activity data'!AO47*ttokg*FracGASF*MSVolatEF*NtoN2O*kgtoGg</f>
        <v>0.65354261970149441</v>
      </c>
      <c r="W1510" s="22">
        <f>'Activity data'!AP47*ttokg*FracGASF*MSVolatEF*NtoN2O*kgtoGg</f>
        <v>0.65337920332710719</v>
      </c>
      <c r="X1510" s="22">
        <f>'Activity data'!AQ47*ttokg*FracGASF*MSVolatEF*NtoN2O*kgtoGg</f>
        <v>0.65322793572104454</v>
      </c>
      <c r="Y1510" s="22">
        <f>'Activity data'!AR47*ttokg*FracGASF*MSVolatEF*NtoN2O*kgtoGg</f>
        <v>0.65308880056970553</v>
      </c>
      <c r="Z1510" s="22">
        <f>'Activity data'!AS47*ttokg*FracGASF*MSVolatEF*NtoN2O*kgtoGg</f>
        <v>0.65296169227266498</v>
      </c>
      <c r="AA1510" s="22">
        <f>'Activity data'!AT47*ttokg*FracGASF*MSVolatEF*NtoN2O*kgtoGg</f>
        <v>0.65284672118777098</v>
      </c>
      <c r="AB1510" s="22">
        <f>'Activity data'!AU47*ttokg*FracGASF*MSVolatEF*NtoN2O*kgtoGg</f>
        <v>0.65274397960506148</v>
      </c>
      <c r="AC1510" s="22">
        <f>'Activity data'!AV47*ttokg*FracGASF*MSVolatEF*NtoN2O*kgtoGg</f>
        <v>0.65265355793719104</v>
      </c>
      <c r="AD1510" s="22">
        <f>'Activity data'!AW47*ttokg*FracGASF*MSVolatEF*NtoN2O*kgtoGg</f>
        <v>0.65257554079256641</v>
      </c>
      <c r="AE1510" s="22">
        <f>'Activity data'!AX47*ttokg*FracGASF*MSVolatEF*NtoN2O*kgtoGg</f>
        <v>0.65250999875184101</v>
      </c>
      <c r="AF1510" s="22">
        <f>'Activity data'!AY47*ttokg*FracGASF*MSVolatEF*NtoN2O*kgtoGg</f>
        <v>0.65245700134470697</v>
      </c>
      <c r="AG1510" s="22">
        <f>'Activity data'!AZ47*ttokg*FracGASF*MSVolatEF*NtoN2O*kgtoGg</f>
        <v>0.65241660651071587</v>
      </c>
      <c r="AH1510" s="22">
        <f>'Activity data'!BA47*ttokg*FracGASF*MSVolatEF*NtoN2O*kgtoGg</f>
        <v>0.65238886062718315</v>
      </c>
      <c r="AI1510" s="22">
        <f>'Activity data'!BB47*ttokg*FracGASF*MSVolatEF*NtoN2O*kgtoGg</f>
        <v>0.6523738107982866</v>
      </c>
      <c r="AJ1510" s="22">
        <f>'Activity data'!BC47*ttokg*FracGASF*MSVolatEF*NtoN2O*kgtoGg</f>
        <v>0.65237149971504915</v>
      </c>
      <c r="AK1510" s="22">
        <f>'Activity data'!BD47*ttokg*FracGASF*MSVolatEF*NtoN2O*kgtoGg</f>
        <v>0.6717077011874647</v>
      </c>
      <c r="AL1510" s="22">
        <f>'Activity data'!BE47*ttokg*FracGASF*MSVolatEF*NtoN2O*kgtoGg</f>
        <v>0.67172409254060461</v>
      </c>
      <c r="AM1510" s="22">
        <f>'Activity data'!BF47*ttokg*FracGASF*MSVolatEF*NtoN2O*kgtoGg</f>
        <v>0.67174011054610017</v>
      </c>
      <c r="AN1510" s="22">
        <f>'Activity data'!BG47*ttokg*FracGASF*MSVolatEF*NtoN2O*kgtoGg</f>
        <v>0.67175577706338141</v>
      </c>
      <c r="AO1510" s="22">
        <f>'Activity data'!BH47*ttokg*FracGASF*MSVolatEF*NtoN2O*kgtoGg</f>
        <v>0.67177111790148203</v>
      </c>
      <c r="AP1510" s="22">
        <f>'Activity data'!BI47*ttokg*FracGASF*MSVolatEF*NtoN2O*kgtoGg</f>
        <v>0.67178606782023664</v>
      </c>
      <c r="AQ1510" s="22">
        <f>'Activity data'!BJ47*ttokg*FracGASF*MSVolatEF*NtoN2O*kgtoGg</f>
        <v>0.67180058277133392</v>
      </c>
      <c r="AR1510" s="22">
        <f>'Activity data'!BK47*ttokg*FracGASF*MSVolatEF*NtoN2O*kgtoGg</f>
        <v>0.67181465717092259</v>
      </c>
      <c r="AS1510" s="22">
        <f>'Activity data'!BL47*ttokg*FracGASF*MSVolatEF*NtoN2O*kgtoGg</f>
        <v>0.67182823869267982</v>
      </c>
      <c r="AT1510" s="22">
        <f>'Activity data'!BM47*ttokg*FracGASF*MSVolatEF*NtoN2O*kgtoGg</f>
        <v>0.67184126908492714</v>
      </c>
      <c r="AU1510" s="22">
        <f>'Activity data'!BN47*ttokg*FracGASF*MSVolatEF*NtoN2O*kgtoGg</f>
        <v>0.67185374065365466</v>
      </c>
      <c r="AV1510" s="22">
        <f>'Activity data'!BO47*ttokg*FracGASF*MSVolatEF*NtoN2O*kgtoGg</f>
        <v>0.67186566123512315</v>
      </c>
      <c r="AW1510" s="22">
        <f>'Activity data'!BP47*ttokg*FracGASF*MSVolatEF*NtoN2O*kgtoGg</f>
        <v>0.67187703615819216</v>
      </c>
    </row>
    <row r="1511" spans="1:49" x14ac:dyDescent="0.25">
      <c r="A1511" s="95" t="s">
        <v>960</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8.716705988868383E-3</v>
      </c>
      <c r="U1511" s="22">
        <f>'Activity data'!AN48*ttokg*FracGASM*MSVolatEF*NtoN2O*kgtoGg</f>
        <v>8.7131081383611166E-3</v>
      </c>
      <c r="V1511" s="22">
        <f>'Activity data'!AO48*ttokg*FracGASM*MSVolatEF*NtoN2O*kgtoGg</f>
        <v>8.6267625800597308E-3</v>
      </c>
      <c r="W1511" s="22">
        <f>'Activity data'!AP48*ttokg*FracGASM*MSVolatEF*NtoN2O*kgtoGg</f>
        <v>8.624605483917816E-3</v>
      </c>
      <c r="X1511" s="22">
        <f>'Activity data'!AQ48*ttokg*FracGASM*MSVolatEF*NtoN2O*kgtoGg</f>
        <v>8.6226087515177911E-3</v>
      </c>
      <c r="Y1511" s="22">
        <f>'Activity data'!AR48*ttokg*FracGASM*MSVolatEF*NtoN2O*kgtoGg</f>
        <v>8.6207721675201129E-3</v>
      </c>
      <c r="Z1511" s="22">
        <f>'Activity data'!AS48*ttokg*FracGASM*MSVolatEF*NtoN2O*kgtoGg</f>
        <v>8.6190943379991763E-3</v>
      </c>
      <c r="AA1511" s="22">
        <f>'Activity data'!AT48*ttokg*FracGASM*MSVolatEF*NtoN2O*kgtoGg</f>
        <v>8.6175767196785755E-3</v>
      </c>
      <c r="AB1511" s="22">
        <f>'Activity data'!AU48*ttokg*FracGASM*MSVolatEF*NtoN2O*kgtoGg</f>
        <v>8.6162205307868112E-3</v>
      </c>
      <c r="AC1511" s="22">
        <f>'Activity data'!AV48*ttokg*FracGASM*MSVolatEF*NtoN2O*kgtoGg</f>
        <v>8.6150269647709242E-3</v>
      </c>
      <c r="AD1511" s="22">
        <f>'Activity data'!AW48*ttokg*FracGASM*MSVolatEF*NtoN2O*kgtoGg</f>
        <v>8.6139971384618756E-3</v>
      </c>
      <c r="AE1511" s="22">
        <f>'Activity data'!AX48*ttokg*FracGASM*MSVolatEF*NtoN2O*kgtoGg</f>
        <v>8.6131319835243015E-3</v>
      </c>
      <c r="AF1511" s="22">
        <f>'Activity data'!AY48*ttokg*FracGASM*MSVolatEF*NtoN2O*kgtoGg</f>
        <v>8.6124324177501328E-3</v>
      </c>
      <c r="AG1511" s="22">
        <f>'Activity data'!AZ48*ttokg*FracGASM*MSVolatEF*NtoN2O*kgtoGg</f>
        <v>8.6118992059414506E-3</v>
      </c>
      <c r="AH1511" s="22">
        <f>'Activity data'!BA48*ttokg*FracGASM*MSVolatEF*NtoN2O*kgtoGg</f>
        <v>8.6115329602788199E-3</v>
      </c>
      <c r="AI1511" s="22">
        <f>'Activity data'!BB48*ttokg*FracGASM*MSVolatEF*NtoN2O*kgtoGg</f>
        <v>8.611334302537384E-3</v>
      </c>
      <c r="AJ1511" s="22">
        <f>'Activity data'!BC48*ttokg*FracGASM*MSVolatEF*NtoN2O*kgtoGg</f>
        <v>8.6113037962386486E-3</v>
      </c>
      <c r="AK1511" s="22">
        <f>'Activity data'!BD48*ttokg*FracGASM*MSVolatEF*NtoN2O*kgtoGg</f>
        <v>8.8665416556745359E-3</v>
      </c>
      <c r="AL1511" s="22">
        <f>'Activity data'!BE48*ttokg*FracGASM*MSVolatEF*NtoN2O*kgtoGg</f>
        <v>8.8667580215359802E-3</v>
      </c>
      <c r="AM1511" s="22">
        <f>'Activity data'!BF48*ttokg*FracGASM*MSVolatEF*NtoN2O*kgtoGg</f>
        <v>8.8669694592085242E-3</v>
      </c>
      <c r="AN1511" s="22">
        <f>'Activity data'!BG48*ttokg*FracGASM*MSVolatEF*NtoN2O*kgtoGg</f>
        <v>8.8671762572366322E-3</v>
      </c>
      <c r="AO1511" s="22">
        <f>'Activity data'!BH48*ttokg*FracGASM*MSVolatEF*NtoN2O*kgtoGg</f>
        <v>8.8673787562995633E-3</v>
      </c>
      <c r="AP1511" s="22">
        <f>'Activity data'!BI48*ttokg*FracGASM*MSVolatEF*NtoN2O*kgtoGg</f>
        <v>8.8675760952271251E-3</v>
      </c>
      <c r="AQ1511" s="22">
        <f>'Activity data'!BJ48*ttokg*FracGASM*MSVolatEF*NtoN2O*kgtoGg</f>
        <v>8.8677676925816105E-3</v>
      </c>
      <c r="AR1511" s="22">
        <f>'Activity data'!BK48*ttokg*FracGASM*MSVolatEF*NtoN2O*kgtoGg</f>
        <v>8.867953474656182E-3</v>
      </c>
      <c r="AS1511" s="22">
        <f>'Activity data'!BL48*ttokg*FracGASM*MSVolatEF*NtoN2O*kgtoGg</f>
        <v>8.8681327507433762E-3</v>
      </c>
      <c r="AT1511" s="22">
        <f>'Activity data'!BM48*ttokg*FracGASM*MSVolatEF*NtoN2O*kgtoGg</f>
        <v>8.8683047519210381E-3</v>
      </c>
      <c r="AU1511" s="22">
        <f>'Activity data'!BN48*ttokg*FracGASM*MSVolatEF*NtoN2O*kgtoGg</f>
        <v>8.8684693766282394E-3</v>
      </c>
      <c r="AV1511" s="22">
        <f>'Activity data'!BO48*ttokg*FracGASM*MSVolatEF*NtoN2O*kgtoGg</f>
        <v>8.8686267283036267E-3</v>
      </c>
      <c r="AW1511" s="22">
        <f>'Activity data'!BP48*ttokg*FracGASM*MSVolatEF*NtoN2O*kgtoGg</f>
        <v>8.8687768772881346E-3</v>
      </c>
    </row>
    <row r="1512" spans="1:49" x14ac:dyDescent="0.25">
      <c r="A1512" s="95" t="s">
        <v>960</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1.2019035107607596</v>
      </c>
      <c r="M1512" s="22">
        <f>SUM('Activity data'!AF50:AF65)*FracGASM*MSVolatEF*NtoN2O*kgtoGg</f>
        <v>1.2088775122881088</v>
      </c>
      <c r="N1512" s="22">
        <f>SUM('Activity data'!AG50:AG65)*FracGASM*MSVolatEF*NtoN2O*kgtoGg</f>
        <v>1.2055442230548157</v>
      </c>
      <c r="O1512" s="22">
        <f>SUM('Activity data'!AH50:AH65)*FracGASM*MSVolatEF*NtoN2O*kgtoGg</f>
        <v>1.195843583832628</v>
      </c>
      <c r="P1512" s="22">
        <f>SUM('Activity data'!AI50:AI65)*FracGASM*MSVolatEF*NtoN2O*kgtoGg</f>
        <v>1.1799964998501227</v>
      </c>
      <c r="Q1512" s="22">
        <f>SUM('Activity data'!AJ50:AJ65)*FracGASM*MSVolatEF*NtoN2O*kgtoGg</f>
        <v>1.169776622170569</v>
      </c>
      <c r="R1512" s="22">
        <f>SUM('Activity data'!AK50:AK65)*FracGASM*MSVolatEF*NtoN2O*kgtoGg</f>
        <v>1.1606871439933113</v>
      </c>
      <c r="S1512" s="22">
        <f>SUM('Activity data'!AL50:AL65)*FracGASM*MSVolatEF*NtoN2O*kgtoGg</f>
        <v>1.0648906691667142</v>
      </c>
      <c r="T1512" s="22">
        <f>SUM('Activity data'!AM50:AM65)*FracGASM*MSVolatEF*NtoN2O*kgtoGg</f>
        <v>1.1057533797860197</v>
      </c>
      <c r="U1512" s="22">
        <f>SUM('Activity data'!AN50:AN65)*FracGASM*MSVolatEF*NtoN2O*kgtoGg</f>
        <v>3.1715891643578864</v>
      </c>
      <c r="V1512" s="22">
        <f>SUM('Activity data'!AO50:AO65)*FracGASM*MSVolatEF*NtoN2O*kgtoGg</f>
        <v>3.205817503106533</v>
      </c>
      <c r="W1512" s="22">
        <f>SUM('Activity data'!AP50:AP65)*FracGASM*MSVolatEF*NtoN2O*kgtoGg</f>
        <v>3.2352153287252081</v>
      </c>
      <c r="X1512" s="22">
        <f>SUM('Activity data'!AQ50:AQ65)*FracGASM*MSVolatEF*NtoN2O*kgtoGg</f>
        <v>3.2596764998420773</v>
      </c>
      <c r="Y1512" s="22">
        <f>SUM('Activity data'!AR50:AR65)*FracGASM*MSVolatEF*NtoN2O*kgtoGg</f>
        <v>3.2791703785538746</v>
      </c>
      <c r="Z1512" s="22">
        <f>SUM('Activity data'!AS50:AS65)*FracGASM*MSVolatEF*NtoN2O*kgtoGg</f>
        <v>3.2935488814957896</v>
      </c>
      <c r="AA1512" s="22">
        <f>SUM('Activity data'!AT50:AT65)*FracGASM*MSVolatEF*NtoN2O*kgtoGg</f>
        <v>3.3026965587676997</v>
      </c>
      <c r="AB1512" s="22">
        <f>SUM('Activity data'!AU50:AU65)*FracGASM*MSVolatEF*NtoN2O*kgtoGg</f>
        <v>3.3065215616671835</v>
      </c>
      <c r="AC1512" s="22">
        <f>SUM('Activity data'!AV50:AV65)*FracGASM*MSVolatEF*NtoN2O*kgtoGg</f>
        <v>3.3049591714491218</v>
      </c>
      <c r="AD1512" s="22">
        <f>SUM('Activity data'!AW50:AW65)*FracGASM*MSVolatEF*NtoN2O*kgtoGg</f>
        <v>3.2856040880514414</v>
      </c>
      <c r="AE1512" s="22">
        <f>SUM('Activity data'!AX50:AX65)*FracGASM*MSVolatEF*NtoN2O*kgtoGg</f>
        <v>3.2609006919876253</v>
      </c>
      <c r="AF1512" s="22">
        <f>SUM('Activity data'!AY50:AY65)*FracGASM*MSVolatEF*NtoN2O*kgtoGg</f>
        <v>3.2309381698250323</v>
      </c>
      <c r="AG1512" s="22">
        <f>SUM('Activity data'!AZ50:AZ65)*FracGASM*MSVolatEF*NtoN2O*kgtoGg</f>
        <v>3.1958369771906554</v>
      </c>
      <c r="AH1512" s="22">
        <f>SUM('Activity data'!BA50:BA65)*FracGASM*MSVolatEF*NtoN2O*kgtoGg</f>
        <v>3.1557406943377502</v>
      </c>
      <c r="AI1512" s="22">
        <f>SUM('Activity data'!BB50:BB65)*FracGASM*MSVolatEF*NtoN2O*kgtoGg</f>
        <v>3.1108181429551416</v>
      </c>
      <c r="AJ1512" s="22">
        <f>SUM('Activity data'!BC50:BC65)*FracGASM*MSVolatEF*NtoN2O*kgtoGg</f>
        <v>-7.9927190130914927E-2</v>
      </c>
      <c r="AK1512" s="22">
        <f>SUM('Activity data'!BD50:BD65)*FracGASM*MSVolatEF*NtoN2O*kgtoGg</f>
        <v>-7.7482459717295754E-2</v>
      </c>
      <c r="AL1512" s="22">
        <f>SUM('Activity data'!BE50:BE65)*FracGASM*MSVolatEF*NtoN2O*kgtoGg</f>
        <v>-7.5056648302161827E-2</v>
      </c>
      <c r="AM1512" s="22">
        <f>SUM('Activity data'!BF50:BF65)*FracGASM*MSVolatEF*NtoN2O*kgtoGg</f>
        <v>-7.2650174059267963E-2</v>
      </c>
      <c r="AN1512" s="22">
        <f>SUM('Activity data'!BG50:BG65)*FracGASM*MSVolatEF*NtoN2O*kgtoGg</f>
        <v>-7.0723117301040472E-2</v>
      </c>
      <c r="AO1512" s="22">
        <f>SUM('Activity data'!BH50:BH65)*FracGASM*MSVolatEF*NtoN2O*kgtoGg</f>
        <v>-6.8807486280089009E-2</v>
      </c>
      <c r="AP1512" s="22">
        <f>SUM('Activity data'!BI50:BI65)*FracGASM*MSVolatEF*NtoN2O*kgtoGg</f>
        <v>-6.6901375831276963E-2</v>
      </c>
      <c r="AQ1512" s="22">
        <f>SUM('Activity data'!BJ50:BJ65)*FracGASM*MSVolatEF*NtoN2O*kgtoGg</f>
        <v>-6.5004519075055389E-2</v>
      </c>
      <c r="AR1512" s="22">
        <f>SUM('Activity data'!BK50:BK65)*FracGASM*MSVolatEF*NtoN2O*kgtoGg</f>
        <v>-6.3114960679436297E-2</v>
      </c>
      <c r="AS1512" s="22">
        <f>SUM('Activity data'!BL50:BL65)*FracGASM*MSVolatEF*NtoN2O*kgtoGg</f>
        <v>-6.1230717258980515E-2</v>
      </c>
      <c r="AT1512" s="22">
        <f>SUM('Activity data'!BM50:BM65)*FracGASM*MSVolatEF*NtoN2O*kgtoGg</f>
        <v>-5.9351794077464999E-2</v>
      </c>
      <c r="AU1512" s="22">
        <f>SUM('Activity data'!BN50:BN65)*FracGASM*MSVolatEF*NtoN2O*kgtoGg</f>
        <v>-5.7478765169344234E-2</v>
      </c>
      <c r="AV1512" s="22">
        <f>SUM('Activity data'!BO50:BO65)*FracGASM*MSVolatEF*NtoN2O*kgtoGg</f>
        <v>-5.5612099659167281E-2</v>
      </c>
      <c r="AW1512" s="22">
        <f>SUM('Activity data'!BP50:BP65)*FracGASM*MSVolatEF*NtoN2O*kgtoGg</f>
        <v>-5.3750177084754498E-2</v>
      </c>
    </row>
    <row r="1513" spans="1:49" x14ac:dyDescent="0.25">
      <c r="A1513" s="95" t="s">
        <v>960</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3.9236983289257736</v>
      </c>
      <c r="T1513" s="22">
        <f>SUM('Activity data'!AM66:AM81)*FracGASM*MSVolatEF*NtoN2O*kgtoGg</f>
        <v>4.0061959356333121</v>
      </c>
      <c r="U1513" s="22">
        <f>SUM('Activity data'!AN66:AN81)*FracGASM*MSVolatEF*NtoN2O*kgtoGg</f>
        <v>8.6703485618299432</v>
      </c>
      <c r="V1513" s="22">
        <f>SUM('Activity data'!AO66:AO81)*FracGASM*MSVolatEF*NtoN2O*kgtoGg</f>
        <v>8.7075171611639437</v>
      </c>
      <c r="W1513" s="22">
        <f>SUM('Activity data'!AP66:AP81)*FracGASM*MSVolatEF*NtoN2O*kgtoGg</f>
        <v>8.7349231997789492</v>
      </c>
      <c r="X1513" s="22">
        <f>SUM('Activity data'!AQ66:AQ81)*FracGASM*MSVolatEF*NtoN2O*kgtoGg</f>
        <v>8.7517078724202371</v>
      </c>
      <c r="Y1513" s="22">
        <f>SUM('Activity data'!AR66:AR81)*FracGASM*MSVolatEF*NtoN2O*kgtoGg</f>
        <v>8.7566246906771106</v>
      </c>
      <c r="Z1513" s="22">
        <f>SUM('Activity data'!AS66:AS81)*FracGASM*MSVolatEF*NtoN2O*kgtoGg</f>
        <v>8.749585391639048</v>
      </c>
      <c r="AA1513" s="22">
        <f>SUM('Activity data'!AT66:AT81)*FracGASM*MSVolatEF*NtoN2O*kgtoGg</f>
        <v>8.7305224491182276</v>
      </c>
      <c r="AB1513" s="22">
        <f>SUM('Activity data'!AU66:AU81)*FracGASM*MSVolatEF*NtoN2O*kgtoGg</f>
        <v>8.6994684257142971</v>
      </c>
      <c r="AC1513" s="22">
        <f>SUM('Activity data'!AV66:AV81)*FracGASM*MSVolatEF*NtoN2O*kgtoGg</f>
        <v>8.6565339362109501</v>
      </c>
      <c r="AD1513" s="22">
        <f>SUM('Activity data'!AW66:AW81)*FracGASM*MSVolatEF*NtoN2O*kgtoGg</f>
        <v>8.5479552025611873</v>
      </c>
      <c r="AE1513" s="22">
        <f>SUM('Activity data'!AX66:AX81)*FracGASM*MSVolatEF*NtoN2O*kgtoGg</f>
        <v>8.4281375273268431</v>
      </c>
      <c r="AF1513" s="22">
        <f>SUM('Activity data'!AY66:AY81)*FracGASM*MSVolatEF*NtoN2O*kgtoGg</f>
        <v>8.2976332368638914</v>
      </c>
      <c r="AG1513" s="22">
        <f>SUM('Activity data'!AZ66:AZ81)*FracGASM*MSVolatEF*NtoN2O*kgtoGg</f>
        <v>8.1570247194237986</v>
      </c>
      <c r="AH1513" s="22">
        <f>SUM('Activity data'!BA66:BA81)*FracGASM*MSVolatEF*NtoN2O*kgtoGg</f>
        <v>8.0069849414591072</v>
      </c>
      <c r="AI1513" s="22">
        <f>SUM('Activity data'!BB66:BB81)*FracGASM*MSVolatEF*NtoN2O*kgtoGg</f>
        <v>7.8482435227169196</v>
      </c>
      <c r="AJ1513" s="22">
        <f>SUM('Activity data'!BC66:BC81)*FracGASM*MSVolatEF*NtoN2O*kgtoGg</f>
        <v>1.4117786211897634</v>
      </c>
      <c r="AK1513" s="22">
        <f>SUM('Activity data'!BD66:BD81)*FracGASM*MSVolatEF*NtoN2O*kgtoGg</f>
        <v>1.4240848222590068</v>
      </c>
      <c r="AL1513" s="22">
        <f>SUM('Activity data'!BE66:BE81)*FracGASM*MSVolatEF*NtoN2O*kgtoGg</f>
        <v>1.4361490833885919</v>
      </c>
      <c r="AM1513" s="22">
        <f>SUM('Activity data'!BF66:BF81)*FracGASM*MSVolatEF*NtoN2O*kgtoGg</f>
        <v>1.4479836223342117</v>
      </c>
      <c r="AN1513" s="22">
        <f>SUM('Activity data'!BG66:BG81)*FracGASM*MSVolatEF*NtoN2O*kgtoGg</f>
        <v>1.4575869997562623</v>
      </c>
      <c r="AO1513" s="22">
        <f>SUM('Activity data'!BH66:BH81)*FracGASM*MSVolatEF*NtoN2O*kgtoGg</f>
        <v>1.4669658638055674</v>
      </c>
      <c r="AP1513" s="22">
        <f>SUM('Activity data'!BI66:BI81)*FracGASM*MSVolatEF*NtoN2O*kgtoGg</f>
        <v>1.4761004652334226</v>
      </c>
      <c r="AQ1513" s="22">
        <f>SUM('Activity data'!BJ66:BJ81)*FracGASM*MSVolatEF*NtoN2O*kgtoGg</f>
        <v>1.4849895121905028</v>
      </c>
      <c r="AR1513" s="22">
        <f>SUM('Activity data'!BK66:BK81)*FracGASM*MSVolatEF*NtoN2O*kgtoGg</f>
        <v>1.4936094251739955</v>
      </c>
      <c r="AS1513" s="22">
        <f>SUM('Activity data'!BL66:BL81)*FracGASM*MSVolatEF*NtoN2O*kgtoGg</f>
        <v>1.5019339292237881</v>
      </c>
      <c r="AT1513" s="22">
        <f>SUM('Activity data'!BM66:BM81)*FracGASM*MSVolatEF*NtoN2O*kgtoGg</f>
        <v>1.5099608560757101</v>
      </c>
      <c r="AU1513" s="22">
        <f>SUM('Activity data'!BN66:BN81)*FracGASM*MSVolatEF*NtoN2O*kgtoGg</f>
        <v>1.5176953414243965</v>
      </c>
      <c r="AV1513" s="22">
        <f>SUM('Activity data'!BO66:BO81)*FracGASM*MSVolatEF*NtoN2O*kgtoGg</f>
        <v>1.5251412376449351</v>
      </c>
      <c r="AW1513" s="22">
        <f>SUM('Activity data'!BP66:BP81)*FracGASM*MSVolatEF*NtoN2O*kgtoGg</f>
        <v>1.5322728813191711</v>
      </c>
    </row>
    <row r="1514" spans="1:49" x14ac:dyDescent="0.25">
      <c r="A1514" s="95" t="s">
        <v>960</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2.2782299743633269E-4</v>
      </c>
      <c r="U1514" s="22">
        <f>'Activity data'!AN47*FracLEACH*MSLeachEF*NtoN2O*kgtoGg</f>
        <v>2.2772896270716546E-4</v>
      </c>
      <c r="V1514" s="22">
        <f>'Activity data'!AO47*FracLEACH*MSLeachEF*NtoN2O*kgtoGg</f>
        <v>2.2547220379701556E-4</v>
      </c>
      <c r="W1514" s="22">
        <f>'Activity data'!AP47*FracLEACH*MSLeachEF*NtoN2O*kgtoGg</f>
        <v>2.2541582514785201E-4</v>
      </c>
      <c r="X1514" s="22">
        <f>'Activity data'!AQ47*FracLEACH*MSLeachEF*NtoN2O*kgtoGg</f>
        <v>2.2536363782376035E-4</v>
      </c>
      <c r="Y1514" s="22">
        <f>'Activity data'!AR47*FracLEACH*MSLeachEF*NtoN2O*kgtoGg</f>
        <v>2.2531563619654834E-4</v>
      </c>
      <c r="Z1514" s="22">
        <f>'Activity data'!AS47*FracLEACH*MSLeachEF*NtoN2O*kgtoGg</f>
        <v>2.252717838340693E-4</v>
      </c>
      <c r="AA1514" s="22">
        <f>'Activity data'!AT47*FracLEACH*MSLeachEF*NtoN2O*kgtoGg</f>
        <v>2.2523211880978096E-4</v>
      </c>
      <c r="AB1514" s="22">
        <f>'Activity data'!AU47*FracLEACH*MSLeachEF*NtoN2O*kgtoGg</f>
        <v>2.2519667296374613E-4</v>
      </c>
      <c r="AC1514" s="22">
        <f>'Activity data'!AV47*FracLEACH*MSLeachEF*NtoN2O*kgtoGg</f>
        <v>2.2516547748833096E-4</v>
      </c>
      <c r="AD1514" s="22">
        <f>'Activity data'!AW47*FracLEACH*MSLeachEF*NtoN2O*kgtoGg</f>
        <v>2.2513856157343538E-4</v>
      </c>
      <c r="AE1514" s="22">
        <f>'Activity data'!AX47*FracLEACH*MSLeachEF*NtoN2O*kgtoGg</f>
        <v>2.2511594956938508E-4</v>
      </c>
      <c r="AF1514" s="22">
        <f>'Activity data'!AY47*FracLEACH*MSLeachEF*NtoN2O*kgtoGg</f>
        <v>2.2509766546392388E-4</v>
      </c>
      <c r="AG1514" s="22">
        <f>'Activity data'!AZ47*FracLEACH*MSLeachEF*NtoN2O*kgtoGg</f>
        <v>2.2508372924619698E-4</v>
      </c>
      <c r="AH1514" s="22">
        <f>'Activity data'!BA47*FracLEACH*MSLeachEF*NtoN2O*kgtoGg</f>
        <v>2.2507415691637819E-4</v>
      </c>
      <c r="AI1514" s="22">
        <f>'Activity data'!BB47*FracLEACH*MSLeachEF*NtoN2O*kgtoGg</f>
        <v>2.2506896472540883E-4</v>
      </c>
      <c r="AJ1514" s="22">
        <f>'Activity data'!BC47*FracLEACH*MSLeachEF*NtoN2O*kgtoGg</f>
        <v>2.2506816740169194E-4</v>
      </c>
      <c r="AK1514" s="22">
        <f>'Activity data'!BD47*FracLEACH*MSLeachEF*NtoN2O*kgtoGg</f>
        <v>2.3173915690967529E-4</v>
      </c>
      <c r="AL1514" s="22">
        <f>'Activity data'!BE47*FracLEACH*MSLeachEF*NtoN2O*kgtoGg</f>
        <v>2.3174481192650851E-4</v>
      </c>
      <c r="AM1514" s="22">
        <f>'Activity data'!BF47*FracLEACH*MSLeachEF*NtoN2O*kgtoGg</f>
        <v>2.3175033813840453E-4</v>
      </c>
      <c r="AN1514" s="22">
        <f>'Activity data'!BG47*FracLEACH*MSLeachEF*NtoN2O*kgtoGg</f>
        <v>2.317557430868665E-4</v>
      </c>
      <c r="AO1514" s="22">
        <f>'Activity data'!BH47*FracLEACH*MSLeachEF*NtoN2O*kgtoGg</f>
        <v>2.3176103567601125E-4</v>
      </c>
      <c r="AP1514" s="22">
        <f>'Activity data'!BI47*FracLEACH*MSLeachEF*NtoN2O*kgtoGg</f>
        <v>2.3176619339798155E-4</v>
      </c>
      <c r="AQ1514" s="22">
        <f>'Activity data'!BJ47*FracLEACH*MSLeachEF*NtoN2O*kgtoGg</f>
        <v>2.3177120105611021E-4</v>
      </c>
      <c r="AR1514" s="22">
        <f>'Activity data'!BK47*FracLEACH*MSLeachEF*NtoN2O*kgtoGg</f>
        <v>2.3177605672396827E-4</v>
      </c>
      <c r="AS1514" s="22">
        <f>'Activity data'!BL47*FracLEACH*MSLeachEF*NtoN2O*kgtoGg</f>
        <v>2.3178074234897451E-4</v>
      </c>
      <c r="AT1514" s="22">
        <f>'Activity data'!BM47*FracLEACH*MSLeachEF*NtoN2O*kgtoGg</f>
        <v>2.3178523783429981E-4</v>
      </c>
      <c r="AU1514" s="22">
        <f>'Activity data'!BN47*FracLEACH*MSLeachEF*NtoN2O*kgtoGg</f>
        <v>2.3178954052551076E-4</v>
      </c>
      <c r="AV1514" s="22">
        <f>'Activity data'!BO47*FracLEACH*MSLeachEF*NtoN2O*kgtoGg</f>
        <v>2.3179365312611745E-4</v>
      </c>
      <c r="AW1514" s="22">
        <f>'Activity data'!BP47*FracLEACH*MSLeachEF*NtoN2O*kgtoGg</f>
        <v>2.3179757747457624E-4</v>
      </c>
    </row>
    <row r="1515" spans="1:49" x14ac:dyDescent="0.25">
      <c r="A1515" s="95" t="s">
        <v>960</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1.5036317830797959E-6</v>
      </c>
      <c r="U1515" s="22">
        <f>'Activity data'!AN48*FracLEACH*MSLeachEF*NtoN2O*kgtoGg</f>
        <v>1.5030111538672925E-6</v>
      </c>
      <c r="V1515" s="22">
        <f>'Activity data'!AO48*FracLEACH*MSLeachEF*NtoN2O*kgtoGg</f>
        <v>1.488116545060303E-6</v>
      </c>
      <c r="W1515" s="22">
        <f>'Activity data'!AP48*FracLEACH*MSLeachEF*NtoN2O*kgtoGg</f>
        <v>1.487744445975823E-6</v>
      </c>
      <c r="X1515" s="22">
        <f>'Activity data'!AQ48*FracLEACH*MSLeachEF*NtoN2O*kgtoGg</f>
        <v>1.4874000096368187E-6</v>
      </c>
      <c r="Y1515" s="22">
        <f>'Activity data'!AR48*FracLEACH*MSLeachEF*NtoN2O*kgtoGg</f>
        <v>1.4870831988972194E-6</v>
      </c>
      <c r="Z1515" s="22">
        <f>'Activity data'!AS48*FracLEACH*MSLeachEF*NtoN2O*kgtoGg</f>
        <v>1.4867937733048578E-6</v>
      </c>
      <c r="AA1515" s="22">
        <f>'Activity data'!AT48*FracLEACH*MSLeachEF*NtoN2O*kgtoGg</f>
        <v>1.4865319841445543E-6</v>
      </c>
      <c r="AB1515" s="22">
        <f>'Activity data'!AU48*FracLEACH*MSLeachEF*NtoN2O*kgtoGg</f>
        <v>1.4862980415607246E-6</v>
      </c>
      <c r="AC1515" s="22">
        <f>'Activity data'!AV48*FracLEACH*MSLeachEF*NtoN2O*kgtoGg</f>
        <v>1.4860921514229842E-6</v>
      </c>
      <c r="AD1515" s="22">
        <f>'Activity data'!AW48*FracLEACH*MSLeachEF*NtoN2O*kgtoGg</f>
        <v>1.4859145063846736E-6</v>
      </c>
      <c r="AE1515" s="22">
        <f>'Activity data'!AX48*FracLEACH*MSLeachEF*NtoN2O*kgtoGg</f>
        <v>1.4857652671579419E-6</v>
      </c>
      <c r="AF1515" s="22">
        <f>'Activity data'!AY48*FracLEACH*MSLeachEF*NtoN2O*kgtoGg</f>
        <v>1.4856445920618978E-6</v>
      </c>
      <c r="AG1515" s="22">
        <f>'Activity data'!AZ48*FracLEACH*MSLeachEF*NtoN2O*kgtoGg</f>
        <v>1.4855526130249004E-6</v>
      </c>
      <c r="AH1515" s="22">
        <f>'Activity data'!BA48*FracLEACH*MSLeachEF*NtoN2O*kgtoGg</f>
        <v>1.4854894356480966E-6</v>
      </c>
      <c r="AI1515" s="22">
        <f>'Activity data'!BB48*FracLEACH*MSLeachEF*NtoN2O*kgtoGg</f>
        <v>1.4854551671876988E-6</v>
      </c>
      <c r="AJ1515" s="22">
        <f>'Activity data'!BC48*FracLEACH*MSLeachEF*NtoN2O*kgtoGg</f>
        <v>1.4854499048511669E-6</v>
      </c>
      <c r="AK1515" s="22">
        <f>'Activity data'!BD48*FracLEACH*MSLeachEF*NtoN2O*kgtoGg</f>
        <v>1.5294784356038574E-6</v>
      </c>
      <c r="AL1515" s="22">
        <f>'Activity data'!BE48*FracLEACH*MSLeachEF*NtoN2O*kgtoGg</f>
        <v>1.5295157587149565E-6</v>
      </c>
      <c r="AM1515" s="22">
        <f>'Activity data'!BF48*FracLEACH*MSLeachEF*NtoN2O*kgtoGg</f>
        <v>1.5295522317134702E-6</v>
      </c>
      <c r="AN1515" s="22">
        <f>'Activity data'!BG48*FracLEACH*MSLeachEF*NtoN2O*kgtoGg</f>
        <v>1.5295879043733193E-6</v>
      </c>
      <c r="AO1515" s="22">
        <f>'Activity data'!BH48*FracLEACH*MSLeachEF*NtoN2O*kgtoGg</f>
        <v>1.5296228354616745E-6</v>
      </c>
      <c r="AP1515" s="22">
        <f>'Activity data'!BI48*FracLEACH*MSLeachEF*NtoN2O*kgtoGg</f>
        <v>1.5296568764266789E-6</v>
      </c>
      <c r="AQ1515" s="22">
        <f>'Activity data'!BJ48*FracLEACH*MSLeachEF*NtoN2O*kgtoGg</f>
        <v>1.5296899269703273E-6</v>
      </c>
      <c r="AR1515" s="22">
        <f>'Activity data'!BK48*FracLEACH*MSLeachEF*NtoN2O*kgtoGg</f>
        <v>1.5297219743781909E-6</v>
      </c>
      <c r="AS1515" s="22">
        <f>'Activity data'!BL48*FracLEACH*MSLeachEF*NtoN2O*kgtoGg</f>
        <v>1.5297528995032323E-6</v>
      </c>
      <c r="AT1515" s="22">
        <f>'Activity data'!BM48*FracLEACH*MSLeachEF*NtoN2O*kgtoGg</f>
        <v>1.529782569706379E-6</v>
      </c>
      <c r="AU1515" s="22">
        <f>'Activity data'!BN48*FracLEACH*MSLeachEF*NtoN2O*kgtoGg</f>
        <v>1.5298109674683716E-6</v>
      </c>
      <c r="AV1515" s="22">
        <f>'Activity data'!BO48*FracLEACH*MSLeachEF*NtoN2O*kgtoGg</f>
        <v>1.5298381106323754E-6</v>
      </c>
      <c r="AW1515" s="22">
        <f>'Activity data'!BP48*FracLEACH*MSLeachEF*NtoN2O*kgtoGg</f>
        <v>1.5298640113322035E-6</v>
      </c>
    </row>
    <row r="1516" spans="1:49" x14ac:dyDescent="0.25">
      <c r="A1516" s="95" t="s">
        <v>960</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0.20732835560623103</v>
      </c>
      <c r="M1516" s="22">
        <f>SUM('Activity data'!AF50:AF65)*FracLEACH*MSLeachEF*NtoN2O*kgtoGg</f>
        <v>0.20853137086969875</v>
      </c>
      <c r="N1516" s="22">
        <f>SUM('Activity data'!AG50:AG65)*FracLEACH*MSLeachEF*NtoN2O*kgtoGg</f>
        <v>0.20795637847695569</v>
      </c>
      <c r="O1516" s="22">
        <f>SUM('Activity data'!AH50:AH65)*FracLEACH*MSLeachEF*NtoN2O*kgtoGg</f>
        <v>0.20628301821112832</v>
      </c>
      <c r="P1516" s="22">
        <f>SUM('Activity data'!AI50:AI65)*FracLEACH*MSLeachEF*NtoN2O*kgtoGg</f>
        <v>0.20354939622414611</v>
      </c>
      <c r="Q1516" s="22">
        <f>SUM('Activity data'!AJ50:AJ65)*FracLEACH*MSLeachEF*NtoN2O*kgtoGg</f>
        <v>0.20178646732442315</v>
      </c>
      <c r="R1516" s="22">
        <f>SUM('Activity data'!AK50:AK65)*FracLEACH*MSLeachEF*NtoN2O*kgtoGg</f>
        <v>0.20021853233884618</v>
      </c>
      <c r="S1516" s="22">
        <f>SUM('Activity data'!AL50:AL65)*FracLEACH*MSLeachEF*NtoN2O*kgtoGg</f>
        <v>0.18369364043125816</v>
      </c>
      <c r="T1516" s="22">
        <f>SUM('Activity data'!AM50:AM65)*FracLEACH*MSLeachEF*NtoN2O*kgtoGg</f>
        <v>0.19074245801308834</v>
      </c>
      <c r="U1516" s="22">
        <f>SUM('Activity data'!AN50:AN65)*FracLEACH*MSLeachEF*NtoN2O*kgtoGg</f>
        <v>0.54709913085173534</v>
      </c>
      <c r="V1516" s="22">
        <f>SUM('Activity data'!AO50:AO65)*FracLEACH*MSLeachEF*NtoN2O*kgtoGg</f>
        <v>0.55300351928587688</v>
      </c>
      <c r="W1516" s="22">
        <f>SUM('Activity data'!AP50:AP65)*FracLEACH*MSLeachEF*NtoN2O*kgtoGg</f>
        <v>0.55807464420509822</v>
      </c>
      <c r="X1516" s="22">
        <f>SUM('Activity data'!AQ50:AQ65)*FracLEACH*MSLeachEF*NtoN2O*kgtoGg</f>
        <v>0.56229419622275822</v>
      </c>
      <c r="Y1516" s="22">
        <f>SUM('Activity data'!AR50:AR65)*FracLEACH*MSLeachEF*NtoN2O*kgtoGg</f>
        <v>0.56565689030054322</v>
      </c>
      <c r="Z1516" s="22">
        <f>SUM('Activity data'!AS50:AS65)*FracLEACH*MSLeachEF*NtoN2O*kgtoGg</f>
        <v>0.56813718205802377</v>
      </c>
      <c r="AA1516" s="22">
        <f>SUM('Activity data'!AT50:AT65)*FracLEACH*MSLeachEF*NtoN2O*kgtoGg</f>
        <v>0.56971515638742798</v>
      </c>
      <c r="AB1516" s="22">
        <f>SUM('Activity data'!AU50:AU65)*FracLEACH*MSLeachEF*NtoN2O*kgtoGg</f>
        <v>0.57037496938758903</v>
      </c>
      <c r="AC1516" s="22">
        <f>SUM('Activity data'!AV50:AV65)*FracLEACH*MSLeachEF*NtoN2O*kgtoGg</f>
        <v>0.57010545707497351</v>
      </c>
      <c r="AD1516" s="22">
        <f>SUM('Activity data'!AW50:AW65)*FracLEACH*MSLeachEF*NtoN2O*kgtoGg</f>
        <v>0.56676670518887351</v>
      </c>
      <c r="AE1516" s="22">
        <f>SUM('Activity data'!AX50:AX65)*FracLEACH*MSLeachEF*NtoN2O*kgtoGg</f>
        <v>0.56250536936786533</v>
      </c>
      <c r="AF1516" s="22">
        <f>SUM('Activity data'!AY50:AY65)*FracLEACH*MSLeachEF*NtoN2O*kgtoGg</f>
        <v>0.55733683429481795</v>
      </c>
      <c r="AG1516" s="22">
        <f>SUM('Activity data'!AZ50:AZ65)*FracLEACH*MSLeachEF*NtoN2O*kgtoGg</f>
        <v>0.55128187856538813</v>
      </c>
      <c r="AH1516" s="22">
        <f>SUM('Activity data'!BA50:BA65)*FracLEACH*MSLeachEF*NtoN2O*kgtoGg</f>
        <v>0.54436526977326183</v>
      </c>
      <c r="AI1516" s="22">
        <f>SUM('Activity data'!BB50:BB65)*FracLEACH*MSLeachEF*NtoN2O*kgtoGg</f>
        <v>0.53661612965976202</v>
      </c>
      <c r="AJ1516" s="22">
        <f>SUM('Activity data'!BC50:BC65)*FracLEACH*MSLeachEF*NtoN2O*kgtoGg</f>
        <v>-1.3787440297582821E-2</v>
      </c>
      <c r="AK1516" s="22">
        <f>SUM('Activity data'!BD50:BD65)*FracLEACH*MSLeachEF*NtoN2O*kgtoGg</f>
        <v>-1.3365724301233515E-2</v>
      </c>
      <c r="AL1516" s="22">
        <f>SUM('Activity data'!BE50:BE65)*FracLEACH*MSLeachEF*NtoN2O*kgtoGg</f>
        <v>-1.2947271832122912E-2</v>
      </c>
      <c r="AM1516" s="22">
        <f>SUM('Activity data'!BF50:BF65)*FracLEACH*MSLeachEF*NtoN2O*kgtoGg</f>
        <v>-1.2532155025223722E-2</v>
      </c>
      <c r="AN1516" s="22">
        <f>SUM('Activity data'!BG50:BG65)*FracLEACH*MSLeachEF*NtoN2O*kgtoGg</f>
        <v>-1.2199737734429479E-2</v>
      </c>
      <c r="AO1516" s="22">
        <f>SUM('Activity data'!BH50:BH65)*FracLEACH*MSLeachEF*NtoN2O*kgtoGg</f>
        <v>-1.1869291383315354E-2</v>
      </c>
      <c r="AP1516" s="22">
        <f>SUM('Activity data'!BI50:BI65)*FracLEACH*MSLeachEF*NtoN2O*kgtoGg</f>
        <v>-1.1540487330895275E-2</v>
      </c>
      <c r="AQ1516" s="22">
        <f>SUM('Activity data'!BJ50:BJ65)*FracLEACH*MSLeachEF*NtoN2O*kgtoGg</f>
        <v>-1.1213279540447051E-2</v>
      </c>
      <c r="AR1516" s="22">
        <f>SUM('Activity data'!BK50:BK65)*FracLEACH*MSLeachEF*NtoN2O*kgtoGg</f>
        <v>-1.0887330717202761E-2</v>
      </c>
      <c r="AS1516" s="22">
        <f>SUM('Activity data'!BL50:BL65)*FracLEACH*MSLeachEF*NtoN2O*kgtoGg</f>
        <v>-1.0562298727174138E-2</v>
      </c>
      <c r="AT1516" s="22">
        <f>SUM('Activity data'!BM50:BM65)*FracLEACH*MSLeachEF*NtoN2O*kgtoGg</f>
        <v>-1.0238184478362713E-2</v>
      </c>
      <c r="AU1516" s="22">
        <f>SUM('Activity data'!BN50:BN65)*FracLEACH*MSLeachEF*NtoN2O*kgtoGg</f>
        <v>-9.9150869917118811E-3</v>
      </c>
      <c r="AV1516" s="22">
        <f>SUM('Activity data'!BO50:BO65)*FracLEACH*MSLeachEF*NtoN2O*kgtoGg</f>
        <v>-9.5930871912063547E-3</v>
      </c>
      <c r="AW1516" s="22">
        <f>SUM('Activity data'!BP50:BP65)*FracLEACH*MSLeachEF*NtoN2O*kgtoGg</f>
        <v>-9.27190554712015E-3</v>
      </c>
    </row>
    <row r="1517" spans="1:49" x14ac:dyDescent="0.25">
      <c r="A1517" s="95" t="s">
        <v>960</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95" t="s">
        <v>960</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0.10250223308080923</v>
      </c>
      <c r="U1518" s="22">
        <f>'Activity data'!AN85*FracLEACH*MSLeachEF*NtoN2O*kgtoGg</f>
        <v>0.10320425755524179</v>
      </c>
      <c r="V1518" s="22">
        <f>'Activity data'!AO85*FracLEACH*MSLeachEF*NtoN2O*kgtoGg</f>
        <v>0.12005228808448951</v>
      </c>
      <c r="W1518" s="22">
        <f>'Activity data'!AP85*FracLEACH*MSLeachEF*NtoN2O*kgtoGg</f>
        <v>0.12047318780844027</v>
      </c>
      <c r="X1518" s="22">
        <f>'Activity data'!AQ85*FracLEACH*MSLeachEF*NtoN2O*kgtoGg</f>
        <v>0.12086279682940448</v>
      </c>
      <c r="Y1518" s="22">
        <f>'Activity data'!AR85*FracLEACH*MSLeachEF*NtoN2O*kgtoGg</f>
        <v>0.12122115716514245</v>
      </c>
      <c r="Z1518" s="22">
        <f>'Activity data'!AS85*FracLEACH*MSLeachEF*NtoN2O*kgtoGg</f>
        <v>0.12154854080302378</v>
      </c>
      <c r="AA1518" s="22">
        <f>'Activity data'!AT85*FracLEACH*MSLeachEF*NtoN2O*kgtoGg</f>
        <v>0.12184466350232884</v>
      </c>
      <c r="AB1518" s="22">
        <f>'Activity data'!AU85*FracLEACH*MSLeachEF*NtoN2O*kgtoGg</f>
        <v>0.1221092875582894</v>
      </c>
      <c r="AC1518" s="22">
        <f>'Activity data'!AV85*FracLEACH*MSLeachEF*NtoN2O*kgtoGg</f>
        <v>0.12234218010157646</v>
      </c>
      <c r="AD1518" s="22">
        <f>'Activity data'!AW85*FracLEACH*MSLeachEF*NtoN2O*kgtoGg</f>
        <v>0.12254312321244377</v>
      </c>
      <c r="AE1518" s="22">
        <f>'Activity data'!AX85*FracLEACH*MSLeachEF*NtoN2O*kgtoGg</f>
        <v>0.12271193510141119</v>
      </c>
      <c r="AF1518" s="22">
        <f>'Activity data'!AY85*FracLEACH*MSLeachEF*NtoN2O*kgtoGg</f>
        <v>0.12284843668588494</v>
      </c>
      <c r="AG1518" s="22">
        <f>'Activity data'!AZ85*FracLEACH*MSLeachEF*NtoN2O*kgtoGg</f>
        <v>0.12295247873515695</v>
      </c>
      <c r="AH1518" s="22">
        <f>'Activity data'!BA85*FracLEACH*MSLeachEF*NtoN2O*kgtoGg</f>
        <v>0.12302394179853401</v>
      </c>
      <c r="AI1518" s="22">
        <f>'Activity data'!BB85*FracLEACH*MSLeachEF*NtoN2O*kgtoGg</f>
        <v>0.12306270455319578</v>
      </c>
      <c r="AJ1518" s="22">
        <f>'Activity data'!BC85*FracLEACH*MSLeachEF*NtoN2O*kgtoGg</f>
        <v>0.12306865704296534</v>
      </c>
      <c r="AK1518" s="22">
        <f>'Activity data'!BD85*FracLEACH*MSLeachEF*NtoN2O*kgtoGg</f>
        <v>7.3265802876620559E-2</v>
      </c>
      <c r="AL1518" s="22">
        <f>'Activity data'!BE85*FracLEACH*MSLeachEF*NtoN2O*kgtoGg</f>
        <v>7.322358485509374E-2</v>
      </c>
      <c r="AM1518" s="22">
        <f>'Activity data'!BF85*FracLEACH*MSLeachEF*NtoN2O*kgtoGg</f>
        <v>7.3182328438063146E-2</v>
      </c>
      <c r="AN1518" s="22">
        <f>'Activity data'!BG85*FracLEACH*MSLeachEF*NtoN2O*kgtoGg</f>
        <v>7.3141977323778182E-2</v>
      </c>
      <c r="AO1518" s="22">
        <f>'Activity data'!BH85*FracLEACH*MSLeachEF*NtoN2O*kgtoGg</f>
        <v>7.3102465037779299E-2</v>
      </c>
      <c r="AP1518" s="22">
        <f>'Activity data'!BI85*FracLEACH*MSLeachEF*NtoN2O*kgtoGg</f>
        <v>7.3063959614436361E-2</v>
      </c>
      <c r="AQ1518" s="22">
        <f>'Activity data'!BJ85*FracLEACH*MSLeachEF*NtoN2O*kgtoGg</f>
        <v>7.3026574505796304E-2</v>
      </c>
      <c r="AR1518" s="22">
        <f>'Activity data'!BK85*FracLEACH*MSLeachEF*NtoN2O*kgtoGg</f>
        <v>7.299032409378052E-2</v>
      </c>
      <c r="AS1518" s="22">
        <f>'Activity data'!BL85*FracLEACH*MSLeachEF*NtoN2O*kgtoGg</f>
        <v>7.2955343151510282E-2</v>
      </c>
      <c r="AT1518" s="22">
        <f>'Activity data'!BM85*FracLEACH*MSLeachEF*NtoN2O*kgtoGg</f>
        <v>7.2921781713616574E-2</v>
      </c>
      <c r="AU1518" s="22">
        <f>'Activity data'!BN85*FracLEACH*MSLeachEF*NtoN2O*kgtoGg</f>
        <v>7.2889659597002901E-2</v>
      </c>
      <c r="AV1518" s="22">
        <f>'Activity data'!BO85*FracLEACH*MSLeachEF*NtoN2O*kgtoGg</f>
        <v>7.2858956618379891E-2</v>
      </c>
      <c r="AW1518" s="22">
        <f>'Activity data'!BP85*FracLEACH*MSLeachEF*NtoN2O*kgtoGg</f>
        <v>7.282965905259077E-2</v>
      </c>
    </row>
    <row r="1519" spans="1:49" x14ac:dyDescent="0.25">
      <c r="A1519" s="95" t="s">
        <v>960</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95" t="s">
        <v>960</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95" t="s">
        <v>960</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95" t="s">
        <v>960</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95" t="s">
        <v>960</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95" t="s">
        <v>960</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95" t="s">
        <v>960</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95" t="s">
        <v>960</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95" t="s">
        <v>960</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95" t="s">
        <v>960</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95" t="s">
        <v>960</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95" t="s">
        <v>960</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95" t="s">
        <v>960</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0.39831175345583053</v>
      </c>
      <c r="M1531" s="22">
        <f>Constants!$H63*'Activity data'!AF5*Constants!$H81*EF!$H206*MMVolatEF*NtoN2O*kgtoGg</f>
        <v>0.40145358914715529</v>
      </c>
      <c r="N1531" s="22">
        <f>Constants!$H63*'Activity data'!AG5*Constants!$H81*EF!$H206*MMVolatEF*NtoN2O*kgtoGg</f>
        <v>0.40347255325329029</v>
      </c>
      <c r="O1531" s="22">
        <f>Constants!$H63*'Activity data'!AH5*Constants!$H81*EF!$H206*MMVolatEF*NtoN2O*kgtoGg</f>
        <v>0.40481416413578281</v>
      </c>
      <c r="P1531" s="22">
        <f>Constants!$H63*'Activity data'!AI5*Constants!$H81*EF!$H206*MMVolatEF*NtoN2O*kgtoGg</f>
        <v>0.40546521734783819</v>
      </c>
      <c r="Q1531" s="22">
        <f>Constants!$H63*'Activity data'!AJ5*Constants!$H81*EF!$H206*MMVolatEF*NtoN2O*kgtoGg</f>
        <v>0.40690363619044922</v>
      </c>
      <c r="R1531" s="22">
        <f>Constants!$H63*'Activity data'!AK5*Constants!$H81*EF!$H206*MMVolatEF*NtoN2O*kgtoGg</f>
        <v>0.40855374420631202</v>
      </c>
      <c r="S1531" s="22">
        <f>Constants!$H63*'Activity data'!AL5*Constants!$H81*EF!$H206*MMVolatEF*NtoN2O*kgtoGg</f>
        <v>0.39694485067455443</v>
      </c>
      <c r="T1531" s="22">
        <f>Constants!$H63*'Activity data'!AM5*Constants!$H81*EF!$H206*MMVolatEF*NtoN2O*kgtoGg</f>
        <v>0.40377484899001992</v>
      </c>
      <c r="U1531" s="22">
        <f>Constants!$H63*'Activity data'!AN5*Constants!$H81*EF!$H206*MMVolatEF*NtoN2O*kgtoGg</f>
        <v>0.69472691845052781</v>
      </c>
      <c r="V1531" s="22">
        <f>Constants!$H63*'Activity data'!AO5*Constants!$H81*EF!$H206*MMVolatEF*NtoN2O*kgtoGg</f>
        <v>0.70310152718694741</v>
      </c>
      <c r="W1531" s="22">
        <f>Constants!$H63*'Activity data'!AP5*Constants!$H81*EF!$H206*MMVolatEF*NtoN2O*kgtoGg</f>
        <v>0.71110880509409102</v>
      </c>
      <c r="X1531" s="22">
        <f>Constants!$H63*'Activity data'!AQ5*Constants!$H81*EF!$H206*MMVolatEF*NtoN2O*kgtoGg</f>
        <v>0.718612550142118</v>
      </c>
      <c r="Y1531" s="22">
        <f>Constants!$H63*'Activity data'!AR5*Constants!$H81*EF!$H206*MMVolatEF*NtoN2O*kgtoGg</f>
        <v>0.7254123730618981</v>
      </c>
      <c r="Z1531" s="22">
        <f>Constants!$H63*'Activity data'!AS5*Constants!$H81*EF!$H206*MMVolatEF*NtoN2O*kgtoGg</f>
        <v>0.73147651852735551</v>
      </c>
      <c r="AA1531" s="22">
        <f>Constants!$H63*'Activity data'!AT5*Constants!$H81*EF!$H206*MMVolatEF*NtoN2O*kgtoGg</f>
        <v>0.73676965969026942</v>
      </c>
      <c r="AB1531" s="22">
        <f>Constants!$H63*'Activity data'!AU5*Constants!$H81*EF!$H206*MMVolatEF*NtoN2O*kgtoGg</f>
        <v>0.74126505933946241</v>
      </c>
      <c r="AC1531" s="22">
        <f>Constants!$H63*'Activity data'!AV5*Constants!$H81*EF!$H206*MMVolatEF*NtoN2O*kgtoGg</f>
        <v>0.74494151296918631</v>
      </c>
      <c r="AD1531" s="22">
        <f>Constants!$H63*'Activity data'!AW5*Constants!$H81*EF!$H206*MMVolatEF*NtoN2O*kgtoGg</f>
        <v>0.74777672987859323</v>
      </c>
      <c r="AE1531" s="22">
        <f>Constants!$H63*'Activity data'!AX5*Constants!$H81*EF!$H206*MMVolatEF*NtoN2O*kgtoGg</f>
        <v>0.7497573654957449</v>
      </c>
      <c r="AF1531" s="22">
        <f>Constants!$H63*'Activity data'!AY5*Constants!$H81*EF!$H206*MMVolatEF*NtoN2O*kgtoGg</f>
        <v>0.75087061941702216</v>
      </c>
      <c r="AG1531" s="22">
        <f>Constants!$H63*'Activity data'!AZ5*Constants!$H81*EF!$H206*MMVolatEF*NtoN2O*kgtoGg</f>
        <v>0.75110412486622213</v>
      </c>
      <c r="AH1531" s="22">
        <f>Constants!$H63*'Activity data'!BA5*Constants!$H81*EF!$H206*MMVolatEF*NtoN2O*kgtoGg</f>
        <v>0.75045562343243666</v>
      </c>
      <c r="AI1531" s="22">
        <f>Constants!$H63*'Activity data'!BB5*Constants!$H81*EF!$H206*MMVolatEF*NtoN2O*kgtoGg</f>
        <v>0.74892880709192955</v>
      </c>
      <c r="AJ1531" s="22">
        <f>Constants!$H63*'Activity data'!BC5*Constants!$H81*EF!$H206*MMVolatEF*NtoN2O*kgtoGg</f>
        <v>0.2369481237841857</v>
      </c>
      <c r="AK1531" s="22">
        <f>Constants!$H63*'Activity data'!BD5*Constants!$H81*EF!$H206*MMVolatEF*NtoN2O*kgtoGg</f>
        <v>0.23712109193812289</v>
      </c>
      <c r="AL1531" s="22">
        <f>Constants!$H63*'Activity data'!BE5*Constants!$H81*EF!$H206*MMVolatEF*NtoN2O*kgtoGg</f>
        <v>0.23728160870243259</v>
      </c>
      <c r="AM1531" s="22">
        <f>Constants!$H63*'Activity data'!BF5*Constants!$H81*EF!$H206*MMVolatEF*NtoN2O*kgtoGg</f>
        <v>0.2374307599177384</v>
      </c>
      <c r="AN1531" s="22">
        <f>Constants!$H63*'Activity data'!BG5*Constants!$H81*EF!$H206*MMVolatEF*NtoN2O*kgtoGg</f>
        <v>0.2375698831121214</v>
      </c>
      <c r="AO1531" s="22">
        <f>Constants!$H63*'Activity data'!BH5*Constants!$H81*EF!$H206*MMVolatEF*NtoN2O*kgtoGg</f>
        <v>0.23769461188435137</v>
      </c>
      <c r="AP1531" s="22">
        <f>Constants!$H63*'Activity data'!BI5*Constants!$H81*EF!$H206*MMVolatEF*NtoN2O*kgtoGg</f>
        <v>0.2378020140279184</v>
      </c>
      <c r="AQ1531" s="22">
        <f>Constants!$H63*'Activity data'!BJ5*Constants!$H81*EF!$H206*MMVolatEF*NtoN2O*kgtoGg</f>
        <v>0.23789161932894973</v>
      </c>
      <c r="AR1531" s="22">
        <f>Constants!$H63*'Activity data'!BK5*Constants!$H81*EF!$H206*MMVolatEF*NtoN2O*kgtoGg</f>
        <v>0.23796010078507188</v>
      </c>
      <c r="AS1531" s="22">
        <f>Constants!$H63*'Activity data'!BL5*Constants!$H81*EF!$H206*MMVolatEF*NtoN2O*kgtoGg</f>
        <v>0.2380038463120322</v>
      </c>
      <c r="AT1531" s="22">
        <f>Constants!$H63*'Activity data'!BM5*Constants!$H81*EF!$H206*MMVolatEF*NtoN2O*kgtoGg</f>
        <v>0.23802240976704672</v>
      </c>
      <c r="AU1531" s="22">
        <f>Constants!$H63*'Activity data'!BN5*Constants!$H81*EF!$H206*MMVolatEF*NtoN2O*kgtoGg</f>
        <v>0.23801630420250081</v>
      </c>
      <c r="AV1531" s="22">
        <f>Constants!$H63*'Activity data'!BO5*Constants!$H81*EF!$H206*MMVolatEF*NtoN2O*kgtoGg</f>
        <v>0.23798588741324539</v>
      </c>
      <c r="AW1531" s="22">
        <f>Constants!$H63*'Activity data'!BP5*Constants!$H81*EF!$H206*MMVolatEF*NtoN2O*kgtoGg</f>
        <v>0.23792776204046176</v>
      </c>
    </row>
    <row r="1532" spans="1:49" x14ac:dyDescent="0.25">
      <c r="A1532" s="95" t="s">
        <v>960</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3.1424516095088999E-2</v>
      </c>
      <c r="M1532" s="22">
        <f>Constants!$H64*'Activity data'!AF6*Constants!$H82*EF!$H207*MMVolatEF*NtoN2O*kgtoGg</f>
        <v>3.1672388936885787E-2</v>
      </c>
      <c r="N1532" s="22">
        <f>Constants!$H64*'Activity data'!AG6*Constants!$H82*EF!$H207*MMVolatEF*NtoN2O*kgtoGg</f>
        <v>3.1831673641638247E-2</v>
      </c>
      <c r="O1532" s="22">
        <f>Constants!$H64*'Activity data'!AH6*Constants!$H82*EF!$H207*MMVolatEF*NtoN2O*kgtoGg</f>
        <v>3.1937519056453263E-2</v>
      </c>
      <c r="P1532" s="22">
        <f>Constants!$H64*'Activity data'!AI6*Constants!$H82*EF!$H207*MMVolatEF*NtoN2O*kgtoGg</f>
        <v>3.1988883426104654E-2</v>
      </c>
      <c r="Q1532" s="22">
        <f>Constants!$H64*'Activity data'!AJ6*Constants!$H82*EF!$H207*MMVolatEF*NtoN2O*kgtoGg</f>
        <v>3.2102366434524382E-2</v>
      </c>
      <c r="R1532" s="22">
        <f>Constants!$H64*'Activity data'!AK6*Constants!$H82*EF!$H207*MMVolatEF*NtoN2O*kgtoGg</f>
        <v>3.2232550506305399E-2</v>
      </c>
      <c r="S1532" s="22">
        <f>Constants!$H64*'Activity data'!AL6*Constants!$H82*EF!$H207*MMVolatEF*NtoN2O*kgtoGg</f>
        <v>3.1316675294314346E-2</v>
      </c>
      <c r="T1532" s="22">
        <f>Constants!$H64*'Activity data'!AM6*Constants!$H82*EF!$H207*MMVolatEF*NtoN2O*kgtoGg</f>
        <v>3.1855523043926581E-2</v>
      </c>
      <c r="U1532" s="22">
        <f>Constants!$H64*'Activity data'!AN6*Constants!$H82*EF!$H207*MMVolatEF*NtoN2O*kgtoGg</f>
        <v>5.4809974953353012E-2</v>
      </c>
      <c r="V1532" s="22">
        <f>Constants!$H64*'Activity data'!AO6*Constants!$H82*EF!$H207*MMVolatEF*NtoN2O*kgtoGg</f>
        <v>5.547068361872478E-2</v>
      </c>
      <c r="W1532" s="22">
        <f>Constants!$H64*'Activity data'!AP6*Constants!$H82*EF!$H207*MMVolatEF*NtoN2O*kgtoGg</f>
        <v>5.6102411985482069E-2</v>
      </c>
      <c r="X1532" s="22">
        <f>Constants!$H64*'Activity data'!AQ6*Constants!$H82*EF!$H207*MMVolatEF*NtoN2O*kgtoGg</f>
        <v>5.6694414493540908E-2</v>
      </c>
      <c r="Y1532" s="22">
        <f>Constants!$H64*'Activity data'!AR6*Constants!$H82*EF!$H207*MMVolatEF*NtoN2O*kgtoGg</f>
        <v>5.7230881577257239E-2</v>
      </c>
      <c r="Z1532" s="22">
        <f>Constants!$H64*'Activity data'!AS6*Constants!$H82*EF!$H207*MMVolatEF*NtoN2O*kgtoGg</f>
        <v>5.7709307923276061E-2</v>
      </c>
      <c r="AA1532" s="22">
        <f>Constants!$H64*'Activity data'!AT6*Constants!$H82*EF!$H207*MMVolatEF*NtoN2O*kgtoGg</f>
        <v>5.812690644560041E-2</v>
      </c>
      <c r="AB1532" s="22">
        <f>Constants!$H64*'Activity data'!AU6*Constants!$H82*EF!$H207*MMVolatEF*NtoN2O*kgtoGg</f>
        <v>5.8481567731400452E-2</v>
      </c>
      <c r="AC1532" s="22">
        <f>Constants!$H64*'Activity data'!AV6*Constants!$H82*EF!$H207*MMVolatEF*NtoN2O*kgtoGg</f>
        <v>5.8771618866617373E-2</v>
      </c>
      <c r="AD1532" s="22">
        <f>Constants!$H64*'Activity data'!AW6*Constants!$H82*EF!$H207*MMVolatEF*NtoN2O*kgtoGg</f>
        <v>5.8995301242619896E-2</v>
      </c>
      <c r="AE1532" s="22">
        <f>Constants!$H64*'Activity data'!AX6*Constants!$H82*EF!$H207*MMVolatEF*NtoN2O*kgtoGg</f>
        <v>5.9151562049110484E-2</v>
      </c>
      <c r="AF1532" s="22">
        <f>Constants!$H64*'Activity data'!AY6*Constants!$H82*EF!$H207*MMVolatEF*NtoN2O*kgtoGg</f>
        <v>5.9239391407555408E-2</v>
      </c>
      <c r="AG1532" s="22">
        <f>Constants!$H64*'Activity data'!AZ6*Constants!$H82*EF!$H207*MMVolatEF*NtoN2O*kgtoGg</f>
        <v>5.9257813650140552E-2</v>
      </c>
      <c r="AH1532" s="22">
        <f>Constants!$H64*'Activity data'!BA6*Constants!$H82*EF!$H207*MMVolatEF*NtoN2O*kgtoGg</f>
        <v>5.9206650601179869E-2</v>
      </c>
      <c r="AI1532" s="22">
        <f>Constants!$H64*'Activity data'!BB6*Constants!$H82*EF!$H207*MMVolatEF*NtoN2O*kgtoGg</f>
        <v>5.9086193536455466E-2</v>
      </c>
      <c r="AJ1532" s="22">
        <f>Constants!$H64*'Activity data'!BC6*Constants!$H82*EF!$H207*MMVolatEF*NtoN2O*kgtoGg</f>
        <v>1.8693849892589171E-2</v>
      </c>
      <c r="AK1532" s="22">
        <f>Constants!$H64*'Activity data'!BD6*Constants!$H82*EF!$H207*MMVolatEF*NtoN2O*kgtoGg</f>
        <v>1.870749608929358E-2</v>
      </c>
      <c r="AL1532" s="22">
        <f>Constants!$H64*'Activity data'!BE6*Constants!$H82*EF!$H207*MMVolatEF*NtoN2O*kgtoGg</f>
        <v>1.8720159942669283E-2</v>
      </c>
      <c r="AM1532" s="22">
        <f>Constants!$H64*'Activity data'!BF6*Constants!$H82*EF!$H207*MMVolatEF*NtoN2O*kgtoGg</f>
        <v>1.873192711932253E-2</v>
      </c>
      <c r="AN1532" s="22">
        <f>Constants!$H64*'Activity data'!BG6*Constants!$H82*EF!$H207*MMVolatEF*NtoN2O*kgtoGg</f>
        <v>1.8742903142558495E-2</v>
      </c>
      <c r="AO1532" s="22">
        <f>Constants!$H64*'Activity data'!BH6*Constants!$H82*EF!$H207*MMVolatEF*NtoN2O*kgtoGg</f>
        <v>1.8752743528327825E-2</v>
      </c>
      <c r="AP1532" s="22">
        <f>Constants!$H64*'Activity data'!BI6*Constants!$H82*EF!$H207*MMVolatEF*NtoN2O*kgtoGg</f>
        <v>1.8761216942330506E-2</v>
      </c>
      <c r="AQ1532" s="22">
        <f>Constants!$H64*'Activity data'!BJ6*Constants!$H82*EF!$H207*MMVolatEF*NtoN2O*kgtoGg</f>
        <v>1.8768286287385059E-2</v>
      </c>
      <c r="AR1532" s="22">
        <f>Constants!$H64*'Activity data'!BK6*Constants!$H82*EF!$H207*MMVolatEF*NtoN2O*kgtoGg</f>
        <v>1.8773689082058967E-2</v>
      </c>
      <c r="AS1532" s="22">
        <f>Constants!$H64*'Activity data'!BL6*Constants!$H82*EF!$H207*MMVolatEF*NtoN2O*kgtoGg</f>
        <v>1.8777140353592202E-2</v>
      </c>
      <c r="AT1532" s="22">
        <f>Constants!$H64*'Activity data'!BM6*Constants!$H82*EF!$H207*MMVolatEF*NtoN2O*kgtoGg</f>
        <v>1.8778604903874292E-2</v>
      </c>
      <c r="AU1532" s="22">
        <f>Constants!$H64*'Activity data'!BN6*Constants!$H82*EF!$H207*MMVolatEF*NtoN2O*kgtoGg</f>
        <v>1.877812320980005E-2</v>
      </c>
      <c r="AV1532" s="22">
        <f>Constants!$H64*'Activity data'!BO6*Constants!$H82*EF!$H207*MMVolatEF*NtoN2O*kgtoGg</f>
        <v>1.8775723499333995E-2</v>
      </c>
      <c r="AW1532" s="22">
        <f>Constants!$H64*'Activity data'!BP6*Constants!$H82*EF!$H207*MMVolatEF*NtoN2O*kgtoGg</f>
        <v>1.8771137740323057E-2</v>
      </c>
    </row>
    <row r="1533" spans="1:49" x14ac:dyDescent="0.25">
      <c r="A1533" s="95" t="s">
        <v>960</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2.9129279224209421E-4</v>
      </c>
      <c r="M1533" s="22">
        <f>Constants!$H65*'Activity data'!AF7*Constants!$H83*EF!$H208*MMVolatEF*NtoN2O*kgtoGg</f>
        <v>2.9359047510821973E-4</v>
      </c>
      <c r="N1533" s="22">
        <f>Constants!$H65*'Activity data'!AG7*Constants!$H83*EF!$H208*MMVolatEF*NtoN2O*kgtoGg</f>
        <v>2.9506698110336069E-4</v>
      </c>
      <c r="O1533" s="22">
        <f>Constants!$H65*'Activity data'!AH7*Constants!$H83*EF!$H208*MMVolatEF*NtoN2O*kgtoGg</f>
        <v>2.960481260901027E-4</v>
      </c>
      <c r="P1533" s="22">
        <f>Constants!$H65*'Activity data'!AI7*Constants!$H83*EF!$H208*MMVolatEF*NtoN2O*kgtoGg</f>
        <v>2.9652425341095731E-4</v>
      </c>
      <c r="Q1533" s="22">
        <f>Constants!$H65*'Activity data'!AJ7*Constants!$H83*EF!$H208*MMVolatEF*NtoN2O*kgtoGg</f>
        <v>2.9757619585915883E-4</v>
      </c>
      <c r="R1533" s="22">
        <f>Constants!$H65*'Activity data'!AK7*Constants!$H83*EF!$H208*MMVolatEF*NtoN2O*kgtoGg</f>
        <v>2.9878295053629658E-4</v>
      </c>
      <c r="S1533" s="22">
        <f>Constants!$H65*'Activity data'!AL7*Constants!$H83*EF!$H208*MMVolatEF*NtoN2O*kgtoGg</f>
        <v>2.9029315081944787E-4</v>
      </c>
      <c r="T1533" s="22">
        <f>Constants!$H65*'Activity data'!AM7*Constants!$H83*EF!$H208*MMVolatEF*NtoN2O*kgtoGg</f>
        <v>2.9528805559707279E-4</v>
      </c>
      <c r="U1533" s="22">
        <f>Constants!$H65*'Activity data'!AN7*Constants!$H83*EF!$H208*MMVolatEF*NtoN2O*kgtoGg</f>
        <v>5.0806671449036449E-4</v>
      </c>
      <c r="V1533" s="22">
        <f>Constants!$H65*'Activity data'!AO7*Constants!$H83*EF!$H208*MMVolatEF*NtoN2O*kgtoGg</f>
        <v>5.1419122159215467E-4</v>
      </c>
      <c r="W1533" s="22">
        <f>Constants!$H65*'Activity data'!AP7*Constants!$H83*EF!$H208*MMVolatEF*NtoN2O*kgtoGg</f>
        <v>5.200470928276717E-4</v>
      </c>
      <c r="X1533" s="22">
        <f>Constants!$H65*'Activity data'!AQ7*Constants!$H83*EF!$H208*MMVolatEF*NtoN2O*kgtoGg</f>
        <v>5.2553472111970217E-4</v>
      </c>
      <c r="Y1533" s="22">
        <f>Constants!$H65*'Activity data'!AR7*Constants!$H83*EF!$H208*MMVolatEF*NtoN2O*kgtoGg</f>
        <v>5.3050755806932593E-4</v>
      </c>
      <c r="Z1533" s="22">
        <f>Constants!$H65*'Activity data'!AS7*Constants!$H83*EF!$H208*MMVolatEF*NtoN2O*kgtoGg</f>
        <v>5.3494238041606622E-4</v>
      </c>
      <c r="AA1533" s="22">
        <f>Constants!$H65*'Activity data'!AT7*Constants!$H83*EF!$H208*MMVolatEF*NtoN2O*kgtoGg</f>
        <v>5.3881335297888784E-4</v>
      </c>
      <c r="AB1533" s="22">
        <f>Constants!$H65*'Activity data'!AU7*Constants!$H83*EF!$H208*MMVolatEF*NtoN2O*kgtoGg</f>
        <v>5.42100922338055E-4</v>
      </c>
      <c r="AC1533" s="22">
        <f>Constants!$H65*'Activity data'!AV7*Constants!$H83*EF!$H208*MMVolatEF*NtoN2O*kgtoGg</f>
        <v>5.4478958124419888E-4</v>
      </c>
      <c r="AD1533" s="22">
        <f>Constants!$H65*'Activity data'!AW7*Constants!$H83*EF!$H208*MMVolatEF*NtoN2O*kgtoGg</f>
        <v>5.4686302809327551E-4</v>
      </c>
      <c r="AE1533" s="22">
        <f>Constants!$H65*'Activity data'!AX7*Constants!$H83*EF!$H208*MMVolatEF*NtoN2O*kgtoGg</f>
        <v>5.4831150375167243E-4</v>
      </c>
      <c r="AF1533" s="22">
        <f>Constants!$H65*'Activity data'!AY7*Constants!$H83*EF!$H208*MMVolatEF*NtoN2O*kgtoGg</f>
        <v>5.4912564704618944E-4</v>
      </c>
      <c r="AG1533" s="22">
        <f>Constants!$H65*'Activity data'!AZ7*Constants!$H83*EF!$H208*MMVolatEF*NtoN2O*kgtoGg</f>
        <v>5.4929641392341823E-4</v>
      </c>
      <c r="AH1533" s="22">
        <f>Constants!$H65*'Activity data'!BA7*Constants!$H83*EF!$H208*MMVolatEF*NtoN2O*kgtoGg</f>
        <v>5.4882215276546513E-4</v>
      </c>
      <c r="AI1533" s="22">
        <f>Constants!$H65*'Activity data'!BB7*Constants!$H83*EF!$H208*MMVolatEF*NtoN2O*kgtoGg</f>
        <v>5.4770556358322664E-4</v>
      </c>
      <c r="AJ1533" s="22">
        <f>Constants!$H65*'Activity data'!BC7*Constants!$H83*EF!$H208*MMVolatEF*NtoN2O*kgtoGg</f>
        <v>1.7328456917170714E-4</v>
      </c>
      <c r="AK1533" s="22">
        <f>Constants!$H65*'Activity data'!BD7*Constants!$H83*EF!$H208*MMVolatEF*NtoN2O*kgtoGg</f>
        <v>1.7341106399916873E-4</v>
      </c>
      <c r="AL1533" s="22">
        <f>Constants!$H65*'Activity data'!BE7*Constants!$H83*EF!$H208*MMVolatEF*NtoN2O*kgtoGg</f>
        <v>1.7352845289385181E-4</v>
      </c>
      <c r="AM1533" s="22">
        <f>Constants!$H65*'Activity data'!BF7*Constants!$H83*EF!$H208*MMVolatEF*NtoN2O*kgtoGg</f>
        <v>1.7363752995119643E-4</v>
      </c>
      <c r="AN1533" s="22">
        <f>Constants!$H65*'Activity data'!BG7*Constants!$H83*EF!$H208*MMVolatEF*NtoN2O*kgtoGg</f>
        <v>1.7373927333036077E-4</v>
      </c>
      <c r="AO1533" s="22">
        <f>Constants!$H65*'Activity data'!BH7*Constants!$H83*EF!$H208*MMVolatEF*NtoN2O*kgtoGg</f>
        <v>1.7383048980092826E-4</v>
      </c>
      <c r="AP1533" s="22">
        <f>Constants!$H65*'Activity data'!BI7*Constants!$H83*EF!$H208*MMVolatEF*NtoN2O*kgtoGg</f>
        <v>1.7390903498575136E-4</v>
      </c>
      <c r="AQ1533" s="22">
        <f>Constants!$H65*'Activity data'!BJ7*Constants!$H83*EF!$H208*MMVolatEF*NtoN2O*kgtoGg</f>
        <v>1.7397456500868103E-4</v>
      </c>
      <c r="AR1533" s="22">
        <f>Constants!$H65*'Activity data'!BK7*Constants!$H83*EF!$H208*MMVolatEF*NtoN2O*kgtoGg</f>
        <v>1.7402464677101302E-4</v>
      </c>
      <c r="AS1533" s="22">
        <f>Constants!$H65*'Activity data'!BL7*Constants!$H83*EF!$H208*MMVolatEF*NtoN2O*kgtoGg</f>
        <v>1.7405663868836374E-4</v>
      </c>
      <c r="AT1533" s="22">
        <f>Constants!$H65*'Activity data'!BM7*Constants!$H83*EF!$H208*MMVolatEF*NtoN2O*kgtoGg</f>
        <v>1.7407021448821884E-4</v>
      </c>
      <c r="AU1533" s="22">
        <f>Constants!$H65*'Activity data'!BN7*Constants!$H83*EF!$H208*MMVolatEF*NtoN2O*kgtoGg</f>
        <v>1.7406574937532841E-4</v>
      </c>
      <c r="AV1533" s="22">
        <f>Constants!$H65*'Activity data'!BO7*Constants!$H83*EF!$H208*MMVolatEF*NtoN2O*kgtoGg</f>
        <v>1.7404350501172027E-4</v>
      </c>
      <c r="AW1533" s="22">
        <f>Constants!$H65*'Activity data'!BP7*Constants!$H83*EF!$H208*MMVolatEF*NtoN2O*kgtoGg</f>
        <v>1.740009968457137E-4</v>
      </c>
    </row>
    <row r="1534" spans="1:49" x14ac:dyDescent="0.25">
      <c r="A1534" s="95" t="s">
        <v>960</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3.2323215352203878E-3</v>
      </c>
      <c r="L1534" s="22">
        <f>Constants!$H66*'Activity data'!AE8*Constants!$H84*EF!$H209*MMVolatEF*NtoN2O*kgtoGg</f>
        <v>3.2042886428129457E-3</v>
      </c>
      <c r="M1534" s="22">
        <f>Constants!$H66*'Activity data'!AF8*Constants!$H84*EF!$H209*MMVolatEF*NtoN2O*kgtoGg</f>
        <v>3.193617369300608E-3</v>
      </c>
      <c r="N1534" s="22">
        <f>Constants!$H66*'Activity data'!AG8*Constants!$H84*EF!$H209*MMVolatEF*NtoN2O*kgtoGg</f>
        <v>3.1509707896886733E-3</v>
      </c>
      <c r="O1534" s="22">
        <f>Constants!$H66*'Activity data'!AH8*Constants!$H84*EF!$H209*MMVolatEF*NtoN2O*kgtoGg</f>
        <v>3.0890682378804119E-3</v>
      </c>
      <c r="P1534" s="22">
        <f>Constants!$H66*'Activity data'!AI8*Constants!$H84*EF!$H209*MMVolatEF*NtoN2O*kgtoGg</f>
        <v>3.0091897617382946E-3</v>
      </c>
      <c r="Q1534" s="22">
        <f>Constants!$H66*'Activity data'!AJ8*Constants!$H84*EF!$H209*MMVolatEF*NtoN2O*kgtoGg</f>
        <v>2.9461872714039491E-3</v>
      </c>
      <c r="R1534" s="22">
        <f>Constants!$H66*'Activity data'!AK8*Constants!$H84*EF!$H209*MMVolatEF*NtoN2O*kgtoGg</f>
        <v>2.8865797531671873E-3</v>
      </c>
      <c r="S1534" s="22">
        <f>Constants!$H66*'Activity data'!AL8*Constants!$H84*EF!$H209*MMVolatEF*NtoN2O*kgtoGg</f>
        <v>2.5815224060103171E-3</v>
      </c>
      <c r="T1534" s="22">
        <f>Constants!$H66*'Activity data'!AM8*Constants!$H84*EF!$H209*MMVolatEF*NtoN2O*kgtoGg</f>
        <v>2.6809806193820299E-3</v>
      </c>
      <c r="U1534" s="22">
        <f>Constants!$H66*'Activity data'!AN8*Constants!$H84*EF!$H209*MMVolatEF*NtoN2O*kgtoGg</f>
        <v>8.4496349357244746E-3</v>
      </c>
      <c r="V1534" s="22">
        <f>Constants!$H66*'Activity data'!AO8*Constants!$H84*EF!$H209*MMVolatEF*NtoN2O*kgtoGg</f>
        <v>8.490390729273779E-3</v>
      </c>
      <c r="W1534" s="22">
        <f>Constants!$H66*'Activity data'!AP8*Constants!$H84*EF!$H209*MMVolatEF*NtoN2O*kgtoGg</f>
        <v>8.5164743363873984E-3</v>
      </c>
      <c r="X1534" s="22">
        <f>Constants!$H66*'Activity data'!AQ8*Constants!$H84*EF!$H209*MMVolatEF*NtoN2O*kgtoGg</f>
        <v>8.5278804443353062E-3</v>
      </c>
      <c r="Y1534" s="22">
        <f>Constants!$H66*'Activity data'!AR8*Constants!$H84*EF!$H209*MMVolatEF*NtoN2O*kgtoGg</f>
        <v>8.5248506776145015E-3</v>
      </c>
      <c r="Z1534" s="22">
        <f>Constants!$H66*'Activity data'!AS8*Constants!$H84*EF!$H209*MMVolatEF*NtoN2O*kgtoGg</f>
        <v>8.5072398121281648E-3</v>
      </c>
      <c r="AA1534" s="22">
        <f>Constants!$H66*'Activity data'!AT8*Constants!$H84*EF!$H209*MMVolatEF*NtoN2O*kgtoGg</f>
        <v>8.4750047085989932E-3</v>
      </c>
      <c r="AB1534" s="22">
        <f>Constants!$H66*'Activity data'!AU8*Constants!$H84*EF!$H209*MMVolatEF*NtoN2O*kgtoGg</f>
        <v>8.4281720385821924E-3</v>
      </c>
      <c r="AC1534" s="22">
        <f>Constants!$H66*'Activity data'!AV8*Constants!$H84*EF!$H209*MMVolatEF*NtoN2O*kgtoGg</f>
        <v>8.3668471101216637E-3</v>
      </c>
      <c r="AD1534" s="22">
        <f>Constants!$H66*'Activity data'!AW8*Constants!$H84*EF!$H209*MMVolatEF*NtoN2O*kgtoGg</f>
        <v>8.2215560258446178E-3</v>
      </c>
      <c r="AE1534" s="22">
        <f>Constants!$H66*'Activity data'!AX8*Constants!$H84*EF!$H209*MMVolatEF*NtoN2O*kgtoGg</f>
        <v>8.0625794404136485E-3</v>
      </c>
      <c r="AF1534" s="22">
        <f>Constants!$H66*'Activity data'!AY8*Constants!$H84*EF!$H209*MMVolatEF*NtoN2O*kgtoGg</f>
        <v>7.8906316671852623E-3</v>
      </c>
      <c r="AG1534" s="22">
        <f>Constants!$H66*'Activity data'!AZ8*Constants!$H84*EF!$H209*MMVolatEF*NtoN2O*kgtoGg</f>
        <v>7.7065081858302149E-3</v>
      </c>
      <c r="AH1534" s="22">
        <f>Constants!$H66*'Activity data'!BA8*Constants!$H84*EF!$H209*MMVolatEF*NtoN2O*kgtoGg</f>
        <v>7.5110558523361756E-3</v>
      </c>
      <c r="AI1534" s="22">
        <f>Constants!$H66*'Activity data'!BB8*Constants!$H84*EF!$H209*MMVolatEF*NtoN2O*kgtoGg</f>
        <v>7.3051764470657117E-3</v>
      </c>
      <c r="AJ1534" s="22">
        <f>Constants!$H66*'Activity data'!BC8*Constants!$H84*EF!$H209*MMVolatEF*NtoN2O*kgtoGg</f>
        <v>-5.6405599805615676E-4</v>
      </c>
      <c r="AK1534" s="22">
        <f>Constants!$H66*'Activity data'!BD8*Constants!$H84*EF!$H209*MMVolatEF*NtoN2O*kgtoGg</f>
        <v>-5.5047515962352916E-4</v>
      </c>
      <c r="AL1534" s="22">
        <f>Constants!$H66*'Activity data'!BE8*Constants!$H84*EF!$H209*MMVolatEF*NtoN2O*kgtoGg</f>
        <v>-5.3703562288424922E-4</v>
      </c>
      <c r="AM1534" s="22">
        <f>Constants!$H66*'Activity data'!BF8*Constants!$H84*EF!$H209*MMVolatEF*NtoN2O*kgtoGg</f>
        <v>-5.2373599978206974E-4</v>
      </c>
      <c r="AN1534" s="22">
        <f>Constants!$H66*'Activity data'!BG8*Constants!$H84*EF!$H209*MMVolatEF*NtoN2O*kgtoGg</f>
        <v>-5.1318044022279606E-4</v>
      </c>
      <c r="AO1534" s="22">
        <f>Constants!$H66*'Activity data'!BH8*Constants!$H84*EF!$H209*MMVolatEF*NtoN2O*kgtoGg</f>
        <v>-5.0272501169057937E-4</v>
      </c>
      <c r="AP1534" s="22">
        <f>Constants!$H66*'Activity data'!BI8*Constants!$H84*EF!$H209*MMVolatEF*NtoN2O*kgtoGg</f>
        <v>-4.9236193773087231E-4</v>
      </c>
      <c r="AQ1534" s="22">
        <f>Constants!$H66*'Activity data'!BJ8*Constants!$H84*EF!$H209*MMVolatEF*NtoN2O*kgtoGg</f>
        <v>-4.8208865134491532E-4</v>
      </c>
      <c r="AR1534" s="22">
        <f>Constants!$H66*'Activity data'!BK8*Constants!$H84*EF!$H209*MMVolatEF*NtoN2O*kgtoGg</f>
        <v>-4.7189764173024049E-4</v>
      </c>
      <c r="AS1534" s="22">
        <f>Constants!$H66*'Activity data'!BL8*Constants!$H84*EF!$H209*MMVolatEF*NtoN2O*kgtoGg</f>
        <v>-4.6178155356127546E-4</v>
      </c>
      <c r="AT1534" s="22">
        <f>Constants!$H66*'Activity data'!BM8*Constants!$H84*EF!$H209*MMVolatEF*NtoN2O*kgtoGg</f>
        <v>-4.5173920552966836E-4</v>
      </c>
      <c r="AU1534" s="22">
        <f>Constants!$H66*'Activity data'!BN8*Constants!$H84*EF!$H209*MMVolatEF*NtoN2O*kgtoGg</f>
        <v>-4.4177121806458731E-4</v>
      </c>
      <c r="AV1534" s="22">
        <f>Constants!$H66*'Activity data'!BO8*Constants!$H84*EF!$H209*MMVolatEF*NtoN2O*kgtoGg</f>
        <v>-4.31877971766583E-4</v>
      </c>
      <c r="AW1534" s="22">
        <f>Constants!$H66*'Activity data'!BP8*Constants!$H84*EF!$H209*MMVolatEF*NtoN2O*kgtoGg</f>
        <v>-4.220537843353357E-4</v>
      </c>
    </row>
    <row r="1535" spans="1:49" x14ac:dyDescent="0.25">
      <c r="A1535" s="95" t="s">
        <v>960</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1.6090517274103568E-2</v>
      </c>
      <c r="L1535" s="22">
        <f>Constants!$H67*'Activity data'!AE9*Constants!$H85*EF!$H210*MMVolatEF*NtoN2O*kgtoGg</f>
        <v>1.5950969356419611E-2</v>
      </c>
      <c r="M1535" s="22">
        <f>Constants!$H67*'Activity data'!AF9*Constants!$H85*EF!$H210*MMVolatEF*NtoN2O*kgtoGg</f>
        <v>1.5897847688628834E-2</v>
      </c>
      <c r="N1535" s="22">
        <f>Constants!$H67*'Activity data'!AG9*Constants!$H85*EF!$H210*MMVolatEF*NtoN2O*kgtoGg</f>
        <v>1.5685552742581491E-2</v>
      </c>
      <c r="O1535" s="22">
        <f>Constants!$H67*'Activity data'!AH9*Constants!$H85*EF!$H210*MMVolatEF*NtoN2O*kgtoGg</f>
        <v>1.5377401443792458E-2</v>
      </c>
      <c r="P1535" s="22">
        <f>Constants!$H67*'Activity data'!AI9*Constants!$H85*EF!$H210*MMVolatEF*NtoN2O*kgtoGg</f>
        <v>1.4979765878707448E-2</v>
      </c>
      <c r="Q1535" s="22">
        <f>Constants!$H67*'Activity data'!AJ9*Constants!$H85*EF!$H210*MMVolatEF*NtoN2O*kgtoGg</f>
        <v>1.4666139078901096E-2</v>
      </c>
      <c r="R1535" s="22">
        <f>Constants!$H67*'Activity data'!AK9*Constants!$H85*EF!$H210*MMVolatEF*NtoN2O*kgtoGg</f>
        <v>1.4369412471908493E-2</v>
      </c>
      <c r="S1535" s="22">
        <f>Constants!$H67*'Activity data'!AL9*Constants!$H85*EF!$H210*MMVolatEF*NtoN2O*kgtoGg</f>
        <v>1.2850835046817909E-2</v>
      </c>
      <c r="T1535" s="22">
        <f>Constants!$H67*'Activity data'!AM9*Constants!$H85*EF!$H210*MMVolatEF*NtoN2O*kgtoGg</f>
        <v>1.3345938669050808E-2</v>
      </c>
      <c r="U1535" s="22">
        <f>Constants!$H67*'Activity data'!AN9*Constants!$H85*EF!$H210*MMVolatEF*NtoN2O*kgtoGg</f>
        <v>4.2062336748275767E-2</v>
      </c>
      <c r="V1535" s="22">
        <f>Constants!$H67*'Activity data'!AO9*Constants!$H85*EF!$H210*MMVolatEF*NtoN2O*kgtoGg</f>
        <v>4.2265219349211125E-2</v>
      </c>
      <c r="W1535" s="22">
        <f>Constants!$H67*'Activity data'!AP9*Constants!$H85*EF!$H210*MMVolatEF*NtoN2O*kgtoGg</f>
        <v>4.2395063712236107E-2</v>
      </c>
      <c r="X1535" s="22">
        <f>Constants!$H67*'Activity data'!AQ9*Constants!$H85*EF!$H210*MMVolatEF*NtoN2O*kgtoGg</f>
        <v>4.2451843390546674E-2</v>
      </c>
      <c r="Y1535" s="22">
        <f>Constants!$H67*'Activity data'!AR9*Constants!$H85*EF!$H210*MMVolatEF*NtoN2O*kgtoGg</f>
        <v>4.2436761192434141E-2</v>
      </c>
      <c r="Z1535" s="22">
        <f>Constants!$H67*'Activity data'!AS9*Constants!$H85*EF!$H210*MMVolatEF*NtoN2O*kgtoGg</f>
        <v>4.234909419141579E-2</v>
      </c>
      <c r="AA1535" s="22">
        <f>Constants!$H67*'Activity data'!AT9*Constants!$H85*EF!$H210*MMVolatEF*NtoN2O*kgtoGg</f>
        <v>4.2188627639893318E-2</v>
      </c>
      <c r="AB1535" s="22">
        <f>Constants!$H67*'Activity data'!AU9*Constants!$H85*EF!$H210*MMVolatEF*NtoN2O*kgtoGg</f>
        <v>4.195549430903911E-2</v>
      </c>
      <c r="AC1535" s="22">
        <f>Constants!$H67*'Activity data'!AV9*Constants!$H85*EF!$H210*MMVolatEF*NtoN2O*kgtoGg</f>
        <v>4.1650218422969176E-2</v>
      </c>
      <c r="AD1535" s="22">
        <f>Constants!$H67*'Activity data'!AW9*Constants!$H85*EF!$H210*MMVolatEF*NtoN2O*kgtoGg</f>
        <v>4.0926958476252988E-2</v>
      </c>
      <c r="AE1535" s="22">
        <f>Constants!$H67*'Activity data'!AX9*Constants!$H85*EF!$H210*MMVolatEF*NtoN2O*kgtoGg</f>
        <v>4.0135572017269229E-2</v>
      </c>
      <c r="AF1535" s="22">
        <f>Constants!$H67*'Activity data'!AY9*Constants!$H85*EF!$H210*MMVolatEF*NtoN2O*kgtoGg</f>
        <v>3.9279614902474849E-2</v>
      </c>
      <c r="AG1535" s="22">
        <f>Constants!$H67*'Activity data'!AZ9*Constants!$H85*EF!$H210*MMVolatEF*NtoN2O*kgtoGg</f>
        <v>3.8363047034758228E-2</v>
      </c>
      <c r="AH1535" s="22">
        <f>Constants!$H67*'Activity data'!BA9*Constants!$H85*EF!$H210*MMVolatEF*NtoN2O*kgtoGg</f>
        <v>3.7390084068641902E-2</v>
      </c>
      <c r="AI1535" s="22">
        <f>Constants!$H67*'Activity data'!BB9*Constants!$H85*EF!$H210*MMVolatEF*NtoN2O*kgtoGg</f>
        <v>3.6365215072537933E-2</v>
      </c>
      <c r="AJ1535" s="22">
        <f>Constants!$H67*'Activity data'!BC9*Constants!$H85*EF!$H210*MMVolatEF*NtoN2O*kgtoGg</f>
        <v>-2.8078743656501674E-3</v>
      </c>
      <c r="AK1535" s="22">
        <f>Constants!$H67*'Activity data'!BD9*Constants!$H85*EF!$H210*MMVolatEF*NtoN2O*kgtoGg</f>
        <v>-2.7402688650785463E-3</v>
      </c>
      <c r="AL1535" s="22">
        <f>Constants!$H67*'Activity data'!BE9*Constants!$H85*EF!$H210*MMVolatEF*NtoN2O*kgtoGg</f>
        <v>-2.6733667652400826E-3</v>
      </c>
      <c r="AM1535" s="22">
        <f>Constants!$H67*'Activity data'!BF9*Constants!$H85*EF!$H210*MMVolatEF*NtoN2O*kgtoGg</f>
        <v>-2.6071611563818981E-3</v>
      </c>
      <c r="AN1535" s="22">
        <f>Constants!$H67*'Activity data'!BG9*Constants!$H85*EF!$H210*MMVolatEF*NtoN2O*kgtoGg</f>
        <v>-2.554615513389502E-3</v>
      </c>
      <c r="AO1535" s="22">
        <f>Constants!$H67*'Activity data'!BH9*Constants!$H85*EF!$H210*MMVolatEF*NtoN2O*kgtoGg</f>
        <v>-2.5025683232901678E-3</v>
      </c>
      <c r="AP1535" s="22">
        <f>Constants!$H67*'Activity data'!BI9*Constants!$H85*EF!$H210*MMVolatEF*NtoN2O*kgtoGg</f>
        <v>-2.4509808748434249E-3</v>
      </c>
      <c r="AQ1535" s="22">
        <f>Constants!$H67*'Activity data'!BJ9*Constants!$H85*EF!$H210*MMVolatEF*NtoN2O*kgtoGg</f>
        <v>-2.3998403895130306E-3</v>
      </c>
      <c r="AR1535" s="22">
        <f>Constants!$H67*'Activity data'!BK9*Constants!$H85*EF!$H210*MMVolatEF*NtoN2O*kgtoGg</f>
        <v>-2.3491094784762676E-3</v>
      </c>
      <c r="AS1535" s="22">
        <f>Constants!$H67*'Activity data'!BL9*Constants!$H85*EF!$H210*MMVolatEF*NtoN2O*kgtoGg</f>
        <v>-2.2987515268753948E-3</v>
      </c>
      <c r="AT1535" s="22">
        <f>Constants!$H67*'Activity data'!BM9*Constants!$H85*EF!$H210*MMVolatEF*NtoN2O*kgtoGg</f>
        <v>-2.2487606541498821E-3</v>
      </c>
      <c r="AU1535" s="22">
        <f>Constants!$H67*'Activity data'!BN9*Constants!$H85*EF!$H210*MMVolatEF*NtoN2O*kgtoGg</f>
        <v>-2.1991399488000989E-3</v>
      </c>
      <c r="AV1535" s="22">
        <f>Constants!$H67*'Activity data'!BO9*Constants!$H85*EF!$H210*MMVolatEF*NtoN2O*kgtoGg</f>
        <v>-2.1498913054580166E-3</v>
      </c>
      <c r="AW1535" s="22">
        <f>Constants!$H67*'Activity data'!BP9*Constants!$H85*EF!$H210*MMVolatEF*NtoN2O*kgtoGg</f>
        <v>-2.1009864375963051E-3</v>
      </c>
    </row>
    <row r="1536" spans="1:49" x14ac:dyDescent="0.25">
      <c r="A1536" s="95" t="s">
        <v>960</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0.16370016056893644</v>
      </c>
      <c r="M1536" s="22">
        <f>Constants!$H68*'Activity data'!AF10*Constants!$H86*EF!$H211*MMVolatEF*NtoN2O*kgtoGg</f>
        <v>0.17003774892948584</v>
      </c>
      <c r="N1536" s="22">
        <f>Constants!$H68*'Activity data'!AG10*Constants!$H86*EF!$H211*MMVolatEF*NtoN2O*kgtoGg</f>
        <v>0.17476418316081979</v>
      </c>
      <c r="O1536" s="22">
        <f>Constants!$H68*'Activity data'!AH10*Constants!$H86*EF!$H211*MMVolatEF*NtoN2O*kgtoGg</f>
        <v>0.1784091501709566</v>
      </c>
      <c r="P1536" s="22">
        <f>Constants!$H68*'Activity data'!AI10*Constants!$H86*EF!$H211*MMVolatEF*NtoN2O*kgtoGg</f>
        <v>0.18092055691117109</v>
      </c>
      <c r="Q1536" s="22">
        <f>Constants!$H68*'Activity data'!AJ10*Constants!$H86*EF!$H211*MMVolatEF*NtoN2O*kgtoGg</f>
        <v>0.18434967364231722</v>
      </c>
      <c r="R1536" s="22">
        <f>Constants!$H68*'Activity data'!AK10*Constants!$H86*EF!$H211*MMVolatEF*NtoN2O*kgtoGg</f>
        <v>0.18794438918293385</v>
      </c>
      <c r="S1536" s="22">
        <f>Constants!$H68*'Activity data'!AL10*Constants!$H86*EF!$H211*MMVolatEF*NtoN2O*kgtoGg</f>
        <v>0.17487533171838066</v>
      </c>
      <c r="T1536" s="22">
        <f>Constants!$H68*'Activity data'!AM10*Constants!$H86*EF!$H211*MMVolatEF*NtoN2O*kgtoGg</f>
        <v>0.18598828710895501</v>
      </c>
      <c r="U1536" s="22">
        <f>Constants!$H68*'Activity data'!AN10*Constants!$H86*EF!$H211*MMVolatEF*NtoN2O*kgtoGg</f>
        <v>0.60010716171461598</v>
      </c>
      <c r="V1536" s="22">
        <f>Constants!$H68*'Activity data'!AO10*Constants!$H86*EF!$H211*MMVolatEF*NtoN2O*kgtoGg</f>
        <v>0.61714803501653059</v>
      </c>
      <c r="W1536" s="22">
        <f>Constants!$H68*'Activity data'!AP10*Constants!$H86*EF!$H211*MMVolatEF*NtoN2O*kgtoGg</f>
        <v>0.63339573291461304</v>
      </c>
      <c r="X1536" s="22">
        <f>Constants!$H68*'Activity data'!AQ10*Constants!$H86*EF!$H211*MMVolatEF*NtoN2O*kgtoGg</f>
        <v>0.64878782379484634</v>
      </c>
      <c r="Y1536" s="22">
        <f>Constants!$H68*'Activity data'!AR10*Constants!$H86*EF!$H211*MMVolatEF*NtoN2O*kgtoGg</f>
        <v>0.6632790614565599</v>
      </c>
      <c r="Z1536" s="22">
        <f>Constants!$H68*'Activity data'!AS10*Constants!$H86*EF!$H211*MMVolatEF*NtoN2O*kgtoGg</f>
        <v>0.67679301375274348</v>
      </c>
      <c r="AA1536" s="22">
        <f>Constants!$H68*'Activity data'!AT10*Constants!$H86*EF!$H211*MMVolatEF*NtoN2O*kgtoGg</f>
        <v>0.68925834109941053</v>
      </c>
      <c r="AB1536" s="22">
        <f>Constants!$H68*'Activity data'!AU10*Constants!$H86*EF!$H211*MMVolatEF*NtoN2O*kgtoGg</f>
        <v>0.70060688133816351</v>
      </c>
      <c r="AC1536" s="22">
        <f>Constants!$H68*'Activity data'!AV10*Constants!$H86*EF!$H211*MMVolatEF*NtoN2O*kgtoGg</f>
        <v>0.71077490529773002</v>
      </c>
      <c r="AD1536" s="22">
        <f>Constants!$H68*'Activity data'!AW10*Constants!$H86*EF!$H211*MMVolatEF*NtoN2O*kgtoGg</f>
        <v>0.72159413752844115</v>
      </c>
      <c r="AE1536" s="22">
        <f>Constants!$H68*'Activity data'!AX10*Constants!$H86*EF!$H211*MMVolatEF*NtoN2O*kgtoGg</f>
        <v>0.73115327204335434</v>
      </c>
      <c r="AF1536" s="22">
        <f>Constants!$H68*'Activity data'!AY10*Constants!$H86*EF!$H211*MMVolatEF*NtoN2O*kgtoGg</f>
        <v>0.7393963545283444</v>
      </c>
      <c r="AG1536" s="22">
        <f>Constants!$H68*'Activity data'!AZ10*Constants!$H86*EF!$H211*MMVolatEF*NtoN2O*kgtoGg</f>
        <v>0.74627481362949688</v>
      </c>
      <c r="AH1536" s="22">
        <f>Constants!$H68*'Activity data'!BA10*Constants!$H86*EF!$H211*MMVolatEF*NtoN2O*kgtoGg</f>
        <v>0.75174577116771069</v>
      </c>
      <c r="AI1536" s="22">
        <f>Constants!$H68*'Activity data'!BB10*Constants!$H86*EF!$H211*MMVolatEF*NtoN2O*kgtoGg</f>
        <v>0.75577335036803739</v>
      </c>
      <c r="AJ1536" s="22">
        <f>Constants!$H68*'Activity data'!BC10*Constants!$H86*EF!$H211*MMVolatEF*NtoN2O*kgtoGg</f>
        <v>-6.0331583230930269E-2</v>
      </c>
      <c r="AK1536" s="22">
        <f>Constants!$H68*'Activity data'!BD10*Constants!$H86*EF!$H211*MMVolatEF*NtoN2O*kgtoGg</f>
        <v>-6.0883763489548361E-2</v>
      </c>
      <c r="AL1536" s="22">
        <f>Constants!$H68*'Activity data'!BE10*Constants!$H86*EF!$H211*MMVolatEF*NtoN2O*kgtoGg</f>
        <v>-6.1432292472249253E-2</v>
      </c>
      <c r="AM1536" s="22">
        <f>Constants!$H68*'Activity data'!BF10*Constants!$H86*EF!$H211*MMVolatEF*NtoN2O*kgtoGg</f>
        <v>-6.1977443387012172E-2</v>
      </c>
      <c r="AN1536" s="22">
        <f>Constants!$H68*'Activity data'!BG10*Constants!$H86*EF!$H211*MMVolatEF*NtoN2O*kgtoGg</f>
        <v>-6.2441792261108069E-2</v>
      </c>
      <c r="AO1536" s="22">
        <f>Constants!$H68*'Activity data'!BH10*Constants!$H86*EF!$H211*MMVolatEF*NtoN2O*kgtoGg</f>
        <v>-6.2901498019431304E-2</v>
      </c>
      <c r="AP1536" s="22">
        <f>Constants!$H68*'Activity data'!BI10*Constants!$H86*EF!$H211*MMVolatEF*NtoN2O*kgtoGg</f>
        <v>-6.3355857064212845E-2</v>
      </c>
      <c r="AQ1536" s="22">
        <f>Constants!$H68*'Activity data'!BJ10*Constants!$H86*EF!$H211*MMVolatEF*NtoN2O*kgtoGg</f>
        <v>-6.3804744436236446E-2</v>
      </c>
      <c r="AR1536" s="22">
        <f>Constants!$H68*'Activity data'!BK10*Constants!$H86*EF!$H211*MMVolatEF*NtoN2O*kgtoGg</f>
        <v>-6.4247322567233908E-2</v>
      </c>
      <c r="AS1536" s="22">
        <f>Constants!$H68*'Activity data'!BL10*Constants!$H86*EF!$H211*MMVolatEF*NtoN2O*kgtoGg</f>
        <v>-6.4682656506044156E-2</v>
      </c>
      <c r="AT1536" s="22">
        <f>Constants!$H68*'Activity data'!BM10*Constants!$H86*EF!$H211*MMVolatEF*NtoN2O*kgtoGg</f>
        <v>-6.5110575477313207E-2</v>
      </c>
      <c r="AU1536" s="22">
        <f>Constants!$H68*'Activity data'!BN10*Constants!$H86*EF!$H211*MMVolatEF*NtoN2O*kgtoGg</f>
        <v>-6.5531144171927541E-2</v>
      </c>
      <c r="AV1536" s="22">
        <f>Constants!$H68*'Activity data'!BO10*Constants!$H86*EF!$H211*MMVolatEF*NtoN2O*kgtoGg</f>
        <v>-6.5944388466371143E-2</v>
      </c>
      <c r="AW1536" s="22">
        <f>Constants!$H68*'Activity data'!BP10*Constants!$H86*EF!$H211*MMVolatEF*NtoN2O*kgtoGg</f>
        <v>-6.6349375385408998E-2</v>
      </c>
    </row>
    <row r="1537" spans="1:49" x14ac:dyDescent="0.25">
      <c r="A1537" s="95" t="s">
        <v>960</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1.188899025036581E-4</v>
      </c>
      <c r="T1537" s="22">
        <f>Constants!$H69*'Activity data'!AM11*Constants!$H87*EF!$H212*MMVolatEF*NtoN2O*kgtoGg</f>
        <v>1.189690287837306E-4</v>
      </c>
      <c r="U1537" s="22">
        <f>Constants!$H69*'Activity data'!AN11*Constants!$H87*EF!$H212*MMVolatEF*NtoN2O*kgtoGg</f>
        <v>1.205186108228768E-4</v>
      </c>
      <c r="V1537" s="22">
        <f>Constants!$H69*'Activity data'!AO11*Constants!$H87*EF!$H212*MMVolatEF*NtoN2O*kgtoGg</f>
        <v>1.2055641166730559E-4</v>
      </c>
      <c r="W1537" s="22">
        <f>Constants!$H69*'Activity data'!AP11*Constants!$H87*EF!$H212*MMVolatEF*NtoN2O*kgtoGg</f>
        <v>1.2071810381709918E-4</v>
      </c>
      <c r="X1537" s="22">
        <f>Constants!$H69*'Activity data'!AQ11*Constants!$H87*EF!$H212*MMVolatEF*NtoN2O*kgtoGg</f>
        <v>1.2095183374420191E-4</v>
      </c>
      <c r="Y1537" s="22">
        <f>Constants!$H69*'Activity data'!AR11*Constants!$H87*EF!$H212*MMVolatEF*NtoN2O*kgtoGg</f>
        <v>1.2116896083678348E-4</v>
      </c>
      <c r="Z1537" s="22">
        <f>Constants!$H69*'Activity data'!AS11*Constants!$H87*EF!$H212*MMVolatEF*NtoN2O*kgtoGg</f>
        <v>1.2137217342001694E-4</v>
      </c>
      <c r="AA1537" s="22">
        <f>Constants!$H69*'Activity data'!AT11*Constants!$H87*EF!$H212*MMVolatEF*NtoN2O*kgtoGg</f>
        <v>1.2156038787143942E-4</v>
      </c>
      <c r="AB1537" s="22">
        <f>Constants!$H69*'Activity data'!AU11*Constants!$H87*EF!$H212*MMVolatEF*NtoN2O*kgtoGg</f>
        <v>1.2173530001872475E-4</v>
      </c>
      <c r="AC1537" s="22">
        <f>Constants!$H69*'Activity data'!AV11*Constants!$H87*EF!$H212*MMVolatEF*NtoN2O*kgtoGg</f>
        <v>1.2189956310100272E-4</v>
      </c>
      <c r="AD1537" s="22">
        <f>Constants!$H69*'Activity data'!AW11*Constants!$H87*EF!$H212*MMVolatEF*NtoN2O*kgtoGg</f>
        <v>1.2205302234453671E-4</v>
      </c>
      <c r="AE1537" s="22">
        <f>Constants!$H69*'Activity data'!AX11*Constants!$H87*EF!$H212*MMVolatEF*NtoN2O*kgtoGg</f>
        <v>1.2219813225383718E-4</v>
      </c>
      <c r="AF1537" s="22">
        <f>Constants!$H69*'Activity data'!AY11*Constants!$H87*EF!$H212*MMVolatEF*NtoN2O*kgtoGg</f>
        <v>1.2233524409037175E-4</v>
      </c>
      <c r="AG1537" s="22">
        <f>Constants!$H69*'Activity data'!AZ11*Constants!$H87*EF!$H212*MMVolatEF*NtoN2O*kgtoGg</f>
        <v>1.2246247857835598E-4</v>
      </c>
      <c r="AH1537" s="22">
        <f>Constants!$H69*'Activity data'!BA11*Constants!$H87*EF!$H212*MMVolatEF*NtoN2O*kgtoGg</f>
        <v>1.2258099962950754E-4</v>
      </c>
      <c r="AI1537" s="22">
        <f>Constants!$H69*'Activity data'!BB11*Constants!$H87*EF!$H212*MMVolatEF*NtoN2O*kgtoGg</f>
        <v>1.226926980528978E-4</v>
      </c>
      <c r="AJ1537" s="22">
        <f>Constants!$H69*'Activity data'!BC11*Constants!$H87*EF!$H212*MMVolatEF*NtoN2O*kgtoGg</f>
        <v>1.2000006421083369E-4</v>
      </c>
      <c r="AK1537" s="22">
        <f>Constants!$H69*'Activity data'!BD11*Constants!$H87*EF!$H212*MMVolatEF*NtoN2O*kgtoGg</f>
        <v>1.2011041514130369E-4</v>
      </c>
      <c r="AL1537" s="22">
        <f>Constants!$H69*'Activity data'!BE11*Constants!$H87*EF!$H212*MMVolatEF*NtoN2O*kgtoGg</f>
        <v>1.2021334415571778E-4</v>
      </c>
      <c r="AM1537" s="22">
        <f>Constants!$H69*'Activity data'!BF11*Constants!$H87*EF!$H212*MMVolatEF*NtoN2O*kgtoGg</f>
        <v>1.2030948030331916E-4</v>
      </c>
      <c r="AN1537" s="22">
        <f>Constants!$H69*'Activity data'!BG11*Constants!$H87*EF!$H212*MMVolatEF*NtoN2O*kgtoGg</f>
        <v>1.2039958826810335E-4</v>
      </c>
      <c r="AO1537" s="22">
        <f>Constants!$H69*'Activity data'!BH11*Constants!$H87*EF!$H212*MMVolatEF*NtoN2O*kgtoGg</f>
        <v>1.2048129784431056E-4</v>
      </c>
      <c r="AP1537" s="22">
        <f>Constants!$H69*'Activity data'!BI11*Constants!$H87*EF!$H212*MMVolatEF*NtoN2O*kgtoGg</f>
        <v>1.2055302618273209E-4</v>
      </c>
      <c r="AQ1537" s="22">
        <f>Constants!$H69*'Activity data'!BJ11*Constants!$H87*EF!$H212*MMVolatEF*NtoN2O*kgtoGg</f>
        <v>1.2061454144456668E-4</v>
      </c>
      <c r="AR1537" s="22">
        <f>Constants!$H69*'Activity data'!BK11*Constants!$H87*EF!$H212*MMVolatEF*NtoN2O*kgtoGg</f>
        <v>1.2066404237348151E-4</v>
      </c>
      <c r="AS1537" s="22">
        <f>Constants!$H69*'Activity data'!BL11*Constants!$H87*EF!$H212*MMVolatEF*NtoN2O*kgtoGg</f>
        <v>1.206995710531147E-4</v>
      </c>
      <c r="AT1537" s="22">
        <f>Constants!$H69*'Activity data'!BM11*Constants!$H87*EF!$H212*MMVolatEF*NtoN2O*kgtoGg</f>
        <v>1.2072090668873017E-4</v>
      </c>
      <c r="AU1537" s="22">
        <f>Constants!$H69*'Activity data'!BN11*Constants!$H87*EF!$H212*MMVolatEF*NtoN2O*kgtoGg</f>
        <v>1.2072835361242823E-4</v>
      </c>
      <c r="AV1537" s="22">
        <f>Constants!$H69*'Activity data'!BO11*Constants!$H87*EF!$H212*MMVolatEF*NtoN2O*kgtoGg</f>
        <v>1.2072212964886386E-4</v>
      </c>
      <c r="AW1537" s="22">
        <f>Constants!$H69*'Activity data'!BP11*Constants!$H87*EF!$H212*MMVolatEF*NtoN2O*kgtoGg</f>
        <v>1.2070039195556491E-4</v>
      </c>
    </row>
    <row r="1538" spans="1:49" x14ac:dyDescent="0.25">
      <c r="A1538" s="95" t="s">
        <v>960</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8.1588376197320827E-4</v>
      </c>
      <c r="T1538" s="22">
        <f>Constants!$H70*'Activity data'!AM12*Constants!$H88*EF!$H213*MMVolatEF*NtoN2O*kgtoGg</f>
        <v>8.1642676727220354E-4</v>
      </c>
      <c r="U1538" s="22">
        <f>Constants!$H70*'Activity data'!AN12*Constants!$H88*EF!$H213*MMVolatEF*NtoN2O*kgtoGg</f>
        <v>8.2706079755535391E-4</v>
      </c>
      <c r="V1538" s="22">
        <f>Constants!$H70*'Activity data'!AO12*Constants!$H88*EF!$H213*MMVolatEF*NtoN2O*kgtoGg</f>
        <v>8.2732020642447472E-4</v>
      </c>
      <c r="W1538" s="22">
        <f>Constants!$H70*'Activity data'!AP12*Constants!$H88*EF!$H213*MMVolatEF*NtoN2O*kgtoGg</f>
        <v>8.2842982125867857E-4</v>
      </c>
      <c r="X1538" s="22">
        <f>Constants!$H70*'Activity data'!AQ12*Constants!$H88*EF!$H213*MMVolatEF*NtoN2O*kgtoGg</f>
        <v>8.3003379643398353E-4</v>
      </c>
      <c r="Y1538" s="22">
        <f>Constants!$H70*'Activity data'!AR12*Constants!$H88*EF!$H213*MMVolatEF*NtoN2O*kgtoGg</f>
        <v>8.3152383440517541E-4</v>
      </c>
      <c r="Z1538" s="22">
        <f>Constants!$H70*'Activity data'!AS12*Constants!$H88*EF!$H213*MMVolatEF*NtoN2O*kgtoGg</f>
        <v>8.3291838384459249E-4</v>
      </c>
      <c r="AA1538" s="22">
        <f>Constants!$H70*'Activity data'!AT12*Constants!$H88*EF!$H213*MMVolatEF*NtoN2O*kgtoGg</f>
        <v>8.342100083766216E-4</v>
      </c>
      <c r="AB1538" s="22">
        <f>Constants!$H70*'Activity data'!AU12*Constants!$H88*EF!$H213*MMVolatEF*NtoN2O*kgtoGg</f>
        <v>8.3541034564443633E-4</v>
      </c>
      <c r="AC1538" s="22">
        <f>Constants!$H70*'Activity data'!AV12*Constants!$H88*EF!$H213*MMVolatEF*NtoN2O*kgtoGg</f>
        <v>8.3653760354186898E-4</v>
      </c>
      <c r="AD1538" s="22">
        <f>Constants!$H70*'Activity data'!AW12*Constants!$H88*EF!$H213*MMVolatEF*NtoN2O*kgtoGg</f>
        <v>8.3759071993180138E-4</v>
      </c>
      <c r="AE1538" s="22">
        <f>Constants!$H70*'Activity data'!AX12*Constants!$H88*EF!$H213*MMVolatEF*NtoN2O*kgtoGg</f>
        <v>8.385865388887226E-4</v>
      </c>
      <c r="AF1538" s="22">
        <f>Constants!$H70*'Activity data'!AY12*Constants!$H88*EF!$H213*MMVolatEF*NtoN2O*kgtoGg</f>
        <v>8.3952747094978998E-4</v>
      </c>
      <c r="AG1538" s="22">
        <f>Constants!$H70*'Activity data'!AZ12*Constants!$H88*EF!$H213*MMVolatEF*NtoN2O*kgtoGg</f>
        <v>8.404006195563853E-4</v>
      </c>
      <c r="AH1538" s="22">
        <f>Constants!$H70*'Activity data'!BA12*Constants!$H88*EF!$H213*MMVolatEF*NtoN2O*kgtoGg</f>
        <v>8.4121397207035167E-4</v>
      </c>
      <c r="AI1538" s="22">
        <f>Constants!$H70*'Activity data'!BB12*Constants!$H88*EF!$H213*MMVolatEF*NtoN2O*kgtoGg</f>
        <v>8.4198050419766407E-4</v>
      </c>
      <c r="AJ1538" s="22">
        <f>Constants!$H70*'Activity data'!BC12*Constants!$H88*EF!$H213*MMVolatEF*NtoN2O*kgtoGg</f>
        <v>8.2350226355303057E-4</v>
      </c>
      <c r="AK1538" s="22">
        <f>Constants!$H70*'Activity data'!BD12*Constants!$H88*EF!$H213*MMVolatEF*NtoN2O*kgtoGg</f>
        <v>8.2425954848970833E-4</v>
      </c>
      <c r="AL1538" s="22">
        <f>Constants!$H70*'Activity data'!BE12*Constants!$H88*EF!$H213*MMVolatEF*NtoN2O*kgtoGg</f>
        <v>8.2496590041470697E-4</v>
      </c>
      <c r="AM1538" s="22">
        <f>Constants!$H70*'Activity data'!BF12*Constants!$H88*EF!$H213*MMVolatEF*NtoN2O*kgtoGg</f>
        <v>8.256256361880137E-4</v>
      </c>
      <c r="AN1538" s="22">
        <f>Constants!$H70*'Activity data'!BG12*Constants!$H88*EF!$H213*MMVolatEF*NtoN2O*kgtoGg</f>
        <v>8.2624400346516431E-4</v>
      </c>
      <c r="AO1538" s="22">
        <f>Constants!$H70*'Activity data'!BH12*Constants!$H88*EF!$H213*MMVolatEF*NtoN2O*kgtoGg</f>
        <v>8.2680473667312636E-4</v>
      </c>
      <c r="AP1538" s="22">
        <f>Constants!$H70*'Activity data'!BI12*Constants!$H88*EF!$H213*MMVolatEF*NtoN2O*kgtoGg</f>
        <v>8.2729697348516047E-4</v>
      </c>
      <c r="AQ1538" s="22">
        <f>Constants!$H70*'Activity data'!BJ12*Constants!$H88*EF!$H213*MMVolatEF*NtoN2O*kgtoGg</f>
        <v>8.2771912290397116E-4</v>
      </c>
      <c r="AR1538" s="22">
        <f>Constants!$H70*'Activity data'!BK12*Constants!$H88*EF!$H213*MMVolatEF*NtoN2O*kgtoGg</f>
        <v>8.2805882378061209E-4</v>
      </c>
      <c r="AS1538" s="22">
        <f>Constants!$H70*'Activity data'!BL12*Constants!$H88*EF!$H213*MMVolatEF*NtoN2O*kgtoGg</f>
        <v>8.2830263988430608E-4</v>
      </c>
      <c r="AT1538" s="22">
        <f>Constants!$H70*'Activity data'!BM12*Constants!$H88*EF!$H213*MMVolatEF*NtoN2O*kgtoGg</f>
        <v>8.2844905600782401E-4</v>
      </c>
      <c r="AU1538" s="22">
        <f>Constants!$H70*'Activity data'!BN12*Constants!$H88*EF!$H213*MMVolatEF*NtoN2O*kgtoGg</f>
        <v>8.2850016063482762E-4</v>
      </c>
      <c r="AV1538" s="22">
        <f>Constants!$H70*'Activity data'!BO12*Constants!$H88*EF!$H213*MMVolatEF*NtoN2O*kgtoGg</f>
        <v>8.2845744859031962E-4</v>
      </c>
      <c r="AW1538" s="22">
        <f>Constants!$H70*'Activity data'!BP12*Constants!$H88*EF!$H213*MMVolatEF*NtoN2O*kgtoGg</f>
        <v>8.2830827333984093E-4</v>
      </c>
    </row>
    <row r="1539" spans="1:49" x14ac:dyDescent="0.25">
      <c r="A1539" s="95" t="s">
        <v>960</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1.4486129996083085E-5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1.489070601115726E-5</v>
      </c>
      <c r="R1539" s="22">
        <f>Constants!$H71*'Activity data'!AK13*Constants!$H89*EF!$H214*MMVolatEF*NtoN2O*kgtoGg</f>
        <v>1.4988675221399694E-5</v>
      </c>
      <c r="S1539" s="22">
        <f>Constants!$H71*'Activity data'!AL13*Constants!$H89*EF!$H214*MMVolatEF*NtoN2O*kgtoGg</f>
        <v>1.4952125307683929E-5</v>
      </c>
      <c r="T1539" s="22">
        <f>Constants!$H71*'Activity data'!AM13*Constants!$H89*EF!$H214*MMVolatEF*NtoN2O*kgtoGg</f>
        <v>1.497659485650934E-5</v>
      </c>
      <c r="U1539" s="22">
        <f>Constants!$H71*'Activity data'!AN13*Constants!$H89*EF!$H214*MMVolatEF*NtoN2O*kgtoGg</f>
        <v>1.5280249217669806E-5</v>
      </c>
      <c r="V1539" s="22">
        <f>Constants!$H71*'Activity data'!AO13*Constants!$H89*EF!$H214*MMVolatEF*NtoN2O*kgtoGg</f>
        <v>1.5293967954982136E-5</v>
      </c>
      <c r="W1539" s="22">
        <f>Constants!$H71*'Activity data'!AP13*Constants!$H89*EF!$H214*MMVolatEF*NtoN2O*kgtoGg</f>
        <v>1.5330288500558316E-5</v>
      </c>
      <c r="X1539" s="22">
        <f>Constants!$H71*'Activity data'!AQ13*Constants!$H89*EF!$H214*MMVolatEF*NtoN2O*kgtoGg</f>
        <v>1.5379307775042966E-5</v>
      </c>
      <c r="Y1539" s="22">
        <f>Constants!$H71*'Activity data'!AR13*Constants!$H89*EF!$H214*MMVolatEF*NtoN2O*kgtoGg</f>
        <v>1.5424265287422665E-5</v>
      </c>
      <c r="Z1539" s="22">
        <f>Constants!$H71*'Activity data'!AS13*Constants!$H89*EF!$H214*MMVolatEF*NtoN2O*kgtoGg</f>
        <v>1.5465755297522265E-5</v>
      </c>
      <c r="AA1539" s="22">
        <f>Constants!$H71*'Activity data'!AT13*Constants!$H89*EF!$H214*MMVolatEF*NtoN2O*kgtoGg</f>
        <v>1.5503650543984476E-5</v>
      </c>
      <c r="AB1539" s="22">
        <f>Constants!$H71*'Activity data'!AU13*Constants!$H89*EF!$H214*MMVolatEF*NtoN2O*kgtoGg</f>
        <v>1.5538340165319424E-5</v>
      </c>
      <c r="AC1539" s="22">
        <f>Constants!$H71*'Activity data'!AV13*Constants!$H89*EF!$H214*MMVolatEF*NtoN2O*kgtoGg</f>
        <v>1.5570383853796525E-5</v>
      </c>
      <c r="AD1539" s="22">
        <f>Constants!$H71*'Activity data'!AW13*Constants!$H89*EF!$H214*MMVolatEF*NtoN2O*kgtoGg</f>
        <v>1.5599807426957594E-5</v>
      </c>
      <c r="AE1539" s="22">
        <f>Constants!$H71*'Activity data'!AX13*Constants!$H89*EF!$H214*MMVolatEF*NtoN2O*kgtoGg</f>
        <v>1.5627118939580073E-5</v>
      </c>
      <c r="AF1539" s="22">
        <f>Constants!$H71*'Activity data'!AY13*Constants!$H89*EF!$H214*MMVolatEF*NtoN2O*kgtoGg</f>
        <v>1.5652427506297688E-5</v>
      </c>
      <c r="AG1539" s="22">
        <f>Constants!$H71*'Activity data'!AZ13*Constants!$H89*EF!$H214*MMVolatEF*NtoN2O*kgtoGg</f>
        <v>1.56754241207766E-5</v>
      </c>
      <c r="AH1539" s="22">
        <f>Constants!$H71*'Activity data'!BA13*Constants!$H89*EF!$H214*MMVolatEF*NtoN2O*kgtoGg</f>
        <v>1.5696363462061687E-5</v>
      </c>
      <c r="AI1539" s="22">
        <f>Constants!$H71*'Activity data'!BB13*Constants!$H89*EF!$H214*MMVolatEF*NtoN2O*kgtoGg</f>
        <v>1.5715630256505464E-5</v>
      </c>
      <c r="AJ1539" s="22">
        <f>Constants!$H71*'Activity data'!BC13*Constants!$H89*EF!$H214*MMVolatEF*NtoN2O*kgtoGg</f>
        <v>1.5216731234132435E-5</v>
      </c>
      <c r="AK1539" s="22">
        <f>Constants!$H71*'Activity data'!BD13*Constants!$H89*EF!$H214*MMVolatEF*NtoN2O*kgtoGg</f>
        <v>1.5235961154748287E-5</v>
      </c>
      <c r="AL1539" s="22">
        <f>Constants!$H71*'Activity data'!BE13*Constants!$H89*EF!$H214*MMVolatEF*NtoN2O*kgtoGg</f>
        <v>1.525346973608994E-5</v>
      </c>
      <c r="AM1539" s="22">
        <f>Constants!$H71*'Activity data'!BF13*Constants!$H89*EF!$H214*MMVolatEF*NtoN2O*kgtoGg</f>
        <v>1.5269398678749372E-5</v>
      </c>
      <c r="AN1539" s="22">
        <f>Constants!$H71*'Activity data'!BG13*Constants!$H89*EF!$H214*MMVolatEF*NtoN2O*kgtoGg</f>
        <v>1.528391208207959E-5</v>
      </c>
      <c r="AO1539" s="22">
        <f>Constants!$H71*'Activity data'!BH13*Constants!$H89*EF!$H214*MMVolatEF*NtoN2O*kgtoGg</f>
        <v>1.5296597939016457E-5</v>
      </c>
      <c r="AP1539" s="22">
        <f>Constants!$H71*'Activity data'!BI13*Constants!$H89*EF!$H214*MMVolatEF*NtoN2O*kgtoGg</f>
        <v>1.5307189728189323E-5</v>
      </c>
      <c r="AQ1539" s="22">
        <f>Constants!$H71*'Activity data'!BJ13*Constants!$H89*EF!$H214*MMVolatEF*NtoN2O*kgtoGg</f>
        <v>1.5315667991874673E-5</v>
      </c>
      <c r="AR1539" s="22">
        <f>Constants!$H71*'Activity data'!BK13*Constants!$H89*EF!$H214*MMVolatEF*NtoN2O*kgtoGg</f>
        <v>1.5321726619352006E-5</v>
      </c>
      <c r="AS1539" s="22">
        <f>Constants!$H71*'Activity data'!BL13*Constants!$H89*EF!$H214*MMVolatEF*NtoN2O*kgtoGg</f>
        <v>1.5325032079315766E-5</v>
      </c>
      <c r="AT1539" s="22">
        <f>Constants!$H71*'Activity data'!BM13*Constants!$H89*EF!$H214*MMVolatEF*NtoN2O*kgtoGg</f>
        <v>1.5325567315367108E-5</v>
      </c>
      <c r="AU1539" s="22">
        <f>Constants!$H71*'Activity data'!BN13*Constants!$H89*EF!$H214*MMVolatEF*NtoN2O*kgtoGg</f>
        <v>1.532340963092266E-5</v>
      </c>
      <c r="AV1539" s="22">
        <f>Constants!$H71*'Activity data'!BO13*Constants!$H89*EF!$H214*MMVolatEF*NtoN2O*kgtoGg</f>
        <v>1.5318619367085747E-5</v>
      </c>
      <c r="AW1539" s="22">
        <f>Constants!$H71*'Activity data'!BP13*Constants!$H89*EF!$H214*MMVolatEF*NtoN2O*kgtoGg</f>
        <v>1.5310883587655619E-5</v>
      </c>
    </row>
    <row r="1540" spans="1:49" x14ac:dyDescent="0.25">
      <c r="A1540" s="95" t="s">
        <v>960</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1.4738364076719787E-3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1.5149984613639169E-3</v>
      </c>
      <c r="R1540" s="22">
        <f>Constants!$H72*'Activity data'!AK14*Constants!$H90*EF!$H215*MMVolatEF*NtoN2O*kgtoGg</f>
        <v>1.5249659674490626E-3</v>
      </c>
      <c r="S1540" s="22">
        <f>Constants!$H72*'Activity data'!AL14*Constants!$H90*EF!$H215*MMVolatEF*NtoN2O*kgtoGg</f>
        <v>1.5212473349677769E-3</v>
      </c>
      <c r="T1540" s="22">
        <f>Constants!$H72*'Activity data'!AM14*Constants!$H90*EF!$H215*MMVolatEF*NtoN2O*kgtoGg</f>
        <v>1.5237368964964909E-3</v>
      </c>
      <c r="U1540" s="22">
        <f>Constants!$H72*'Activity data'!AN14*Constants!$H90*EF!$H215*MMVolatEF*NtoN2O*kgtoGg</f>
        <v>1.5546310589089282E-3</v>
      </c>
      <c r="V1540" s="22">
        <f>Constants!$H72*'Activity data'!AO14*Constants!$H90*EF!$H215*MMVolatEF*NtoN2O*kgtoGg</f>
        <v>1.5560268198556864E-3</v>
      </c>
      <c r="W1540" s="22">
        <f>Constants!$H72*'Activity data'!AP14*Constants!$H90*EF!$H215*MMVolatEF*NtoN2O*kgtoGg</f>
        <v>1.5597221161446995E-3</v>
      </c>
      <c r="X1540" s="22">
        <f>Constants!$H72*'Activity data'!AQ14*Constants!$H90*EF!$H215*MMVolatEF*NtoN2O*kgtoGg</f>
        <v>1.5647093964902903E-3</v>
      </c>
      <c r="Y1540" s="22">
        <f>Constants!$H72*'Activity data'!AR14*Constants!$H90*EF!$H215*MMVolatEF*NtoN2O*kgtoGg</f>
        <v>1.5692834282407637E-3</v>
      </c>
      <c r="Z1540" s="22">
        <f>Constants!$H72*'Activity data'!AS14*Constants!$H90*EF!$H215*MMVolatEF*NtoN2O*kgtoGg</f>
        <v>1.5735046721103132E-3</v>
      </c>
      <c r="AA1540" s="22">
        <f>Constants!$H72*'Activity data'!AT14*Constants!$H90*EF!$H215*MMVolatEF*NtoN2O*kgtoGg</f>
        <v>1.5773601803743434E-3</v>
      </c>
      <c r="AB1540" s="22">
        <f>Constants!$H72*'Activity data'!AU14*Constants!$H90*EF!$H215*MMVolatEF*NtoN2O*kgtoGg</f>
        <v>1.5808895444560981E-3</v>
      </c>
      <c r="AC1540" s="22">
        <f>Constants!$H72*'Activity data'!AV14*Constants!$H90*EF!$H215*MMVolatEF*NtoN2O*kgtoGg</f>
        <v>1.5841497081248222E-3</v>
      </c>
      <c r="AD1540" s="22">
        <f>Constants!$H72*'Activity data'!AW14*Constants!$H90*EF!$H215*MMVolatEF*NtoN2O*kgtoGg</f>
        <v>1.5871432980884847E-3</v>
      </c>
      <c r="AE1540" s="22">
        <f>Constants!$H72*'Activity data'!AX14*Constants!$H90*EF!$H215*MMVolatEF*NtoN2O*kgtoGg</f>
        <v>1.5899220044553674E-3</v>
      </c>
      <c r="AF1540" s="22">
        <f>Constants!$H72*'Activity data'!AY14*Constants!$H90*EF!$H215*MMVolatEF*NtoN2O*kgtoGg</f>
        <v>1.5924969286804358E-3</v>
      </c>
      <c r="AG1540" s="22">
        <f>Constants!$H72*'Activity data'!AZ14*Constants!$H90*EF!$H215*MMVolatEF*NtoN2O*kgtoGg</f>
        <v>1.5948366320850983E-3</v>
      </c>
      <c r="AH1540" s="22">
        <f>Constants!$H72*'Activity data'!BA14*Constants!$H90*EF!$H215*MMVolatEF*NtoN2O*kgtoGg</f>
        <v>1.5969670260237814E-3</v>
      </c>
      <c r="AI1540" s="22">
        <f>Constants!$H72*'Activity data'!BB14*Constants!$H90*EF!$H215*MMVolatEF*NtoN2O*kgtoGg</f>
        <v>1.5989272530214718E-3</v>
      </c>
      <c r="AJ1540" s="22">
        <f>Constants!$H72*'Activity data'!BC14*Constants!$H90*EF!$H215*MMVolatEF*NtoN2O*kgtoGg</f>
        <v>1.54816866234721E-3</v>
      </c>
      <c r="AK1540" s="22">
        <f>Constants!$H72*'Activity data'!BD14*Constants!$H90*EF!$H215*MMVolatEF*NtoN2O*kgtoGg</f>
        <v>1.5501251377569953E-3</v>
      </c>
      <c r="AL1540" s="22">
        <f>Constants!$H72*'Activity data'!BE14*Constants!$H90*EF!$H215*MMVolatEF*NtoN2O*kgtoGg</f>
        <v>1.5519064820245804E-3</v>
      </c>
      <c r="AM1540" s="22">
        <f>Constants!$H72*'Activity data'!BF14*Constants!$H90*EF!$H215*MMVolatEF*NtoN2O*kgtoGg</f>
        <v>1.5535271119397841E-3</v>
      </c>
      <c r="AN1540" s="22">
        <f>Constants!$H72*'Activity data'!BG14*Constants!$H90*EF!$H215*MMVolatEF*NtoN2O*kgtoGg</f>
        <v>1.5550037231694973E-3</v>
      </c>
      <c r="AO1540" s="22">
        <f>Constants!$H72*'Activity data'!BH14*Constants!$H90*EF!$H215*MMVolatEF*NtoN2O*kgtoGg</f>
        <v>1.5562943976160978E-3</v>
      </c>
      <c r="AP1540" s="22">
        <f>Constants!$H72*'Activity data'!BI14*Constants!$H90*EF!$H215*MMVolatEF*NtoN2O*kgtoGg</f>
        <v>1.5573720190725925E-3</v>
      </c>
      <c r="AQ1540" s="22">
        <f>Constants!$H72*'Activity data'!BJ14*Constants!$H90*EF!$H215*MMVolatEF*NtoN2O*kgtoGg</f>
        <v>1.5582346078866301E-3</v>
      </c>
      <c r="AR1540" s="22">
        <f>Constants!$H72*'Activity data'!BK14*Constants!$H90*EF!$H215*MMVolatEF*NtoN2O*kgtoGg</f>
        <v>1.5588510199828238E-3</v>
      </c>
      <c r="AS1540" s="22">
        <f>Constants!$H72*'Activity data'!BL14*Constants!$H90*EF!$H215*MMVolatEF*NtoN2O*kgtoGg</f>
        <v>1.5591873214822584E-3</v>
      </c>
      <c r="AT1540" s="22">
        <f>Constants!$H72*'Activity data'!BM14*Constants!$H90*EF!$H215*MMVolatEF*NtoN2O*kgtoGg</f>
        <v>1.5592417770462618E-3</v>
      </c>
      <c r="AU1540" s="22">
        <f>Constants!$H72*'Activity data'!BN14*Constants!$H90*EF!$H215*MMVolatEF*NtoN2O*kgtoGg</f>
        <v>1.5590222516180525E-3</v>
      </c>
      <c r="AV1540" s="22">
        <f>Constants!$H72*'Activity data'!BO14*Constants!$H90*EF!$H215*MMVolatEF*NtoN2O*kgtoGg</f>
        <v>1.5585348843745505E-3</v>
      </c>
      <c r="AW1540" s="22">
        <f>Constants!$H72*'Activity data'!BP14*Constants!$H90*EF!$H215*MMVolatEF*NtoN2O*kgtoGg</f>
        <v>1.5577478368077457E-3</v>
      </c>
    </row>
    <row r="1541" spans="1:49" x14ac:dyDescent="0.25">
      <c r="A1541" s="95" t="s">
        <v>960</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95" t="s">
        <v>960</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95" t="s">
        <v>960</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0.13004550543955865</v>
      </c>
      <c r="M1543" s="22">
        <f>Constants!$H75*'Activity data'!AF17*Constants!$H93*EF!$H218*MMVolatEF*NtoN2O*kgtoGg</f>
        <v>0.13010384136507711</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0.1205683722616282</v>
      </c>
      <c r="S1543" s="22">
        <f>Constants!$H75*'Activity data'!AL17*Constants!$H93*EF!$H218*MMVolatEF*NtoN2O*kgtoGg</f>
        <v>0.10847829407061217</v>
      </c>
      <c r="T1543" s="22">
        <f>Constants!$H75*'Activity data'!AM17*Constants!$H93*EF!$H218*MMVolatEF*NtoN2O*kgtoGg</f>
        <v>0.1123518575177655</v>
      </c>
      <c r="U1543" s="22">
        <f>Constants!$H75*'Activity data'!AN17*Constants!$H93*EF!$H218*MMVolatEF*NtoN2O*kgtoGg</f>
        <v>0.35913477358816853</v>
      </c>
      <c r="V1543" s="22">
        <f>Constants!$H75*'Activity data'!AO17*Constants!$H93*EF!$H218*MMVolatEF*NtoN2O*kgtoGg</f>
        <v>0.36011925097262676</v>
      </c>
      <c r="W1543" s="22">
        <f>Constants!$H75*'Activity data'!AP17*Constants!$H93*EF!$H218*MMVolatEF*NtoN2O*kgtoGg</f>
        <v>0.36048284734734032</v>
      </c>
      <c r="X1543" s="22">
        <f>Constants!$H75*'Activity data'!AQ17*Constants!$H93*EF!$H218*MMVolatEF*NtoN2O*kgtoGg</f>
        <v>0.36024196834078215</v>
      </c>
      <c r="Y1543" s="22">
        <f>Constants!$H75*'Activity data'!AR17*Constants!$H93*EF!$H218*MMVolatEF*NtoN2O*kgtoGg</f>
        <v>0.35943295375101947</v>
      </c>
      <c r="Z1543" s="22">
        <f>Constants!$H75*'Activity data'!AS17*Constants!$H93*EF!$H218*MMVolatEF*NtoN2O*kgtoGg</f>
        <v>0.35804837226792258</v>
      </c>
      <c r="AA1543" s="22">
        <f>Constants!$H75*'Activity data'!AT17*Constants!$H93*EF!$H218*MMVolatEF*NtoN2O*kgtoGg</f>
        <v>0.35608623415272644</v>
      </c>
      <c r="AB1543" s="22">
        <f>Constants!$H75*'Activity data'!AU17*Constants!$H93*EF!$H218*MMVolatEF*NtoN2O*kgtoGg</f>
        <v>0.35354672339575033</v>
      </c>
      <c r="AC1543" s="22">
        <f>Constants!$H75*'Activity data'!AV17*Constants!$H93*EF!$H218*MMVolatEF*NtoN2O*kgtoGg</f>
        <v>0.350433097152205</v>
      </c>
      <c r="AD1543" s="22">
        <f>Constants!$H75*'Activity data'!AW17*Constants!$H93*EF!$H218*MMVolatEF*NtoN2O*kgtoGg</f>
        <v>0.34675336928081568</v>
      </c>
      <c r="AE1543" s="22">
        <f>Constants!$H75*'Activity data'!AX17*Constants!$H93*EF!$H218*MMVolatEF*NtoN2O*kgtoGg</f>
        <v>0.34251767477610762</v>
      </c>
      <c r="AF1543" s="22">
        <f>Constants!$H75*'Activity data'!AY17*Constants!$H93*EF!$H218*MMVolatEF*NtoN2O*kgtoGg</f>
        <v>0.33774033524299119</v>
      </c>
      <c r="AG1543" s="22">
        <f>Constants!$H75*'Activity data'!AZ17*Constants!$H93*EF!$H218*MMVolatEF*NtoN2O*kgtoGg</f>
        <v>0.33243970303339465</v>
      </c>
      <c r="AH1543" s="22">
        <f>Constants!$H75*'Activity data'!BA17*Constants!$H93*EF!$H218*MMVolatEF*NtoN2O*kgtoGg</f>
        <v>0.32663565742792322</v>
      </c>
      <c r="AI1543" s="22">
        <f>Constants!$H75*'Activity data'!BB17*Constants!$H93*EF!$H218*MMVolatEF*NtoN2O*kgtoGg</f>
        <v>0.32035050647820129</v>
      </c>
      <c r="AJ1543" s="22">
        <f>Constants!$H75*'Activity data'!BC17*Constants!$H93*EF!$H218*MMVolatEF*NtoN2O*kgtoGg</f>
        <v>-2.9850992029554574E-2</v>
      </c>
      <c r="AK1543" s="22">
        <f>Constants!$H75*'Activity data'!BD17*Constants!$H93*EF!$H218*MMVolatEF*NtoN2O*kgtoGg</f>
        <v>-2.9527827789556205E-2</v>
      </c>
      <c r="AL1543" s="22">
        <f>Constants!$H75*'Activity data'!BE17*Constants!$H93*EF!$H218*MMVolatEF*NtoN2O*kgtoGg</f>
        <v>-2.9203518600220937E-2</v>
      </c>
      <c r="AM1543" s="22">
        <f>Constants!$H75*'Activity data'!BF17*Constants!$H93*EF!$H218*MMVolatEF*NtoN2O*kgtoGg</f>
        <v>-2.8878400916482732E-2</v>
      </c>
      <c r="AN1543" s="22">
        <f>Constants!$H75*'Activity data'!BG17*Constants!$H93*EF!$H218*MMVolatEF*NtoN2O*kgtoGg</f>
        <v>-2.8552846585961845E-2</v>
      </c>
      <c r="AO1543" s="22">
        <f>Constants!$H75*'Activity data'!BH17*Constants!$H93*EF!$H218*MMVolatEF*NtoN2O*kgtoGg</f>
        <v>-2.8225992627032188E-2</v>
      </c>
      <c r="AP1543" s="22">
        <f>Constants!$H75*'Activity data'!BI17*Constants!$H93*EF!$H218*MMVolatEF*NtoN2O*kgtoGg</f>
        <v>-2.7897329553488923E-2</v>
      </c>
      <c r="AQ1543" s="22">
        <f>Constants!$H75*'Activity data'!BJ17*Constants!$H93*EF!$H218*MMVolatEF*NtoN2O*kgtoGg</f>
        <v>-2.756688911429131E-2</v>
      </c>
      <c r="AR1543" s="22">
        <f>Constants!$H75*'Activity data'!BK17*Constants!$H93*EF!$H218*MMVolatEF*NtoN2O*kgtoGg</f>
        <v>-2.7234123713642547E-2</v>
      </c>
      <c r="AS1543" s="22">
        <f>Constants!$H75*'Activity data'!BL17*Constants!$H93*EF!$H218*MMVolatEF*NtoN2O*kgtoGg</f>
        <v>-2.6898465289903917E-2</v>
      </c>
      <c r="AT1543" s="22">
        <f>Constants!$H75*'Activity data'!BM17*Constants!$H93*EF!$H218*MMVolatEF*NtoN2O*kgtoGg</f>
        <v>-2.6560009108900318E-2</v>
      </c>
      <c r="AU1543" s="22">
        <f>Constants!$H75*'Activity data'!BN17*Constants!$H93*EF!$H218*MMVolatEF*NtoN2O*kgtoGg</f>
        <v>-2.6219036811035483E-2</v>
      </c>
      <c r="AV1543" s="22">
        <f>Constants!$H75*'Activity data'!BO17*Constants!$H93*EF!$H218*MMVolatEF*NtoN2O*kgtoGg</f>
        <v>-2.5875789307707536E-2</v>
      </c>
      <c r="AW1543" s="22">
        <f>Constants!$H75*'Activity data'!BP17*Constants!$H93*EF!$H218*MMVolatEF*NtoN2O*kgtoGg</f>
        <v>-2.5529791390037318E-2</v>
      </c>
    </row>
    <row r="1544" spans="1:49" x14ac:dyDescent="0.25">
      <c r="A1544" s="95" t="s">
        <v>960</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1.2655466337890211E-2</v>
      </c>
      <c r="M1544" s="22">
        <f>Constants!$H76*'Activity data'!AF18*Constants!$H94*EF!$H219*MMVolatEF*NtoN2O*kgtoGg</f>
        <v>1.2661143337946407E-2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1.2094642930917438E-2</v>
      </c>
      <c r="Q1544" s="22">
        <f>Constants!$H76*'Activity data'!AJ18*Constants!$H94*EF!$H219*MMVolatEF*NtoN2O*kgtoGg</f>
        <v>1.1905551806853844E-2</v>
      </c>
      <c r="R1544" s="22">
        <f>Constants!$H76*'Activity data'!AK18*Constants!$H94*EF!$H219*MMVolatEF*NtoN2O*kgtoGg</f>
        <v>1.1733192711380723E-2</v>
      </c>
      <c r="S1544" s="22">
        <f>Constants!$H76*'Activity data'!AL18*Constants!$H94*EF!$H219*MMVolatEF*NtoN2O*kgtoGg</f>
        <v>1.0556638573260382E-2</v>
      </c>
      <c r="T1544" s="22">
        <f>Constants!$H76*'Activity data'!AM18*Constants!$H94*EF!$H219*MMVolatEF*NtoN2O*kgtoGg</f>
        <v>1.0933597020593381E-2</v>
      </c>
      <c r="U1544" s="22">
        <f>Constants!$H76*'Activity data'!AN18*Constants!$H94*EF!$H219*MMVolatEF*NtoN2O*kgtoGg</f>
        <v>3.4949443447111525E-2</v>
      </c>
      <c r="V1544" s="22">
        <f>Constants!$H76*'Activity data'!AO18*Constants!$H94*EF!$H219*MMVolatEF*NtoN2O*kgtoGg</f>
        <v>3.504524852978097E-2</v>
      </c>
      <c r="W1544" s="22">
        <f>Constants!$H76*'Activity data'!AP18*Constants!$H94*EF!$H219*MMVolatEF*NtoN2O*kgtoGg</f>
        <v>3.5080632156959869E-2</v>
      </c>
      <c r="X1544" s="22">
        <f>Constants!$H76*'Activity data'!AQ18*Constants!$H94*EF!$H219*MMVolatEF*NtoN2O*kgtoGg</f>
        <v>3.5057190853481544E-2</v>
      </c>
      <c r="Y1544" s="22">
        <f>Constants!$H76*'Activity data'!AR18*Constants!$H94*EF!$H219*MMVolatEF*NtoN2O*kgtoGg</f>
        <v>3.4978461051378834E-2</v>
      </c>
      <c r="Z1544" s="22">
        <f>Constants!$H76*'Activity data'!AS18*Constants!$H94*EF!$H219*MMVolatEF*NtoN2O*kgtoGg</f>
        <v>3.484371956767917E-2</v>
      </c>
      <c r="AA1544" s="22">
        <f>Constants!$H76*'Activity data'!AT18*Constants!$H94*EF!$H219*MMVolatEF*NtoN2O*kgtoGg</f>
        <v>3.465277276960857E-2</v>
      </c>
      <c r="AB1544" s="22">
        <f>Constants!$H76*'Activity data'!AU18*Constants!$H94*EF!$H219*MMVolatEF*NtoN2O*kgtoGg</f>
        <v>3.4405638562309424E-2</v>
      </c>
      <c r="AC1544" s="22">
        <f>Constants!$H76*'Activity data'!AV18*Constants!$H94*EF!$H219*MMVolatEF*NtoN2O*kgtoGg</f>
        <v>3.4102633918044564E-2</v>
      </c>
      <c r="AD1544" s="22">
        <f>Constants!$H76*'Activity data'!AW18*Constants!$H94*EF!$H219*MMVolatEF*NtoN2O*kgtoGg</f>
        <v>3.3744538710897186E-2</v>
      </c>
      <c r="AE1544" s="22">
        <f>Constants!$H76*'Activity data'!AX18*Constants!$H94*EF!$H219*MMVolatEF*NtoN2O*kgtoGg</f>
        <v>3.3332339234715881E-2</v>
      </c>
      <c r="AF1544" s="22">
        <f>Constants!$H76*'Activity data'!AY18*Constants!$H94*EF!$H219*MMVolatEF*NtoN2O*kgtoGg</f>
        <v>3.2867429206171077E-2</v>
      </c>
      <c r="AG1544" s="22">
        <f>Constants!$H76*'Activity data'!AZ18*Constants!$H94*EF!$H219*MMVolatEF*NtoN2O*kgtoGg</f>
        <v>3.2351594596806102E-2</v>
      </c>
      <c r="AH1544" s="22">
        <f>Constants!$H76*'Activity data'!BA18*Constants!$H94*EF!$H219*MMVolatEF*NtoN2O*kgtoGg</f>
        <v>3.1786769972261424E-2</v>
      </c>
      <c r="AI1544" s="22">
        <f>Constants!$H76*'Activity data'!BB18*Constants!$H94*EF!$H219*MMVolatEF*NtoN2O*kgtoGg</f>
        <v>3.117512625567229E-2</v>
      </c>
      <c r="AJ1544" s="22">
        <f>Constants!$H76*'Activity data'!BC18*Constants!$H94*EF!$H219*MMVolatEF*NtoN2O*kgtoGg</f>
        <v>-2.9049694836107746E-3</v>
      </c>
      <c r="AK1544" s="22">
        <f>Constants!$H76*'Activity data'!BD18*Constants!$H94*EF!$H219*MMVolatEF*NtoN2O*kgtoGg</f>
        <v>-2.8735205369740911E-3</v>
      </c>
      <c r="AL1544" s="22">
        <f>Constants!$H76*'Activity data'!BE18*Constants!$H94*EF!$H219*MMVolatEF*NtoN2O*kgtoGg</f>
        <v>-2.8419601688181263E-3</v>
      </c>
      <c r="AM1544" s="22">
        <f>Constants!$H76*'Activity data'!BF18*Constants!$H94*EF!$H219*MMVolatEF*NtoN2O*kgtoGg</f>
        <v>-2.8103211214823929E-3</v>
      </c>
      <c r="AN1544" s="22">
        <f>Constants!$H76*'Activity data'!BG18*Constants!$H94*EF!$H219*MMVolatEF*NtoN2O*kgtoGg</f>
        <v>-2.7786395815696092E-3</v>
      </c>
      <c r="AO1544" s="22">
        <f>Constants!$H76*'Activity data'!BH18*Constants!$H94*EF!$H219*MMVolatEF*NtoN2O*kgtoGg</f>
        <v>-2.7468315674390254E-3</v>
      </c>
      <c r="AP1544" s="22">
        <f>Constants!$H76*'Activity data'!BI18*Constants!$H94*EF!$H219*MMVolatEF*NtoN2O*kgtoGg</f>
        <v>-2.714847498095948E-3</v>
      </c>
      <c r="AQ1544" s="22">
        <f>Constants!$H76*'Activity data'!BJ18*Constants!$H94*EF!$H219*MMVolatEF*NtoN2O*kgtoGg</f>
        <v>-2.6826904632118271E-3</v>
      </c>
      <c r="AR1544" s="22">
        <f>Constants!$H76*'Activity data'!BK18*Constants!$H94*EF!$H219*MMVolatEF*NtoN2O*kgtoGg</f>
        <v>-2.6503071731312461E-3</v>
      </c>
      <c r="AS1544" s="22">
        <f>Constants!$H76*'Activity data'!BL18*Constants!$H94*EF!$H219*MMVolatEF*NtoN2O*kgtoGg</f>
        <v>-2.61764234655154E-3</v>
      </c>
      <c r="AT1544" s="22">
        <f>Constants!$H76*'Activity data'!BM18*Constants!$H94*EF!$H219*MMVolatEF*NtoN2O*kgtoGg</f>
        <v>-2.5847052543309036E-3</v>
      </c>
      <c r="AU1544" s="22">
        <f>Constants!$H76*'Activity data'!BN18*Constants!$H94*EF!$H219*MMVolatEF*NtoN2O*kgtoGg</f>
        <v>-2.5515233044957585E-3</v>
      </c>
      <c r="AV1544" s="22">
        <f>Constants!$H76*'Activity data'!BO18*Constants!$H94*EF!$H219*MMVolatEF*NtoN2O*kgtoGg</f>
        <v>-2.5181199415017898E-3</v>
      </c>
      <c r="AW1544" s="22">
        <f>Constants!$H76*'Activity data'!BP18*Constants!$H94*EF!$H219*MMVolatEF*NtoN2O*kgtoGg</f>
        <v>-2.4844489200754436E-3</v>
      </c>
    </row>
    <row r="1545" spans="1:49" x14ac:dyDescent="0.25">
      <c r="A1545" s="95" t="s">
        <v>960</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6.4453339767617121E-2</v>
      </c>
      <c r="L1545" s="22">
        <f>Constants!$H77*'Activity data'!AE19*Constants!$H95*EF!$H220*MMVolatEF*NtoN2O*kgtoGg</f>
        <v>6.5763803942104557E-2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7.0122113289878357E-2</v>
      </c>
      <c r="Q1545" s="22">
        <f>Constants!$H77*'Activity data'!AJ19*Constants!$H95*EF!$H220*MMVolatEF*NtoN2O*kgtoGg</f>
        <v>7.1027984276732931E-2</v>
      </c>
      <c r="R1545" s="22">
        <f>Constants!$H77*'Activity data'!AK19*Constants!$H95*EF!$H220*MMVolatEF*NtoN2O*kgtoGg</f>
        <v>7.1969839340941866E-2</v>
      </c>
      <c r="S1545" s="22">
        <f>Constants!$H77*'Activity data'!AL19*Constants!$H95*EF!$H220*MMVolatEF*NtoN2O*kgtoGg</f>
        <v>6.9132641817907584E-2</v>
      </c>
      <c r="T1545" s="22">
        <f>Constants!$H77*'Activity data'!AM19*Constants!$H95*EF!$H220*MMVolatEF*NtoN2O*kgtoGg</f>
        <v>7.1668538235416565E-2</v>
      </c>
      <c r="U1545" s="22">
        <f>Constants!$H77*'Activity data'!AN19*Constants!$H95*EF!$H220*MMVolatEF*NtoN2O*kgtoGg</f>
        <v>0.15927878056001546</v>
      </c>
      <c r="V1545" s="22">
        <f>Constants!$H77*'Activity data'!AO19*Constants!$H95*EF!$H220*MMVolatEF*NtoN2O*kgtoGg</f>
        <v>0.16278043280676852</v>
      </c>
      <c r="W1545" s="22">
        <f>Constants!$H77*'Activity data'!AP19*Constants!$H95*EF!$H220*MMVolatEF*NtoN2O*kgtoGg</f>
        <v>0.1661384841502746</v>
      </c>
      <c r="X1545" s="22">
        <f>Constants!$H77*'Activity data'!AQ19*Constants!$H95*EF!$H220*MMVolatEF*NtoN2O*kgtoGg</f>
        <v>0.16932327786154089</v>
      </c>
      <c r="Y1545" s="22">
        <f>Constants!$H77*'Activity data'!AR19*Constants!$H95*EF!$H220*MMVolatEF*NtoN2O*kgtoGg</f>
        <v>0.17229459764803176</v>
      </c>
      <c r="Z1545" s="22">
        <f>Constants!$H77*'Activity data'!AS19*Constants!$H95*EF!$H220*MMVolatEF*NtoN2O*kgtoGg</f>
        <v>0.17503945749810612</v>
      </c>
      <c r="AA1545" s="22">
        <f>Constants!$H77*'Activity data'!AT19*Constants!$H95*EF!$H220*MMVolatEF*NtoN2O*kgtoGg</f>
        <v>0.17754464171079537</v>
      </c>
      <c r="AB1545" s="22">
        <f>Constants!$H77*'Activity data'!AU19*Constants!$H95*EF!$H220*MMVolatEF*NtoN2O*kgtoGg</f>
        <v>0.17979875003476928</v>
      </c>
      <c r="AC1545" s="22">
        <f>Constants!$H77*'Activity data'!AV19*Constants!$H95*EF!$H220*MMVolatEF*NtoN2O*kgtoGg</f>
        <v>0.18179177836428806</v>
      </c>
      <c r="AD1545" s="22">
        <f>Constants!$H77*'Activity data'!AW19*Constants!$H95*EF!$H220*MMVolatEF*NtoN2O*kgtoGg</f>
        <v>0.18351408832752805</v>
      </c>
      <c r="AE1545" s="22">
        <f>Constants!$H77*'Activity data'!AX19*Constants!$H95*EF!$H220*MMVolatEF*NtoN2O*kgtoGg</f>
        <v>0.18495811914653704</v>
      </c>
      <c r="AF1545" s="22">
        <f>Constants!$H77*'Activity data'!AY19*Constants!$H95*EF!$H220*MMVolatEF*NtoN2O*kgtoGg</f>
        <v>0.18611704996451123</v>
      </c>
      <c r="AG1545" s="22">
        <f>Constants!$H77*'Activity data'!AZ19*Constants!$H95*EF!$H220*MMVolatEF*NtoN2O*kgtoGg</f>
        <v>0.18698481434150752</v>
      </c>
      <c r="AH1545" s="22">
        <f>Constants!$H77*'Activity data'!BA19*Constants!$H95*EF!$H220*MMVolatEF*NtoN2O*kgtoGg</f>
        <v>0.18755776005425462</v>
      </c>
      <c r="AI1545" s="22">
        <f>Constants!$H77*'Activity data'!BB19*Constants!$H95*EF!$H220*MMVolatEF*NtoN2O*kgtoGg</f>
        <v>0.18783399692655736</v>
      </c>
      <c r="AJ1545" s="22">
        <f>Constants!$H77*'Activity data'!BC19*Constants!$H95*EF!$H220*MMVolatEF*NtoN2O*kgtoGg</f>
        <v>2.4486671101770791E-2</v>
      </c>
      <c r="AK1545" s="22">
        <f>Constants!$H77*'Activity data'!BD19*Constants!$H95*EF!$H220*MMVolatEF*NtoN2O*kgtoGg</f>
        <v>2.4666387221284058E-2</v>
      </c>
      <c r="AL1545" s="22">
        <f>Constants!$H77*'Activity data'!BE19*Constants!$H95*EF!$H220*MMVolatEF*NtoN2O*kgtoGg</f>
        <v>2.4841648409900843E-2</v>
      </c>
      <c r="AM1545" s="22">
        <f>Constants!$H77*'Activity data'!BF19*Constants!$H95*EF!$H220*MMVolatEF*NtoN2O*kgtoGg</f>
        <v>2.5012718687706617E-2</v>
      </c>
      <c r="AN1545" s="22">
        <f>Constants!$H77*'Activity data'!BG19*Constants!$H95*EF!$H220*MMVolatEF*NtoN2O*kgtoGg</f>
        <v>2.5179902406593305E-2</v>
      </c>
      <c r="AO1545" s="22">
        <f>Constants!$H77*'Activity data'!BH19*Constants!$H95*EF!$H220*MMVolatEF*NtoN2O*kgtoGg</f>
        <v>2.5342514084649829E-2</v>
      </c>
      <c r="AP1545" s="22">
        <f>Constants!$H77*'Activity data'!BI19*Constants!$H95*EF!$H220*MMVolatEF*NtoN2O*kgtoGg</f>
        <v>2.5500102306234843E-2</v>
      </c>
      <c r="AQ1545" s="22">
        <f>Constants!$H77*'Activity data'!BJ19*Constants!$H95*EF!$H220*MMVolatEF*NtoN2O*kgtoGg</f>
        <v>2.5652633826306989E-2</v>
      </c>
      <c r="AR1545" s="22">
        <f>Constants!$H77*'Activity data'!BK19*Constants!$H95*EF!$H220*MMVolatEF*NtoN2O*kgtoGg</f>
        <v>2.5799570928013445E-2</v>
      </c>
      <c r="AS1545" s="22">
        <f>Constants!$H77*'Activity data'!BL19*Constants!$H95*EF!$H220*MMVolatEF*NtoN2O*kgtoGg</f>
        <v>2.5940314994938186E-2</v>
      </c>
      <c r="AT1545" s="22">
        <f>Constants!$H77*'Activity data'!BM19*Constants!$H95*EF!$H220*MMVolatEF*NtoN2O*kgtoGg</f>
        <v>2.6074813676088864E-2</v>
      </c>
      <c r="AU1545" s="22">
        <f>Constants!$H77*'Activity data'!BN19*Constants!$H95*EF!$H220*MMVolatEF*NtoN2O*kgtoGg</f>
        <v>2.6203180413111957E-2</v>
      </c>
      <c r="AV1545" s="22">
        <f>Constants!$H77*'Activity data'!BO19*Constants!$H95*EF!$H220*MMVolatEF*NtoN2O*kgtoGg</f>
        <v>2.6325499899042631E-2</v>
      </c>
      <c r="AW1545" s="22">
        <f>Constants!$H77*'Activity data'!BP19*Constants!$H95*EF!$H220*MMVolatEF*NtoN2O*kgtoGg</f>
        <v>2.6441188397219272E-2</v>
      </c>
    </row>
    <row r="1546" spans="1:49" x14ac:dyDescent="0.25">
      <c r="A1546" s="95" t="s">
        <v>960</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0.31034319165291735</v>
      </c>
      <c r="L1546" s="22">
        <f>Constants!$H78*'Activity data'!AE20*Constants!$H96*EF!$H221*MMVolatEF*NtoN2O*kgtoGg</f>
        <v>0.31442985679016994</v>
      </c>
      <c r="M1546" s="22">
        <f>Constants!$H78*'Activity data'!AF20*Constants!$H96*EF!$H221*MMVolatEF*NtoN2O*kgtoGg</f>
        <v>0.32099421325528482</v>
      </c>
      <c r="N1546" s="22">
        <f>Constants!$H78*'Activity data'!AG20*Constants!$H96*EF!$H221*MMVolatEF*NtoN2O*kgtoGg</f>
        <v>0.32287903178152921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0.31577785743754255</v>
      </c>
      <c r="R1546" s="22">
        <f>Constants!$H78*'Activity data'!AK20*Constants!$H96*EF!$H221*MMVolatEF*NtoN2O*kgtoGg</f>
        <v>0.31441607582114939</v>
      </c>
      <c r="S1546" s="22">
        <f>Constants!$H78*'Activity data'!AL20*Constants!$H96*EF!$H221*MMVolatEF*NtoN2O*kgtoGg</f>
        <v>0.27420619396536416</v>
      </c>
      <c r="T1546" s="22">
        <f>Constants!$H78*'Activity data'!AM20*Constants!$H96*EF!$H221*MMVolatEF*NtoN2O*kgtoGg</f>
        <v>0.29495818532939488</v>
      </c>
      <c r="U1546" s="22">
        <f>Constants!$H78*'Activity data'!AN20*Constants!$H96*EF!$H221*MMVolatEF*NtoN2O*kgtoGg</f>
        <v>1.2825520746937493</v>
      </c>
      <c r="V1546" s="22">
        <f>Constants!$H78*'Activity data'!AO20*Constants!$H96*EF!$H221*MMVolatEF*NtoN2O*kgtoGg</f>
        <v>1.3055461044676304</v>
      </c>
      <c r="W1546" s="22">
        <f>Constants!$H78*'Activity data'!AP20*Constants!$H96*EF!$H221*MMVolatEF*NtoN2O*kgtoGg</f>
        <v>1.3259738285316456</v>
      </c>
      <c r="X1546" s="22">
        <f>Constants!$H78*'Activity data'!AQ20*Constants!$H96*EF!$H221*MMVolatEF*NtoN2O*kgtoGg</f>
        <v>1.3439224713343889</v>
      </c>
      <c r="Y1546" s="22">
        <f>Constants!$H78*'Activity data'!AR20*Constants!$H96*EF!$H221*MMVolatEF*NtoN2O*kgtoGg</f>
        <v>1.3596359578831905</v>
      </c>
      <c r="Z1546" s="22">
        <f>Constants!$H78*'Activity data'!AS20*Constants!$H96*EF!$H221*MMVolatEF*NtoN2O*kgtoGg</f>
        <v>1.3729964225138076</v>
      </c>
      <c r="AA1546" s="22">
        <f>Constants!$H78*'Activity data'!AT20*Constants!$H96*EF!$H221*MMVolatEF*NtoN2O*kgtoGg</f>
        <v>1.3839133762561158</v>
      </c>
      <c r="AB1546" s="22">
        <f>Constants!$H78*'Activity data'!AU20*Constants!$H96*EF!$H221*MMVolatEF*NtoN2O*kgtoGg</f>
        <v>1.392297876830487</v>
      </c>
      <c r="AC1546" s="22">
        <f>Constants!$H78*'Activity data'!AV20*Constants!$H96*EF!$H221*MMVolatEF*NtoN2O*kgtoGg</f>
        <v>1.3980705991762232</v>
      </c>
      <c r="AD1546" s="22">
        <f>Constants!$H78*'Activity data'!AW20*Constants!$H96*EF!$H221*MMVolatEF*NtoN2O*kgtoGg</f>
        <v>1.4011774518837516</v>
      </c>
      <c r="AE1546" s="22">
        <f>Constants!$H78*'Activity data'!AX20*Constants!$H96*EF!$H221*MMVolatEF*NtoN2O*kgtoGg</f>
        <v>1.4015682854114344</v>
      </c>
      <c r="AF1546" s="22">
        <f>Constants!$H78*'Activity data'!AY20*Constants!$H96*EF!$H221*MMVolatEF*NtoN2O*kgtoGg</f>
        <v>1.3992160776881843</v>
      </c>
      <c r="AG1546" s="22">
        <f>Constants!$H78*'Activity data'!AZ20*Constants!$H96*EF!$H221*MMVolatEF*NtoN2O*kgtoGg</f>
        <v>1.3941175452078094</v>
      </c>
      <c r="AH1546" s="22">
        <f>Constants!$H78*'Activity data'!BA20*Constants!$H96*EF!$H221*MMVolatEF*NtoN2O*kgtoGg</f>
        <v>1.3862722906542229</v>
      </c>
      <c r="AI1546" s="22">
        <f>Constants!$H78*'Activity data'!BB20*Constants!$H96*EF!$H221*MMVolatEF*NtoN2O*kgtoGg</f>
        <v>1.3756920657497529</v>
      </c>
      <c r="AJ1546" s="22">
        <f>Constants!$H78*'Activity data'!BC20*Constants!$H96*EF!$H221*MMVolatEF*NtoN2O*kgtoGg</f>
        <v>-0.29376675967597721</v>
      </c>
      <c r="AK1546" s="22">
        <f>Constants!$H78*'Activity data'!BD20*Constants!$H96*EF!$H221*MMVolatEF*NtoN2O*kgtoGg</f>
        <v>-0.29418248669382474</v>
      </c>
      <c r="AL1546" s="22">
        <f>Constants!$H78*'Activity data'!BE20*Constants!$H96*EF!$H221*MMVolatEF*NtoN2O*kgtoGg</f>
        <v>-0.29455892044172599</v>
      </c>
      <c r="AM1546" s="22">
        <f>Constants!$H78*'Activity data'!BF20*Constants!$H96*EF!$H221*MMVolatEF*NtoN2O*kgtoGg</f>
        <v>-0.29489926202307742</v>
      </c>
      <c r="AN1546" s="22">
        <f>Constants!$H78*'Activity data'!BG20*Constants!$H96*EF!$H221*MMVolatEF*NtoN2O*kgtoGg</f>
        <v>-0.2952071711728716</v>
      </c>
      <c r="AO1546" s="22">
        <f>Constants!$H78*'Activity data'!BH20*Constants!$H96*EF!$H221*MMVolatEF*NtoN2O*kgtoGg</f>
        <v>-0.29547405449445624</v>
      </c>
      <c r="AP1546" s="22">
        <f>Constants!$H78*'Activity data'!BI20*Constants!$H96*EF!$H221*MMVolatEF*NtoN2O*kgtoGg</f>
        <v>-0.29569441698810944</v>
      </c>
      <c r="AQ1546" s="22">
        <f>Constants!$H78*'Activity data'!BJ20*Constants!$H96*EF!$H221*MMVolatEF*NtoN2O*kgtoGg</f>
        <v>-0.29586800918156786</v>
      </c>
      <c r="AR1546" s="22">
        <f>Constants!$H78*'Activity data'!BK20*Constants!$H96*EF!$H221*MMVolatEF*NtoN2O*kgtoGg</f>
        <v>-0.29598849617700645</v>
      </c>
      <c r="AS1546" s="22">
        <f>Constants!$H78*'Activity data'!BL20*Constants!$H96*EF!$H221*MMVolatEF*NtoN2O*kgtoGg</f>
        <v>-0.29604896826052718</v>
      </c>
      <c r="AT1546" s="22">
        <f>Constants!$H78*'Activity data'!BM20*Constants!$H96*EF!$H221*MMVolatEF*NtoN2O*kgtoGg</f>
        <v>-0.29604922742667927</v>
      </c>
      <c r="AU1546" s="22">
        <f>Constants!$H78*'Activity data'!BN20*Constants!$H96*EF!$H221*MMVolatEF*NtoN2O*kgtoGg</f>
        <v>-0.29599106772821226</v>
      </c>
      <c r="AV1546" s="22">
        <f>Constants!$H78*'Activity data'!BO20*Constants!$H96*EF!$H221*MMVolatEF*NtoN2O*kgtoGg</f>
        <v>-0.29587591492784127</v>
      </c>
      <c r="AW1546" s="22">
        <f>Constants!$H78*'Activity data'!BP20*Constants!$H96*EF!$H221*MMVolatEF*NtoN2O*kgtoGg</f>
        <v>-0.29569729144234697</v>
      </c>
    </row>
    <row r="1547" spans="1:49" x14ac:dyDescent="0.25">
      <c r="A1547" s="95" t="s">
        <v>960</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8.9709854381943815E-2</v>
      </c>
      <c r="M1547" s="22">
        <f>Constants!$H63*'Activity data'!AF5*Constants!$H81*FracLEACHMM*MMLeachEF*NtoN2O*kgtoGg</f>
        <v>9.0417475033143083E-2</v>
      </c>
      <c r="N1547" s="22">
        <f>Constants!$H63*'Activity data'!AG5*Constants!$H81*FracLEACHMM*MMLeachEF*NtoN2O*kgtoGg</f>
        <v>9.0872196678668984E-2</v>
      </c>
      <c r="O1547" s="22">
        <f>Constants!$H63*'Activity data'!AH5*Constants!$H81*FracLEACHMM*MMLeachEF*NtoN2O*kgtoGg</f>
        <v>9.1174361291842948E-2</v>
      </c>
      <c r="P1547" s="22">
        <f>Constants!$H63*'Activity data'!AI5*Constants!$H81*FracLEACHMM*MMLeachEF*NtoN2O*kgtoGg</f>
        <v>9.1320994898161756E-2</v>
      </c>
      <c r="Q1547" s="22">
        <f>Constants!$H63*'Activity data'!AJ5*Constants!$H81*FracLEACHMM*MMLeachEF*NtoN2O*kgtoGg</f>
        <v>9.1644963105957017E-2</v>
      </c>
      <c r="R1547" s="22">
        <f>Constants!$H63*'Activity data'!AK5*Constants!$H81*FracLEACHMM*MMLeachEF*NtoN2O*kgtoGg</f>
        <v>9.2016609055475665E-2</v>
      </c>
      <c r="S1547" s="22">
        <f>Constants!$H63*'Activity data'!AL5*Constants!$H81*FracLEACHMM*MMLeachEF*NtoN2O*kgtoGg</f>
        <v>8.940199339516991E-2</v>
      </c>
      <c r="T1547" s="22">
        <f>Constants!$H63*'Activity data'!AM5*Constants!$H81*FracLEACHMM*MMLeachEF*NtoN2O*kgtoGg</f>
        <v>9.0940281304058526E-2</v>
      </c>
      <c r="U1547" s="22">
        <f>Constants!$H63*'Activity data'!AN5*Constants!$H81*FracLEACHMM*MMLeachEF*NtoN2O*kgtoGg</f>
        <v>0.1564700266780468</v>
      </c>
      <c r="V1547" s="22">
        <f>Constants!$H63*'Activity data'!AO5*Constants!$H81*FracLEACHMM*MMLeachEF*NtoN2O*kgtoGg</f>
        <v>0.15835619981688001</v>
      </c>
      <c r="W1547" s="22">
        <f>Constants!$H63*'Activity data'!AP5*Constants!$H81*FracLEACHMM*MMLeachEF*NtoN2O*kgtoGg</f>
        <v>0.16015964078695746</v>
      </c>
      <c r="X1547" s="22">
        <f>Constants!$H63*'Activity data'!AQ5*Constants!$H81*FracLEACHMM*MMLeachEF*NtoN2O*kgtoGg</f>
        <v>0.161849673455432</v>
      </c>
      <c r="Y1547" s="22">
        <f>Constants!$H63*'Activity data'!AR5*Constants!$H81*FracLEACHMM*MMLeachEF*NtoN2O*kgtoGg</f>
        <v>0.16338116510403111</v>
      </c>
      <c r="Z1547" s="22">
        <f>Constants!$H63*'Activity data'!AS5*Constants!$H81*FracLEACHMM*MMLeachEF*NtoN2O*kgtoGg</f>
        <v>0.16474696363228722</v>
      </c>
      <c r="AA1547" s="22">
        <f>Constants!$H63*'Activity data'!AT5*Constants!$H81*FracLEACHMM*MMLeachEF*NtoN2O*kgtoGg</f>
        <v>0.16593911254285348</v>
      </c>
      <c r="AB1547" s="22">
        <f>Constants!$H63*'Activity data'!AU5*Constants!$H81*FracLEACHMM*MMLeachEF*NtoN2O*kgtoGg</f>
        <v>0.16695158994132034</v>
      </c>
      <c r="AC1547" s="22">
        <f>Constants!$H63*'Activity data'!AV5*Constants!$H81*FracLEACHMM*MMLeachEF*NtoN2O*kgtoGg</f>
        <v>0.16777962003810495</v>
      </c>
      <c r="AD1547" s="22">
        <f>Constants!$H63*'Activity data'!AW5*Constants!$H81*FracLEACHMM*MMLeachEF*NtoN2O*kgtoGg</f>
        <v>0.16841818240508855</v>
      </c>
      <c r="AE1547" s="22">
        <f>Constants!$H63*'Activity data'!AX5*Constants!$H81*FracLEACHMM*MMLeachEF*NtoN2O*kgtoGg</f>
        <v>0.16886427150805067</v>
      </c>
      <c r="AF1547" s="22">
        <f>Constants!$H63*'Activity data'!AY5*Constants!$H81*FracLEACHMM*MMLeachEF*NtoN2O*kgtoGg</f>
        <v>0.1691150043732032</v>
      </c>
      <c r="AG1547" s="22">
        <f>Constants!$H63*'Activity data'!AZ5*Constants!$H81*FracLEACHMM*MMLeachEF*NtoN2O*kgtoGg</f>
        <v>0.16916759569059056</v>
      </c>
      <c r="AH1547" s="22">
        <f>Constants!$H63*'Activity data'!BA5*Constants!$H81*FracLEACHMM*MMLeachEF*NtoN2O*kgtoGg</f>
        <v>0.16902153680910736</v>
      </c>
      <c r="AI1547" s="22">
        <f>Constants!$H63*'Activity data'!BB5*Constants!$H81*FracLEACHMM*MMLeachEF*NtoN2O*kgtoGg</f>
        <v>0.16867765925493905</v>
      </c>
      <c r="AJ1547" s="22">
        <f>Constants!$H63*'Activity data'!BC5*Constants!$H81*FracLEACHMM*MMLeachEF*NtoN2O*kgtoGg</f>
        <v>5.3366694545987768E-2</v>
      </c>
      <c r="AK1547" s="22">
        <f>Constants!$H63*'Activity data'!BD5*Constants!$H81*FracLEACHMM*MMLeachEF*NtoN2O*kgtoGg</f>
        <v>5.3405651337415067E-2</v>
      </c>
      <c r="AL1547" s="22">
        <f>Constants!$H63*'Activity data'!BE5*Constants!$H81*FracLEACHMM*MMLeachEF*NtoN2O*kgtoGg</f>
        <v>5.344180376180914E-2</v>
      </c>
      <c r="AM1547" s="22">
        <f>Constants!$H63*'Activity data'!BF5*Constants!$H81*FracLEACHMM*MMLeachEF*NtoN2O*kgtoGg</f>
        <v>5.3475396377869022E-2</v>
      </c>
      <c r="AN1547" s="22">
        <f>Constants!$H63*'Activity data'!BG5*Constants!$H81*FracLEACHMM*MMLeachEF*NtoN2O*kgtoGg</f>
        <v>5.3506730430657977E-2</v>
      </c>
      <c r="AO1547" s="22">
        <f>Constants!$H63*'Activity data'!BH5*Constants!$H81*FracLEACHMM*MMLeachEF*NtoN2O*kgtoGg</f>
        <v>5.353482249647553E-2</v>
      </c>
      <c r="AP1547" s="22">
        <f>Constants!$H63*'Activity data'!BI5*Constants!$H81*FracLEACHMM*MMLeachEF*NtoN2O*kgtoGg</f>
        <v>5.3559012168450083E-2</v>
      </c>
      <c r="AQ1547" s="22">
        <f>Constants!$H63*'Activity data'!BJ5*Constants!$H81*FracLEACHMM*MMLeachEF*NtoN2O*kgtoGg</f>
        <v>5.3579193542556233E-2</v>
      </c>
      <c r="AR1547" s="22">
        <f>Constants!$H63*'Activity data'!BK5*Constants!$H81*FracLEACHMM*MMLeachEF*NtoN2O*kgtoGg</f>
        <v>5.3594617293935103E-2</v>
      </c>
      <c r="AS1547" s="22">
        <f>Constants!$H63*'Activity data'!BL5*Constants!$H81*FracLEACHMM*MMLeachEF*NtoN2O*kgtoGg</f>
        <v>5.3604469890097345E-2</v>
      </c>
      <c r="AT1547" s="22">
        <f>Constants!$H63*'Activity data'!BM5*Constants!$H81*FracLEACHMM*MMLeachEF*NtoN2O*kgtoGg</f>
        <v>5.3608650848433942E-2</v>
      </c>
      <c r="AU1547" s="22">
        <f>Constants!$H63*'Activity data'!BN5*Constants!$H81*FracLEACHMM*MMLeachEF*NtoN2O*kgtoGg</f>
        <v>5.3607275721283966E-2</v>
      </c>
      <c r="AV1547" s="22">
        <f>Constants!$H63*'Activity data'!BO5*Constants!$H81*FracLEACHMM*MMLeachEF*NtoN2O*kgtoGg</f>
        <v>5.3600425093073278E-2</v>
      </c>
      <c r="AW1547" s="22">
        <f>Constants!$H63*'Activity data'!BP5*Constants!$H81*FracLEACHMM*MMLeachEF*NtoN2O*kgtoGg</f>
        <v>5.3587333792896791E-2</v>
      </c>
    </row>
    <row r="1548" spans="1:49" x14ac:dyDescent="0.25">
      <c r="A1548" s="95" t="s">
        <v>960</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2.757662364319367E-2</v>
      </c>
      <c r="Q1548" s="22">
        <f>Constants!$H64*'Activity data'!AJ6*Constants!$H82*FracLEACHMM*MMLeachEF*NtoN2O*kgtoGg</f>
        <v>2.7674453822865853E-2</v>
      </c>
      <c r="R1548" s="22">
        <f>Constants!$H64*'Activity data'!AK6*Constants!$H82*FracLEACHMM*MMLeachEF*NtoN2O*kgtoGg</f>
        <v>2.7786681470952937E-2</v>
      </c>
      <c r="S1548" s="22">
        <f>Constants!$H64*'Activity data'!AL6*Constants!$H82*FracLEACHMM*MMLeachEF*NtoN2O*kgtoGg</f>
        <v>2.699713387440892E-2</v>
      </c>
      <c r="T1548" s="22">
        <f>Constants!$H64*'Activity data'!AM6*Constants!$H82*FracLEACHMM*MMLeachEF*NtoN2O*kgtoGg</f>
        <v>2.7461657796488435E-2</v>
      </c>
      <c r="U1548" s="22">
        <f>Constants!$H64*'Activity data'!AN6*Constants!$H82*FracLEACHMM*MMLeachEF*NtoN2O*kgtoGg</f>
        <v>4.7249978408062936E-2</v>
      </c>
      <c r="V1548" s="22">
        <f>Constants!$H64*'Activity data'!AO6*Constants!$H82*FracLEACHMM*MMLeachEF*NtoN2O*kgtoGg</f>
        <v>4.7819554843728261E-2</v>
      </c>
      <c r="W1548" s="22">
        <f>Constants!$H64*'Activity data'!AP6*Constants!$H82*FracLEACHMM*MMLeachEF*NtoN2O*kgtoGg</f>
        <v>4.8364148263346618E-2</v>
      </c>
      <c r="X1548" s="22">
        <f>Constants!$H64*'Activity data'!AQ6*Constants!$H82*FracLEACHMM*MMLeachEF*NtoN2O*kgtoGg</f>
        <v>4.8874495253052513E-2</v>
      </c>
      <c r="Y1548" s="22">
        <f>Constants!$H64*'Activity data'!AR6*Constants!$H82*FracLEACHMM*MMLeachEF*NtoN2O*kgtoGg</f>
        <v>4.9336966876945901E-2</v>
      </c>
      <c r="Z1548" s="22">
        <f>Constants!$H64*'Activity data'!AS6*Constants!$H82*FracLEACHMM*MMLeachEF*NtoN2O*kgtoGg</f>
        <v>4.9749403382134544E-2</v>
      </c>
      <c r="AA1548" s="22">
        <f>Constants!$H64*'Activity data'!AT6*Constants!$H82*FracLEACHMM*MMLeachEF*NtoN2O*kgtoGg</f>
        <v>5.0109402108276212E-2</v>
      </c>
      <c r="AB1548" s="22">
        <f>Constants!$H64*'Activity data'!AU6*Constants!$H82*FracLEACHMM*MMLeachEF*NtoN2O*kgtoGg</f>
        <v>5.0415144596034883E-2</v>
      </c>
      <c r="AC1548" s="22">
        <f>Constants!$H64*'Activity data'!AV6*Constants!$H82*FracLEACHMM*MMLeachEF*NtoN2O*kgtoGg</f>
        <v>5.0665188678118429E-2</v>
      </c>
      <c r="AD1548" s="22">
        <f>Constants!$H64*'Activity data'!AW6*Constants!$H82*FracLEACHMM*MMLeachEF*NtoN2O*kgtoGg</f>
        <v>5.0858018312603365E-2</v>
      </c>
      <c r="AE1548" s="22">
        <f>Constants!$H64*'Activity data'!AX6*Constants!$H82*FracLEACHMM*MMLeachEF*NtoN2O*kgtoGg</f>
        <v>5.0992725904405595E-2</v>
      </c>
      <c r="AF1548" s="22">
        <f>Constants!$H64*'Activity data'!AY6*Constants!$H82*FracLEACHMM*MMLeachEF*NtoN2O*kgtoGg</f>
        <v>5.1068440868582254E-2</v>
      </c>
      <c r="AG1548" s="22">
        <f>Constants!$H64*'Activity data'!AZ6*Constants!$H82*FracLEACHMM*MMLeachEF*NtoN2O*kgtoGg</f>
        <v>5.1084322112190127E-2</v>
      </c>
      <c r="AH1548" s="22">
        <f>Constants!$H64*'Activity data'!BA6*Constants!$H82*FracLEACHMM*MMLeachEF*NtoN2O*kgtoGg</f>
        <v>5.104021603549988E-2</v>
      </c>
      <c r="AI1548" s="22">
        <f>Constants!$H64*'Activity data'!BB6*Constants!$H82*FracLEACHMM*MMLeachEF*NtoN2O*kgtoGg</f>
        <v>5.0936373738323673E-2</v>
      </c>
      <c r="AJ1548" s="22">
        <f>Constants!$H64*'Activity data'!BC6*Constants!$H82*FracLEACHMM*MMLeachEF*NtoN2O*kgtoGg</f>
        <v>1.6115387838438942E-2</v>
      </c>
      <c r="AK1548" s="22">
        <f>Constants!$H64*'Activity data'!BD6*Constants!$H82*FracLEACHMM*MMLeachEF*NtoN2O*kgtoGg</f>
        <v>1.6127151801115156E-2</v>
      </c>
      <c r="AL1548" s="22">
        <f>Constants!$H64*'Activity data'!BE6*Constants!$H82*FracLEACHMM*MMLeachEF*NtoN2O*kgtoGg</f>
        <v>1.6138068916094209E-2</v>
      </c>
      <c r="AM1548" s="22">
        <f>Constants!$H64*'Activity data'!BF6*Constants!$H82*FracLEACHMM*MMLeachEF*NtoN2O*kgtoGg</f>
        <v>1.6148213033898736E-2</v>
      </c>
      <c r="AN1548" s="22">
        <f>Constants!$H64*'Activity data'!BG6*Constants!$H82*FracLEACHMM*MMLeachEF*NtoN2O*kgtoGg</f>
        <v>1.6157675122895256E-2</v>
      </c>
      <c r="AO1548" s="22">
        <f>Constants!$H64*'Activity data'!BH6*Constants!$H82*FracLEACHMM*MMLeachEF*NtoN2O*kgtoGg</f>
        <v>1.6166158214075712E-2</v>
      </c>
      <c r="AP1548" s="22">
        <f>Constants!$H64*'Activity data'!BI6*Constants!$H82*FracLEACHMM*MMLeachEF*NtoN2O*kgtoGg</f>
        <v>1.6173462881319406E-2</v>
      </c>
      <c r="AQ1548" s="22">
        <f>Constants!$H64*'Activity data'!BJ6*Constants!$H82*FracLEACHMM*MMLeachEF*NtoN2O*kgtoGg</f>
        <v>1.617955714429747E-2</v>
      </c>
      <c r="AR1548" s="22">
        <f>Constants!$H64*'Activity data'!BK6*Constants!$H82*FracLEACHMM*MMLeachEF*NtoN2O*kgtoGg</f>
        <v>1.6184214725912905E-2</v>
      </c>
      <c r="AS1548" s="22">
        <f>Constants!$H64*'Activity data'!BL6*Constants!$H82*FracLEACHMM*MMLeachEF*NtoN2O*kgtoGg</f>
        <v>1.618718995999328E-2</v>
      </c>
      <c r="AT1548" s="22">
        <f>Constants!$H64*'Activity data'!BM6*Constants!$H82*FracLEACHMM*MMLeachEF*NtoN2O*kgtoGg</f>
        <v>1.618845250333991E-2</v>
      </c>
      <c r="AU1548" s="22">
        <f>Constants!$H64*'Activity data'!BN6*Constants!$H82*FracLEACHMM*MMLeachEF*NtoN2O*kgtoGg</f>
        <v>1.6188037249827626E-2</v>
      </c>
      <c r="AV1548" s="22">
        <f>Constants!$H64*'Activity data'!BO6*Constants!$H82*FracLEACHMM*MMLeachEF*NtoN2O*kgtoGg</f>
        <v>1.6185968533908621E-2</v>
      </c>
      <c r="AW1548" s="22">
        <f>Constants!$H64*'Activity data'!BP6*Constants!$H82*FracLEACHMM*MMLeachEF*NtoN2O*kgtoGg</f>
        <v>1.6182015293381945E-2</v>
      </c>
    </row>
    <row r="1549" spans="1:49" x14ac:dyDescent="0.25">
      <c r="A1549" s="95" t="s">
        <v>960</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1.4564639612104711E-3</v>
      </c>
      <c r="M1549" s="22">
        <f>Constants!$H65*'Activity data'!AF7*Constants!$H83*FracLEACHMM*MMLeachEF*NtoN2O*kgtoGg</f>
        <v>1.4679523755410987E-3</v>
      </c>
      <c r="N1549" s="22">
        <f>Constants!$H65*'Activity data'!AG7*Constants!$H83*FracLEACHMM*MMLeachEF*NtoN2O*kgtoGg</f>
        <v>1.4753349055168039E-3</v>
      </c>
      <c r="O1549" s="22">
        <f>Constants!$H65*'Activity data'!AH7*Constants!$H83*FracLEACHMM*MMLeachEF*NtoN2O*kgtoGg</f>
        <v>1.4802406304505133E-3</v>
      </c>
      <c r="P1549" s="22">
        <f>Constants!$H65*'Activity data'!AI7*Constants!$H83*FracLEACHMM*MMLeachEF*NtoN2O*kgtoGg</f>
        <v>1.4826212670547866E-3</v>
      </c>
      <c r="Q1549" s="22">
        <f>Constants!$H65*'Activity data'!AJ7*Constants!$H83*FracLEACHMM*MMLeachEF*NtoN2O*kgtoGg</f>
        <v>1.4878809792957942E-3</v>
      </c>
      <c r="R1549" s="22">
        <f>Constants!$H65*'Activity data'!AK7*Constants!$H83*FracLEACHMM*MMLeachEF*NtoN2O*kgtoGg</f>
        <v>1.4939147526814829E-3</v>
      </c>
      <c r="S1549" s="22">
        <f>Constants!$H65*'Activity data'!AL7*Constants!$H83*FracLEACHMM*MMLeachEF*NtoN2O*kgtoGg</f>
        <v>1.4514657540972396E-3</v>
      </c>
      <c r="T1549" s="22">
        <f>Constants!$H65*'Activity data'!AM7*Constants!$H83*FracLEACHMM*MMLeachEF*NtoN2O*kgtoGg</f>
        <v>1.476440277985364E-3</v>
      </c>
      <c r="U1549" s="22">
        <f>Constants!$H65*'Activity data'!AN7*Constants!$H83*FracLEACHMM*MMLeachEF*NtoN2O*kgtoGg</f>
        <v>2.5403335724518226E-3</v>
      </c>
      <c r="V1549" s="22">
        <f>Constants!$H65*'Activity data'!AO7*Constants!$H83*FracLEACHMM*MMLeachEF*NtoN2O*kgtoGg</f>
        <v>2.5709561079607732E-3</v>
      </c>
      <c r="W1549" s="22">
        <f>Constants!$H65*'Activity data'!AP7*Constants!$H83*FracLEACHMM*MMLeachEF*NtoN2O*kgtoGg</f>
        <v>2.6002354641383586E-3</v>
      </c>
      <c r="X1549" s="22">
        <f>Constants!$H65*'Activity data'!AQ7*Constants!$H83*FracLEACHMM*MMLeachEF*NtoN2O*kgtoGg</f>
        <v>2.6276736055985106E-3</v>
      </c>
      <c r="Y1549" s="22">
        <f>Constants!$H65*'Activity data'!AR7*Constants!$H83*FracLEACHMM*MMLeachEF*NtoN2O*kgtoGg</f>
        <v>2.6525377903466292E-3</v>
      </c>
      <c r="Z1549" s="22">
        <f>Constants!$H65*'Activity data'!AS7*Constants!$H83*FracLEACHMM*MMLeachEF*NtoN2O*kgtoGg</f>
        <v>2.6747119020803316E-3</v>
      </c>
      <c r="AA1549" s="22">
        <f>Constants!$H65*'Activity data'!AT7*Constants!$H83*FracLEACHMM*MMLeachEF*NtoN2O*kgtoGg</f>
        <v>2.6940667648944388E-3</v>
      </c>
      <c r="AB1549" s="22">
        <f>Constants!$H65*'Activity data'!AU7*Constants!$H83*FracLEACHMM*MMLeachEF*NtoN2O*kgtoGg</f>
        <v>2.7105046116902751E-3</v>
      </c>
      <c r="AC1549" s="22">
        <f>Constants!$H65*'Activity data'!AV7*Constants!$H83*FracLEACHMM*MMLeachEF*NtoN2O*kgtoGg</f>
        <v>2.7239479062209941E-3</v>
      </c>
      <c r="AD1549" s="22">
        <f>Constants!$H65*'Activity data'!AW7*Constants!$H83*FracLEACHMM*MMLeachEF*NtoN2O*kgtoGg</f>
        <v>2.7343151404663774E-3</v>
      </c>
      <c r="AE1549" s="22">
        <f>Constants!$H65*'Activity data'!AX7*Constants!$H83*FracLEACHMM*MMLeachEF*NtoN2O*kgtoGg</f>
        <v>2.741557518758363E-3</v>
      </c>
      <c r="AF1549" s="22">
        <f>Constants!$H65*'Activity data'!AY7*Constants!$H83*FracLEACHMM*MMLeachEF*NtoN2O*kgtoGg</f>
        <v>2.7456282352309475E-3</v>
      </c>
      <c r="AG1549" s="22">
        <f>Constants!$H65*'Activity data'!AZ7*Constants!$H83*FracLEACHMM*MMLeachEF*NtoN2O*kgtoGg</f>
        <v>2.7464820696170918E-3</v>
      </c>
      <c r="AH1549" s="22">
        <f>Constants!$H65*'Activity data'!BA7*Constants!$H83*FracLEACHMM*MMLeachEF*NtoN2O*kgtoGg</f>
        <v>2.7441107638273262E-3</v>
      </c>
      <c r="AI1549" s="22">
        <f>Constants!$H65*'Activity data'!BB7*Constants!$H83*FracLEACHMM*MMLeachEF*NtoN2O*kgtoGg</f>
        <v>2.738527817916133E-3</v>
      </c>
      <c r="AJ1549" s="22">
        <f>Constants!$H65*'Activity data'!BC7*Constants!$H83*FracLEACHMM*MMLeachEF*NtoN2O*kgtoGg</f>
        <v>8.664228458585355E-4</v>
      </c>
      <c r="AK1549" s="22">
        <f>Constants!$H65*'Activity data'!BD7*Constants!$H83*FracLEACHMM*MMLeachEF*NtoN2O*kgtoGg</f>
        <v>8.6705531999584366E-4</v>
      </c>
      <c r="AL1549" s="22">
        <f>Constants!$H65*'Activity data'!BE7*Constants!$H83*FracLEACHMM*MMLeachEF*NtoN2O*kgtoGg</f>
        <v>8.6764226446925895E-4</v>
      </c>
      <c r="AM1549" s="22">
        <f>Constants!$H65*'Activity data'!BF7*Constants!$H83*FracLEACHMM*MMLeachEF*NtoN2O*kgtoGg</f>
        <v>8.6818764975598228E-4</v>
      </c>
      <c r="AN1549" s="22">
        <f>Constants!$H65*'Activity data'!BG7*Constants!$H83*FracLEACHMM*MMLeachEF*NtoN2O*kgtoGg</f>
        <v>8.6869636665180383E-4</v>
      </c>
      <c r="AO1549" s="22">
        <f>Constants!$H65*'Activity data'!BH7*Constants!$H83*FracLEACHMM*MMLeachEF*NtoN2O*kgtoGg</f>
        <v>8.691524490046414E-4</v>
      </c>
      <c r="AP1549" s="22">
        <f>Constants!$H65*'Activity data'!BI7*Constants!$H83*FracLEACHMM*MMLeachEF*NtoN2O*kgtoGg</f>
        <v>8.6954517492875681E-4</v>
      </c>
      <c r="AQ1549" s="22">
        <f>Constants!$H65*'Activity data'!BJ7*Constants!$H83*FracLEACHMM*MMLeachEF*NtoN2O*kgtoGg</f>
        <v>8.6987282504340517E-4</v>
      </c>
      <c r="AR1549" s="22">
        <f>Constants!$H65*'Activity data'!BK7*Constants!$H83*FracLEACHMM*MMLeachEF*NtoN2O*kgtoGg</f>
        <v>8.7012323385506529E-4</v>
      </c>
      <c r="AS1549" s="22">
        <f>Constants!$H65*'Activity data'!BL7*Constants!$H83*FracLEACHMM*MMLeachEF*NtoN2O*kgtoGg</f>
        <v>8.7028319344181889E-4</v>
      </c>
      <c r="AT1549" s="22">
        <f>Constants!$H65*'Activity data'!BM7*Constants!$H83*FracLEACHMM*MMLeachEF*NtoN2O*kgtoGg</f>
        <v>8.7035107244109425E-4</v>
      </c>
      <c r="AU1549" s="22">
        <f>Constants!$H65*'Activity data'!BN7*Constants!$H83*FracLEACHMM*MMLeachEF*NtoN2O*kgtoGg</f>
        <v>8.7032874687664199E-4</v>
      </c>
      <c r="AV1549" s="22">
        <f>Constants!$H65*'Activity data'!BO7*Constants!$H83*FracLEACHMM*MMLeachEF*NtoN2O*kgtoGg</f>
        <v>8.7021752505860126E-4</v>
      </c>
      <c r="AW1549" s="22">
        <f>Constants!$H65*'Activity data'!BP7*Constants!$H83*FracLEACHMM*MMLeachEF*NtoN2O*kgtoGg</f>
        <v>8.7000498422856851E-4</v>
      </c>
    </row>
    <row r="1550" spans="1:49" x14ac:dyDescent="0.25">
      <c r="A1550" s="95" t="s">
        <v>960</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3.0303014392691133E-2</v>
      </c>
      <c r="L1550" s="22">
        <f>Constants!$H66*'Activity data'!AE8*Constants!$H84*FracLEACHMM*MMLeachEF*NtoN2O*kgtoGg</f>
        <v>3.0040206026371367E-2</v>
      </c>
      <c r="M1550" s="22">
        <f>Constants!$H66*'Activity data'!AF8*Constants!$H84*FracLEACHMM*MMLeachEF*NtoN2O*kgtoGg</f>
        <v>2.9940162837193193E-2</v>
      </c>
      <c r="N1550" s="22">
        <f>Constants!$H66*'Activity data'!AG8*Constants!$H84*FracLEACHMM*MMLeachEF*NtoN2O*kgtoGg</f>
        <v>2.9540351153331305E-2</v>
      </c>
      <c r="O1550" s="22">
        <f>Constants!$H66*'Activity data'!AH8*Constants!$H84*FracLEACHMM*MMLeachEF*NtoN2O*kgtoGg</f>
        <v>2.8960014730128859E-2</v>
      </c>
      <c r="P1550" s="22">
        <f>Constants!$H66*'Activity data'!AI8*Constants!$H84*FracLEACHMM*MMLeachEF*NtoN2O*kgtoGg</f>
        <v>2.8211154016296508E-2</v>
      </c>
      <c r="Q1550" s="22">
        <f>Constants!$H66*'Activity data'!AJ8*Constants!$H84*FracLEACHMM*MMLeachEF*NtoN2O*kgtoGg</f>
        <v>2.7620505669412019E-2</v>
      </c>
      <c r="R1550" s="22">
        <f>Constants!$H66*'Activity data'!AK8*Constants!$H84*FracLEACHMM*MMLeachEF*NtoN2O*kgtoGg</f>
        <v>2.7061685185942382E-2</v>
      </c>
      <c r="S1550" s="22">
        <f>Constants!$H66*'Activity data'!AL8*Constants!$H84*FracLEACHMM*MMLeachEF*NtoN2O*kgtoGg</f>
        <v>2.4201772556346722E-2</v>
      </c>
      <c r="T1550" s="22">
        <f>Constants!$H66*'Activity data'!AM8*Constants!$H84*FracLEACHMM*MMLeachEF*NtoN2O*kgtoGg</f>
        <v>2.5134193306706524E-2</v>
      </c>
      <c r="U1550" s="22">
        <f>Constants!$H66*'Activity data'!AN8*Constants!$H84*FracLEACHMM*MMLeachEF*NtoN2O*kgtoGg</f>
        <v>7.9215327522416931E-2</v>
      </c>
      <c r="V1550" s="22">
        <f>Constants!$H66*'Activity data'!AO8*Constants!$H84*FracLEACHMM*MMLeachEF*NtoN2O*kgtoGg</f>
        <v>7.9597413086941654E-2</v>
      </c>
      <c r="W1550" s="22">
        <f>Constants!$H66*'Activity data'!AP8*Constants!$H84*FracLEACHMM*MMLeachEF*NtoN2O*kgtoGg</f>
        <v>7.9841946903631861E-2</v>
      </c>
      <c r="X1550" s="22">
        <f>Constants!$H66*'Activity data'!AQ8*Constants!$H84*FracLEACHMM*MMLeachEF*NtoN2O*kgtoGg</f>
        <v>7.9948879165643486E-2</v>
      </c>
      <c r="Y1550" s="22">
        <f>Constants!$H66*'Activity data'!AR8*Constants!$H84*FracLEACHMM*MMLeachEF*NtoN2O*kgtoGg</f>
        <v>7.992047510263596E-2</v>
      </c>
      <c r="Z1550" s="22">
        <f>Constants!$H66*'Activity data'!AS8*Constants!$H84*FracLEACHMM*MMLeachEF*NtoN2O*kgtoGg</f>
        <v>7.9755373238701549E-2</v>
      </c>
      <c r="AA1550" s="22">
        <f>Constants!$H66*'Activity data'!AT8*Constants!$H84*FracLEACHMM*MMLeachEF*NtoN2O*kgtoGg</f>
        <v>7.9453169143115579E-2</v>
      </c>
      <c r="AB1550" s="22">
        <f>Constants!$H66*'Activity data'!AU8*Constants!$H84*FracLEACHMM*MMLeachEF*NtoN2O*kgtoGg</f>
        <v>7.9014112861708063E-2</v>
      </c>
      <c r="AC1550" s="22">
        <f>Constants!$H66*'Activity data'!AV8*Constants!$H84*FracLEACHMM*MMLeachEF*NtoN2O*kgtoGg</f>
        <v>7.8439191657390592E-2</v>
      </c>
      <c r="AD1550" s="22">
        <f>Constants!$H66*'Activity data'!AW8*Constants!$H84*FracLEACHMM*MMLeachEF*NtoN2O*kgtoGg</f>
        <v>7.7077087742293285E-2</v>
      </c>
      <c r="AE1550" s="22">
        <f>Constants!$H66*'Activity data'!AX8*Constants!$H84*FracLEACHMM*MMLeachEF*NtoN2O*kgtoGg</f>
        <v>7.5586682253877949E-2</v>
      </c>
      <c r="AF1550" s="22">
        <f>Constants!$H66*'Activity data'!AY8*Constants!$H84*FracLEACHMM*MMLeachEF*NtoN2O*kgtoGg</f>
        <v>7.3974671879861814E-2</v>
      </c>
      <c r="AG1550" s="22">
        <f>Constants!$H66*'Activity data'!AZ8*Constants!$H84*FracLEACHMM*MMLeachEF*NtoN2O*kgtoGg</f>
        <v>7.2248514242158265E-2</v>
      </c>
      <c r="AH1550" s="22">
        <f>Constants!$H66*'Activity data'!BA8*Constants!$H84*FracLEACHMM*MMLeachEF*NtoN2O*kgtoGg</f>
        <v>7.0416148615651625E-2</v>
      </c>
      <c r="AI1550" s="22">
        <f>Constants!$H66*'Activity data'!BB8*Constants!$H84*FracLEACHMM*MMLeachEF*NtoN2O*kgtoGg</f>
        <v>6.8486029191241041E-2</v>
      </c>
      <c r="AJ1550" s="22">
        <f>Constants!$H66*'Activity data'!BC8*Constants!$H84*FracLEACHMM*MMLeachEF*NtoN2O*kgtoGg</f>
        <v>-5.2880249817764688E-3</v>
      </c>
      <c r="AK1550" s="22">
        <f>Constants!$H66*'Activity data'!BD8*Constants!$H84*FracLEACHMM*MMLeachEF*NtoN2O*kgtoGg</f>
        <v>-5.1607046214705845E-3</v>
      </c>
      <c r="AL1550" s="22">
        <f>Constants!$H66*'Activity data'!BE8*Constants!$H84*FracLEACHMM*MMLeachEF*NtoN2O*kgtoGg</f>
        <v>-5.0347089645398375E-3</v>
      </c>
      <c r="AM1550" s="22">
        <f>Constants!$H66*'Activity data'!BF8*Constants!$H84*FracLEACHMM*MMLeachEF*NtoN2O*kgtoGg</f>
        <v>-4.9100249979569036E-3</v>
      </c>
      <c r="AN1550" s="22">
        <f>Constants!$H66*'Activity data'!BG8*Constants!$H84*FracLEACHMM*MMLeachEF*NtoN2O*kgtoGg</f>
        <v>-4.8110666270887118E-3</v>
      </c>
      <c r="AO1550" s="22">
        <f>Constants!$H66*'Activity data'!BH8*Constants!$H84*FracLEACHMM*MMLeachEF*NtoN2O*kgtoGg</f>
        <v>-4.7130469845991819E-3</v>
      </c>
      <c r="AP1550" s="22">
        <f>Constants!$H66*'Activity data'!BI8*Constants!$H84*FracLEACHMM*MMLeachEF*NtoN2O*kgtoGg</f>
        <v>-4.6158931662269266E-3</v>
      </c>
      <c r="AQ1550" s="22">
        <f>Constants!$H66*'Activity data'!BJ8*Constants!$H84*FracLEACHMM*MMLeachEF*NtoN2O*kgtoGg</f>
        <v>-4.5195811063585816E-3</v>
      </c>
      <c r="AR1550" s="22">
        <f>Constants!$H66*'Activity data'!BK8*Constants!$H84*FracLEACHMM*MMLeachEF*NtoN2O*kgtoGg</f>
        <v>-4.424040391221005E-3</v>
      </c>
      <c r="AS1550" s="22">
        <f>Constants!$H66*'Activity data'!BL8*Constants!$H84*FracLEACHMM*MMLeachEF*NtoN2O*kgtoGg</f>
        <v>-4.3292020646369571E-3</v>
      </c>
      <c r="AT1550" s="22">
        <f>Constants!$H66*'Activity data'!BM8*Constants!$H84*FracLEACHMM*MMLeachEF*NtoN2O*kgtoGg</f>
        <v>-4.2350550518406409E-3</v>
      </c>
      <c r="AU1550" s="22">
        <f>Constants!$H66*'Activity data'!BN8*Constants!$H84*FracLEACHMM*MMLeachEF*NtoN2O*kgtoGg</f>
        <v>-4.1416051693555066E-3</v>
      </c>
      <c r="AV1550" s="22">
        <f>Constants!$H66*'Activity data'!BO8*Constants!$H84*FracLEACHMM*MMLeachEF*NtoN2O*kgtoGg</f>
        <v>-4.0488559853117164E-3</v>
      </c>
      <c r="AW1550" s="22">
        <f>Constants!$H66*'Activity data'!BP8*Constants!$H84*FracLEACHMM*MMLeachEF*NtoN2O*kgtoGg</f>
        <v>-3.9567542281437719E-3</v>
      </c>
    </row>
    <row r="1551" spans="1:49" x14ac:dyDescent="0.25">
      <c r="A1551" s="95" t="s">
        <v>960</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4.0226293185258929E-2</v>
      </c>
      <c r="L1551" s="22">
        <f>Constants!$H67*'Activity data'!AE9*Constants!$H85*FracLEACHMM*MMLeachEF*NtoN2O*kgtoGg</f>
        <v>3.9877423391049029E-2</v>
      </c>
      <c r="M1551" s="22">
        <f>Constants!$H67*'Activity data'!AF9*Constants!$H85*FracLEACHMM*MMLeachEF*NtoN2O*kgtoGg</f>
        <v>3.9744619221572089E-2</v>
      </c>
      <c r="N1551" s="22">
        <f>Constants!$H67*'Activity data'!AG9*Constants!$H85*FracLEACHMM*MMLeachEF*NtoN2O*kgtoGg</f>
        <v>3.9213881856453726E-2</v>
      </c>
      <c r="O1551" s="22">
        <f>Constants!$H67*'Activity data'!AH9*Constants!$H85*FracLEACHMM*MMLeachEF*NtoN2O*kgtoGg</f>
        <v>3.8443503609481157E-2</v>
      </c>
      <c r="P1551" s="22">
        <f>Constants!$H67*'Activity data'!AI9*Constants!$H85*FracLEACHMM*MMLeachEF*NtoN2O*kgtoGg</f>
        <v>3.7449414696768615E-2</v>
      </c>
      <c r="Q1551" s="22">
        <f>Constants!$H67*'Activity data'!AJ9*Constants!$H85*FracLEACHMM*MMLeachEF*NtoN2O*kgtoGg</f>
        <v>3.6665347697252743E-2</v>
      </c>
      <c r="R1551" s="22">
        <f>Constants!$H67*'Activity data'!AK9*Constants!$H85*FracLEACHMM*MMLeachEF*NtoN2O*kgtoGg</f>
        <v>3.5923531179771234E-2</v>
      </c>
      <c r="S1551" s="22">
        <f>Constants!$H67*'Activity data'!AL9*Constants!$H85*FracLEACHMM*MMLeachEF*NtoN2O*kgtoGg</f>
        <v>3.2127087617044768E-2</v>
      </c>
      <c r="T1551" s="22">
        <f>Constants!$H67*'Activity data'!AM9*Constants!$H85*FracLEACHMM*MMLeachEF*NtoN2O*kgtoGg</f>
        <v>3.336484667262702E-2</v>
      </c>
      <c r="U1551" s="22">
        <f>Constants!$H67*'Activity data'!AN9*Constants!$H85*FracLEACHMM*MMLeachEF*NtoN2O*kgtoGg</f>
        <v>0.10515584187068941</v>
      </c>
      <c r="V1551" s="22">
        <f>Constants!$H67*'Activity data'!AO9*Constants!$H85*FracLEACHMM*MMLeachEF*NtoN2O*kgtoGg</f>
        <v>0.1056630483730278</v>
      </c>
      <c r="W1551" s="22">
        <f>Constants!$H67*'Activity data'!AP9*Constants!$H85*FracLEACHMM*MMLeachEF*NtoN2O*kgtoGg</f>
        <v>0.10598765928059027</v>
      </c>
      <c r="X1551" s="22">
        <f>Constants!$H67*'Activity data'!AQ9*Constants!$H85*FracLEACHMM*MMLeachEF*NtoN2O*kgtoGg</f>
        <v>0.10612960847636668</v>
      </c>
      <c r="Y1551" s="22">
        <f>Constants!$H67*'Activity data'!AR9*Constants!$H85*FracLEACHMM*MMLeachEF*NtoN2O*kgtoGg</f>
        <v>0.10609190298108537</v>
      </c>
      <c r="Z1551" s="22">
        <f>Constants!$H67*'Activity data'!AS9*Constants!$H85*FracLEACHMM*MMLeachEF*NtoN2O*kgtoGg</f>
        <v>0.10587273547853948</v>
      </c>
      <c r="AA1551" s="22">
        <f>Constants!$H67*'Activity data'!AT9*Constants!$H85*FracLEACHMM*MMLeachEF*NtoN2O*kgtoGg</f>
        <v>0.10547156909973328</v>
      </c>
      <c r="AB1551" s="22">
        <f>Constants!$H67*'Activity data'!AU9*Constants!$H85*FracLEACHMM*MMLeachEF*NtoN2O*kgtoGg</f>
        <v>0.10488873577259779</v>
      </c>
      <c r="AC1551" s="22">
        <f>Constants!$H67*'Activity data'!AV9*Constants!$H85*FracLEACHMM*MMLeachEF*NtoN2O*kgtoGg</f>
        <v>0.10412554605742294</v>
      </c>
      <c r="AD1551" s="22">
        <f>Constants!$H67*'Activity data'!AW9*Constants!$H85*FracLEACHMM*MMLeachEF*NtoN2O*kgtoGg</f>
        <v>0.10231739619063251</v>
      </c>
      <c r="AE1551" s="22">
        <f>Constants!$H67*'Activity data'!AX9*Constants!$H85*FracLEACHMM*MMLeachEF*NtoN2O*kgtoGg</f>
        <v>0.10033893004317308</v>
      </c>
      <c r="AF1551" s="22">
        <f>Constants!$H67*'Activity data'!AY9*Constants!$H85*FracLEACHMM*MMLeachEF*NtoN2O*kgtoGg</f>
        <v>9.8199037256187116E-2</v>
      </c>
      <c r="AG1551" s="22">
        <f>Constants!$H67*'Activity data'!AZ9*Constants!$H85*FracLEACHMM*MMLeachEF*NtoN2O*kgtoGg</f>
        <v>9.5907617586895574E-2</v>
      </c>
      <c r="AH1551" s="22">
        <f>Constants!$H67*'Activity data'!BA9*Constants!$H85*FracLEACHMM*MMLeachEF*NtoN2O*kgtoGg</f>
        <v>9.3475210171604761E-2</v>
      </c>
      <c r="AI1551" s="22">
        <f>Constants!$H67*'Activity data'!BB9*Constants!$H85*FracLEACHMM*MMLeachEF*NtoN2O*kgtoGg</f>
        <v>9.091303768134483E-2</v>
      </c>
      <c r="AJ1551" s="22">
        <f>Constants!$H67*'Activity data'!BC9*Constants!$H85*FracLEACHMM*MMLeachEF*NtoN2O*kgtoGg</f>
        <v>-7.0196859141254189E-3</v>
      </c>
      <c r="AK1551" s="22">
        <f>Constants!$H67*'Activity data'!BD9*Constants!$H85*FracLEACHMM*MMLeachEF*NtoN2O*kgtoGg</f>
        <v>-6.8506721626963654E-3</v>
      </c>
      <c r="AL1551" s="22">
        <f>Constants!$H67*'Activity data'!BE9*Constants!$H85*FracLEACHMM*MMLeachEF*NtoN2O*kgtoGg</f>
        <v>-6.6834169131002059E-3</v>
      </c>
      <c r="AM1551" s="22">
        <f>Constants!$H67*'Activity data'!BF9*Constants!$H85*FracLEACHMM*MMLeachEF*NtoN2O*kgtoGg</f>
        <v>-6.5179028909547456E-3</v>
      </c>
      <c r="AN1551" s="22">
        <f>Constants!$H67*'Activity data'!BG9*Constants!$H85*FracLEACHMM*MMLeachEF*NtoN2O*kgtoGg</f>
        <v>-6.3865387834737544E-3</v>
      </c>
      <c r="AO1551" s="22">
        <f>Constants!$H67*'Activity data'!BH9*Constants!$H85*FracLEACHMM*MMLeachEF*NtoN2O*kgtoGg</f>
        <v>-6.2564208082254193E-3</v>
      </c>
      <c r="AP1551" s="22">
        <f>Constants!$H67*'Activity data'!BI9*Constants!$H85*FracLEACHMM*MMLeachEF*NtoN2O*kgtoGg</f>
        <v>-6.1274521871085615E-3</v>
      </c>
      <c r="AQ1551" s="22">
        <f>Constants!$H67*'Activity data'!BJ9*Constants!$H85*FracLEACHMM*MMLeachEF*NtoN2O*kgtoGg</f>
        <v>-5.9996009737825779E-3</v>
      </c>
      <c r="AR1551" s="22">
        <f>Constants!$H67*'Activity data'!BK9*Constants!$H85*FracLEACHMM*MMLeachEF*NtoN2O*kgtoGg</f>
        <v>-5.872773696190668E-3</v>
      </c>
      <c r="AS1551" s="22">
        <f>Constants!$H67*'Activity data'!BL9*Constants!$H85*FracLEACHMM*MMLeachEF*NtoN2O*kgtoGg</f>
        <v>-5.7468788171884874E-3</v>
      </c>
      <c r="AT1551" s="22">
        <f>Constants!$H67*'Activity data'!BM9*Constants!$H85*FracLEACHMM*MMLeachEF*NtoN2O*kgtoGg</f>
        <v>-5.6219016353747063E-3</v>
      </c>
      <c r="AU1551" s="22">
        <f>Constants!$H67*'Activity data'!BN9*Constants!$H85*FracLEACHMM*MMLeachEF*NtoN2O*kgtoGg</f>
        <v>-5.4978498720002471E-3</v>
      </c>
      <c r="AV1551" s="22">
        <f>Constants!$H67*'Activity data'!BO9*Constants!$H85*FracLEACHMM*MMLeachEF*NtoN2O*kgtoGg</f>
        <v>-5.3747282636450412E-3</v>
      </c>
      <c r="AW1551" s="22">
        <f>Constants!$H67*'Activity data'!BP9*Constants!$H85*FracLEACHMM*MMLeachEF*NtoN2O*kgtoGg</f>
        <v>-5.2524660939907621E-3</v>
      </c>
    </row>
    <row r="1552" spans="1:49" x14ac:dyDescent="0.25">
      <c r="A1552" s="95" t="s">
        <v>960</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4.3383434779753476E-2</v>
      </c>
      <c r="M1552" s="22">
        <f>Constants!$H68*'Activity data'!AF10*Constants!$H86*FracLEACHMM*MMLeachEF*NtoN2O*kgtoGg</f>
        <v>4.5063007666824861E-2</v>
      </c>
      <c r="N1552" s="22">
        <f>Constants!$H68*'Activity data'!AG10*Constants!$H86*FracLEACHMM*MMLeachEF*NtoN2O*kgtoGg</f>
        <v>4.6315596244033509E-2</v>
      </c>
      <c r="O1552" s="22">
        <f>Constants!$H68*'Activity data'!AH10*Constants!$H86*FracLEACHMM*MMLeachEF*NtoN2O*kgtoGg</f>
        <v>4.7281576900430194E-2</v>
      </c>
      <c r="P1552" s="22">
        <f>Constants!$H68*'Activity data'!AI10*Constants!$H86*FracLEACHMM*MMLeachEF*NtoN2O*kgtoGg</f>
        <v>4.7947144057730852E-2</v>
      </c>
      <c r="Q1552" s="22">
        <f>Constants!$H68*'Activity data'!AJ10*Constants!$H86*FracLEACHMM*MMLeachEF*NtoN2O*kgtoGg</f>
        <v>4.8855920576585839E-2</v>
      </c>
      <c r="R1552" s="22">
        <f>Constants!$H68*'Activity data'!AK10*Constants!$H86*FracLEACHMM*MMLeachEF*NtoN2O*kgtoGg</f>
        <v>4.9808583705724517E-2</v>
      </c>
      <c r="S1552" s="22">
        <f>Constants!$H68*'Activity data'!AL10*Constants!$H86*FracLEACHMM*MMLeachEF*NtoN2O*kgtoGg</f>
        <v>4.6345052575542584E-2</v>
      </c>
      <c r="T1552" s="22">
        <f>Constants!$H68*'Activity data'!AM10*Constants!$H86*FracLEACHMM*MMLeachEF*NtoN2O*kgtoGg</f>
        <v>4.9290182096012818E-2</v>
      </c>
      <c r="U1552" s="22">
        <f>Constants!$H68*'Activity data'!AN10*Constants!$H86*FracLEACHMM*MMLeachEF*NtoN2O*kgtoGg</f>
        <v>0.1590390004544035</v>
      </c>
      <c r="V1552" s="22">
        <f>Constants!$H68*'Activity data'!AO10*Constants!$H86*FracLEACHMM*MMLeachEF*NtoN2O*kgtoGg</f>
        <v>0.16355513295491098</v>
      </c>
      <c r="W1552" s="22">
        <f>Constants!$H68*'Activity data'!AP10*Constants!$H86*FracLEACHMM*MMLeachEF*NtoN2O*kgtoGg</f>
        <v>0.16786105995970313</v>
      </c>
      <c r="X1552" s="22">
        <f>Constants!$H68*'Activity data'!AQ10*Constants!$H86*FracLEACHMM*MMLeachEF*NtoN2O*kgtoGg</f>
        <v>0.17194023598803351</v>
      </c>
      <c r="Y1552" s="22">
        <f>Constants!$H68*'Activity data'!AR10*Constants!$H86*FracLEACHMM*MMLeachEF*NtoN2O*kgtoGg</f>
        <v>0.17578066999732156</v>
      </c>
      <c r="Z1552" s="22">
        <f>Constants!$H68*'Activity data'!AS10*Constants!$H86*FracLEACHMM*MMLeachEF*NtoN2O*kgtoGg</f>
        <v>0.17936210611821823</v>
      </c>
      <c r="AA1552" s="22">
        <f>Constants!$H68*'Activity data'!AT10*Constants!$H86*FracLEACHMM*MMLeachEF*NtoN2O*kgtoGg</f>
        <v>0.1826656381005505</v>
      </c>
      <c r="AB1552" s="22">
        <f>Constants!$H68*'Activity data'!AU10*Constants!$H86*FracLEACHMM*MMLeachEF*NtoN2O*kgtoGg</f>
        <v>0.18567320176806454</v>
      </c>
      <c r="AC1552" s="22">
        <f>Constants!$H68*'Activity data'!AV10*Constants!$H86*FracLEACHMM*MMLeachEF*NtoN2O*kgtoGg</f>
        <v>0.18836790776441609</v>
      </c>
      <c r="AD1552" s="22">
        <f>Constants!$H68*'Activity data'!AW10*Constants!$H86*FracLEACHMM*MMLeachEF*NtoN2O*kgtoGg</f>
        <v>0.19123519545806747</v>
      </c>
      <c r="AE1552" s="22">
        <f>Constants!$H68*'Activity data'!AX10*Constants!$H86*FracLEACHMM*MMLeachEF*NtoN2O*kgtoGg</f>
        <v>0.19376853499382182</v>
      </c>
      <c r="AF1552" s="22">
        <f>Constants!$H68*'Activity data'!AY10*Constants!$H86*FracLEACHMM*MMLeachEF*NtoN2O*kgtoGg</f>
        <v>0.19595309748984396</v>
      </c>
      <c r="AG1552" s="22">
        <f>Constants!$H68*'Activity data'!AZ10*Constants!$H86*FracLEACHMM*MMLeachEF*NtoN2O*kgtoGg</f>
        <v>0.19777601067919534</v>
      </c>
      <c r="AH1552" s="22">
        <f>Constants!$H68*'Activity data'!BA10*Constants!$H86*FracLEACHMM*MMLeachEF*NtoN2O*kgtoGg</f>
        <v>0.19922591108684914</v>
      </c>
      <c r="AI1552" s="22">
        <f>Constants!$H68*'Activity data'!BB10*Constants!$H86*FracLEACHMM*MMLeachEF*NtoN2O*kgtoGg</f>
        <v>0.20029329073357882</v>
      </c>
      <c r="AJ1552" s="22">
        <f>Constants!$H68*'Activity data'!BC10*Constants!$H86*FracLEACHMM*MMLeachEF*NtoN2O*kgtoGg</f>
        <v>-1.5988935485228874E-2</v>
      </c>
      <c r="AK1552" s="22">
        <f>Constants!$H68*'Activity data'!BD10*Constants!$H86*FracLEACHMM*MMLeachEF*NtoN2O*kgtoGg</f>
        <v>-1.6135273009597623E-2</v>
      </c>
      <c r="AL1552" s="22">
        <f>Constants!$H68*'Activity data'!BE10*Constants!$H86*FracLEACHMM*MMLeachEF*NtoN2O*kgtoGg</f>
        <v>-1.6280642881338143E-2</v>
      </c>
      <c r="AM1552" s="22">
        <f>Constants!$H68*'Activity data'!BF10*Constants!$H86*FracLEACHMM*MMLeachEF*NtoN2O*kgtoGg</f>
        <v>-1.6425117505391919E-2</v>
      </c>
      <c r="AN1552" s="22">
        <f>Constants!$H68*'Activity data'!BG10*Constants!$H86*FracLEACHMM*MMLeachEF*NtoN2O*kgtoGg</f>
        <v>-1.6548178161071046E-2</v>
      </c>
      <c r="AO1552" s="22">
        <f>Constants!$H68*'Activity data'!BH10*Constants!$H86*FracLEACHMM*MMLeachEF*NtoN2O*kgtoGg</f>
        <v>-1.6670008309036564E-2</v>
      </c>
      <c r="AP1552" s="22">
        <f>Constants!$H68*'Activity data'!BI10*Constants!$H86*FracLEACHMM*MMLeachEF*NtoN2O*kgtoGg</f>
        <v>-1.6790421483448635E-2</v>
      </c>
      <c r="AQ1552" s="22">
        <f>Constants!$H68*'Activity data'!BJ10*Constants!$H86*FracLEACHMM*MMLeachEF*NtoN2O*kgtoGg</f>
        <v>-1.6909384567907186E-2</v>
      </c>
      <c r="AR1552" s="22">
        <f>Constants!$H68*'Activity data'!BK10*Constants!$H86*FracLEACHMM*MMLeachEF*NtoN2O*kgtoGg</f>
        <v>-1.7026675592023126E-2</v>
      </c>
      <c r="AS1552" s="22">
        <f>Constants!$H68*'Activity data'!BL10*Constants!$H86*FracLEACHMM*MMLeachEF*NtoN2O*kgtoGg</f>
        <v>-1.7142046777220185E-2</v>
      </c>
      <c r="AT1552" s="22">
        <f>Constants!$H68*'Activity data'!BM10*Constants!$H86*FracLEACHMM*MMLeachEF*NtoN2O*kgtoGg</f>
        <v>-1.725545286501233E-2</v>
      </c>
      <c r="AU1552" s="22">
        <f>Constants!$H68*'Activity data'!BN10*Constants!$H86*FracLEACHMM*MMLeachEF*NtoN2O*kgtoGg</f>
        <v>-1.7366910999627443E-2</v>
      </c>
      <c r="AV1552" s="22">
        <f>Constants!$H68*'Activity data'!BO10*Constants!$H86*FracLEACHMM*MMLeachEF*NtoN2O*kgtoGg</f>
        <v>-1.7476428038790941E-2</v>
      </c>
      <c r="AW1552" s="22">
        <f>Constants!$H68*'Activity data'!BP10*Constants!$H86*FracLEACHMM*MMLeachEF*NtoN2O*kgtoGg</f>
        <v>-1.7583756727581886E-2</v>
      </c>
    </row>
    <row r="1553" spans="1:49" x14ac:dyDescent="0.25">
      <c r="A1553" s="95" t="s">
        <v>960</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4.4583713438871775E-3</v>
      </c>
      <c r="T1553" s="22">
        <f>Constants!$H69*'Activity data'!AM11*Constants!$H87*FracLEACHMM*MMLeachEF*NtoN2O*kgtoGg</f>
        <v>4.4613385793898985E-3</v>
      </c>
      <c r="U1553" s="22">
        <f>Constants!$H69*'Activity data'!AN11*Constants!$H87*FracLEACHMM*MMLeachEF*NtoN2O*kgtoGg</f>
        <v>4.5194479058578802E-3</v>
      </c>
      <c r="V1553" s="22">
        <f>Constants!$H69*'Activity data'!AO11*Constants!$H87*FracLEACHMM*MMLeachEF*NtoN2O*kgtoGg</f>
        <v>4.5208654375239604E-3</v>
      </c>
      <c r="W1553" s="22">
        <f>Constants!$H69*'Activity data'!AP11*Constants!$H87*FracLEACHMM*MMLeachEF*NtoN2O*kgtoGg</f>
        <v>4.5269288931412202E-3</v>
      </c>
      <c r="X1553" s="22">
        <f>Constants!$H69*'Activity data'!AQ11*Constants!$H87*FracLEACHMM*MMLeachEF*NtoN2O*kgtoGg</f>
        <v>4.5356937654075719E-3</v>
      </c>
      <c r="Y1553" s="22">
        <f>Constants!$H69*'Activity data'!AR11*Constants!$H87*FracLEACHMM*MMLeachEF*NtoN2O*kgtoGg</f>
        <v>4.5438360313793799E-3</v>
      </c>
      <c r="Z1553" s="22">
        <f>Constants!$H69*'Activity data'!AS11*Constants!$H87*FracLEACHMM*MMLeachEF*NtoN2O*kgtoGg</f>
        <v>4.5514565032506353E-3</v>
      </c>
      <c r="AA1553" s="22">
        <f>Constants!$H69*'Activity data'!AT11*Constants!$H87*FracLEACHMM*MMLeachEF*NtoN2O*kgtoGg</f>
        <v>4.5585145451789771E-3</v>
      </c>
      <c r="AB1553" s="22">
        <f>Constants!$H69*'Activity data'!AU11*Constants!$H87*FracLEACHMM*MMLeachEF*NtoN2O*kgtoGg</f>
        <v>4.5650737507021777E-3</v>
      </c>
      <c r="AC1553" s="22">
        <f>Constants!$H69*'Activity data'!AV11*Constants!$H87*FracLEACHMM*MMLeachEF*NtoN2O*kgtoGg</f>
        <v>4.5712336162876026E-3</v>
      </c>
      <c r="AD1553" s="22">
        <f>Constants!$H69*'Activity data'!AW11*Constants!$H87*FracLEACHMM*MMLeachEF*NtoN2O*kgtoGg</f>
        <v>4.5769883379201265E-3</v>
      </c>
      <c r="AE1553" s="22">
        <f>Constants!$H69*'Activity data'!AX11*Constants!$H87*FracLEACHMM*MMLeachEF*NtoN2O*kgtoGg</f>
        <v>4.5824299595188939E-3</v>
      </c>
      <c r="AF1553" s="22">
        <f>Constants!$H69*'Activity data'!AY11*Constants!$H87*FracLEACHMM*MMLeachEF*NtoN2O*kgtoGg</f>
        <v>4.5875716533889405E-3</v>
      </c>
      <c r="AG1553" s="22">
        <f>Constants!$H69*'Activity data'!AZ11*Constants!$H87*FracLEACHMM*MMLeachEF*NtoN2O*kgtoGg</f>
        <v>4.5923429466883485E-3</v>
      </c>
      <c r="AH1553" s="22">
        <f>Constants!$H69*'Activity data'!BA11*Constants!$H87*FracLEACHMM*MMLeachEF*NtoN2O*kgtoGg</f>
        <v>4.5967874861065324E-3</v>
      </c>
      <c r="AI1553" s="22">
        <f>Constants!$H69*'Activity data'!BB11*Constants!$H87*FracLEACHMM*MMLeachEF*NtoN2O*kgtoGg</f>
        <v>4.6009761769836678E-3</v>
      </c>
      <c r="AJ1553" s="22">
        <f>Constants!$H69*'Activity data'!BC11*Constants!$H87*FracLEACHMM*MMLeachEF*NtoN2O*kgtoGg</f>
        <v>4.5000024079062629E-3</v>
      </c>
      <c r="AK1553" s="22">
        <f>Constants!$H69*'Activity data'!BD11*Constants!$H87*FracLEACHMM*MMLeachEF*NtoN2O*kgtoGg</f>
        <v>4.504140567798888E-3</v>
      </c>
      <c r="AL1553" s="22">
        <f>Constants!$H69*'Activity data'!BE11*Constants!$H87*FracLEACHMM*MMLeachEF*NtoN2O*kgtoGg</f>
        <v>4.5080004058394166E-3</v>
      </c>
      <c r="AM1553" s="22">
        <f>Constants!$H69*'Activity data'!BF11*Constants!$H87*FracLEACHMM*MMLeachEF*NtoN2O*kgtoGg</f>
        <v>4.5116055113744672E-3</v>
      </c>
      <c r="AN1553" s="22">
        <f>Constants!$H69*'Activity data'!BG11*Constants!$H87*FracLEACHMM*MMLeachEF*NtoN2O*kgtoGg</f>
        <v>4.5149845600538762E-3</v>
      </c>
      <c r="AO1553" s="22">
        <f>Constants!$H69*'Activity data'!BH11*Constants!$H87*FracLEACHMM*MMLeachEF*NtoN2O*kgtoGg</f>
        <v>4.5180486691616456E-3</v>
      </c>
      <c r="AP1553" s="22">
        <f>Constants!$H69*'Activity data'!BI11*Constants!$H87*FracLEACHMM*MMLeachEF*NtoN2O*kgtoGg</f>
        <v>4.5207384818524527E-3</v>
      </c>
      <c r="AQ1553" s="22">
        <f>Constants!$H69*'Activity data'!BJ11*Constants!$H87*FracLEACHMM*MMLeachEF*NtoN2O*kgtoGg</f>
        <v>4.5230453041712505E-3</v>
      </c>
      <c r="AR1553" s="22">
        <f>Constants!$H69*'Activity data'!BK11*Constants!$H87*FracLEACHMM*MMLeachEF*NtoN2O*kgtoGg</f>
        <v>4.5249015890055574E-3</v>
      </c>
      <c r="AS1553" s="22">
        <f>Constants!$H69*'Activity data'!BL11*Constants!$H87*FracLEACHMM*MMLeachEF*NtoN2O*kgtoGg</f>
        <v>4.526233914491801E-3</v>
      </c>
      <c r="AT1553" s="22">
        <f>Constants!$H69*'Activity data'!BM11*Constants!$H87*FracLEACHMM*MMLeachEF*NtoN2O*kgtoGg</f>
        <v>4.5270340008273808E-3</v>
      </c>
      <c r="AU1553" s="22">
        <f>Constants!$H69*'Activity data'!BN11*Constants!$H87*FracLEACHMM*MMLeachEF*NtoN2O*kgtoGg</f>
        <v>4.5273132604660591E-3</v>
      </c>
      <c r="AV1553" s="22">
        <f>Constants!$H69*'Activity data'!BO11*Constants!$H87*FracLEACHMM*MMLeachEF*NtoN2O*kgtoGg</f>
        <v>4.5270798618323943E-3</v>
      </c>
      <c r="AW1553" s="22">
        <f>Constants!$H69*'Activity data'!BP11*Constants!$H87*FracLEACHMM*MMLeachEF*NtoN2O*kgtoGg</f>
        <v>4.5262646983336846E-3</v>
      </c>
    </row>
    <row r="1554" spans="1:49" x14ac:dyDescent="0.25">
      <c r="A1554" s="95" t="s">
        <v>960</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3.7085625544236744E-3</v>
      </c>
      <c r="T1554" s="22">
        <f>Constants!$H70*'Activity data'!AM12*Constants!$H88*FracLEACHMM*MMLeachEF*NtoN2O*kgtoGg</f>
        <v>3.7110307603281981E-3</v>
      </c>
      <c r="U1554" s="22">
        <f>Constants!$H70*'Activity data'!AN12*Constants!$H88*FracLEACHMM*MMLeachEF*NtoN2O*kgtoGg</f>
        <v>3.7593672616152451E-3</v>
      </c>
      <c r="V1554" s="22">
        <f>Constants!$H70*'Activity data'!AO12*Constants!$H88*FracLEACHMM*MMLeachEF*NtoN2O*kgtoGg</f>
        <v>3.7605463928385213E-3</v>
      </c>
      <c r="W1554" s="22">
        <f>Constants!$H70*'Activity data'!AP12*Constants!$H88*FracLEACHMM*MMLeachEF*NtoN2O*kgtoGg</f>
        <v>3.7655900966303579E-3</v>
      </c>
      <c r="X1554" s="22">
        <f>Constants!$H70*'Activity data'!AQ12*Constants!$H88*FracLEACHMM*MMLeachEF*NtoN2O*kgtoGg</f>
        <v>3.7728808928817431E-3</v>
      </c>
      <c r="Y1554" s="22">
        <f>Constants!$H70*'Activity data'!AR12*Constants!$H88*FracLEACHMM*MMLeachEF*NtoN2O*kgtoGg</f>
        <v>3.7796537927507973E-3</v>
      </c>
      <c r="Z1554" s="22">
        <f>Constants!$H70*'Activity data'!AS12*Constants!$H88*FracLEACHMM*MMLeachEF*NtoN2O*kgtoGg</f>
        <v>3.7859926538390569E-3</v>
      </c>
      <c r="AA1554" s="22">
        <f>Constants!$H70*'Activity data'!AT12*Constants!$H88*FracLEACHMM*MMLeachEF*NtoN2O*kgtoGg</f>
        <v>3.7918636744391884E-3</v>
      </c>
      <c r="AB1554" s="22">
        <f>Constants!$H70*'Activity data'!AU12*Constants!$H88*FracLEACHMM*MMLeachEF*NtoN2O*kgtoGg</f>
        <v>3.7973197529292549E-3</v>
      </c>
      <c r="AC1554" s="22">
        <f>Constants!$H70*'Activity data'!AV12*Constants!$H88*FracLEACHMM*MMLeachEF*NtoN2O*kgtoGg</f>
        <v>3.8024436524630406E-3</v>
      </c>
      <c r="AD1554" s="22">
        <f>Constants!$H70*'Activity data'!AW12*Constants!$H88*FracLEACHMM*MMLeachEF*NtoN2O*kgtoGg</f>
        <v>3.8072305451445519E-3</v>
      </c>
      <c r="AE1554" s="22">
        <f>Constants!$H70*'Activity data'!AX12*Constants!$H88*FracLEACHMM*MMLeachEF*NtoN2O*kgtoGg</f>
        <v>3.8117569949487401E-3</v>
      </c>
      <c r="AF1554" s="22">
        <f>Constants!$H70*'Activity data'!AY12*Constants!$H88*FracLEACHMM*MMLeachEF*NtoN2O*kgtoGg</f>
        <v>3.8160339588626819E-3</v>
      </c>
      <c r="AG1554" s="22">
        <f>Constants!$H70*'Activity data'!AZ12*Constants!$H88*FracLEACHMM*MMLeachEF*NtoN2O*kgtoGg</f>
        <v>3.8200028161653869E-3</v>
      </c>
      <c r="AH1554" s="22">
        <f>Constants!$H70*'Activity data'!BA12*Constants!$H88*FracLEACHMM*MMLeachEF*NtoN2O*kgtoGg</f>
        <v>3.8236998730470525E-3</v>
      </c>
      <c r="AI1554" s="22">
        <f>Constants!$H70*'Activity data'!BB12*Constants!$H88*FracLEACHMM*MMLeachEF*NtoN2O*kgtoGg</f>
        <v>3.8271841099893822E-3</v>
      </c>
      <c r="AJ1554" s="22">
        <f>Constants!$H70*'Activity data'!BC12*Constants!$H88*FracLEACHMM*MMLeachEF*NtoN2O*kgtoGg</f>
        <v>3.7431921070592298E-3</v>
      </c>
      <c r="AK1554" s="22">
        <f>Constants!$H70*'Activity data'!BD12*Constants!$H88*FracLEACHMM*MMLeachEF*NtoN2O*kgtoGg</f>
        <v>3.7466343113168547E-3</v>
      </c>
      <c r="AL1554" s="22">
        <f>Constants!$H70*'Activity data'!BE12*Constants!$H88*FracLEACHMM*MMLeachEF*NtoN2O*kgtoGg</f>
        <v>3.7498450018850307E-3</v>
      </c>
      <c r="AM1554" s="22">
        <f>Constants!$H70*'Activity data'!BF12*Constants!$H88*FracLEACHMM*MMLeachEF*NtoN2O*kgtoGg</f>
        <v>3.7528438008546071E-3</v>
      </c>
      <c r="AN1554" s="22">
        <f>Constants!$H70*'Activity data'!BG12*Constants!$H88*FracLEACHMM*MMLeachEF*NtoN2O*kgtoGg</f>
        <v>3.7556545612052921E-3</v>
      </c>
      <c r="AO1554" s="22">
        <f>Constants!$H70*'Activity data'!BH12*Constants!$H88*FracLEACHMM*MMLeachEF*NtoN2O*kgtoGg</f>
        <v>3.7582033485142104E-3</v>
      </c>
      <c r="AP1554" s="22">
        <f>Constants!$H70*'Activity data'!BI12*Constants!$H88*FracLEACHMM*MMLeachEF*NtoN2O*kgtoGg</f>
        <v>3.760440788568911E-3</v>
      </c>
      <c r="AQ1554" s="22">
        <f>Constants!$H70*'Activity data'!BJ12*Constants!$H88*FracLEACHMM*MMLeachEF*NtoN2O*kgtoGg</f>
        <v>3.7623596495635048E-3</v>
      </c>
      <c r="AR1554" s="22">
        <f>Constants!$H70*'Activity data'!BK12*Constants!$H88*FracLEACHMM*MMLeachEF*NtoN2O*kgtoGg</f>
        <v>3.7639037444573268E-3</v>
      </c>
      <c r="AS1554" s="22">
        <f>Constants!$H70*'Activity data'!BL12*Constants!$H88*FracLEACHMM*MMLeachEF*NtoN2O*kgtoGg</f>
        <v>3.7650119994741185E-3</v>
      </c>
      <c r="AT1554" s="22">
        <f>Constants!$H70*'Activity data'!BM12*Constants!$H88*FracLEACHMM*MMLeachEF*NtoN2O*kgtoGg</f>
        <v>3.7656775273082915E-3</v>
      </c>
      <c r="AU1554" s="22">
        <f>Constants!$H70*'Activity data'!BN12*Constants!$H88*FracLEACHMM*MMLeachEF*NtoN2O*kgtoGg</f>
        <v>3.7659098210673977E-3</v>
      </c>
      <c r="AV1554" s="22">
        <f>Constants!$H70*'Activity data'!BO12*Constants!$H88*FracLEACHMM*MMLeachEF*NtoN2O*kgtoGg</f>
        <v>3.7657156754105432E-3</v>
      </c>
      <c r="AW1554" s="22">
        <f>Constants!$H70*'Activity data'!BP12*Constants!$H88*FracLEACHMM*MMLeachEF*NtoN2O*kgtoGg</f>
        <v>3.7650376060901856E-3</v>
      </c>
    </row>
    <row r="1555" spans="1:49" x14ac:dyDescent="0.25">
      <c r="A1555" s="95" t="s">
        <v>960</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5.4322987485311562E-4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5.5840147541839718E-4</v>
      </c>
      <c r="R1555" s="22">
        <f>Constants!$H71*'Activity data'!AK13*Constants!$H89*FracLEACHMM*MMLeachEF*NtoN2O*kgtoGg</f>
        <v>5.620753208024884E-4</v>
      </c>
      <c r="S1555" s="22">
        <f>Constants!$H71*'Activity data'!AL13*Constants!$H89*FracLEACHMM*MMLeachEF*NtoN2O*kgtoGg</f>
        <v>5.6070469903814733E-4</v>
      </c>
      <c r="T1555" s="22">
        <f>Constants!$H71*'Activity data'!AM13*Constants!$H89*FracLEACHMM*MMLeachEF*NtoN2O*kgtoGg</f>
        <v>5.6162230711910024E-4</v>
      </c>
      <c r="U1555" s="22">
        <f>Constants!$H71*'Activity data'!AN13*Constants!$H89*FracLEACHMM*MMLeachEF*NtoN2O*kgtoGg</f>
        <v>5.7300934566261764E-4</v>
      </c>
      <c r="V1555" s="22">
        <f>Constants!$H71*'Activity data'!AO13*Constants!$H89*FracLEACHMM*MMLeachEF*NtoN2O*kgtoGg</f>
        <v>5.735237983118301E-4</v>
      </c>
      <c r="W1555" s="22">
        <f>Constants!$H71*'Activity data'!AP13*Constants!$H89*FracLEACHMM*MMLeachEF*NtoN2O*kgtoGg</f>
        <v>5.7488581877093682E-4</v>
      </c>
      <c r="X1555" s="22">
        <f>Constants!$H71*'Activity data'!AQ13*Constants!$H89*FracLEACHMM*MMLeachEF*NtoN2O*kgtoGg</f>
        <v>5.7672404156411123E-4</v>
      </c>
      <c r="Y1555" s="22">
        <f>Constants!$H71*'Activity data'!AR13*Constants!$H89*FracLEACHMM*MMLeachEF*NtoN2O*kgtoGg</f>
        <v>5.7840994827834994E-4</v>
      </c>
      <c r="Z1555" s="22">
        <f>Constants!$H71*'Activity data'!AS13*Constants!$H89*FracLEACHMM*MMLeachEF*NtoN2O*kgtoGg</f>
        <v>5.7996582365708491E-4</v>
      </c>
      <c r="AA1555" s="22">
        <f>Constants!$H71*'Activity data'!AT13*Constants!$H89*FracLEACHMM*MMLeachEF*NtoN2O*kgtoGg</f>
        <v>5.8138689539941784E-4</v>
      </c>
      <c r="AB1555" s="22">
        <f>Constants!$H71*'Activity data'!AU13*Constants!$H89*FracLEACHMM*MMLeachEF*NtoN2O*kgtoGg</f>
        <v>5.8268775619947839E-4</v>
      </c>
      <c r="AC1555" s="22">
        <f>Constants!$H71*'Activity data'!AV13*Constants!$H89*FracLEACHMM*MMLeachEF*NtoN2O*kgtoGg</f>
        <v>5.838893945173696E-4</v>
      </c>
      <c r="AD1555" s="22">
        <f>Constants!$H71*'Activity data'!AW13*Constants!$H89*FracLEACHMM*MMLeachEF*NtoN2O*kgtoGg</f>
        <v>5.8499277851090971E-4</v>
      </c>
      <c r="AE1555" s="22">
        <f>Constants!$H71*'Activity data'!AX13*Constants!$H89*FracLEACHMM*MMLeachEF*NtoN2O*kgtoGg</f>
        <v>5.8601696023425276E-4</v>
      </c>
      <c r="AF1555" s="22">
        <f>Constants!$H71*'Activity data'!AY13*Constants!$H89*FracLEACHMM*MMLeachEF*NtoN2O*kgtoGg</f>
        <v>5.8696603148616325E-4</v>
      </c>
      <c r="AG1555" s="22">
        <f>Constants!$H71*'Activity data'!AZ13*Constants!$H89*FracLEACHMM*MMLeachEF*NtoN2O*kgtoGg</f>
        <v>5.8782840452912231E-4</v>
      </c>
      <c r="AH1555" s="22">
        <f>Constants!$H71*'Activity data'!BA13*Constants!$H89*FracLEACHMM*MMLeachEF*NtoN2O*kgtoGg</f>
        <v>5.8861362982731312E-4</v>
      </c>
      <c r="AI1555" s="22">
        <f>Constants!$H71*'Activity data'!BB13*Constants!$H89*FracLEACHMM*MMLeachEF*NtoN2O*kgtoGg</f>
        <v>5.8933613461895486E-4</v>
      </c>
      <c r="AJ1555" s="22">
        <f>Constants!$H71*'Activity data'!BC13*Constants!$H89*FracLEACHMM*MMLeachEF*NtoN2O*kgtoGg</f>
        <v>5.706274212799663E-4</v>
      </c>
      <c r="AK1555" s="22">
        <f>Constants!$H71*'Activity data'!BD13*Constants!$H89*FracLEACHMM*MMLeachEF*NtoN2O*kgtoGg</f>
        <v>5.7134854330306069E-4</v>
      </c>
      <c r="AL1555" s="22">
        <f>Constants!$H71*'Activity data'!BE13*Constants!$H89*FracLEACHMM*MMLeachEF*NtoN2O*kgtoGg</f>
        <v>5.7200511510337268E-4</v>
      </c>
      <c r="AM1555" s="22">
        <f>Constants!$H71*'Activity data'!BF13*Constants!$H89*FracLEACHMM*MMLeachEF*NtoN2O*kgtoGg</f>
        <v>5.7260245045310132E-4</v>
      </c>
      <c r="AN1555" s="22">
        <f>Constants!$H71*'Activity data'!BG13*Constants!$H89*FracLEACHMM*MMLeachEF*NtoN2O*kgtoGg</f>
        <v>5.7314670307798447E-4</v>
      </c>
      <c r="AO1555" s="22">
        <f>Constants!$H71*'Activity data'!BH13*Constants!$H89*FracLEACHMM*MMLeachEF*NtoN2O*kgtoGg</f>
        <v>5.7362242271311709E-4</v>
      </c>
      <c r="AP1555" s="22">
        <f>Constants!$H71*'Activity data'!BI13*Constants!$H89*FracLEACHMM*MMLeachEF*NtoN2O*kgtoGg</f>
        <v>5.7401961480709959E-4</v>
      </c>
      <c r="AQ1555" s="22">
        <f>Constants!$H71*'Activity data'!BJ13*Constants!$H89*FracLEACHMM*MMLeachEF*NtoN2O*kgtoGg</f>
        <v>5.743375496953002E-4</v>
      </c>
      <c r="AR1555" s="22">
        <f>Constants!$H71*'Activity data'!BK13*Constants!$H89*FracLEACHMM*MMLeachEF*NtoN2O*kgtoGg</f>
        <v>5.7456474822570021E-4</v>
      </c>
      <c r="AS1555" s="22">
        <f>Constants!$H71*'Activity data'!BL13*Constants!$H89*FracLEACHMM*MMLeachEF*NtoN2O*kgtoGg</f>
        <v>5.7468870297434124E-4</v>
      </c>
      <c r="AT1555" s="22">
        <f>Constants!$H71*'Activity data'!BM13*Constants!$H89*FracLEACHMM*MMLeachEF*NtoN2O*kgtoGg</f>
        <v>5.7470877432626657E-4</v>
      </c>
      <c r="AU1555" s="22">
        <f>Constants!$H71*'Activity data'!BN13*Constants!$H89*FracLEACHMM*MMLeachEF*NtoN2O*kgtoGg</f>
        <v>5.7462786115959977E-4</v>
      </c>
      <c r="AV1555" s="22">
        <f>Constants!$H71*'Activity data'!BO13*Constants!$H89*FracLEACHMM*MMLeachEF*NtoN2O*kgtoGg</f>
        <v>5.7444822626571555E-4</v>
      </c>
      <c r="AW1555" s="22">
        <f>Constants!$H71*'Activity data'!BP13*Constants!$H89*FracLEACHMM*MMLeachEF*NtoN2O*kgtoGg</f>
        <v>5.7415813453708586E-4</v>
      </c>
    </row>
    <row r="1556" spans="1:49" x14ac:dyDescent="0.25">
      <c r="A1556" s="95" t="s">
        <v>960</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6.6992563985089947E-3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6.8044291009834836E-3</v>
      </c>
      <c r="P1556" s="22">
        <f>Constants!$H72*'Activity data'!AI14*Constants!$H90*FracLEACHMM*MMLeachEF*NtoN2O*kgtoGg</f>
        <v>6.8438891439814974E-3</v>
      </c>
      <c r="Q1556" s="22">
        <f>Constants!$H72*'Activity data'!AJ14*Constants!$H90*FracLEACHMM*MMLeachEF*NtoN2O*kgtoGg</f>
        <v>6.8863566425632575E-3</v>
      </c>
      <c r="R1556" s="22">
        <f>Constants!$H72*'Activity data'!AK14*Constants!$H90*FracLEACHMM*MMLeachEF*NtoN2O*kgtoGg</f>
        <v>6.9316634884048298E-3</v>
      </c>
      <c r="S1556" s="22">
        <f>Constants!$H72*'Activity data'!AL14*Constants!$H90*FracLEACHMM*MMLeachEF*NtoN2O*kgtoGg</f>
        <v>6.914760613489895E-3</v>
      </c>
      <c r="T1556" s="22">
        <f>Constants!$H72*'Activity data'!AM14*Constants!$H90*FracLEACHMM*MMLeachEF*NtoN2O*kgtoGg</f>
        <v>6.9260768022567764E-3</v>
      </c>
      <c r="U1556" s="22">
        <f>Constants!$H72*'Activity data'!AN14*Constants!$H90*FracLEACHMM*MMLeachEF*NtoN2O*kgtoGg</f>
        <v>7.0665048132223995E-3</v>
      </c>
      <c r="V1556" s="22">
        <f>Constants!$H72*'Activity data'!AO14*Constants!$H90*FracLEACHMM*MMLeachEF*NtoN2O*kgtoGg</f>
        <v>7.0728491811622093E-3</v>
      </c>
      <c r="W1556" s="22">
        <f>Constants!$H72*'Activity data'!AP14*Constants!$H90*FracLEACHMM*MMLeachEF*NtoN2O*kgtoGg</f>
        <v>7.0896459824759074E-3</v>
      </c>
      <c r="X1556" s="22">
        <f>Constants!$H72*'Activity data'!AQ14*Constants!$H90*FracLEACHMM*MMLeachEF*NtoN2O*kgtoGg</f>
        <v>7.1123154385922269E-3</v>
      </c>
      <c r="Y1556" s="22">
        <f>Constants!$H72*'Activity data'!AR14*Constants!$H90*FracLEACHMM*MMLeachEF*NtoN2O*kgtoGg</f>
        <v>7.1331064920034711E-3</v>
      </c>
      <c r="Z1556" s="22">
        <f>Constants!$H72*'Activity data'!AS14*Constants!$H90*FracLEACHMM*MMLeachEF*NtoN2O*kgtoGg</f>
        <v>7.1522939641377866E-3</v>
      </c>
      <c r="AA1556" s="22">
        <f>Constants!$H72*'Activity data'!AT14*Constants!$H90*FracLEACHMM*MMLeachEF*NtoN2O*kgtoGg</f>
        <v>7.1698190017015617E-3</v>
      </c>
      <c r="AB1556" s="22">
        <f>Constants!$H72*'Activity data'!AU14*Constants!$H90*FracLEACHMM*MMLeachEF*NtoN2O*kgtoGg</f>
        <v>7.1858615657095356E-3</v>
      </c>
      <c r="AC1556" s="22">
        <f>Constants!$H72*'Activity data'!AV14*Constants!$H90*FracLEACHMM*MMLeachEF*NtoN2O*kgtoGg</f>
        <v>7.2006804914764638E-3</v>
      </c>
      <c r="AD1556" s="22">
        <f>Constants!$H72*'Activity data'!AW14*Constants!$H90*FracLEACHMM*MMLeachEF*NtoN2O*kgtoGg</f>
        <v>7.2142877185840219E-3</v>
      </c>
      <c r="AE1556" s="22">
        <f>Constants!$H72*'Activity data'!AX14*Constants!$H90*FracLEACHMM*MMLeachEF*NtoN2O*kgtoGg</f>
        <v>7.226918202069851E-3</v>
      </c>
      <c r="AF1556" s="22">
        <f>Constants!$H72*'Activity data'!AY14*Constants!$H90*FracLEACHMM*MMLeachEF*NtoN2O*kgtoGg</f>
        <v>7.238622403092889E-3</v>
      </c>
      <c r="AG1556" s="22">
        <f>Constants!$H72*'Activity data'!AZ14*Constants!$H90*FracLEACHMM*MMLeachEF*NtoN2O*kgtoGg</f>
        <v>7.2492574185686288E-3</v>
      </c>
      <c r="AH1556" s="22">
        <f>Constants!$H72*'Activity data'!BA14*Constants!$H90*FracLEACHMM*MMLeachEF*NtoN2O*kgtoGg</f>
        <v>7.2589410273808247E-3</v>
      </c>
      <c r="AI1556" s="22">
        <f>Constants!$H72*'Activity data'!BB14*Constants!$H90*FracLEACHMM*MMLeachEF*NtoN2O*kgtoGg</f>
        <v>7.2678511500975998E-3</v>
      </c>
      <c r="AJ1556" s="22">
        <f>Constants!$H72*'Activity data'!BC14*Constants!$H90*FracLEACHMM*MMLeachEF*NtoN2O*kgtoGg</f>
        <v>7.0371302833964079E-3</v>
      </c>
      <c r="AK1556" s="22">
        <f>Constants!$H72*'Activity data'!BD14*Constants!$H90*FracLEACHMM*MMLeachEF*NtoN2O*kgtoGg</f>
        <v>7.046023353440887E-3</v>
      </c>
      <c r="AL1556" s="22">
        <f>Constants!$H72*'Activity data'!BE14*Constants!$H90*FracLEACHMM*MMLeachEF*NtoN2O*kgtoGg</f>
        <v>7.0541203728390007E-3</v>
      </c>
      <c r="AM1556" s="22">
        <f>Constants!$H72*'Activity data'!BF14*Constants!$H90*FracLEACHMM*MMLeachEF*NtoN2O*kgtoGg</f>
        <v>7.0614868724535639E-3</v>
      </c>
      <c r="AN1556" s="22">
        <f>Constants!$H72*'Activity data'!BG14*Constants!$H90*FracLEACHMM*MMLeachEF*NtoN2O*kgtoGg</f>
        <v>7.0681987416795341E-3</v>
      </c>
      <c r="AO1556" s="22">
        <f>Constants!$H72*'Activity data'!BH14*Constants!$H90*FracLEACHMM*MMLeachEF*NtoN2O*kgtoGg</f>
        <v>7.0740654437095336E-3</v>
      </c>
      <c r="AP1556" s="22">
        <f>Constants!$H72*'Activity data'!BI14*Constants!$H90*FracLEACHMM*MMLeachEF*NtoN2O*kgtoGg</f>
        <v>7.0789637230572406E-3</v>
      </c>
      <c r="AQ1556" s="22">
        <f>Constants!$H72*'Activity data'!BJ14*Constants!$H90*FracLEACHMM*MMLeachEF*NtoN2O*kgtoGg</f>
        <v>7.0828845813028637E-3</v>
      </c>
      <c r="AR1556" s="22">
        <f>Constants!$H72*'Activity data'!BK14*Constants!$H90*FracLEACHMM*MMLeachEF*NtoN2O*kgtoGg</f>
        <v>7.0856864544673794E-3</v>
      </c>
      <c r="AS1556" s="22">
        <f>Constants!$H72*'Activity data'!BL14*Constants!$H90*FracLEACHMM*MMLeachEF*NtoN2O*kgtoGg</f>
        <v>7.0872150976466278E-3</v>
      </c>
      <c r="AT1556" s="22">
        <f>Constants!$H72*'Activity data'!BM14*Constants!$H90*FracLEACHMM*MMLeachEF*NtoN2O*kgtoGg</f>
        <v>7.0874626229375523E-3</v>
      </c>
      <c r="AU1556" s="22">
        <f>Constants!$H72*'Activity data'!BN14*Constants!$H90*FracLEACHMM*MMLeachEF*NtoN2O*kgtoGg</f>
        <v>7.0864647800820552E-3</v>
      </c>
      <c r="AV1556" s="22">
        <f>Constants!$H72*'Activity data'!BO14*Constants!$H90*FracLEACHMM*MMLeachEF*NtoN2O*kgtoGg</f>
        <v>7.084249474429774E-3</v>
      </c>
      <c r="AW1556" s="22">
        <f>Constants!$H72*'Activity data'!BP14*Constants!$H90*FracLEACHMM*MMLeachEF*NtoN2O*kgtoGg</f>
        <v>7.0806719854897525E-3</v>
      </c>
    </row>
    <row r="1557" spans="1:49" x14ac:dyDescent="0.25">
      <c r="A1557" s="95" t="s">
        <v>960</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95" t="s">
        <v>960</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95" t="s">
        <v>960</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2.6875086183165937E-2</v>
      </c>
      <c r="L1559" s="22">
        <f>Constants!$H75*'Activity data'!AE17*Constants!$H93*FracLEACHMM*MMLeachEF*NtoN2O*kgtoGg</f>
        <v>2.6729002214214575E-2</v>
      </c>
      <c r="M1559" s="22">
        <f>Constants!$H75*'Activity data'!AF17*Constants!$H93*FracLEACHMM*MMLeachEF*NtoN2O*kgtoGg</f>
        <v>2.6740992333189318E-2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2.5544514050244028E-2</v>
      </c>
      <c r="Q1559" s="22">
        <f>Constants!$H75*'Activity data'!AJ17*Constants!$H93*FracLEACHMM*MMLeachEF*NtoN2O*kgtoGg</f>
        <v>2.5145143775072754E-2</v>
      </c>
      <c r="R1559" s="22">
        <f>Constants!$H75*'Activity data'!AK17*Constants!$H93*FracLEACHMM*MMLeachEF*NtoN2O*kgtoGg</f>
        <v>2.4781112413324514E-2</v>
      </c>
      <c r="S1559" s="22">
        <f>Constants!$H75*'Activity data'!AL17*Constants!$H93*FracLEACHMM*MMLeachEF*NtoN2O*kgtoGg</f>
        <v>2.2296168964910698E-2</v>
      </c>
      <c r="T1559" s="22">
        <f>Constants!$H75*'Activity data'!AM17*Constants!$H93*FracLEACHMM*MMLeachEF*NtoN2O*kgtoGg</f>
        <v>2.3092324784413296E-2</v>
      </c>
      <c r="U1559" s="22">
        <f>Constants!$H75*'Activity data'!AN17*Constants!$H93*FracLEACHMM*MMLeachEF*NtoN2O*kgtoGg</f>
        <v>7.381503978929195E-2</v>
      </c>
      <c r="V1559" s="22">
        <f>Constants!$H75*'Activity data'!AO17*Constants!$H93*FracLEACHMM*MMLeachEF*NtoN2O*kgtoGg</f>
        <v>7.4017385099882177E-2</v>
      </c>
      <c r="W1559" s="22">
        <f>Constants!$H75*'Activity data'!AP17*Constants!$H93*FracLEACHMM*MMLeachEF*NtoN2O*kgtoGg</f>
        <v>7.4092117158263957E-2</v>
      </c>
      <c r="X1559" s="22">
        <f>Constants!$H75*'Activity data'!AQ17*Constants!$H93*FracLEACHMM*MMLeachEF*NtoN2O*kgtoGg</f>
        <v>7.4042607907806673E-2</v>
      </c>
      <c r="Y1559" s="22">
        <f>Constants!$H75*'Activity data'!AR17*Constants!$H93*FracLEACHMM*MMLeachEF*NtoN2O*kgtoGg</f>
        <v>7.3876326476641427E-2</v>
      </c>
      <c r="Z1559" s="22">
        <f>Constants!$H75*'Activity data'!AS17*Constants!$H93*FracLEACHMM*MMLeachEF*NtoN2O*kgtoGg</f>
        <v>7.3591745464768973E-2</v>
      </c>
      <c r="AA1559" s="22">
        <f>Constants!$H75*'Activity data'!AT17*Constants!$H93*FracLEACHMM*MMLeachEF*NtoN2O*kgtoGg</f>
        <v>7.3188455909713582E-2</v>
      </c>
      <c r="AB1559" s="22">
        <f>Constants!$H75*'Activity data'!AU17*Constants!$H93*FracLEACHMM*MMLeachEF*NtoN2O*kgtoGg</f>
        <v>7.2666495628065958E-2</v>
      </c>
      <c r="AC1559" s="22">
        <f>Constants!$H75*'Activity data'!AV17*Constants!$H93*FracLEACHMM*MMLeachEF*NtoN2O*kgtoGg</f>
        <v>7.2026534081708352E-2</v>
      </c>
      <c r="AD1559" s="22">
        <f>Constants!$H75*'Activity data'!AW17*Constants!$H93*FracLEACHMM*MMLeachEF*NtoN2O*kgtoGg</f>
        <v>7.127021840521014E-2</v>
      </c>
      <c r="AE1559" s="22">
        <f>Constants!$H75*'Activity data'!AX17*Constants!$H93*FracLEACHMM*MMLeachEF*NtoN2O*kgtoGg</f>
        <v>7.0399631702406332E-2</v>
      </c>
      <c r="AF1559" s="22">
        <f>Constants!$H75*'Activity data'!AY17*Constants!$H93*FracLEACHMM*MMLeachEF*NtoN2O*kgtoGg</f>
        <v>6.9417717575292789E-2</v>
      </c>
      <c r="AG1559" s="22">
        <f>Constants!$H75*'Activity data'!AZ17*Constants!$H93*FracLEACHMM*MMLeachEF*NtoN2O*kgtoGg</f>
        <v>6.8328248088529983E-2</v>
      </c>
      <c r="AH1559" s="22">
        <f>Constants!$H75*'Activity data'!BA17*Constants!$H93*FracLEACHMM*MMLeachEF*NtoN2O*kgtoGg</f>
        <v>6.7135309145229499E-2</v>
      </c>
      <c r="AI1559" s="22">
        <f>Constants!$H75*'Activity data'!BB17*Constants!$H93*FracLEACHMM*MMLeachEF*NtoN2O*kgtoGg</f>
        <v>6.58434858478079E-2</v>
      </c>
      <c r="AJ1559" s="22">
        <f>Constants!$H75*'Activity data'!BC17*Constants!$H93*FracLEACHMM*MMLeachEF*NtoN2O*kgtoGg</f>
        <v>-6.1354464297522409E-3</v>
      </c>
      <c r="AK1559" s="22">
        <f>Constants!$H75*'Activity data'!BD17*Constants!$H93*FracLEACHMM*MMLeachEF*NtoN2O*kgtoGg</f>
        <v>-6.0690246210378601E-3</v>
      </c>
      <c r="AL1559" s="22">
        <f>Constants!$H75*'Activity data'!BE17*Constants!$H93*FracLEACHMM*MMLeachEF*NtoN2O*kgtoGg</f>
        <v>-6.0023674842876688E-3</v>
      </c>
      <c r="AM1559" s="22">
        <f>Constants!$H75*'Activity data'!BF17*Constants!$H93*FracLEACHMM*MMLeachEF*NtoN2O*kgtoGg</f>
        <v>-5.9355441730233076E-3</v>
      </c>
      <c r="AN1559" s="22">
        <f>Constants!$H75*'Activity data'!BG17*Constants!$H93*FracLEACHMM*MMLeachEF*NtoN2O*kgtoGg</f>
        <v>-5.868631115229209E-3</v>
      </c>
      <c r="AO1559" s="22">
        <f>Constants!$H75*'Activity data'!BH17*Constants!$H93*FracLEACHMM*MMLeachEF*NtoN2O*kgtoGg</f>
        <v>-5.801450937318208E-3</v>
      </c>
      <c r="AP1559" s="22">
        <f>Constants!$H75*'Activity data'!BI17*Constants!$H93*FracLEACHMM*MMLeachEF*NtoN2O*kgtoGg</f>
        <v>-5.7338989216543417E-3</v>
      </c>
      <c r="AQ1559" s="22">
        <f>Constants!$H75*'Activity data'!BJ17*Constants!$H93*FracLEACHMM*MMLeachEF*NtoN2O*kgtoGg</f>
        <v>-5.665981593784182E-3</v>
      </c>
      <c r="AR1559" s="22">
        <f>Constants!$H75*'Activity data'!BK17*Constants!$H93*FracLEACHMM*MMLeachEF*NtoN2O*kgtoGg</f>
        <v>-5.5975864031876984E-3</v>
      </c>
      <c r="AS1559" s="22">
        <f>Constants!$H75*'Activity data'!BL17*Constants!$H93*FracLEACHMM*MMLeachEF*NtoN2O*kgtoGg</f>
        <v>-5.528596592882417E-3</v>
      </c>
      <c r="AT1559" s="22">
        <f>Constants!$H75*'Activity data'!BM17*Constants!$H93*FracLEACHMM*MMLeachEF*NtoN2O*kgtoGg</f>
        <v>-5.459031743402367E-3</v>
      </c>
      <c r="AU1559" s="22">
        <f>Constants!$H75*'Activity data'!BN17*Constants!$H93*FracLEACHMM*MMLeachEF*NtoN2O*kgtoGg</f>
        <v>-5.3889497419228856E-3</v>
      </c>
      <c r="AV1559" s="22">
        <f>Constants!$H75*'Activity data'!BO17*Constants!$H93*FracLEACHMM*MMLeachEF*NtoN2O*kgtoGg</f>
        <v>-5.3184001043520557E-3</v>
      </c>
      <c r="AW1559" s="22">
        <f>Constants!$H75*'Activity data'!BP17*Constants!$H93*FracLEACHMM*MMLeachEF*NtoN2O*kgtoGg</f>
        <v>-5.2472851582702085E-3</v>
      </c>
    </row>
    <row r="1560" spans="1:49" x14ac:dyDescent="0.25">
      <c r="A1560" s="95" t="s">
        <v>960</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3.9947810410006978E-3</v>
      </c>
      <c r="M1560" s="22">
        <f>Constants!$H76*'Activity data'!AF18*Constants!$H94*FracLEACHMM*MMLeachEF*NtoN2O*kgtoGg</f>
        <v>3.9965730233416695E-3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3.8177534504158584E-3</v>
      </c>
      <c r="Q1560" s="22">
        <f>Constants!$H76*'Activity data'!AJ18*Constants!$H94*FracLEACHMM*MMLeachEF*NtoN2O*kgtoGg</f>
        <v>3.7580655955978047E-3</v>
      </c>
      <c r="R1560" s="22">
        <f>Constants!$H76*'Activity data'!AK18*Constants!$H94*FracLEACHMM*MMLeachEF*NtoN2O*kgtoGg</f>
        <v>3.7036593154610871E-3</v>
      </c>
      <c r="S1560" s="22">
        <f>Constants!$H76*'Activity data'!AL18*Constants!$H94*FracLEACHMM*MMLeachEF*NtoN2O*kgtoGg</f>
        <v>3.3322722769129989E-3</v>
      </c>
      <c r="T1560" s="22">
        <f>Constants!$H76*'Activity data'!AM18*Constants!$H94*FracLEACHMM*MMLeachEF*NtoN2O*kgtoGg</f>
        <v>3.4512616857933645E-3</v>
      </c>
      <c r="U1560" s="22">
        <f>Constants!$H76*'Activity data'!AN18*Constants!$H94*FracLEACHMM*MMLeachEF*NtoN2O*kgtoGg</f>
        <v>1.1032021290123588E-2</v>
      </c>
      <c r="V1560" s="22">
        <f>Constants!$H76*'Activity data'!AO18*Constants!$H94*FracLEACHMM*MMLeachEF*NtoN2O*kgtoGg</f>
        <v>1.1062262793491467E-2</v>
      </c>
      <c r="W1560" s="22">
        <f>Constants!$H76*'Activity data'!AP18*Constants!$H94*FracLEACHMM*MMLeachEF*NtoN2O*kgtoGg</f>
        <v>1.1073431867727232E-2</v>
      </c>
      <c r="X1560" s="22">
        <f>Constants!$H76*'Activity data'!AQ18*Constants!$H94*FracLEACHMM*MMLeachEF*NtoN2O*kgtoGg</f>
        <v>1.106603246637675E-2</v>
      </c>
      <c r="Y1560" s="22">
        <f>Constants!$H76*'Activity data'!AR18*Constants!$H94*FracLEACHMM*MMLeachEF*NtoN2O*kgtoGg</f>
        <v>1.1041180887430186E-2</v>
      </c>
      <c r="Z1560" s="22">
        <f>Constants!$H76*'Activity data'!AS18*Constants!$H94*FracLEACHMM*MMLeachEF*NtoN2O*kgtoGg</f>
        <v>1.0998648853434082E-2</v>
      </c>
      <c r="AA1560" s="22">
        <f>Constants!$H76*'Activity data'!AT18*Constants!$H94*FracLEACHMM*MMLeachEF*NtoN2O*kgtoGg</f>
        <v>1.0938375242931999E-2</v>
      </c>
      <c r="AB1560" s="22">
        <f>Constants!$H76*'Activity data'!AU18*Constants!$H94*FracLEACHMM*MMLeachEF*NtoN2O*kgtoGg</f>
        <v>1.0860365707799692E-2</v>
      </c>
      <c r="AC1560" s="22">
        <f>Constants!$H76*'Activity data'!AV18*Constants!$H94*FracLEACHMM*MMLeachEF*NtoN2O*kgtoGg</f>
        <v>1.0764720302413055E-2</v>
      </c>
      <c r="AD1560" s="22">
        <f>Constants!$H76*'Activity data'!AW18*Constants!$H94*FracLEACHMM*MMLeachEF*NtoN2O*kgtoGg</f>
        <v>1.0651685199146835E-2</v>
      </c>
      <c r="AE1560" s="22">
        <f>Constants!$H76*'Activity data'!AX18*Constants!$H94*FracLEACHMM*MMLeachEF*NtoN2O*kgtoGg</f>
        <v>1.0521571728130012E-2</v>
      </c>
      <c r="AF1560" s="22">
        <f>Constants!$H76*'Activity data'!AY18*Constants!$H94*FracLEACHMM*MMLeachEF*NtoN2O*kgtoGg</f>
        <v>1.0374819825180263E-2</v>
      </c>
      <c r="AG1560" s="22">
        <f>Constants!$H76*'Activity data'!AZ18*Constants!$H94*FracLEACHMM*MMLeachEF*NtoN2O*kgtoGg</f>
        <v>1.0211993243941318E-2</v>
      </c>
      <c r="AH1560" s="22">
        <f>Constants!$H76*'Activity data'!BA18*Constants!$H94*FracLEACHMM*MMLeachEF*NtoN2O*kgtoGg</f>
        <v>1.0033702642759285E-2</v>
      </c>
      <c r="AI1560" s="22">
        <f>Constants!$H76*'Activity data'!BB18*Constants!$H94*FracLEACHMM*MMLeachEF*NtoN2O*kgtoGg</f>
        <v>9.8406332877753449E-3</v>
      </c>
      <c r="AJ1560" s="22">
        <f>Constants!$H76*'Activity data'!BC18*Constants!$H94*FracLEACHMM*MMLeachEF*NtoN2O*kgtoGg</f>
        <v>-9.1697269053370395E-4</v>
      </c>
      <c r="AK1560" s="22">
        <f>Constants!$H76*'Activity data'!BD18*Constants!$H94*FracLEACHMM*MMLeachEF*NtoN2O*kgtoGg</f>
        <v>-9.0704562404485191E-4</v>
      </c>
      <c r="AL1560" s="22">
        <f>Constants!$H76*'Activity data'!BE18*Constants!$H94*FracLEACHMM*MMLeachEF*NtoN2O*kgtoGg</f>
        <v>-8.970833866218835E-4</v>
      </c>
      <c r="AM1560" s="22">
        <f>Constants!$H76*'Activity data'!BF18*Constants!$H94*FracLEACHMM*MMLeachEF*NtoN2O*kgtoGg</f>
        <v>-8.870963135992402E-4</v>
      </c>
      <c r="AN1560" s="22">
        <f>Constants!$H76*'Activity data'!BG18*Constants!$H94*FracLEACHMM*MMLeachEF*NtoN2O*kgtoGg</f>
        <v>-8.7709582751565934E-4</v>
      </c>
      <c r="AO1560" s="22">
        <f>Constants!$H76*'Activity data'!BH18*Constants!$H94*FracLEACHMM*MMLeachEF*NtoN2O*kgtoGg</f>
        <v>-8.6705541901484369E-4</v>
      </c>
      <c r="AP1560" s="22">
        <f>Constants!$H76*'Activity data'!BI18*Constants!$H94*FracLEACHMM*MMLeachEF*NtoN2O*kgtoGg</f>
        <v>-8.5695943753028676E-4</v>
      </c>
      <c r="AQ1560" s="22">
        <f>Constants!$H76*'Activity data'!BJ18*Constants!$H94*FracLEACHMM*MMLeachEF*NtoN2O*kgtoGg</f>
        <v>-8.4680885833706668E-4</v>
      </c>
      <c r="AR1560" s="22">
        <f>Constants!$H76*'Activity data'!BK18*Constants!$H94*FracLEACHMM*MMLeachEF*NtoN2O*kgtoGg</f>
        <v>-8.3658686020557013E-4</v>
      </c>
      <c r="AS1560" s="22">
        <f>Constants!$H76*'Activity data'!BL18*Constants!$H94*FracLEACHMM*MMLeachEF*NtoN2O*kgtoGg</f>
        <v>-8.2627599322965283E-4</v>
      </c>
      <c r="AT1560" s="22">
        <f>Constants!$H76*'Activity data'!BM18*Constants!$H94*FracLEACHMM*MMLeachEF*NtoN2O*kgtoGg</f>
        <v>-8.1587918381657311E-4</v>
      </c>
      <c r="AU1560" s="22">
        <f>Constants!$H76*'Activity data'!BN18*Constants!$H94*FracLEACHMM*MMLeachEF*NtoN2O*kgtoGg</f>
        <v>-8.0540508348982262E-4</v>
      </c>
      <c r="AV1560" s="22">
        <f>Constants!$H76*'Activity data'!BO18*Constants!$H94*FracLEACHMM*MMLeachEF*NtoN2O*kgtoGg</f>
        <v>-7.9486109264576715E-4</v>
      </c>
      <c r="AW1560" s="22">
        <f>Constants!$H76*'Activity data'!BP18*Constants!$H94*FracLEACHMM*MMLeachEF*NtoN2O*kgtoGg</f>
        <v>-7.8423261366017795E-4</v>
      </c>
    </row>
    <row r="1561" spans="1:49" x14ac:dyDescent="0.25">
      <c r="A1561" s="95" t="s">
        <v>960</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1.6726645268412749E-2</v>
      </c>
      <c r="L1561" s="22">
        <f>Constants!$H77*'Activity data'!AE19*Constants!$H95*FracLEACHMM*MMLeachEF*NtoN2O*kgtoGg</f>
        <v>1.7066731126843742E-2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1.8197780265539368E-2</v>
      </c>
      <c r="Q1561" s="22">
        <f>Constants!$H77*'Activity data'!AJ19*Constants!$H95*FracLEACHMM*MMLeachEF*NtoN2O*kgtoGg</f>
        <v>1.8432867891885713E-2</v>
      </c>
      <c r="R1561" s="22">
        <f>Constants!$H77*'Activity data'!AK19*Constants!$H95*FracLEACHMM*MMLeachEF*NtoN2O*kgtoGg</f>
        <v>1.8677293946611211E-2</v>
      </c>
      <c r="S1561" s="22">
        <f>Constants!$H77*'Activity data'!AL19*Constants!$H95*FracLEACHMM*MMLeachEF*NtoN2O*kgtoGg</f>
        <v>1.7940997011567712E-2</v>
      </c>
      <c r="T1561" s="22">
        <f>Constants!$H77*'Activity data'!AM19*Constants!$H95*FracLEACHMM*MMLeachEF*NtoN2O*kgtoGg</f>
        <v>1.8599101618187692E-2</v>
      </c>
      <c r="U1561" s="22">
        <f>Constants!$H77*'Activity data'!AN19*Constants!$H95*FracLEACHMM*MMLeachEF*NtoN2O*kgtoGg</f>
        <v>4.1335323674744497E-2</v>
      </c>
      <c r="V1561" s="22">
        <f>Constants!$H77*'Activity data'!AO19*Constants!$H95*FracLEACHMM*MMLeachEF*NtoN2O*kgtoGg</f>
        <v>4.2244056956773843E-2</v>
      </c>
      <c r="W1561" s="22">
        <f>Constants!$H77*'Activity data'!AP19*Constants!$H95*FracLEACHMM*MMLeachEF*NtoN2O*kgtoGg</f>
        <v>4.3115523568410363E-2</v>
      </c>
      <c r="X1561" s="22">
        <f>Constants!$H77*'Activity data'!AQ19*Constants!$H95*FracLEACHMM*MMLeachEF*NtoN2O*kgtoGg</f>
        <v>4.3942027126697474E-2</v>
      </c>
      <c r="Y1561" s="22">
        <f>Constants!$H77*'Activity data'!AR19*Constants!$H95*FracLEACHMM*MMLeachEF*NtoN2O*kgtoGg</f>
        <v>4.4713130877516903E-2</v>
      </c>
      <c r="Z1561" s="22">
        <f>Constants!$H77*'Activity data'!AS19*Constants!$H95*FracLEACHMM*MMLeachEF*NtoN2O*kgtoGg</f>
        <v>4.5425464748643458E-2</v>
      </c>
      <c r="AA1561" s="22">
        <f>Constants!$H77*'Activity data'!AT19*Constants!$H95*FracLEACHMM*MMLeachEF*NtoN2O*kgtoGg</f>
        <v>4.6075599059895E-2</v>
      </c>
      <c r="AB1561" s="22">
        <f>Constants!$H77*'Activity data'!AU19*Constants!$H95*FracLEACHMM*MMLeachEF*NtoN2O*kgtoGg</f>
        <v>4.666057526853875E-2</v>
      </c>
      <c r="AC1561" s="22">
        <f>Constants!$H77*'Activity data'!AV19*Constants!$H95*FracLEACHMM*MMLeachEF*NtoN2O*kgtoGg</f>
        <v>4.7177797153361963E-2</v>
      </c>
      <c r="AD1561" s="22">
        <f>Constants!$H77*'Activity data'!AW19*Constants!$H95*FracLEACHMM*MMLeachEF*NtoN2O*kgtoGg</f>
        <v>4.762476340679795E-2</v>
      </c>
      <c r="AE1561" s="22">
        <f>Constants!$H77*'Activity data'!AX19*Constants!$H95*FracLEACHMM*MMLeachEF*NtoN2O*kgtoGg</f>
        <v>4.7999511889239711E-2</v>
      </c>
      <c r="AF1561" s="22">
        <f>Constants!$H77*'Activity data'!AY19*Constants!$H95*FracLEACHMM*MMLeachEF*NtoN2O*kgtoGg</f>
        <v>4.8300272482139597E-2</v>
      </c>
      <c r="AG1561" s="22">
        <f>Constants!$H77*'Activity data'!AZ19*Constants!$H95*FracLEACHMM*MMLeachEF*NtoN2O*kgtoGg</f>
        <v>4.8525470849872195E-2</v>
      </c>
      <c r="AH1561" s="22">
        <f>Constants!$H77*'Activity data'!BA19*Constants!$H95*FracLEACHMM*MMLeachEF*NtoN2O*kgtoGg</f>
        <v>4.8674159183630092E-2</v>
      </c>
      <c r="AI1561" s="22">
        <f>Constants!$H77*'Activity data'!BB19*Constants!$H95*FracLEACHMM*MMLeachEF*NtoN2O*kgtoGg</f>
        <v>4.8745846953258828E-2</v>
      </c>
      <c r="AJ1561" s="22">
        <f>Constants!$H77*'Activity data'!BC19*Constants!$H95*FracLEACHMM*MMLeachEF*NtoN2O*kgtoGg</f>
        <v>6.3546724312553964E-3</v>
      </c>
      <c r="AK1561" s="22">
        <f>Constants!$H77*'Activity data'!BD19*Constants!$H95*FracLEACHMM*MMLeachEF*NtoN2O*kgtoGg</f>
        <v>6.4013115626169702E-3</v>
      </c>
      <c r="AL1561" s="22">
        <f>Constants!$H77*'Activity data'!BE19*Constants!$H95*FracLEACHMM*MMLeachEF*NtoN2O*kgtoGg</f>
        <v>6.446794570043473E-3</v>
      </c>
      <c r="AM1561" s="22">
        <f>Constants!$H77*'Activity data'!BF19*Constants!$H95*FracLEACHMM*MMLeachEF*NtoN2O*kgtoGg</f>
        <v>6.4911899708581184E-3</v>
      </c>
      <c r="AN1561" s="22">
        <f>Constants!$H77*'Activity data'!BG19*Constants!$H95*FracLEACHMM*MMLeachEF*NtoN2O*kgtoGg</f>
        <v>6.5345767491159093E-3</v>
      </c>
      <c r="AO1561" s="22">
        <f>Constants!$H77*'Activity data'!BH19*Constants!$H95*FracLEACHMM*MMLeachEF*NtoN2O*kgtoGg</f>
        <v>6.5767770115873272E-3</v>
      </c>
      <c r="AP1561" s="22">
        <f>Constants!$H77*'Activity data'!BI19*Constants!$H95*FracLEACHMM*MMLeachEF*NtoN2O*kgtoGg</f>
        <v>6.6176736088844742E-3</v>
      </c>
      <c r="AQ1561" s="22">
        <f>Constants!$H77*'Activity data'!BJ19*Constants!$H95*FracLEACHMM*MMLeachEF*NtoN2O*kgtoGg</f>
        <v>6.6572579134014679E-3</v>
      </c>
      <c r="AR1561" s="22">
        <f>Constants!$H77*'Activity data'!BK19*Constants!$H95*FracLEACHMM*MMLeachEF*NtoN2O*kgtoGg</f>
        <v>6.6953903792422425E-3</v>
      </c>
      <c r="AS1561" s="22">
        <f>Constants!$H77*'Activity data'!BL19*Constants!$H95*FracLEACHMM*MMLeachEF*NtoN2O*kgtoGg</f>
        <v>6.7319156561258262E-3</v>
      </c>
      <c r="AT1561" s="22">
        <f>Constants!$H77*'Activity data'!BM19*Constants!$H95*FracLEACHMM*MMLeachEF*NtoN2O*kgtoGg</f>
        <v>6.7668201581545509E-3</v>
      </c>
      <c r="AU1561" s="22">
        <f>Constants!$H77*'Activity data'!BN19*Constants!$H95*FracLEACHMM*MMLeachEF*NtoN2O*kgtoGg</f>
        <v>6.8001333252020657E-3</v>
      </c>
      <c r="AV1561" s="22">
        <f>Constants!$H77*'Activity data'!BO19*Constants!$H95*FracLEACHMM*MMLeachEF*NtoN2O*kgtoGg</f>
        <v>6.8318771364297487E-3</v>
      </c>
      <c r="AW1561" s="22">
        <f>Constants!$H77*'Activity data'!BP19*Constants!$H95*FracLEACHMM*MMLeachEF*NtoN2O*kgtoGg</f>
        <v>6.8619001030845884E-3</v>
      </c>
    </row>
    <row r="1562" spans="1:49" x14ac:dyDescent="0.25">
      <c r="A1562" s="95" t="s">
        <v>960</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7.7585797913229351E-2</v>
      </c>
      <c r="L1562" s="22">
        <f>Constants!$H78*'Activity data'!AE20*Constants!$H96*FracLEACHMM*MMLeachEF*NtoN2O*kgtoGg</f>
        <v>7.8607464197542484E-2</v>
      </c>
      <c r="M1562" s="22">
        <f>Constants!$H78*'Activity data'!AF20*Constants!$H96*FracLEACHMM*MMLeachEF*NtoN2O*kgtoGg</f>
        <v>8.0248553313821205E-2</v>
      </c>
      <c r="N1562" s="22">
        <f>Constants!$H78*'Activity data'!AG20*Constants!$H96*FracLEACHMM*MMLeachEF*NtoN2O*kgtoGg</f>
        <v>8.0719757945382303E-2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7.8944464359385638E-2</v>
      </c>
      <c r="R1562" s="22">
        <f>Constants!$H78*'Activity data'!AK20*Constants!$H96*FracLEACHMM*MMLeachEF*NtoN2O*kgtoGg</f>
        <v>7.8604018955287347E-2</v>
      </c>
      <c r="S1562" s="22">
        <f>Constants!$H78*'Activity data'!AL20*Constants!$H96*FracLEACHMM*MMLeachEF*NtoN2O*kgtoGg</f>
        <v>6.8551548491341041E-2</v>
      </c>
      <c r="T1562" s="22">
        <f>Constants!$H78*'Activity data'!AM20*Constants!$H96*FracLEACHMM*MMLeachEF*NtoN2O*kgtoGg</f>
        <v>7.3739546332348721E-2</v>
      </c>
      <c r="U1562" s="22">
        <f>Constants!$H78*'Activity data'!AN20*Constants!$H96*FracLEACHMM*MMLeachEF*NtoN2O*kgtoGg</f>
        <v>0.32063801867343739</v>
      </c>
      <c r="V1562" s="22">
        <f>Constants!$H78*'Activity data'!AO20*Constants!$H96*FracLEACHMM*MMLeachEF*NtoN2O*kgtoGg</f>
        <v>0.3263865261169076</v>
      </c>
      <c r="W1562" s="22">
        <f>Constants!$H78*'Activity data'!AP20*Constants!$H96*FracLEACHMM*MMLeachEF*NtoN2O*kgtoGg</f>
        <v>0.3314934571329114</v>
      </c>
      <c r="X1562" s="22">
        <f>Constants!$H78*'Activity data'!AQ20*Constants!$H96*FracLEACHMM*MMLeachEF*NtoN2O*kgtoGg</f>
        <v>0.33598061783359728</v>
      </c>
      <c r="Y1562" s="22">
        <f>Constants!$H78*'Activity data'!AR20*Constants!$H96*FracLEACHMM*MMLeachEF*NtoN2O*kgtoGg</f>
        <v>0.33990898947079762</v>
      </c>
      <c r="Z1562" s="22">
        <f>Constants!$H78*'Activity data'!AS20*Constants!$H96*FracLEACHMM*MMLeachEF*NtoN2O*kgtoGg</f>
        <v>0.3432491056284519</v>
      </c>
      <c r="AA1562" s="22">
        <f>Constants!$H78*'Activity data'!AT20*Constants!$H96*FracLEACHMM*MMLeachEF*NtoN2O*kgtoGg</f>
        <v>0.345978344064029</v>
      </c>
      <c r="AB1562" s="22">
        <f>Constants!$H78*'Activity data'!AU20*Constants!$H96*FracLEACHMM*MMLeachEF*NtoN2O*kgtoGg</f>
        <v>0.34807446920762175</v>
      </c>
      <c r="AC1562" s="22">
        <f>Constants!$H78*'Activity data'!AV20*Constants!$H96*FracLEACHMM*MMLeachEF*NtoN2O*kgtoGg</f>
        <v>0.34951764979405581</v>
      </c>
      <c r="AD1562" s="22">
        <f>Constants!$H78*'Activity data'!AW20*Constants!$H96*FracLEACHMM*MMLeachEF*NtoN2O*kgtoGg</f>
        <v>0.35029436297093797</v>
      </c>
      <c r="AE1562" s="22">
        <f>Constants!$H78*'Activity data'!AX20*Constants!$H96*FracLEACHMM*MMLeachEF*NtoN2O*kgtoGg</f>
        <v>0.3503920713528586</v>
      </c>
      <c r="AF1562" s="22">
        <f>Constants!$H78*'Activity data'!AY20*Constants!$H96*FracLEACHMM*MMLeachEF*NtoN2O*kgtoGg</f>
        <v>0.34980401942204614</v>
      </c>
      <c r="AG1562" s="22">
        <f>Constants!$H78*'Activity data'!AZ20*Constants!$H96*FracLEACHMM*MMLeachEF*NtoN2O*kgtoGg</f>
        <v>0.34852938630195235</v>
      </c>
      <c r="AH1562" s="22">
        <f>Constants!$H78*'Activity data'!BA20*Constants!$H96*FracLEACHMM*MMLeachEF*NtoN2O*kgtoGg</f>
        <v>0.34656807266355577</v>
      </c>
      <c r="AI1562" s="22">
        <f>Constants!$H78*'Activity data'!BB20*Constants!$H96*FracLEACHMM*MMLeachEF*NtoN2O*kgtoGg</f>
        <v>0.34392301643743828</v>
      </c>
      <c r="AJ1562" s="22">
        <f>Constants!$H78*'Activity data'!BC20*Constants!$H96*FracLEACHMM*MMLeachEF*NtoN2O*kgtoGg</f>
        <v>-7.3441689918994316E-2</v>
      </c>
      <c r="AK1562" s="22">
        <f>Constants!$H78*'Activity data'!BD20*Constants!$H96*FracLEACHMM*MMLeachEF*NtoN2O*kgtoGg</f>
        <v>-7.3545621673456185E-2</v>
      </c>
      <c r="AL1562" s="22">
        <f>Constants!$H78*'Activity data'!BE20*Constants!$H96*FracLEACHMM*MMLeachEF*NtoN2O*kgtoGg</f>
        <v>-7.3639730110431498E-2</v>
      </c>
      <c r="AM1562" s="22">
        <f>Constants!$H78*'Activity data'!BF20*Constants!$H96*FracLEACHMM*MMLeachEF*NtoN2O*kgtoGg</f>
        <v>-7.3724815505769356E-2</v>
      </c>
      <c r="AN1562" s="22">
        <f>Constants!$H78*'Activity data'!BG20*Constants!$H96*FracLEACHMM*MMLeachEF*NtoN2O*kgtoGg</f>
        <v>-7.3801792793217899E-2</v>
      </c>
      <c r="AO1562" s="22">
        <f>Constants!$H78*'Activity data'!BH20*Constants!$H96*FracLEACHMM*MMLeachEF*NtoN2O*kgtoGg</f>
        <v>-7.386851362361406E-2</v>
      </c>
      <c r="AP1562" s="22">
        <f>Constants!$H78*'Activity data'!BI20*Constants!$H96*FracLEACHMM*MMLeachEF*NtoN2O*kgtoGg</f>
        <v>-7.3923604247027361E-2</v>
      </c>
      <c r="AQ1562" s="22">
        <f>Constants!$H78*'Activity data'!BJ20*Constants!$H96*FracLEACHMM*MMLeachEF*NtoN2O*kgtoGg</f>
        <v>-7.3967002295391979E-2</v>
      </c>
      <c r="AR1562" s="22">
        <f>Constants!$H78*'Activity data'!BK20*Constants!$H96*FracLEACHMM*MMLeachEF*NtoN2O*kgtoGg</f>
        <v>-7.3997124044251614E-2</v>
      </c>
      <c r="AS1562" s="22">
        <f>Constants!$H78*'Activity data'!BL20*Constants!$H96*FracLEACHMM*MMLeachEF*NtoN2O*kgtoGg</f>
        <v>-7.4012242065131795E-2</v>
      </c>
      <c r="AT1562" s="22">
        <f>Constants!$H78*'Activity data'!BM20*Constants!$H96*FracLEACHMM*MMLeachEF*NtoN2O*kgtoGg</f>
        <v>-7.4012306856669818E-2</v>
      </c>
      <c r="AU1562" s="22">
        <f>Constants!$H78*'Activity data'!BN20*Constants!$H96*FracLEACHMM*MMLeachEF*NtoN2O*kgtoGg</f>
        <v>-7.3997766932053066E-2</v>
      </c>
      <c r="AV1562" s="22">
        <f>Constants!$H78*'Activity data'!BO20*Constants!$H96*FracLEACHMM*MMLeachEF*NtoN2O*kgtoGg</f>
        <v>-7.3968978731960316E-2</v>
      </c>
      <c r="AW1562" s="22">
        <f>Constants!$H78*'Activity data'!BP20*Constants!$H96*FracLEACHMM*MMLeachEF*NtoN2O*kgtoGg</f>
        <v>-7.3924322860586755E-2</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5546875" defaultRowHeight="15" x14ac:dyDescent="0.25"/>
  <cols>
    <col min="1" max="3" width="9.140625" style="96"/>
    <col min="4" max="4" width="34.42578125" customWidth="1"/>
    <col min="5" max="5" width="37" customWidth="1"/>
    <col min="6" max="6" width="27.42578125" customWidth="1"/>
    <col min="7" max="7" width="7.42578125" customWidth="1"/>
    <col min="8" max="8" width="26.140625" customWidth="1"/>
    <col min="9" max="36" width="9.7109375" customWidth="1"/>
    <col min="37" max="37" width="9.42578125" customWidth="1"/>
    <col min="52" max="53" width="9.42578125" customWidth="1"/>
    <col min="54" max="54" width="9.7109375" customWidth="1"/>
  </cols>
  <sheetData>
    <row r="1" spans="1:75" ht="18.75" x14ac:dyDescent="0.3">
      <c r="D1" s="1" t="s">
        <v>312</v>
      </c>
    </row>
    <row r="3" spans="1:75" s="19" customFormat="1" ht="15.75" x14ac:dyDescent="0.25">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1171.2651160486198</v>
      </c>
      <c r="AF4" s="40">
        <f t="shared" si="0"/>
        <v>1166.5593957177311</v>
      </c>
      <c r="AG4" s="40">
        <f t="shared" si="0"/>
        <v>1166.8343107149292</v>
      </c>
      <c r="AH4" s="40">
        <f t="shared" si="0"/>
        <v>1158.6000321770466</v>
      </c>
      <c r="AI4" s="40">
        <f t="shared" si="0"/>
        <v>1145.2621528294474</v>
      </c>
      <c r="AJ4" s="40">
        <f t="shared" si="0"/>
        <v>1127.1134954870124</v>
      </c>
      <c r="AK4" s="40">
        <f t="shared" si="0"/>
        <v>1113.6808905305425</v>
      </c>
      <c r="AL4" s="40">
        <f t="shared" si="0"/>
        <v>1101.2673361670932</v>
      </c>
      <c r="AM4" s="40">
        <f t="shared" si="0"/>
        <v>1018.7114065241609</v>
      </c>
      <c r="AN4" s="40">
        <f t="shared" si="0"/>
        <v>1048.289687517527</v>
      </c>
      <c r="AO4" s="40">
        <f t="shared" ref="AO4:BQ4" si="1">SUM(AO5:AO10)</f>
        <v>2668.1939105989363</v>
      </c>
      <c r="AP4" s="40">
        <f t="shared" si="1"/>
        <v>2685.1292460272171</v>
      </c>
      <c r="AQ4" s="40">
        <f t="shared" si="1"/>
        <v>2698.3514782096568</v>
      </c>
      <c r="AR4" s="40">
        <f t="shared" si="1"/>
        <v>2707.7082264371666</v>
      </c>
      <c r="AS4" s="40">
        <f t="shared" si="1"/>
        <v>2713.0271864174897</v>
      </c>
      <c r="AT4" s="40">
        <f t="shared" si="1"/>
        <v>2714.2488135956564</v>
      </c>
      <c r="AU4" s="40">
        <f t="shared" si="1"/>
        <v>2711.3321626285178</v>
      </c>
      <c r="AV4" s="40">
        <f t="shared" si="1"/>
        <v>2704.2619300379906</v>
      </c>
      <c r="AW4" s="40">
        <f t="shared" si="1"/>
        <v>2693.0467344153876</v>
      </c>
      <c r="AX4" s="40">
        <f t="shared" si="1"/>
        <v>2661.0786638174359</v>
      </c>
      <c r="AY4" s="40">
        <f t="shared" si="1"/>
        <v>2625.1363219769319</v>
      </c>
      <c r="AZ4" s="40">
        <f t="shared" si="1"/>
        <v>2585.3786298574178</v>
      </c>
      <c r="BA4" s="40">
        <f t="shared" si="1"/>
        <v>2541.9825520676022</v>
      </c>
      <c r="BB4" s="40">
        <f t="shared" si="1"/>
        <v>2495.1477282016913</v>
      </c>
      <c r="BC4" s="40">
        <f t="shared" si="1"/>
        <v>2445.0922581112541</v>
      </c>
      <c r="BD4" s="40">
        <f t="shared" si="1"/>
        <v>136.36161855406263</v>
      </c>
      <c r="BE4" s="40">
        <f t="shared" si="1"/>
        <v>139.8288267456106</v>
      </c>
      <c r="BF4" s="40">
        <f t="shared" si="1"/>
        <v>143.24360549731341</v>
      </c>
      <c r="BG4" s="40">
        <f t="shared" si="1"/>
        <v>146.60781720158934</v>
      </c>
      <c r="BH4" s="40">
        <f t="shared" si="1"/>
        <v>149.30294333755634</v>
      </c>
      <c r="BI4" s="40">
        <f t="shared" si="1"/>
        <v>151.95363191360747</v>
      </c>
      <c r="BJ4" s="40">
        <f t="shared" si="1"/>
        <v>154.55810107506414</v>
      </c>
      <c r="BK4" s="40">
        <f t="shared" si="1"/>
        <v>157.11647593309581</v>
      </c>
      <c r="BL4" s="40">
        <f t="shared" si="1"/>
        <v>159.62640531091944</v>
      </c>
      <c r="BM4" s="40">
        <f t="shared" si="1"/>
        <v>162.08514015873246</v>
      </c>
      <c r="BN4" s="40">
        <f t="shared" si="1"/>
        <v>164.49250492379483</v>
      </c>
      <c r="BO4" s="40">
        <f t="shared" si="1"/>
        <v>166.84911458564844</v>
      </c>
      <c r="BP4" s="40">
        <f t="shared" si="1"/>
        <v>169.15543755908917</v>
      </c>
      <c r="BQ4" s="40">
        <f t="shared" si="1"/>
        <v>171.40859658402198</v>
      </c>
    </row>
    <row r="5" spans="1:75" x14ac:dyDescent="0.25">
      <c r="A5" s="95" t="str">
        <f>B5&amp;" "&amp;C5</f>
        <v>FSFAGSPQNIBDDSCM Cattle</v>
      </c>
      <c r="B5" s="95" t="s">
        <v>1375</v>
      </c>
      <c r="C5" s="95" t="s">
        <v>1108</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977.4832471049433</v>
      </c>
      <c r="AF5" s="94">
        <f>IF($A5="Baseline",'Emissions summary'!AC5,SUMIF('Net zero emission reductions'!$A$4:$A$1448,$A$5,'Net zero emission reductions'!L$4:L$1448))</f>
        <v>972.58505850583788</v>
      </c>
      <c r="AG5" s="94">
        <f>IF($A5="Baseline",'Emissions summary'!AD5,SUMIF('Net zero emission reductions'!$A$4:$A$1448,$A$5,'Net zero emission reductions'!M$4:M$1448))</f>
        <v>972.49373775284243</v>
      </c>
      <c r="AH5" s="94">
        <f>IF($A5="Baseline",'Emissions summary'!AE5,SUMIF('Net zero emission reductions'!$A$4:$A$1448,$A$5,'Net zero emission reductions'!N$4:N$1448))</f>
        <v>963.8258890853682</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931.22387023867623</v>
      </c>
      <c r="AK5" s="94">
        <f>IF($A5="Baseline",'Emissions summary'!AH5,SUMIF('Net zero emission reductions'!$A$4:$A$1448,$A$5,'Net zero emission reductions'!Q$4:Q$1448))</f>
        <v>917.0943260670341</v>
      </c>
      <c r="AL5" s="94">
        <f>IF($A5="Baseline",'Emissions summary'!AI5,SUMIF('Net zero emission reductions'!$A$4:$A$1448,$A$5,'Net zero emission reductions'!R$4:R$1448))</f>
        <v>903.91074691874087</v>
      </c>
      <c r="AM5" s="94">
        <f>IF($A5="Baseline",'Emissions summary'!AJ5,SUMIF('Net zero emission reductions'!$A$4:$A$1448,$A$5,'Net zero emission reductions'!S$4:S$1448))</f>
        <v>822.19746865486604</v>
      </c>
      <c r="AN5" s="94">
        <f>IF($A5="Baseline",'Emissions summary'!AK5,SUMIF('Net zero emission reductions'!$A$4:$A$1448,$A$5,'Net zero emission reductions'!T$4:T$1448))</f>
        <v>851.41897094428953</v>
      </c>
      <c r="AO5" s="94">
        <f>IF($A5="Baseline",'Emissions summary'!AL5,SUMIF('Net zero emission reductions'!$A$4:$A$1448,$A$5,'Net zero emission reductions'!U$4:U$1448))</f>
        <v>2458.4098311853322</v>
      </c>
      <c r="AP5" s="94">
        <f>IF($A5="Baseline",'Emissions summary'!AM5,SUMIF('Net zero emission reductions'!$A$4:$A$1448,$A$5,'Net zero emission reductions'!V$4:V$1448))</f>
        <v>2475.0970973342455</v>
      </c>
      <c r="AQ5" s="94">
        <f>IF($A5="Baseline",'Emissions summary'!AN5,SUMIF('Net zero emission reductions'!$A$4:$A$1448,$A$5,'Net zero emission reductions'!W$4:W$1448))</f>
        <v>2487.8963989019903</v>
      </c>
      <c r="AR5" s="94">
        <f>IF($A5="Baseline",'Emissions summary'!AO5,SUMIF('Net zero emission reductions'!$A$4:$A$1448,$A$5,'Net zero emission reductions'!X$4:X$1448))</f>
        <v>2496.7401695910794</v>
      </c>
      <c r="AS5" s="94">
        <f>IF($A5="Baseline",'Emissions summary'!AP5,SUMIF('Net zero emission reductions'!$A$4:$A$1448,$A$5,'Net zero emission reductions'!Y$4:Y$1448))</f>
        <v>2501.5993090262882</v>
      </c>
      <c r="AT5" s="94">
        <f>IF($A5="Baseline",'Emissions summary'!AQ5,SUMIF('Net zero emission reductions'!$A$4:$A$1448,$A$5,'Net zero emission reductions'!Z$4:Z$1448))</f>
        <v>2502.4104372261727</v>
      </c>
      <c r="AU5" s="94">
        <f>IF($A5="Baseline",'Emissions summary'!AR5,SUMIF('Net zero emission reductions'!$A$4:$A$1448,$A$5,'Net zero emission reductions'!AA$4:AA$1448))</f>
        <v>2499.1347241198105</v>
      </c>
      <c r="AV5" s="94">
        <f>IF($A5="Baseline",'Emissions summary'!AS5,SUMIF('Net zero emission reductions'!$A$4:$A$1448,$A$5,'Net zero emission reductions'!AB$4:AB$1448))</f>
        <v>2491.7544158964151</v>
      </c>
      <c r="AW5" s="94">
        <f>IF($A5="Baseline",'Emissions summary'!AT5,SUMIF('Net zero emission reductions'!$A$4:$A$1448,$A$5,'Net zero emission reductions'!AC$4:AC$1448))</f>
        <v>2480.2740382134953</v>
      </c>
      <c r="AX5" s="94">
        <f>IF($A5="Baseline",'Emissions summary'!AU5,SUMIF('Net zero emission reductions'!$A$4:$A$1448,$A$5,'Net zero emission reductions'!AD$4:AD$1448))</f>
        <v>2448.0859633035029</v>
      </c>
      <c r="AY5" s="94">
        <f>IF($A5="Baseline",'Emissions summary'!AV5,SUMIF('Net zero emission reductions'!$A$4:$A$1448,$A$5,'Net zero emission reductions'!AE$4:AE$1448))</f>
        <v>2411.9647791427751</v>
      </c>
      <c r="AZ5" s="94">
        <f>IF($A5="Baseline",'Emissions summary'!AW5,SUMIF('Net zero emission reductions'!$A$4:$A$1448,$A$5,'Net zero emission reductions'!AF$4:AF$1448))</f>
        <v>2372.0686287609406</v>
      </c>
      <c r="BA5" s="94">
        <f>IF($A5="Baseline",'Emissions summary'!AX5,SUMIF('Net zero emission reductions'!$A$4:$A$1448,$A$5,'Net zero emission reductions'!AG$4:AG$1448))</f>
        <v>2328.5771363700151</v>
      </c>
      <c r="BB5" s="94">
        <f>IF($A5="Baseline",'Emissions summary'!AY5,SUMIF('Net zero emission reductions'!$A$4:$A$1448,$A$5,'Net zero emission reductions'!AH$4:AH$1448))</f>
        <v>2281.6876055294888</v>
      </c>
      <c r="BC5" s="94">
        <f>IF($A5="Baseline",'Emissions summary'!AZ5,SUMIF('Net zero emission reductions'!$A$4:$A$1448,$A$5,'Net zero emission reductions'!AI$4:AI$1448))</f>
        <v>2231.6145099321634</v>
      </c>
      <c r="BD5" s="94">
        <f>IF($A5="Baseline",'Emissions summary'!BA5,SUMIF('Net zero emission reductions'!$A$4:$A$1448,$A$5,'Net zero emission reductions'!AJ$4:AJ$1448))</f>
        <v>-56.496958059540226</v>
      </c>
      <c r="BE5" s="94">
        <f>IF($A5="Baseline",'Emissions summary'!BB5,SUMIF('Net zero emission reductions'!$A$4:$A$1448,$A$5,'Net zero emission reductions'!AK$4:AK$1448))</f>
        <v>-53.223099252333391</v>
      </c>
      <c r="BF5" s="94">
        <f>IF($A5="Baseline",'Emissions summary'!BC5,SUMIF('Net zero emission reductions'!$A$4:$A$1448,$A$5,'Net zero emission reductions'!AL$4:AL$1448))</f>
        <v>-49.987924259766096</v>
      </c>
      <c r="BG5" s="94">
        <f>IF($A5="Baseline",'Emissions summary'!BD5,SUMIF('Net zero emission reductions'!$A$4:$A$1448,$A$5,'Net zero emission reductions'!AM$4:AM$1448))</f>
        <v>-46.790721017950347</v>
      </c>
      <c r="BH5" s="94">
        <f>IF($A5="Baseline",'Emissions summary'!BE5,SUMIF('Net zero emission reductions'!$A$4:$A$1448,$A$5,'Net zero emission reductions'!AN$4:AN$1448))</f>
        <v>-44.25138589184936</v>
      </c>
      <c r="BI5" s="94">
        <f>IF($A5="Baseline",'Emissions summary'!BF5,SUMIF('Net zero emission reductions'!$A$4:$A$1448,$A$5,'Net zero emission reductions'!AO$4:AO$1448))</f>
        <v>-41.741245666674018</v>
      </c>
      <c r="BJ5" s="94">
        <f>IF($A5="Baseline",'Emissions summary'!BG5,SUMIF('Net zero emission reductions'!$A$4:$A$1448,$A$5,'Net zero emission reductions'!AP$4:AP$1448))</f>
        <v>-39.259415370622193</v>
      </c>
      <c r="BK5" s="94">
        <f>IF($A5="Baseline",'Emissions summary'!BH5,SUMIF('Net zero emission reductions'!$A$4:$A$1448,$A$5,'Net zero emission reductions'!AQ$4:AQ$1448))</f>
        <v>-36.805428271112085</v>
      </c>
      <c r="BL5" s="94">
        <f>IF($A5="Baseline",'Emissions summary'!BI5,SUMIF('Net zero emission reductions'!$A$4:$A$1448,$A$5,'Net zero emission reductions'!AR$4:AR$1448))</f>
        <v>-34.378592939633918</v>
      </c>
      <c r="BM5" s="94">
        <f>IF($A5="Baseline",'Emissions summary'!BJ5,SUMIF('Net zero emission reductions'!$A$4:$A$1448,$A$5,'Net zero emission reductions'!AS$4:AS$1448))</f>
        <v>-31.978348697815846</v>
      </c>
      <c r="BN5" s="94">
        <f>IF($A5="Baseline",'Emissions summary'!BK5,SUMIF('Net zero emission reductions'!$A$4:$A$1448,$A$5,'Net zero emission reductions'!AT$4:AT$1448))</f>
        <v>-29.60454852606896</v>
      </c>
      <c r="BO5" s="94">
        <f>IF($A5="Baseline",'Emissions summary'!BL5,SUMIF('Net zero emission reductions'!$A$4:$A$1448,$A$5,'Net zero emission reductions'!AU$4:AU$1448))</f>
        <v>-27.257154717130838</v>
      </c>
      <c r="BP5" s="94">
        <f>IF($A5="Baseline",'Emissions summary'!BM5,SUMIF('Net zero emission reductions'!$A$4:$A$1448,$A$5,'Net zero emission reductions'!AV$4:AV$1448))</f>
        <v>-24.936124381325964</v>
      </c>
      <c r="BQ5" s="94">
        <f>IF($A5="Baseline",'Emissions summary'!BN5,SUMIF('Net zero emission reductions'!$A$4:$A$1448,$A$5,'Net zero emission reductions'!AW$4:AW$1448))</f>
        <v>-22.641221191515044</v>
      </c>
    </row>
    <row r="6" spans="1:75" x14ac:dyDescent="0.25">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149.09353044662001</v>
      </c>
      <c r="AN6" s="94">
        <f>IF($A6="Baseline",'Emissions summary'!AK6,SUMIF('Net zero emission reductions'!$A$4:$A$1448,$A$6,'Net zero emission reductions'!T$4:T$1448))</f>
        <v>149.19275852401506</v>
      </c>
      <c r="AO6" s="94">
        <f>IF($A6="Baseline",'Emissions summary'!AL6,SUMIF('Net zero emission reductions'!$A$4:$A$1448,$A$6,'Net zero emission reductions'!U$4:U$1448))</f>
        <v>151.13600729508602</v>
      </c>
      <c r="AP6" s="94">
        <f>IF($A6="Baseline",'Emissions summary'!AM6,SUMIF('Net zero emission reductions'!$A$4:$A$1448,$A$6,'Net zero emission reductions'!V$4:V$1448))</f>
        <v>151.18341133219153</v>
      </c>
      <c r="AQ6" s="94">
        <f>IF($A6="Baseline",'Emissions summary'!AN6,SUMIF('Net zero emission reductions'!$A$4:$A$1448,$A$6,'Net zero emission reductions'!W$4:W$1448))</f>
        <v>151.38618089420282</v>
      </c>
      <c r="AR6" s="94">
        <f>IF($A6="Baseline",'Emissions summary'!AO6,SUMIF('Net zero emission reductions'!$A$4:$A$1448,$A$6,'Net zero emission reductions'!X$4:X$1448))</f>
        <v>151.67928921769311</v>
      </c>
      <c r="AS6" s="94">
        <f>IF($A6="Baseline",'Emissions summary'!AP6,SUMIF('Net zero emission reductions'!$A$4:$A$1448,$A$6,'Net zero emission reductions'!Y$4:Y$1448))</f>
        <v>151.951576805679</v>
      </c>
      <c r="AT6" s="94">
        <f>IF($A6="Baseline",'Emissions summary'!AQ6,SUMIF('Net zero emission reductions'!$A$4:$A$1448,$A$6,'Net zero emission reductions'!Z$4:Z$1448))</f>
        <v>152.20641494438905</v>
      </c>
      <c r="AU6" s="94">
        <f>IF($A6="Baseline",'Emissions summary'!AR6,SUMIF('Net zero emission reductions'!$A$4:$A$1448,$A$6,'Net zero emission reductions'!AA$4:AA$1448))</f>
        <v>152.44244472028012</v>
      </c>
      <c r="AV6" s="94">
        <f>IF($A6="Baseline",'Emissions summary'!AS6,SUMIF('Net zero emission reductions'!$A$4:$A$1448,$A$6,'Net zero emission reductions'!AB$4:AB$1448))</f>
        <v>152.66179278102877</v>
      </c>
      <c r="AW6" s="94">
        <f>IF($A6="Baseline",'Emissions summary'!AT6,SUMIF('Net zero emission reductions'!$A$4:$A$1448,$A$6,'Net zero emission reductions'!AC$4:AC$1448))</f>
        <v>152.86778641331486</v>
      </c>
      <c r="AX6" s="94">
        <f>IF($A6="Baseline",'Emissions summary'!AU6,SUMIF('Net zero emission reductions'!$A$4:$A$1448,$A$6,'Net zero emission reductions'!AD$4:AD$1448))</f>
        <v>153.06023152359194</v>
      </c>
      <c r="AY6" s="94">
        <f>IF($A6="Baseline",'Emissions summary'!AV6,SUMIF('Net zero emission reductions'!$A$4:$A$1448,$A$6,'Net zero emission reductions'!AE$4:AE$1448))</f>
        <v>153.24220617597868</v>
      </c>
      <c r="AZ6" s="94">
        <f>IF($A6="Baseline",'Emissions summary'!AW6,SUMIF('Net zero emission reductions'!$A$4:$A$1448,$A$6,'Net zero emission reductions'!AF$4:AF$1448))</f>
        <v>153.41415086887915</v>
      </c>
      <c r="BA6" s="94">
        <f>IF($A6="Baseline",'Emissions summary'!AX6,SUMIF('Net zero emission reductions'!$A$4:$A$1448,$A$6,'Net zero emission reductions'!AG$4:AG$1448))</f>
        <v>153.57370890205652</v>
      </c>
      <c r="BB6" s="94">
        <f>IF($A6="Baseline",'Emissions summary'!AY6,SUMIF('Net zero emission reductions'!$A$4:$A$1448,$A$6,'Net zero emission reductions'!AH$4:AH$1448))</f>
        <v>153.72233987555649</v>
      </c>
      <c r="BC6" s="94">
        <f>IF($A6="Baseline",'Emissions summary'!AZ6,SUMIF('Net zero emission reductions'!$A$4:$A$1448,$A$6,'Net zero emission reductions'!AI$4:AI$1448))</f>
        <v>153.86241495290008</v>
      </c>
      <c r="BD6" s="94">
        <f>IF($A6="Baseline",'Emissions summary'!BA6,SUMIF('Net zero emission reductions'!$A$4:$A$1448,$A$6,'Net zero emission reductions'!AJ$4:AJ$1448))</f>
        <v>150.48572545060168</v>
      </c>
      <c r="BE6" s="94">
        <f>IF($A6="Baseline",'Emissions summary'!BB6,SUMIF('Net zero emission reductions'!$A$4:$A$1448,$A$6,'Net zero emission reductions'!AK$4:AK$1448))</f>
        <v>150.62411070843578</v>
      </c>
      <c r="BF6" s="94">
        <f>IF($A6="Baseline",'Emissions summary'!BC6,SUMIF('Net zero emission reductions'!$A$4:$A$1448,$A$6,'Net zero emission reductions'!AL$4:AL$1448))</f>
        <v>150.75318853440103</v>
      </c>
      <c r="BG6" s="94">
        <f>IF($A6="Baseline",'Emissions summary'!BD6,SUMIF('Net zero emission reductions'!$A$4:$A$1448,$A$6,'Net zero emission reductions'!AM$4:AM$1448))</f>
        <v>150.87374778583941</v>
      </c>
      <c r="BH6" s="94">
        <f>IF($A6="Baseline",'Emissions summary'!BE6,SUMIF('Net zero emission reductions'!$A$4:$A$1448,$A$6,'Net zero emission reductions'!AN$4:AN$1448))</f>
        <v>150.98674741245298</v>
      </c>
      <c r="BI6" s="94">
        <f>IF($A6="Baseline",'Emissions summary'!BF6,SUMIF('Net zero emission reductions'!$A$4:$A$1448,$A$6,'Net zero emission reductions'!AO$4:AO$1448))</f>
        <v>151.08921506472191</v>
      </c>
      <c r="BJ6" s="94">
        <f>IF($A6="Baseline",'Emissions summary'!BG6,SUMIF('Net zero emission reductions'!$A$4:$A$1448,$A$6,'Net zero emission reductions'!AP$4:AP$1448))</f>
        <v>151.17916577527956</v>
      </c>
      <c r="BK6" s="94">
        <f>IF($A6="Baseline",'Emissions summary'!BH6,SUMIF('Net zero emission reductions'!$A$4:$A$1448,$A$6,'Net zero emission reductions'!AQ$4:AQ$1448))</f>
        <v>151.25630880736327</v>
      </c>
      <c r="BL6" s="94">
        <f>IF($A6="Baseline",'Emissions summary'!BI6,SUMIF('Net zero emission reductions'!$A$4:$A$1448,$A$6,'Net zero emission reductions'!AR$4:AR$1448))</f>
        <v>151.31838530079867</v>
      </c>
      <c r="BM6" s="94">
        <f>IF($A6="Baseline",'Emissions summary'!BJ6,SUMIF('Net zero emission reductions'!$A$4:$A$1448,$A$6,'Net zero emission reductions'!AS$4:AS$1448))</f>
        <v>151.36293993636539</v>
      </c>
      <c r="BN6" s="94">
        <f>IF($A6="Baseline",'Emissions summary'!BK6,SUMIF('Net zero emission reductions'!$A$4:$A$1448,$A$6,'Net zero emission reductions'!AT$4:AT$1448))</f>
        <v>151.38969582707807</v>
      </c>
      <c r="BO6" s="94">
        <f>IF($A6="Baseline",'Emissions summary'!BL6,SUMIF('Net zero emission reductions'!$A$4:$A$1448,$A$6,'Net zero emission reductions'!AU$4:AU$1448))</f>
        <v>151.39903461970664</v>
      </c>
      <c r="BP6" s="94">
        <f>IF($A6="Baseline",'Emissions summary'!BM6,SUMIF('Net zero emission reductions'!$A$4:$A$1448,$A$6,'Net zero emission reductions'!AV$4:AV$1448))</f>
        <v>151.39122947661508</v>
      </c>
      <c r="BQ6" s="94">
        <f>IF($A6="Baseline",'Emissions summary'!BN6,SUMIF('Net zero emission reductions'!$A$4:$A$1448,$A$6,'Net zero emission reductions'!AW$4:AW$1448))</f>
        <v>151.36396938665408</v>
      </c>
    </row>
    <row r="7" spans="1:75" x14ac:dyDescent="0.25">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37.504515885641105</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38.710975345227183</v>
      </c>
      <c r="AN7" s="94">
        <f>IF($A7="Baseline",'Emissions summary'!AK7,SUMIF('Net zero emission reductions'!$A$4:$A$1448,$A$7,'Net zero emission reductions'!T$4:T$1448))</f>
        <v>38.774326880998657</v>
      </c>
      <c r="AO7" s="94">
        <f>IF($A7="Baseline",'Emissions summary'!AL7,SUMIF('Net zero emission reductions'!$A$4:$A$1448,$A$7,'Net zero emission reductions'!U$4:U$1448))</f>
        <v>39.560486456742233</v>
      </c>
      <c r="AP7" s="94">
        <f>IF($A7="Baseline",'Emissions summary'!AM7,SUMIF('Net zero emission reductions'!$A$4:$A$1448,$A$7,'Net zero emission reductions'!V$4:V$1448))</f>
        <v>39.596004196925449</v>
      </c>
      <c r="AQ7" s="94">
        <f>IF($A7="Baseline",'Emissions summary'!AN7,SUMIF('Net zero emission reductions'!$A$4:$A$1448,$A$7,'Net zero emission reductions'!W$4:W$1448))</f>
        <v>39.690037902194234</v>
      </c>
      <c r="AR7" s="94">
        <f>IF($A7="Baseline",'Emissions summary'!AO7,SUMIF('Net zero emission reductions'!$A$4:$A$1448,$A$7,'Net zero emission reductions'!X$4:X$1448))</f>
        <v>39.816948551146659</v>
      </c>
      <c r="AS7" s="94">
        <f>IF($A7="Baseline",'Emissions summary'!AP7,SUMIF('Net zero emission reductions'!$A$4:$A$1448,$A$7,'Net zero emission reductions'!Y$4:Y$1448))</f>
        <v>39.933343318947259</v>
      </c>
      <c r="AT7" s="94">
        <f>IF($A7="Baseline",'Emissions summary'!AQ7,SUMIF('Net zero emission reductions'!$A$4:$A$1448,$A$7,'Net zero emission reductions'!Z$4:Z$1448))</f>
        <v>40.040760741219216</v>
      </c>
      <c r="AU7" s="94">
        <f>IF($A7="Baseline",'Emissions summary'!AR7,SUMIF('Net zero emission reductions'!$A$4:$A$1448,$A$7,'Net zero emission reductions'!AA$4:AA$1448))</f>
        <v>40.138871338964556</v>
      </c>
      <c r="AV7" s="94">
        <f>IF($A7="Baseline",'Emissions summary'!AS7,SUMIF('Net zero emission reductions'!$A$4:$A$1448,$A$7,'Net zero emission reductions'!AB$4:AB$1448))</f>
        <v>40.228682589780007</v>
      </c>
      <c r="AW7" s="94">
        <f>IF($A7="Baseline",'Emissions summary'!AT7,SUMIF('Net zero emission reductions'!$A$4:$A$1448,$A$7,'Net zero emission reductions'!AC$4:AC$1448))</f>
        <v>40.311643534065951</v>
      </c>
      <c r="AX7" s="94">
        <f>IF($A7="Baseline",'Emissions summary'!AU7,SUMIF('Net zero emission reductions'!$A$4:$A$1448,$A$7,'Net zero emission reductions'!AD$4:AD$1448))</f>
        <v>40.387821013305057</v>
      </c>
      <c r="AY7" s="94">
        <f>IF($A7="Baseline",'Emissions summary'!AV7,SUMIF('Net zero emission reductions'!$A$4:$A$1448,$A$7,'Net zero emission reductions'!AE$4:AE$1448))</f>
        <v>40.458530378697169</v>
      </c>
      <c r="AZ7" s="94">
        <f>IF($A7="Baseline",'Emissions summary'!AW7,SUMIF('Net zero emission reductions'!$A$4:$A$1448,$A$7,'Net zero emission reductions'!AF$4:AF$1448))</f>
        <v>40.524054127466513</v>
      </c>
      <c r="BA7" s="94">
        <f>IF($A7="Baseline",'Emissions summary'!AX7,SUMIF('Net zero emission reductions'!$A$4:$A$1448,$A$7,'Net zero emission reductions'!AG$4:AG$1448))</f>
        <v>40.583592243807701</v>
      </c>
      <c r="BB7" s="94">
        <f>IF($A7="Baseline",'Emissions summary'!AY7,SUMIF('Net zero emission reductions'!$A$4:$A$1448,$A$7,'Net zero emission reductions'!AH$4:AH$1448))</f>
        <v>40.637804090455063</v>
      </c>
      <c r="BC7" s="94">
        <f>IF($A7="Baseline",'Emissions summary'!AZ7,SUMIF('Net zero emission reductions'!$A$4:$A$1448,$A$7,'Net zero emission reductions'!AI$4:AI$1448))</f>
        <v>40.68768572195205</v>
      </c>
      <c r="BD7" s="94">
        <f>IF($A7="Baseline",'Emissions summary'!BA7,SUMIF('Net zero emission reductions'!$A$4:$A$1448,$A$7,'Net zero emission reductions'!AJ$4:AJ$1448))</f>
        <v>39.396038724791367</v>
      </c>
      <c r="BE7" s="94">
        <f>IF($A7="Baseline",'Emissions summary'!BB7,SUMIF('Net zero emission reductions'!$A$4:$A$1448,$A$7,'Net zero emission reductions'!AK$4:AK$1448))</f>
        <v>39.445824890137935</v>
      </c>
      <c r="BF7" s="94">
        <f>IF($A7="Baseline",'Emissions summary'!BC7,SUMIF('Net zero emission reductions'!$A$4:$A$1448,$A$7,'Net zero emission reductions'!AL$4:AL$1448))</f>
        <v>39.491154516976891</v>
      </c>
      <c r="BG7" s="94">
        <f>IF($A7="Baseline",'Emissions summary'!BD7,SUMIF('Net zero emission reductions'!$A$4:$A$1448,$A$7,'Net zero emission reductions'!AM$4:AM$1448))</f>
        <v>39.53239446741042</v>
      </c>
      <c r="BH7" s="94">
        <f>IF($A7="Baseline",'Emissions summary'!BE7,SUMIF('Net zero emission reductions'!$A$4:$A$1448,$A$7,'Net zero emission reductions'!AN$4:AN$1448))</f>
        <v>39.569969593817532</v>
      </c>
      <c r="BI7" s="94">
        <f>IF($A7="Baseline",'Emissions summary'!BF7,SUMIF('Net zero emission reductions'!$A$4:$A$1448,$A$7,'Net zero emission reductions'!AO$4:AO$1448))</f>
        <v>39.602813212033055</v>
      </c>
      <c r="BJ7" s="94">
        <f>IF($A7="Baseline",'Emissions summary'!BG7,SUMIF('Net zero emission reductions'!$A$4:$A$1448,$A$7,'Net zero emission reductions'!AP$4:AP$1448))</f>
        <v>39.630235299602241</v>
      </c>
      <c r="BK7" s="94">
        <f>IF($A7="Baseline",'Emissions summary'!BH7,SUMIF('Net zero emission reductions'!$A$4:$A$1448,$A$7,'Net zero emission reductions'!AQ$4:AQ$1448))</f>
        <v>39.652185480579206</v>
      </c>
      <c r="BL7" s="94">
        <f>IF($A7="Baseline",'Emissions summary'!BI7,SUMIF('Net zero emission reductions'!$A$4:$A$1448,$A$7,'Net zero emission reductions'!AR$4:AR$1448))</f>
        <v>39.667871235886544</v>
      </c>
      <c r="BM7" s="94">
        <f>IF($A7="Baseline",'Emissions summary'!BJ7,SUMIF('Net zero emission reductions'!$A$4:$A$1448,$A$7,'Net zero emission reductions'!AS$4:AS$1448))</f>
        <v>39.676429054693479</v>
      </c>
      <c r="BN7" s="94">
        <f>IF($A7="Baseline",'Emissions summary'!BK7,SUMIF('Net zero emission reductions'!$A$4:$A$1448,$A$7,'Net zero emission reductions'!AT$4:AT$1448))</f>
        <v>39.677814778071323</v>
      </c>
      <c r="BO7" s="94">
        <f>IF($A7="Baseline",'Emissions summary'!BL7,SUMIF('Net zero emission reductions'!$A$4:$A$1448,$A$7,'Net zero emission reductions'!AU$4:AU$1448))</f>
        <v>39.672228544167254</v>
      </c>
      <c r="BP7" s="94">
        <f>IF($A7="Baseline",'Emissions summary'!BM7,SUMIF('Net zero emission reductions'!$A$4:$A$1448,$A$7,'Net zero emission reductions'!AV$4:AV$1448))</f>
        <v>39.659826575786695</v>
      </c>
      <c r="BQ7" s="94">
        <f>IF($A7="Baseline",'Emissions summary'!BN7,SUMIF('Net zero emission reductions'!$A$4:$A$1448,$A$7,'Net zero emission reductions'!AW$4:AW$1448))</f>
        <v>39.639798682719096</v>
      </c>
    </row>
    <row r="8" spans="1:75" x14ac:dyDescent="0.25">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5.5526214800767901</v>
      </c>
      <c r="AF8" s="27">
        <f>'Net zero emission reductions'!L1389</f>
        <v>5.5795235710196529</v>
      </c>
      <c r="AG8" s="27">
        <f>'Net zero emission reductions'!M1389</f>
        <v>5.6203482259438022</v>
      </c>
      <c r="AH8" s="27">
        <f>'Net zero emission reductions'!N1389</f>
        <v>5.6290756550083767</v>
      </c>
      <c r="AI8" s="27">
        <f>'Net zero emission reductions'!O1389</f>
        <v>5.6165815405282284</v>
      </c>
      <c r="AJ8" s="27">
        <f>'Net zero emission reductions'!P1389</f>
        <v>5.5833231296706112</v>
      </c>
      <c r="AK8" s="27">
        <f>'Net zero emission reductions'!Q1389</f>
        <v>5.5648827699457364</v>
      </c>
      <c r="AL8" s="27">
        <f>'Net zero emission reductions'!R1389</f>
        <v>5.5483103177944031</v>
      </c>
      <c r="AM8" s="27">
        <f>'Net zero emission reductions'!S1389</f>
        <v>5.301317756839599</v>
      </c>
      <c r="AN8" s="27">
        <f>'Net zero emission reductions'!T1389</f>
        <v>5.4334519326298842</v>
      </c>
      <c r="AO8" s="27">
        <f>'Net zero emission reductions'!U1389</f>
        <v>11.663279711908721</v>
      </c>
      <c r="AP8" s="27">
        <f>'Net zero emission reductions'!V1389</f>
        <v>11.812653235838557</v>
      </c>
      <c r="AQ8" s="27">
        <f>'Net zero emission reductions'!W1389</f>
        <v>11.932954790442608</v>
      </c>
      <c r="AR8" s="27">
        <f>'Net zero emission reductions'!X1389</f>
        <v>12.029772886609605</v>
      </c>
      <c r="AS8" s="27">
        <f>'Net zero emission reductions'!Y1389</f>
        <v>12.113873667726716</v>
      </c>
      <c r="AT8" s="27">
        <f>'Net zero emission reductions'!Z1389</f>
        <v>12.184301808011908</v>
      </c>
      <c r="AU8" s="27">
        <f>'Net zero emission reductions'!AA1389</f>
        <v>12.240662308750712</v>
      </c>
      <c r="AV8" s="27">
        <f>'Net zero emission reductions'!AB1389</f>
        <v>12.282268429354316</v>
      </c>
      <c r="AW8" s="27">
        <f>'Net zero emission reductions'!AC1389</f>
        <v>12.308384588149881</v>
      </c>
      <c r="AX8" s="27">
        <f>'Net zero emission reductions'!AD1389</f>
        <v>12.31872545788376</v>
      </c>
      <c r="AY8" s="27">
        <f>'Net zero emission reductions'!AE1389</f>
        <v>12.312750989800492</v>
      </c>
      <c r="AZ8" s="27">
        <f>'Net zero emission reductions'!AF1389</f>
        <v>12.290286651516004</v>
      </c>
      <c r="BA8" s="27">
        <f>'Net zero emission reductions'!AG1389</f>
        <v>12.251535501678408</v>
      </c>
      <c r="BB8" s="27">
        <f>'Net zero emission reductions'!AH1389</f>
        <v>12.196396092630039</v>
      </c>
      <c r="BC8" s="27">
        <f>'Net zero emission reductions'!AI1389</f>
        <v>12.124769930026071</v>
      </c>
      <c r="BD8" s="27">
        <f>'Net zero emission reductions'!AJ1389</f>
        <v>1.7851056965565462</v>
      </c>
      <c r="BE8" s="27">
        <f>'Net zero emission reductions'!AK1389</f>
        <v>1.7851056965565462</v>
      </c>
      <c r="BF8" s="27">
        <f>'Net zero emission reductions'!AL1389</f>
        <v>1.7851056965565462</v>
      </c>
      <c r="BG8" s="27">
        <f>'Net zero emission reductions'!AM1389</f>
        <v>1.7851056965565462</v>
      </c>
      <c r="BH8" s="27">
        <f>'Net zero emission reductions'!AN1389</f>
        <v>1.7851056965565462</v>
      </c>
      <c r="BI8" s="27">
        <f>'Net zero emission reductions'!AO1389</f>
        <v>1.7851056965565462</v>
      </c>
      <c r="BJ8" s="27">
        <f>'Net zero emission reductions'!AP1389</f>
        <v>1.7851056965565462</v>
      </c>
      <c r="BK8" s="27">
        <f>'Net zero emission reductions'!AQ1389</f>
        <v>1.7851056965565462</v>
      </c>
      <c r="BL8" s="27">
        <f>'Net zero emission reductions'!AR1389</f>
        <v>1.7851056965565462</v>
      </c>
      <c r="BM8" s="27">
        <f>'Net zero emission reductions'!AS1389</f>
        <v>1.7851056965565462</v>
      </c>
      <c r="BN8" s="27">
        <f>'Net zero emission reductions'!AT1389</f>
        <v>1.7851056965565462</v>
      </c>
      <c r="BO8" s="27">
        <f>'Net zero emission reductions'!AU1389</f>
        <v>1.7851056965565462</v>
      </c>
      <c r="BP8" s="27">
        <f>'Net zero emission reductions'!AV1389</f>
        <v>1.7851056965565462</v>
      </c>
      <c r="BQ8" s="27">
        <f>'Net zero emission reductions'!AW1389</f>
        <v>1.7851056965565462</v>
      </c>
    </row>
    <row r="9" spans="1:75" x14ac:dyDescent="0.25">
      <c r="A9" s="95" t="str">
        <f t="shared" si="2"/>
        <v>FSFAGSPQNIBDDSCM Mules&amp;Asses</v>
      </c>
      <c r="B9" s="95" t="str">
        <f t="shared" si="3"/>
        <v>FSFAGSPQNIBDDSCM</v>
      </c>
      <c r="C9" s="96" t="s">
        <v>1323</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25">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2.0846138094278084</v>
      </c>
      <c r="AH10" s="27">
        <f>SUM('Net zero emission reductions'!N1391:N1392)</f>
        <v>2.0654754572205234</v>
      </c>
      <c r="AI10" s="27">
        <f>SUM('Net zero emission reductions'!O1391:O1392)</f>
        <v>2.0342181138558564</v>
      </c>
      <c r="AJ10" s="27">
        <f>SUM('Net zero emission reductions'!P1391:P1392)</f>
        <v>1.9913414611083866</v>
      </c>
      <c r="AK10" s="27">
        <f>SUM('Net zero emission reductions'!Q1391:Q1392)</f>
        <v>1.9602082563146459</v>
      </c>
      <c r="AL10" s="27">
        <f>SUM('Net zero emission reductions'!R1391:R1392)</f>
        <v>1.931829922619702</v>
      </c>
      <c r="AM10" s="27">
        <f>SUM('Net zero emission reductions'!S1391:S1392)</f>
        <v>1.7381143206081298</v>
      </c>
      <c r="AN10" s="27">
        <f>SUM('Net zero emission reductions'!T1391:T1392)</f>
        <v>1.8001792355937847</v>
      </c>
      <c r="AO10" s="27">
        <f>SUM('Net zero emission reductions'!U1391:U1392)</f>
        <v>5.754305949867077</v>
      </c>
      <c r="AP10" s="27">
        <f>SUM('Net zero emission reductions'!V1391:V1392)</f>
        <v>5.7700799280154422</v>
      </c>
      <c r="AQ10" s="27">
        <f>SUM('Net zero emission reductions'!W1391:W1392)</f>
        <v>5.7759057208270379</v>
      </c>
      <c r="AR10" s="27">
        <f>SUM('Net zero emission reductions'!X1391:X1392)</f>
        <v>5.7720461906378926</v>
      </c>
      <c r="AS10" s="27">
        <f>SUM('Net zero emission reductions'!Y1391:Y1392)</f>
        <v>5.7590835988484965</v>
      </c>
      <c r="AT10" s="27">
        <f>SUM('Net zero emission reductions'!Z1391:Z1392)</f>
        <v>5.7368988758637034</v>
      </c>
      <c r="AU10" s="27">
        <f>SUM('Net zero emission reductions'!AA1391:AA1392)</f>
        <v>5.705460140711641</v>
      </c>
      <c r="AV10" s="27">
        <f>SUM('Net zero emission reductions'!AB1391:AB1392)</f>
        <v>5.664770341412571</v>
      </c>
      <c r="AW10" s="27">
        <f>SUM('Net zero emission reductions'!AC1391:AC1392)</f>
        <v>5.6148816663620158</v>
      </c>
      <c r="AX10" s="27">
        <f>SUM('Net zero emission reductions'!AD1391:AD1392)</f>
        <v>5.5559225191519808</v>
      </c>
      <c r="AY10" s="27">
        <f>SUM('Net zero emission reductions'!AE1391:AE1392)</f>
        <v>5.4880552896805996</v>
      </c>
      <c r="AZ10" s="27">
        <f>SUM('Net zero emission reductions'!AF1391:AF1392)</f>
        <v>5.4115094486157318</v>
      </c>
      <c r="BA10" s="27">
        <f>SUM('Net zero emission reductions'!AG1391:AG1392)</f>
        <v>5.3265790500442032</v>
      </c>
      <c r="BB10" s="27">
        <f>SUM('Net zero emission reductions'!AH1391:AH1392)</f>
        <v>5.2335826135611061</v>
      </c>
      <c r="BC10" s="27">
        <f>SUM('Net zero emission reductions'!AI1391:AI1392)</f>
        <v>5.1328775742120873</v>
      </c>
      <c r="BD10" s="27">
        <f>SUM('Net zero emission reductions'!AJ1391:AJ1392)</f>
        <v>-0.47829325834673075</v>
      </c>
      <c r="BE10" s="27">
        <f>SUM('Net zero emission reductions'!AK1391:AK1392)</f>
        <v>-0.47311529718627987</v>
      </c>
      <c r="BF10" s="27">
        <f>SUM('Net zero emission reductions'!AL1391:AL1392)</f>
        <v>-0.46791899085497352</v>
      </c>
      <c r="BG10" s="27">
        <f>SUM('Net zero emission reductions'!AM1391:AM1392)</f>
        <v>-0.46270973026667117</v>
      </c>
      <c r="BH10" s="27">
        <f>SUM('Net zero emission reductions'!AN1391:AN1392)</f>
        <v>-0.45749347342135216</v>
      </c>
      <c r="BI10" s="27">
        <f>SUM('Net zero emission reductions'!AO1391:AO1392)</f>
        <v>-0.45225639303001325</v>
      </c>
      <c r="BJ10" s="27">
        <f>SUM('Net zero emission reductions'!AP1391:AP1392)</f>
        <v>-0.44699032575199377</v>
      </c>
      <c r="BK10" s="27">
        <f>SUM('Net zero emission reductions'!AQ1391:AQ1392)</f>
        <v>-0.44169578029109668</v>
      </c>
      <c r="BL10" s="27">
        <f>SUM('Net zero emission reductions'!AR1391:AR1392)</f>
        <v>-0.43636398268839816</v>
      </c>
      <c r="BM10" s="27">
        <f>SUM('Net zero emission reductions'!AS1391:AS1392)</f>
        <v>-0.43098583106708765</v>
      </c>
      <c r="BN10" s="27">
        <f>SUM('Net zero emission reductions'!AT1391:AT1392)</f>
        <v>-0.42556285184215836</v>
      </c>
      <c r="BO10" s="27">
        <f>SUM('Net zero emission reductions'!AU1391:AU1392)</f>
        <v>-0.42009955765112178</v>
      </c>
      <c r="BP10" s="27">
        <f>SUM('Net zero emission reductions'!AV1391:AV1392)</f>
        <v>-0.41459980854316714</v>
      </c>
      <c r="BQ10" s="27">
        <f>SUM('Net zero emission reductions'!AW1391:AW1392)</f>
        <v>-0.4090559903926741</v>
      </c>
    </row>
    <row r="11" spans="1:75" s="19" customFormat="1" ht="15.75" x14ac:dyDescent="0.25">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36.994298181429897</v>
      </c>
      <c r="AH11" s="40">
        <f t="shared" si="8"/>
        <v>36.867987271463186</v>
      </c>
      <c r="AI11" s="40">
        <f t="shared" si="8"/>
        <v>36.560879511524739</v>
      </c>
      <c r="AJ11" s="40">
        <f t="shared" si="8"/>
        <v>36.078165266151387</v>
      </c>
      <c r="AK11" s="40">
        <f t="shared" si="8"/>
        <v>35.769406849073363</v>
      </c>
      <c r="AL11" s="40">
        <f t="shared" si="8"/>
        <v>35.500627316217205</v>
      </c>
      <c r="AM11" s="40">
        <f t="shared" si="8"/>
        <v>32.67291460252595</v>
      </c>
      <c r="AN11" s="40">
        <f t="shared" si="8"/>
        <v>33.750220848322137</v>
      </c>
      <c r="AO11" s="40">
        <f t="shared" si="8"/>
        <v>94.733767999139502</v>
      </c>
      <c r="AP11" s="40">
        <f t="shared" si="8"/>
        <v>95.373437465534494</v>
      </c>
      <c r="AQ11" s="40">
        <f t="shared" si="8"/>
        <v>95.869691765642827</v>
      </c>
      <c r="AR11" s="40">
        <f t="shared" si="8"/>
        <v>96.222216691137334</v>
      </c>
      <c r="AS11" s="40">
        <f t="shared" si="8"/>
        <v>96.433760499817907</v>
      </c>
      <c r="AT11" s="40">
        <f t="shared" si="8"/>
        <v>96.500979996891189</v>
      </c>
      <c r="AU11" s="40">
        <f t="shared" si="8"/>
        <v>96.42163331891561</v>
      </c>
      <c r="AV11" s="40">
        <f t="shared" si="8"/>
        <v>96.194124149772165</v>
      </c>
      <c r="AW11" s="40">
        <f t="shared" si="8"/>
        <v>95.817644977756984</v>
      </c>
      <c r="AX11" s="40">
        <f t="shared" si="8"/>
        <v>95.294495163983726</v>
      </c>
      <c r="AY11" s="40">
        <f t="shared" si="8"/>
        <v>94.623606879287479</v>
      </c>
      <c r="AZ11" s="40">
        <f t="shared" si="8"/>
        <v>93.806827667490637</v>
      </c>
      <c r="BA11" s="40">
        <f t="shared" si="8"/>
        <v>92.846943155135392</v>
      </c>
      <c r="BB11" s="40">
        <f t="shared" si="8"/>
        <v>91.747328933669792</v>
      </c>
      <c r="BC11" s="40">
        <f t="shared" si="8"/>
        <v>90.512073049488322</v>
      </c>
      <c r="BD11" s="40">
        <f t="shared" si="8"/>
        <v>-1.5025898420298727</v>
      </c>
      <c r="BE11" s="40">
        <f t="shared" si="8"/>
        <v>-1.4428756708627233</v>
      </c>
      <c r="BF11" s="40">
        <f t="shared" si="8"/>
        <v>-1.3830199650566082</v>
      </c>
      <c r="BG11" s="40">
        <f t="shared" si="8"/>
        <v>-1.323077231073631</v>
      </c>
      <c r="BH11" s="40">
        <f t="shared" si="8"/>
        <v>-1.2630064758267061</v>
      </c>
      <c r="BI11" s="40">
        <f t="shared" si="8"/>
        <v>-1.20279881244637</v>
      </c>
      <c r="BJ11" s="40">
        <f t="shared" si="8"/>
        <v>-1.1423984856681402</v>
      </c>
      <c r="BK11" s="40">
        <f t="shared" si="8"/>
        <v>-1.0818209756782462</v>
      </c>
      <c r="BL11" s="40">
        <f t="shared" si="8"/>
        <v>-1.0210079162959818</v>
      </c>
      <c r="BM11" s="40">
        <f t="shared" si="8"/>
        <v>-0.95990053056468727</v>
      </c>
      <c r="BN11" s="40">
        <f t="shared" si="8"/>
        <v>-0.898525521245086</v>
      </c>
      <c r="BO11" s="40">
        <f t="shared" si="8"/>
        <v>-0.83693258521941671</v>
      </c>
      <c r="BP11" s="40">
        <f t="shared" si="8"/>
        <v>-0.77516549387720213</v>
      </c>
      <c r="BQ11" s="40">
        <f t="shared" si="8"/>
        <v>-0.71317976466189115</v>
      </c>
      <c r="BT11"/>
    </row>
    <row r="12" spans="1:75" x14ac:dyDescent="0.25">
      <c r="A12" s="95" t="str">
        <f t="shared" si="2"/>
        <v>FSFAGSPQNIBDDSCM Cattle MMCH4</v>
      </c>
      <c r="B12" s="95" t="str">
        <f t="shared" ref="B12:B18" si="9">$B$5</f>
        <v>FSFAGSPQNIBDDSCM</v>
      </c>
      <c r="C12" s="95" t="s">
        <v>1229</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10.513994827787096</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10.680340304941298</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10.783729898618766</v>
      </c>
      <c r="AJ12" s="94">
        <f>IF($A12="Baseline",'Emissions summary'!AG12,SUMIF('Net zero emission reductions'!$A$4:$A$1448,$A$12,'Net zero emission reductions'!P$4:P$1448))</f>
        <v>10.803370567699298</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10.895047418651059</v>
      </c>
      <c r="AM12" s="94">
        <f>IF($A12="Baseline",'Emissions summary'!AJ12,SUMIF('Net zero emission reductions'!$A$4:$A$1448,$A$12,'Net zero emission reductions'!S$4:S$1448))</f>
        <v>10.551123611358374</v>
      </c>
      <c r="AN12" s="94">
        <f>IF($A12="Baseline",'Emissions summary'!AK12,SUMIF('Net zero emission reductions'!$A$4:$A$1448,$A$12,'Net zero emission reductions'!T$4:T$1448))</f>
        <v>10.759579411529058</v>
      </c>
      <c r="AO12" s="94">
        <f>IF($A12="Baseline",'Emissions summary'!AL12,SUMIF('Net zero emission reductions'!$A$4:$A$1448,$A$12,'Net zero emission reductions'!U$4:U$1448))</f>
        <v>19.541255534962506</v>
      </c>
      <c r="AP12" s="94">
        <f>IF($A12="Baseline",'Emissions summary'!AM12,SUMIF('Net zero emission reductions'!$A$4:$A$1448,$A$12,'Net zero emission reductions'!V$4:V$1448))</f>
        <v>19.80287772165271</v>
      </c>
      <c r="AQ12" s="94">
        <f>IF($A12="Baseline",'Emissions summary'!AN12,SUMIF('Net zero emission reductions'!$A$4:$A$1448,$A$12,'Net zero emission reductions'!W$4:W$1448))</f>
        <v>20.052232548088636</v>
      </c>
      <c r="AR12" s="94">
        <f>IF($A12="Baseline",'Emissions summary'!AO12,SUMIF('Net zero emission reductions'!$A$4:$A$1448,$A$12,'Net zero emission reductions'!X$4:X$1448))</f>
        <v>20.285737256561795</v>
      </c>
      <c r="AS12" s="94">
        <f>IF($A12="Baseline",'Emissions summary'!AP12,SUMIF('Net zero emission reductions'!$A$4:$A$1448,$A$12,'Net zero emission reductions'!Y$4:Y$1448))</f>
        <v>20.498272001784848</v>
      </c>
      <c r="AT12" s="94">
        <f>IF($A12="Baseline",'Emissions summary'!AQ12,SUMIF('Net zero emission reductions'!$A$4:$A$1448,$A$12,'Net zero emission reductions'!Z$4:Z$1448))</f>
        <v>20.68881007646317</v>
      </c>
      <c r="AU12" s="94">
        <f>IF($A12="Baseline",'Emissions summary'!AR12,SUMIF('Net zero emission reductions'!$A$4:$A$1448,$A$12,'Net zero emission reductions'!AA$4:AA$1448))</f>
        <v>20.856256048232122</v>
      </c>
      <c r="AV12" s="94">
        <f>IF($A12="Baseline",'Emissions summary'!AS12,SUMIF('Net zero emission reductions'!$A$4:$A$1448,$A$12,'Net zero emission reductions'!AB$4:AB$1448))</f>
        <v>20.999741709603121</v>
      </c>
      <c r="AW12" s="94">
        <f>IF($A12="Baseline",'Emissions summary'!AT12,SUMIF('Net zero emission reductions'!$A$4:$A$1448,$A$12,'Net zero emission reductions'!AC$4:AC$1448))</f>
        <v>21.118554024646244</v>
      </c>
      <c r="AX12" s="94">
        <f>IF($A12="Baseline",'Emissions summary'!AU12,SUMIF('Net zero emission reductions'!$A$4:$A$1448,$A$12,'Net zero emission reductions'!AD$4:AD$1448))</f>
        <v>21.214048862203224</v>
      </c>
      <c r="AY12" s="94">
        <f>IF($A12="Baseline",'Emissions summary'!AV12,SUMIF('Net zero emission reductions'!$A$4:$A$1448,$A$12,'Net zero emission reductions'!AE$4:AE$1448))</f>
        <v>21.283785981588661</v>
      </c>
      <c r="AZ12" s="94">
        <f>IF($A12="Baseline",'Emissions summary'!AW12,SUMIF('Net zero emission reductions'!$A$4:$A$1448,$A$12,'Net zero emission reductions'!AF$4:AF$1448))</f>
        <v>21.327316071481416</v>
      </c>
      <c r="BA12" s="94">
        <f>IF($A12="Baseline",'Emissions summary'!AX12,SUMIF('Net zero emission reductions'!$A$4:$A$1448,$A$12,'Net zero emission reductions'!AG$4:AG$1448))</f>
        <v>21.344226729028581</v>
      </c>
      <c r="BB12" s="94">
        <f>IF($A12="Baseline",'Emissions summary'!AY12,SUMIF('Net zero emission reductions'!$A$4:$A$1448,$A$12,'Net zero emission reductions'!AH$4:AH$1448))</f>
        <v>21.33437719716807</v>
      </c>
      <c r="BC12" s="94">
        <f>IF($A12="Baseline",'Emissions summary'!AZ12,SUMIF('Net zero emission reductions'!$A$4:$A$1448,$A$12,'Net zero emission reductions'!AI$4:AI$1448))</f>
        <v>21.29779874003944</v>
      </c>
      <c r="BD12" s="94">
        <f>IF($A12="Baseline",'Emissions summary'!BA12,SUMIF('Net zero emission reductions'!$A$4:$A$1448,$A$12,'Net zero emission reductions'!AJ$4:AJ$1448))</f>
        <v>5.7011206255954496</v>
      </c>
      <c r="BE12" s="94">
        <f>IF($A12="Baseline",'Emissions summary'!BB12,SUMIF('Net zero emission reductions'!$A$4:$A$1448,$A$12,'Net zero emission reductions'!AK$4:AK$1448))</f>
        <v>5.7044831800588351</v>
      </c>
      <c r="BF12" s="94">
        <f>IF($A12="Baseline",'Emissions summary'!BC12,SUMIF('Net zero emission reductions'!$A$4:$A$1448,$A$12,'Net zero emission reductions'!AL$4:AL$1448))</f>
        <v>5.7075388739594679</v>
      </c>
      <c r="BG12" s="94">
        <f>IF($A12="Baseline",'Emissions summary'!BD12,SUMIF('Net zero emission reductions'!$A$4:$A$1448,$A$12,'Net zero emission reductions'!AM$4:AM$1448))</f>
        <v>5.710314045290942</v>
      </c>
      <c r="BH12" s="94">
        <f>IF($A12="Baseline",'Emissions summary'!BE12,SUMIF('Net zero emission reductions'!$A$4:$A$1448,$A$12,'Net zero emission reductions'!AN$4:AN$1448))</f>
        <v>5.7129397815367593</v>
      </c>
      <c r="BI12" s="94">
        <f>IF($A12="Baseline",'Emissions summary'!BF12,SUMIF('Net zero emission reductions'!$A$4:$A$1448,$A$12,'Net zero emission reductions'!AO$4:AO$1448))</f>
        <v>5.715215245924111</v>
      </c>
      <c r="BJ12" s="94">
        <f>IF($A12="Baseline",'Emissions summary'!BG12,SUMIF('Net zero emission reductions'!$A$4:$A$1448,$A$12,'Net zero emission reductions'!AP$4:AP$1448))</f>
        <v>5.7170698003578906</v>
      </c>
      <c r="BK12" s="94">
        <f>IF($A12="Baseline",'Emissions summary'!BH12,SUMIF('Net zero emission reductions'!$A$4:$A$1448,$A$12,'Net zero emission reductions'!AQ$4:AQ$1448))</f>
        <v>5.7184922204670956</v>
      </c>
      <c r="BL12" s="94">
        <f>IF($A12="Baseline",'Emissions summary'!BI12,SUMIF('Net zero emission reductions'!$A$4:$A$1448,$A$12,'Net zero emission reductions'!AR$4:AR$1448))</f>
        <v>5.7194024072449068</v>
      </c>
      <c r="BM12" s="94">
        <f>IF($A12="Baseline",'Emissions summary'!BJ12,SUMIF('Net zero emission reductions'!$A$4:$A$1448,$A$12,'Net zero emission reductions'!AS$4:AS$1448))</f>
        <v>5.7197134337282396</v>
      </c>
      <c r="BN12" s="94">
        <f>IF($A12="Baseline",'Emissions summary'!BK12,SUMIF('Net zero emission reductions'!$A$4:$A$1448,$A$12,'Net zero emission reductions'!AT$4:AT$1448))</f>
        <v>5.7194147416013505</v>
      </c>
      <c r="BO12" s="94">
        <f>IF($A12="Baseline",'Emissions summary'!BL12,SUMIF('Net zero emission reductions'!$A$4:$A$1448,$A$12,'Net zero emission reductions'!AU$4:AU$1448))</f>
        <v>5.7185189019751732</v>
      </c>
      <c r="BP12" s="94">
        <f>IF($A12="Baseline",'Emissions summary'!BM12,SUMIF('Net zero emission reductions'!$A$4:$A$1448,$A$12,'Net zero emission reductions'!AV$4:AV$1448))</f>
        <v>5.7170347416271579</v>
      </c>
      <c r="BQ12" s="94">
        <f>IF($A12="Baseline",'Emissions summary'!BN12,SUMIF('Net zero emission reductions'!$A$4:$A$1448,$A$12,'Net zero emission reductions'!AW$4:AW$1448))</f>
        <v>5.7148805976280084</v>
      </c>
    </row>
    <row r="13" spans="1:75" x14ac:dyDescent="0.25">
      <c r="A13" s="95" t="str">
        <f t="shared" si="2"/>
        <v>FSFAGSPQNIBDDSCM Sheep MMCH4</v>
      </c>
      <c r="B13" s="95" t="str">
        <f t="shared" si="9"/>
        <v>FSFAGSPQNIBDDSCM</v>
      </c>
      <c r="C13" s="96" t="s">
        <v>1324</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4.0755596007698479E-2</v>
      </c>
      <c r="AN13" s="27">
        <f>SUM('Net zero emission reductions'!T1399:T1400)</f>
        <v>4.0782720587972464E-2</v>
      </c>
      <c r="AO13" s="27">
        <f>SUM('Net zero emission reductions'!U1399:U1400)</f>
        <v>4.1313919102213693E-2</v>
      </c>
      <c r="AP13" s="27">
        <f>SUM('Net zero emission reductions'!V1399:V1400)</f>
        <v>4.1326877275379349E-2</v>
      </c>
      <c r="AQ13" s="27">
        <f>SUM('Net zero emission reductions'!W1399:W1400)</f>
        <v>4.1382305531234821E-2</v>
      </c>
      <c r="AR13" s="27">
        <f>SUM('Net zero emission reductions'!X1399:X1400)</f>
        <v>4.1462428420423109E-2</v>
      </c>
      <c r="AS13" s="27">
        <f>SUM('Net zero emission reductions'!Y1399:Y1400)</f>
        <v>4.1536859838745679E-2</v>
      </c>
      <c r="AT13" s="27">
        <f>SUM('Net zero emission reductions'!Z1399:Z1400)</f>
        <v>4.1606521347179418E-2</v>
      </c>
      <c r="AU13" s="27">
        <f>SUM('Net zero emission reductions'!AA1399:AA1400)</f>
        <v>4.1671041478691412E-2</v>
      </c>
      <c r="AV13" s="27">
        <f>SUM('Net zero emission reductions'!AB1399:AB1400)</f>
        <v>4.1731001564968555E-2</v>
      </c>
      <c r="AW13" s="27">
        <f>SUM('Net zero emission reductions'!AC1399:AC1400)</f>
        <v>4.1787311139451513E-2</v>
      </c>
      <c r="AX13" s="27">
        <f>SUM('Net zero emission reductions'!AD1399:AD1400)</f>
        <v>4.1839917145524444E-2</v>
      </c>
      <c r="AY13" s="27">
        <f>SUM('Net zero emission reductions'!AE1399:AE1400)</f>
        <v>4.1889660990170809E-2</v>
      </c>
      <c r="AZ13" s="27">
        <f>SUM('Net zero emission reductions'!AF1399:AF1400)</f>
        <v>4.1936663086227746E-2</v>
      </c>
      <c r="BA13" s="27">
        <f>SUM('Net zero emission reductions'!AG1399:AG1400)</f>
        <v>4.1980279215784011E-2</v>
      </c>
      <c r="BB13" s="27">
        <f>SUM('Net zero emission reductions'!AH1399:AH1400)</f>
        <v>4.202090836912184E-2</v>
      </c>
      <c r="BC13" s="27">
        <f>SUM('Net zero emission reductions'!AI1399:AI1400)</f>
        <v>4.2059198717776553E-2</v>
      </c>
      <c r="BD13" s="27">
        <f>SUM('Net zero emission reductions'!AJ1399:AJ1400)</f>
        <v>4.11361607241972E-2</v>
      </c>
      <c r="BE13" s="27">
        <f>SUM('Net zero emission reductions'!AK1399:AK1400)</f>
        <v>4.1173989150721221E-2</v>
      </c>
      <c r="BF13" s="27">
        <f>SUM('Net zero emission reductions'!AL1399:AL1400)</f>
        <v>4.1209273335842019E-2</v>
      </c>
      <c r="BG13" s="27">
        <f>SUM('Net zero emission reductions'!AM1399:AM1400)</f>
        <v>4.1242228918367263E-2</v>
      </c>
      <c r="BH13" s="27">
        <f>SUM('Net zero emission reductions'!AN1399:AN1400)</f>
        <v>4.1273118032854578E-2</v>
      </c>
      <c r="BI13" s="27">
        <f>SUM('Net zero emission reductions'!AO1399:AO1400)</f>
        <v>4.1301128170029677E-2</v>
      </c>
      <c r="BJ13" s="27">
        <f>SUM('Net zero emission reductions'!AP1399:AP1400)</f>
        <v>4.1325716727354134E-2</v>
      </c>
      <c r="BK13" s="27">
        <f>SUM('Net zero emission reductions'!AQ1399:AQ1400)</f>
        <v>4.1346804230218914E-2</v>
      </c>
      <c r="BL13" s="27">
        <f>SUM('Net zero emission reductions'!AR1399:AR1400)</f>
        <v>4.1363773205870966E-2</v>
      </c>
      <c r="BM13" s="27">
        <f>SUM('Net zero emission reductions'!AS1399:AS1400)</f>
        <v>4.1375952478318198E-2</v>
      </c>
      <c r="BN13" s="27">
        <f>SUM('Net zero emission reductions'!AT1399:AT1400)</f>
        <v>4.1383266358869852E-2</v>
      </c>
      <c r="BO13" s="27">
        <f>SUM('Net zero emission reductions'!AU1399:AU1400)</f>
        <v>4.1385819172921751E-2</v>
      </c>
      <c r="BP13" s="27">
        <f>SUM('Net zero emission reductions'!AV1399:AV1400)</f>
        <v>4.1383685591017356E-2</v>
      </c>
      <c r="BQ13" s="27">
        <f>SUM('Net zero emission reductions'!AW1399:AW1400)</f>
        <v>4.1376233884627037E-2</v>
      </c>
    </row>
    <row r="14" spans="1:75" x14ac:dyDescent="0.25">
      <c r="A14" s="95" t="str">
        <f t="shared" si="2"/>
        <v>FSFAGSPQNIBDDSCM Goats MMCH4</v>
      </c>
      <c r="B14" s="95" t="str">
        <f t="shared" si="9"/>
        <v>FSFAGSPQNIBDDSCM</v>
      </c>
      <c r="C14" s="96" t="s">
        <v>1325</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4.23818915638281E-2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4.3565554612885075E-2</v>
      </c>
      <c r="AL14" s="27">
        <f>SUM('Net zero emission reductions'!R1401:R1402)</f>
        <v>4.3852181920952263E-2</v>
      </c>
      <c r="AM14" s="27">
        <f>SUM('Net zero emission reductions'!S1401:S1402)</f>
        <v>4.3745248289941946E-2</v>
      </c>
      <c r="AN14" s="27">
        <f>SUM('Net zero emission reductions'!T1401:T1402)</f>
        <v>4.3816838546636774E-2</v>
      </c>
      <c r="AO14" s="27">
        <f>SUM('Net zero emission reductions'!U1401:U1402)</f>
        <v>4.4705236359652817E-2</v>
      </c>
      <c r="AP14" s="27">
        <f>SUM('Net zero emission reductions'!V1401:V1402)</f>
        <v>4.4745373099922374E-2</v>
      </c>
      <c r="AQ14" s="27">
        <f>SUM('Net zero emission reductions'!W1401:W1402)</f>
        <v>4.4851635671400408E-2</v>
      </c>
      <c r="AR14" s="27">
        <f>SUM('Net zero emission reductions'!X1401:X1402)</f>
        <v>4.4995050757162272E-2</v>
      </c>
      <c r="AS14" s="27">
        <f>SUM('Net zero emission reductions'!Y1401:Y1402)</f>
        <v>4.5126582395713849E-2</v>
      </c>
      <c r="AT14" s="27">
        <f>SUM('Net zero emission reductions'!Z1401:Z1402)</f>
        <v>4.5247969205683018E-2</v>
      </c>
      <c r="AU14" s="27">
        <f>SUM('Net zero emission reductions'!AA1401:AA1402)</f>
        <v>4.5358838860089012E-2</v>
      </c>
      <c r="AV14" s="27">
        <f>SUM('Net zero emission reductions'!AB1401:AB1402)</f>
        <v>4.5460329856663373E-2</v>
      </c>
      <c r="AW14" s="27">
        <f>SUM('Net zero emission reductions'!AC1401:AC1402)</f>
        <v>4.555407968016411E-2</v>
      </c>
      <c r="AX14" s="27">
        <f>SUM('Net zero emission reductions'!AD1401:AD1402)</f>
        <v>4.5640163864654373E-2</v>
      </c>
      <c r="AY14" s="27">
        <f>SUM('Net zero emission reductions'!AE1401:AE1402)</f>
        <v>4.5720068819719878E-2</v>
      </c>
      <c r="AZ14" s="27">
        <f>SUM('Net zero emission reductions'!AF1401:AF1402)</f>
        <v>4.5794113780696463E-2</v>
      </c>
      <c r="BA14" s="27">
        <f>SUM('Net zero emission reductions'!AG1401:AG1402)</f>
        <v>4.5861394691570793E-2</v>
      </c>
      <c r="BB14" s="27">
        <f>SUM('Net zero emission reductions'!AH1401:AH1402)</f>
        <v>4.5922656663678077E-2</v>
      </c>
      <c r="BC14" s="27">
        <f>SUM('Net zero emission reductions'!AI1401:AI1402)</f>
        <v>4.5979025286154857E-2</v>
      </c>
      <c r="BD14" s="27">
        <f>SUM('Net zero emission reductions'!AJ1401:AJ1402)</f>
        <v>4.4519402579936501E-2</v>
      </c>
      <c r="BE14" s="27">
        <f>SUM('Net zero emission reductions'!AK1401:AK1402)</f>
        <v>4.4575663321110487E-2</v>
      </c>
      <c r="BF14" s="27">
        <f>SUM('Net zero emission reductions'!AL1401:AL1402)</f>
        <v>4.4626887961235831E-2</v>
      </c>
      <c r="BG14" s="27">
        <f>SUM('Net zero emission reductions'!AM1401:AM1402)</f>
        <v>4.4673491071983908E-2</v>
      </c>
      <c r="BH14" s="27">
        <f>SUM('Net zero emission reductions'!AN1401:AN1402)</f>
        <v>4.4715952756804463E-2</v>
      </c>
      <c r="BI14" s="27">
        <f>SUM('Net zero emission reductions'!AO1401:AO1402)</f>
        <v>4.4753067611720015E-2</v>
      </c>
      <c r="BJ14" s="27">
        <f>SUM('Net zero emission reductions'!AP1401:AP1402)</f>
        <v>4.478405587844915E-2</v>
      </c>
      <c r="BK14" s="27">
        <f>SUM('Net zero emission reductions'!AQ1401:AQ1402)</f>
        <v>4.4808860629770526E-2</v>
      </c>
      <c r="BL14" s="27">
        <f>SUM('Net zero emission reductions'!AR1401:AR1402)</f>
        <v>4.4826586281330981E-2</v>
      </c>
      <c r="BM14" s="27">
        <f>SUM('Net zero emission reductions'!AS1401:AS1402)</f>
        <v>4.4836257024710377E-2</v>
      </c>
      <c r="BN14" s="27">
        <f>SUM('Net zero emission reductions'!AT1401:AT1402)</f>
        <v>4.4837822958213328E-2</v>
      </c>
      <c r="BO14" s="27">
        <f>SUM('Net zero emission reductions'!AU1401:AU1402)</f>
        <v>4.4831510247490852E-2</v>
      </c>
      <c r="BP14" s="27">
        <f>SUM('Net zero emission reductions'!AV1401:AV1402)</f>
        <v>4.481749543176345E-2</v>
      </c>
      <c r="BQ14" s="27">
        <f>SUM('Net zero emission reductions'!AW1401:AW1402)</f>
        <v>4.4794862957454724E-2</v>
      </c>
    </row>
    <row r="15" spans="1:75" x14ac:dyDescent="0.25">
      <c r="A15" s="95" t="str">
        <f t="shared" si="2"/>
        <v>FSFAGSPQNIBDDSCM Horses MMCH4</v>
      </c>
      <c r="B15" s="95" t="str">
        <f t="shared" si="9"/>
        <v>FSFAGSPQNIBDDSCM</v>
      </c>
      <c r="C15" s="96" t="s">
        <v>1326</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4.1336182129460552E-3</v>
      </c>
      <c r="AF15" s="27">
        <f>'Net zero emission reductions'!L1403</f>
        <v>4.1536453250924088E-3</v>
      </c>
      <c r="AG15" s="27">
        <f>'Net zero emission reductions'!M1403</f>
        <v>4.1840370126470534E-3</v>
      </c>
      <c r="AH15" s="27">
        <f>'Net zero emission reductions'!N1403</f>
        <v>4.1905340987284578E-3</v>
      </c>
      <c r="AI15" s="27">
        <f>'Net zero emission reductions'!O1403</f>
        <v>4.1812329246154597E-3</v>
      </c>
      <c r="AJ15" s="27">
        <f>'Net zero emission reductions'!P1403</f>
        <v>4.1564738854214557E-3</v>
      </c>
      <c r="AK15" s="27">
        <f>'Net zero emission reductions'!Q1403</f>
        <v>4.142746062070715E-3</v>
      </c>
      <c r="AL15" s="27">
        <f>'Net zero emission reductions'!R1403</f>
        <v>4.130408792135833E-3</v>
      </c>
      <c r="AM15" s="27">
        <f>'Net zero emission reductions'!S1403</f>
        <v>3.9465365523139234E-3</v>
      </c>
      <c r="AN15" s="27">
        <f>'Net zero emission reductions'!T1403</f>
        <v>4.0449031054022467E-3</v>
      </c>
      <c r="AO15" s="27">
        <f>'Net zero emission reductions'!U1403</f>
        <v>8.6826637855320493E-3</v>
      </c>
      <c r="AP15" s="27">
        <f>'Net zero emission reductions'!V1403</f>
        <v>8.7938640755687025E-3</v>
      </c>
      <c r="AQ15" s="27">
        <f>'Net zero emission reductions'!W1403</f>
        <v>8.8834218995517203E-3</v>
      </c>
      <c r="AR15" s="27">
        <f>'Net zero emission reductions'!X1403</f>
        <v>8.9554975933649264E-3</v>
      </c>
      <c r="AS15" s="27">
        <f>'Net zero emission reductions'!Y1403</f>
        <v>9.018105952641001E-3</v>
      </c>
      <c r="AT15" s="27">
        <f>'Net zero emission reductions'!Z1403</f>
        <v>9.0705357904088645E-3</v>
      </c>
      <c r="AU15" s="27">
        <f>'Net zero emission reductions'!AA1403</f>
        <v>9.1124930520699761E-3</v>
      </c>
      <c r="AV15" s="27">
        <f>'Net zero emission reductions'!AB1403</f>
        <v>9.143466497408213E-3</v>
      </c>
      <c r="AW15" s="27">
        <f>'Net zero emission reductions'!AC1403</f>
        <v>9.1629085267338015E-3</v>
      </c>
      <c r="AX15" s="27">
        <f>'Net zero emission reductions'!AD1403</f>
        <v>9.1706067297579116E-3</v>
      </c>
      <c r="AY15" s="27">
        <f>'Net zero emission reductions'!AE1403</f>
        <v>9.1661590701848112E-3</v>
      </c>
      <c r="AZ15" s="27">
        <f>'Net zero emission reductions'!AF1403</f>
        <v>9.149435618350802E-3</v>
      </c>
      <c r="BA15" s="27">
        <f>'Net zero emission reductions'!AG1403</f>
        <v>9.120587540138371E-3</v>
      </c>
      <c r="BB15" s="27">
        <f>'Net zero emission reductions'!AH1403</f>
        <v>9.0795393134023624E-3</v>
      </c>
      <c r="BC15" s="27">
        <f>'Net zero emission reductions'!AI1403</f>
        <v>9.0262176145749634E-3</v>
      </c>
      <c r="BD15" s="27">
        <f>'Net zero emission reductions'!AJ1403</f>
        <v>1.3289120185476511E-3</v>
      </c>
      <c r="BE15" s="27">
        <f>'Net zero emission reductions'!AK1403</f>
        <v>1.3289120185476511E-3</v>
      </c>
      <c r="BF15" s="27">
        <f>'Net zero emission reductions'!AL1403</f>
        <v>1.3289120185476511E-3</v>
      </c>
      <c r="BG15" s="27">
        <f>'Net zero emission reductions'!AM1403</f>
        <v>1.3289120185476511E-3</v>
      </c>
      <c r="BH15" s="27">
        <f>'Net zero emission reductions'!AN1403</f>
        <v>1.3289120185476511E-3</v>
      </c>
      <c r="BI15" s="27">
        <f>'Net zero emission reductions'!AO1403</f>
        <v>1.3289120185476511E-3</v>
      </c>
      <c r="BJ15" s="27">
        <f>'Net zero emission reductions'!AP1403</f>
        <v>1.3289120185476511E-3</v>
      </c>
      <c r="BK15" s="27">
        <f>'Net zero emission reductions'!AQ1403</f>
        <v>1.3289120185476511E-3</v>
      </c>
      <c r="BL15" s="27">
        <f>'Net zero emission reductions'!AR1403</f>
        <v>1.3289120185476511E-3</v>
      </c>
      <c r="BM15" s="27">
        <f>'Net zero emission reductions'!AS1403</f>
        <v>1.3289120185476511E-3</v>
      </c>
      <c r="BN15" s="27">
        <f>'Net zero emission reductions'!AT1403</f>
        <v>1.3289120185476511E-3</v>
      </c>
      <c r="BO15" s="27">
        <f>'Net zero emission reductions'!AU1403</f>
        <v>1.3289120185476511E-3</v>
      </c>
      <c r="BP15" s="27">
        <f>'Net zero emission reductions'!AV1403</f>
        <v>1.3289120185476511E-3</v>
      </c>
      <c r="BQ15" s="27">
        <f>'Net zero emission reductions'!AW1403</f>
        <v>1.3289120185476511E-3</v>
      </c>
    </row>
    <row r="16" spans="1:75" x14ac:dyDescent="0.25">
      <c r="A16" s="95" t="str">
        <f t="shared" si="2"/>
        <v>FSFAGSPQNIBDDSCM Mules MM CH4</v>
      </c>
      <c r="B16" s="95" t="str">
        <f t="shared" si="9"/>
        <v>FSFAGSPQNIBDDSCM</v>
      </c>
      <c r="C16" s="96" t="s">
        <v>1334</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25">
      <c r="A17" s="95" t="str">
        <f t="shared" si="2"/>
        <v>FSFAGSPQNIBDDSCM Swine MMCH4</v>
      </c>
      <c r="B17" s="95" t="str">
        <f t="shared" si="9"/>
        <v>FSFAGSPQNIBDDSCM</v>
      </c>
      <c r="C17" s="96" t="s">
        <v>1230</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23.356999930110071</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23.240459651013445</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22.200606495542029</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21.537138037854106</v>
      </c>
      <c r="AM17" s="94">
        <f>IF($A17="Baseline",'Emissions summary'!AJ17,SUMIF('Net zero emission reductions'!$A$4:$A$1448,$A$17,'Net zero emission reductions'!S$4:S$1448))</f>
        <v>19.377486397842453</v>
      </c>
      <c r="AN17" s="94">
        <f>IF($A17="Baseline",'Emissions summary'!AK17,SUMIF('Net zero emission reductions'!$A$4:$A$1448,$A$17,'Net zero emission reductions'!T$4:T$1448))</f>
        <v>20.069421348068843</v>
      </c>
      <c r="AO17" s="94">
        <f>IF($A17="Baseline",'Emissions summary'!AL17,SUMIF('Net zero emission reductions'!$A$4:$A$1448,$A$17,'Net zero emission reductions'!U$4:U$1448))</f>
        <v>64.152273501526778</v>
      </c>
      <c r="AP17" s="94">
        <f>IF($A17="Baseline",'Emissions summary'!AM17,SUMIF('Net zero emission reductions'!$A$4:$A$1448,$A$17,'Net zero emission reductions'!V$4:V$1448))</f>
        <v>64.328130775922219</v>
      </c>
      <c r="AQ17" s="94">
        <f>IF($A17="Baseline",'Emissions summary'!AN17,SUMIF('Net zero emission reductions'!$A$4:$A$1448,$A$17,'Net zero emission reductions'!W$4:W$1448))</f>
        <v>64.393080025591729</v>
      </c>
      <c r="AR17" s="94">
        <f>IF($A17="Baseline",'Emissions summary'!AO17,SUMIF('Net zero emission reductions'!$A$4:$A$1448,$A$17,'Net zero emission reductions'!X$4:X$1448))</f>
        <v>64.350051789269457</v>
      </c>
      <c r="AS17" s="94">
        <f>IF($A17="Baseline",'Emissions summary'!AP17,SUMIF('Net zero emission reductions'!$A$4:$A$1448,$A$17,'Net zero emission reductions'!Y$4:Y$1448))</f>
        <v>64.205537448008002</v>
      </c>
      <c r="AT17" s="94">
        <f>IF($A17="Baseline",'Emissions summary'!AQ17,SUMIF('Net zero emission reductions'!$A$4:$A$1448,$A$17,'Net zero emission reductions'!Z$4:Z$1448))</f>
        <v>63.958209546280962</v>
      </c>
      <c r="AU17" s="94">
        <f>IF($A17="Baseline",'Emissions summary'!AR17,SUMIF('Net zero emission reductions'!$A$4:$A$1448,$A$17,'Net zero emission reductions'!AA$4:AA$1448))</f>
        <v>63.607712656892637</v>
      </c>
      <c r="AV17" s="94">
        <f>IF($A17="Baseline",'Emissions summary'!AS17,SUMIF('Net zero emission reductions'!$A$4:$A$1448,$A$17,'Net zero emission reductions'!AB$4:AB$1448))</f>
        <v>63.154079646048565</v>
      </c>
      <c r="AW17" s="94">
        <f>IF($A17="Baseline",'Emissions summary'!AT17,SUMIF('Net zero emission reductions'!$A$4:$A$1448,$A$17,'Net zero emission reductions'!AC$4:AC$1448))</f>
        <v>62.597892339646137</v>
      </c>
      <c r="AX17" s="94">
        <f>IF($A17="Baseline",'Emissions summary'!AU17,SUMIF('Net zero emission reductions'!$A$4:$A$1448,$A$17,'Net zero emission reductions'!AD$4:AD$1448))</f>
        <v>61.940582253914194</v>
      </c>
      <c r="AY17" s="94">
        <f>IF($A17="Baseline",'Emissions summary'!AV17,SUMIF('Net zero emission reductions'!$A$4:$A$1448,$A$17,'Net zero emission reductions'!AE$4:AE$1448))</f>
        <v>61.183959803740251</v>
      </c>
      <c r="AZ17" s="94">
        <f>IF($A17="Baseline",'Emissions summary'!AW17,SUMIF('Net zero emission reductions'!$A$4:$A$1448,$A$17,'Net zero emission reductions'!AF$4:AF$1448))</f>
        <v>60.330583258561724</v>
      </c>
      <c r="BA17" s="94">
        <f>IF($A17="Baseline",'Emissions summary'!AX17,SUMIF('Net zero emission reductions'!$A$4:$A$1448,$A$17,'Net zero emission reductions'!AG$4:AG$1448))</f>
        <v>59.383730900480174</v>
      </c>
      <c r="BB17" s="94">
        <f>IF($A17="Baseline",'Emissions summary'!AY17,SUMIF('Net zero emission reductions'!$A$4:$A$1448,$A$17,'Net zero emission reductions'!AH$4:AH$1448))</f>
        <v>58.346953766989586</v>
      </c>
      <c r="BC17" s="94">
        <f>IF($A17="Baseline",'Emissions summary'!AZ17,SUMIF('Net zero emission reductions'!$A$4:$A$1448,$A$17,'Net zero emission reductions'!AI$4:AI$1448))</f>
        <v>57.22423674714647</v>
      </c>
      <c r="BD17" s="94">
        <f>IF($A17="Baseline",'Emissions summary'!BA17,SUMIF('Net zero emission reductions'!$A$4:$A$1448,$A$17,'Net zero emission reductions'!AJ$4:AJ$1448))</f>
        <v>-5.3322851080076239</v>
      </c>
      <c r="BE17" s="94">
        <f>IF($A17="Baseline",'Emissions summary'!BB17,SUMIF('Net zero emission reductions'!$A$4:$A$1448,$A$17,'Net zero emission reductions'!AK$4:AK$1448))</f>
        <v>-5.2745582538153819</v>
      </c>
      <c r="BF17" s="94">
        <f>IF($A17="Baseline",'Emissions summary'!BC17,SUMIF('Net zero emission reductions'!$A$4:$A$1448,$A$17,'Net zero emission reductions'!AL$4:AL$1448))</f>
        <v>-5.2166268772309676</v>
      </c>
      <c r="BG17" s="94">
        <f>IF($A17="Baseline",'Emissions summary'!BD17,SUMIF('Net zero emission reductions'!$A$4:$A$1448,$A$17,'Net zero emission reductions'!AM$4:AM$1448))</f>
        <v>-5.1585510792263074</v>
      </c>
      <c r="BH17" s="94">
        <f>IF($A17="Baseline",'Emissions summary'!BE17,SUMIF('Net zero emission reductions'!$A$4:$A$1448,$A$17,'Net zero emission reductions'!AN$4:AN$1448))</f>
        <v>-5.1003972829717226</v>
      </c>
      <c r="BI17" s="94">
        <f>IF($A17="Baseline",'Emissions summary'!BF17,SUMIF('Net zero emission reductions'!$A$4:$A$1448,$A$17,'Net zero emission reductions'!AO$4:AO$1448))</f>
        <v>-5.0420113339899135</v>
      </c>
      <c r="BJ17" s="94">
        <f>IF($A17="Baseline",'Emissions summary'!BG17,SUMIF('Net zero emission reductions'!$A$4:$A$1448,$A$17,'Net zero emission reductions'!AP$4:AP$1448))</f>
        <v>-4.9833022227191188</v>
      </c>
      <c r="BK17" s="94">
        <f>IF($A17="Baseline",'Emissions summary'!BH17,SUMIF('Net zero emission reductions'!$A$4:$A$1448,$A$17,'Net zero emission reductions'!AQ$4:AQ$1448))</f>
        <v>-4.9242756204784817</v>
      </c>
      <c r="BL17" s="94">
        <f>IF($A17="Baseline",'Emissions summary'!BI17,SUMIF('Net zero emission reductions'!$A$4:$A$1448,$A$17,'Net zero emission reductions'!AR$4:AR$1448))</f>
        <v>-4.8648337101867627</v>
      </c>
      <c r="BM17" s="94">
        <f>IF($A17="Baseline",'Emissions summary'!BJ17,SUMIF('Net zero emission reductions'!$A$4:$A$1448,$A$17,'Net zero emission reductions'!AS$4:AS$1448))</f>
        <v>-4.8048750189477332</v>
      </c>
      <c r="BN17" s="94">
        <f>IF($A17="Baseline",'Emissions summary'!BK17,SUMIF('Net zero emission reductions'!$A$4:$A$1448,$A$17,'Net zero emission reductions'!AT$4:AT$1448))</f>
        <v>-4.7444165641033589</v>
      </c>
      <c r="BO17" s="94">
        <f>IF($A17="Baseline",'Emissions summary'!BL17,SUMIF('Net zero emission reductions'!$A$4:$A$1448,$A$17,'Net zero emission reductions'!AU$4:AU$1448))</f>
        <v>-4.6835086551016172</v>
      </c>
      <c r="BP17" s="94">
        <f>IF($A17="Baseline",'Emissions summary'!BM17,SUMIF('Net zero emission reductions'!$A$4:$A$1448,$A$17,'Net zero emission reductions'!AV$4:AV$1448))</f>
        <v>-4.6221943259649407</v>
      </c>
      <c r="BQ17" s="94">
        <f>IF($A17="Baseline",'Emissions summary'!BN17,SUMIF('Net zero emission reductions'!$A$4:$A$1448,$A$17,'Net zero emission reductions'!AW$4:AW$1448))</f>
        <v>-4.5603886900930117</v>
      </c>
    </row>
    <row r="18" spans="1:72" x14ac:dyDescent="0.25">
      <c r="A18" s="95" t="str">
        <f t="shared" si="2"/>
        <v>FSFAGSPQNIBDDSCM Poultry MMCH4</v>
      </c>
      <c r="B18" s="95" t="str">
        <f t="shared" si="9"/>
        <v>FSFAGSPQNIBDDSCM</v>
      </c>
      <c r="C18" s="96" t="s">
        <v>1231</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2.9232175341370552</v>
      </c>
      <c r="AG18" s="94">
        <f>IF($A18="Baseline",'Emissions summary'!AD18,SUMIF('Net zero emission reductions'!$A$4:$A$1448,$A$18,'Net zero emission reductions'!M$4:M$1448))</f>
        <v>2.985672699092115</v>
      </c>
      <c r="AH18" s="94">
        <f>IF($A18="Baseline",'Emissions summary'!AE18,SUMIF('Net zero emission reductions'!$A$4:$A$1448,$A$18,'Net zero emission reductions'!N$4:N$1448))</f>
        <v>3.0102189866459601</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2.9854362546719684</v>
      </c>
      <c r="AK18" s="94">
        <f>IF($A18="Baseline",'Emissions summary'!AH18,SUMIF('Net zero emission reductions'!$A$4:$A$1448,$A$18,'Net zero emission reductions'!Q$4:Q$1448))</f>
        <v>2.9805084686213332</v>
      </c>
      <c r="AL18" s="94">
        <f>IF($A18="Baseline",'Emissions summary'!AI18,SUMIF('Net zero emission reductions'!$A$4:$A$1448,$A$18,'Net zero emission reductions'!R$4:R$1448))</f>
        <v>2.978868166437934</v>
      </c>
      <c r="AM18" s="94">
        <f>IF($A18="Baseline",'Emissions summary'!AJ18,SUMIF('Net zero emission reductions'!$A$4:$A$1448,$A$18,'Net zero emission reductions'!S$4:S$1448))</f>
        <v>2.655105712475164</v>
      </c>
      <c r="AN18" s="94">
        <f>IF($A18="Baseline",'Emissions summary'!AK18,SUMIF('Net zero emission reductions'!$A$4:$A$1448,$A$18,'Net zero emission reductions'!T$4:T$1448))</f>
        <v>2.8318241264842263</v>
      </c>
      <c r="AO18" s="94">
        <f>IF($A18="Baseline",'Emissions summary'!AL18,SUMIF('Net zero emission reductions'!$A$4:$A$1448,$A$18,'Net zero emission reductions'!U$4:U$1448))</f>
        <v>10.944785643402808</v>
      </c>
      <c r="AP18" s="94">
        <f>IF($A18="Baseline",'Emissions summary'!AM18,SUMIF('Net zero emission reductions'!$A$4:$A$1448,$A$18,'Net zero emission reductions'!V$4:V$1448))</f>
        <v>11.146811353508689</v>
      </c>
      <c r="AQ18" s="94">
        <f>IF($A18="Baseline",'Emissions summary'!AN18,SUMIF('Net zero emission reductions'!$A$4:$A$1448,$A$18,'Net zero emission reductions'!W$4:W$1448))</f>
        <v>11.328510328860276</v>
      </c>
      <c r="AR18" s="94">
        <f>IF($A18="Baseline",'Emissions summary'!AO18,SUMIF('Net zero emission reductions'!$A$4:$A$1448,$A$18,'Net zero emission reductions'!X$4:X$1448))</f>
        <v>11.490263168535135</v>
      </c>
      <c r="AS18" s="94">
        <f>IF($A18="Baseline",'Emissions summary'!AP18,SUMIF('Net zero emission reductions'!$A$4:$A$1448,$A$18,'Net zero emission reductions'!Y$4:Y$1448))</f>
        <v>11.633518001837963</v>
      </c>
      <c r="AT18" s="94">
        <f>IF($A18="Baseline",'Emissions summary'!AQ18,SUMIF('Net zero emission reductions'!$A$4:$A$1448,$A$18,'Net zero emission reductions'!Z$4:Z$1448))</f>
        <v>11.757283847803782</v>
      </c>
      <c r="AU18" s="94">
        <f>IF($A18="Baseline",'Emissions summary'!AR18,SUMIF('Net zero emission reductions'!$A$4:$A$1448,$A$18,'Net zero emission reductions'!AA$4:AA$1448))</f>
        <v>11.860770740400003</v>
      </c>
      <c r="AV18" s="94">
        <f>IF($A18="Baseline",'Emissions summary'!AS18,SUMIF('Net zero emission reductions'!$A$4:$A$1448,$A$18,'Net zero emission reductions'!AB$4:AB$1448))</f>
        <v>11.943216496201451</v>
      </c>
      <c r="AW18" s="94">
        <f>IF($A18="Baseline",'Emissions summary'!AT18,SUMIF('Net zero emission reductions'!$A$4:$A$1448,$A$18,'Net zero emission reductions'!AC$4:AC$1448))</f>
        <v>12.00394281411825</v>
      </c>
      <c r="AX18" s="94">
        <f>IF($A18="Baseline",'Emissions summary'!AU18,SUMIF('Net zero emission reductions'!$A$4:$A$1448,$A$18,'Net zero emission reductions'!AD$4:AD$1448))</f>
        <v>12.042461860126373</v>
      </c>
      <c r="AY18" s="94">
        <f>IF($A18="Baseline",'Emissions summary'!AV18,SUMIF('Net zero emission reductions'!$A$4:$A$1448,$A$18,'Net zero emission reductions'!AE$4:AE$1448))</f>
        <v>12.058333705078491</v>
      </c>
      <c r="AZ18" s="94">
        <f>IF($A18="Baseline",'Emissions summary'!AW18,SUMIF('Net zero emission reductions'!$A$4:$A$1448,$A$18,'Net zero emission reductions'!AF$4:AF$1448))</f>
        <v>12.051296624962221</v>
      </c>
      <c r="BA18" s="94">
        <f>IF($A18="Baseline",'Emissions summary'!AX18,SUMIF('Net zero emission reductions'!$A$4:$A$1448,$A$18,'Net zero emission reductions'!AG$4:AG$1448))</f>
        <v>12.02127176417914</v>
      </c>
      <c r="BB18" s="94">
        <f>IF($A18="Baseline",'Emissions summary'!AY18,SUMIF('Net zero emission reductions'!$A$4:$A$1448,$A$18,'Net zero emission reductions'!AH$4:AH$1448))</f>
        <v>11.968223365165935</v>
      </c>
      <c r="BC18" s="94">
        <f>IF($A18="Baseline",'Emissions summary'!AZ18,SUMIF('Net zero emission reductions'!$A$4:$A$1448,$A$18,'Net zero emission reductions'!AI$4:AI$1448))</f>
        <v>11.8922216206839</v>
      </c>
      <c r="BD18" s="94">
        <f>IF($A18="Baseline",'Emissions summary'!BA18,SUMIF('Net zero emission reductions'!$A$4:$A$1448,$A$18,'Net zero emission reductions'!AJ$4:AJ$1448))</f>
        <v>-1.95916133494038</v>
      </c>
      <c r="BE18" s="94">
        <f>IF($A18="Baseline",'Emissions summary'!BB18,SUMIF('Net zero emission reductions'!$A$4:$A$1448,$A$18,'Net zero emission reductions'!AK$4:AK$1448))</f>
        <v>-1.9606306615965552</v>
      </c>
      <c r="BF18" s="94">
        <f>IF($A18="Baseline",'Emissions summary'!BC18,SUMIF('Net zero emission reductions'!$A$4:$A$1448,$A$18,'Net zero emission reductions'!AL$4:AL$1448))</f>
        <v>-1.9618485351007344</v>
      </c>
      <c r="BG18" s="94">
        <f>IF($A18="Baseline",'Emissions summary'!BD18,SUMIF('Net zero emission reductions'!$A$4:$A$1448,$A$18,'Net zero emission reductions'!AM$4:AM$1448))</f>
        <v>-1.962836329147164</v>
      </c>
      <c r="BH18" s="94">
        <f>IF($A18="Baseline",'Emissions summary'!BE18,SUMIF('Net zero emission reductions'!$A$4:$A$1448,$A$18,'Net zero emission reductions'!AN$4:AN$1448))</f>
        <v>-1.9636184571999495</v>
      </c>
      <c r="BI18" s="94">
        <f>IF($A18="Baseline",'Emissions summary'!BF18,SUMIF('Net zero emission reductions'!$A$4:$A$1448,$A$18,'Net zero emission reductions'!AO$4:AO$1448))</f>
        <v>-1.9641373321808648</v>
      </c>
      <c r="BJ18" s="94">
        <f>IF($A18="Baseline",'Emissions summary'!BG18,SUMIF('Net zero emission reductions'!$A$4:$A$1448,$A$18,'Net zero emission reductions'!AP$4:AP$1448))</f>
        <v>-1.9643562479312633</v>
      </c>
      <c r="BK18" s="94">
        <f>IF($A18="Baseline",'Emissions summary'!BH18,SUMIF('Net zero emission reductions'!$A$4:$A$1448,$A$18,'Net zero emission reductions'!AQ$4:AQ$1448))</f>
        <v>-1.9642736525453977</v>
      </c>
      <c r="BL18" s="94">
        <f>IF($A18="Baseline",'Emissions summary'!BI18,SUMIF('Net zero emission reductions'!$A$4:$A$1448,$A$18,'Net zero emission reductions'!AR$4:AR$1448))</f>
        <v>-1.9638473848598754</v>
      </c>
      <c r="BM18" s="94">
        <f>IF($A18="Baseline",'Emissions summary'!BJ18,SUMIF('Net zero emission reductions'!$A$4:$A$1448,$A$18,'Net zero emission reductions'!AS$4:AS$1448))</f>
        <v>-1.9630315668667693</v>
      </c>
      <c r="BN18" s="94">
        <f>IF($A18="Baseline",'Emissions summary'!BK18,SUMIF('Net zero emission reductions'!$A$4:$A$1448,$A$18,'Net zero emission reductions'!AT$4:AT$1448))</f>
        <v>-1.961825200078708</v>
      </c>
      <c r="BO18" s="94">
        <f>IF($A18="Baseline",'Emissions summary'!BL18,SUMIF('Net zero emission reductions'!$A$4:$A$1448,$A$18,'Net zero emission reductions'!AU$4:AU$1448))</f>
        <v>-1.9602405735319326</v>
      </c>
      <c r="BP18" s="94">
        <f>IF($A18="Baseline",'Emissions summary'!BM18,SUMIF('Net zero emission reductions'!$A$4:$A$1448,$A$18,'Net zero emission reductions'!AV$4:AV$1448))</f>
        <v>-1.9582875025807476</v>
      </c>
      <c r="BQ18" s="94">
        <f>IF($A18="Baseline",'Emissions summary'!BN18,SUMIF('Net zero emission reductions'!$A$4:$A$1448,$A$18,'Net zero emission reductions'!AW$4:AW$1448))</f>
        <v>-1.9559231810575166</v>
      </c>
    </row>
    <row r="19" spans="1:72" s="19" customFormat="1" ht="15.75" x14ac:dyDescent="0.25">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5.1994200766582477</v>
      </c>
      <c r="AF19" s="40">
        <f t="shared" ref="AF19:BQ19" si="13">SUM(AF20:AF26)</f>
        <v>5.2527414367903074</v>
      </c>
      <c r="AG19" s="40">
        <f t="shared" si="13"/>
        <v>5.3365378743462077</v>
      </c>
      <c r="AH19" s="40">
        <f t="shared" si="13"/>
        <v>5.3665755836071121</v>
      </c>
      <c r="AI19" s="40">
        <f t="shared" si="13"/>
        <v>5.3622649672773743</v>
      </c>
      <c r="AJ19" s="40">
        <f t="shared" si="13"/>
        <v>5.3238634740042325</v>
      </c>
      <c r="AK19" s="40">
        <f t="shared" si="13"/>
        <v>5.3145192594478221</v>
      </c>
      <c r="AL19" s="40">
        <f t="shared" si="13"/>
        <v>5.3105434668737512</v>
      </c>
      <c r="AM19" s="40">
        <f t="shared" si="13"/>
        <v>4.8365681537305543</v>
      </c>
      <c r="AN19" s="40">
        <f t="shared" si="13"/>
        <v>5.088245242281527</v>
      </c>
      <c r="AO19" s="40">
        <f t="shared" si="13"/>
        <v>16.631914364815522</v>
      </c>
      <c r="AP19" s="40">
        <f t="shared" si="13"/>
        <v>16.912158227947266</v>
      </c>
      <c r="AQ19" s="40">
        <f t="shared" si="13"/>
        <v>17.165482706733322</v>
      </c>
      <c r="AR19" s="40">
        <f t="shared" si="13"/>
        <v>17.391575665315745</v>
      </c>
      <c r="AS19" s="40">
        <f t="shared" si="13"/>
        <v>17.591021198027068</v>
      </c>
      <c r="AT19" s="40">
        <f t="shared" si="13"/>
        <v>17.762520041553888</v>
      </c>
      <c r="AU19" s="40">
        <f t="shared" si="13"/>
        <v>17.904991998379391</v>
      </c>
      <c r="AV19" s="40">
        <f t="shared" si="13"/>
        <v>18.017442011627786</v>
      </c>
      <c r="AW19" s="40">
        <f t="shared" si="13"/>
        <v>18.099007926144743</v>
      </c>
      <c r="AX19" s="40">
        <f t="shared" si="13"/>
        <v>18.132064698431293</v>
      </c>
      <c r="AY19" s="40">
        <f t="shared" si="13"/>
        <v>18.133387923248776</v>
      </c>
      <c r="AZ19" s="40">
        <f t="shared" si="13"/>
        <v>18.10274063045685</v>
      </c>
      <c r="BA19" s="40">
        <f t="shared" si="13"/>
        <v>18.04010187006255</v>
      </c>
      <c r="BB19" s="40">
        <f t="shared" si="13"/>
        <v>17.945556056128837</v>
      </c>
      <c r="BC19" s="40">
        <f t="shared" si="13"/>
        <v>17.819341997542541</v>
      </c>
      <c r="BD19" s="40">
        <f t="shared" si="13"/>
        <v>-1.6659681231917505</v>
      </c>
      <c r="BE19" s="40">
        <f t="shared" si="13"/>
        <v>-1.6643969177443192</v>
      </c>
      <c r="BF19" s="40">
        <f t="shared" si="13"/>
        <v>-1.6626964252847605</v>
      </c>
      <c r="BG19" s="40">
        <f t="shared" si="13"/>
        <v>-1.6608818591071965</v>
      </c>
      <c r="BH19" s="40">
        <f t="shared" si="13"/>
        <v>-1.659561715916628</v>
      </c>
      <c r="BI19" s="40">
        <f t="shared" si="13"/>
        <v>-1.658083851735787</v>
      </c>
      <c r="BJ19" s="40">
        <f t="shared" si="13"/>
        <v>-1.6564184561062596</v>
      </c>
      <c r="BK19" s="40">
        <f t="shared" si="13"/>
        <v>-1.6545634074122941</v>
      </c>
      <c r="BL19" s="40">
        <f t="shared" si="13"/>
        <v>-1.6524848154866283</v>
      </c>
      <c r="BM19" s="40">
        <f t="shared" si="13"/>
        <v>-1.650145993958513</v>
      </c>
      <c r="BN19" s="40">
        <f t="shared" si="13"/>
        <v>-1.6475455105068326</v>
      </c>
      <c r="BO19" s="40">
        <f t="shared" si="13"/>
        <v>-1.644692372116229</v>
      </c>
      <c r="BP19" s="40">
        <f t="shared" si="13"/>
        <v>-1.6415936677042706</v>
      </c>
      <c r="BQ19" s="40">
        <f t="shared" si="13"/>
        <v>-1.6382153569263336</v>
      </c>
      <c r="BT19"/>
    </row>
    <row r="20" spans="1:72" x14ac:dyDescent="0.25">
      <c r="A20" s="95" t="str">
        <f t="shared" si="2"/>
        <v>FSFAGSPQNIBDDSCM Mattle MMN2O</v>
      </c>
      <c r="B20" s="95" t="str">
        <f t="shared" ref="B20:B26" si="14">$B$5</f>
        <v>FSFAGSPQNIBDDSCM</v>
      </c>
      <c r="C20" s="95" t="s">
        <v>1335</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2.6405154397771438</v>
      </c>
      <c r="AF20" s="27">
        <f>SUM('Net zero emission reductions'!L1411:L1416)</f>
        <v>2.6638547658757203</v>
      </c>
      <c r="AG20" s="27">
        <f>SUM('Net zero emission reductions'!M1411:M1416)</f>
        <v>2.7012838960025096</v>
      </c>
      <c r="AH20" s="27">
        <f>SUM('Net zero emission reductions'!N1411:N1416)</f>
        <v>2.7146557268578317</v>
      </c>
      <c r="AI20" s="27">
        <f>SUM('Net zero emission reductions'!O1411:O1416)</f>
        <v>2.7128512798971713</v>
      </c>
      <c r="AJ20" s="27">
        <f>SUM('Net zero emission reductions'!P1411:P1416)</f>
        <v>2.6960639868509837</v>
      </c>
      <c r="AK20" s="27">
        <f>SUM('Net zero emission reductions'!Q1411:Q1416)</f>
        <v>2.6925532758612407</v>
      </c>
      <c r="AL20" s="27">
        <f>SUM('Net zero emission reductions'!R1411:R1416)</f>
        <v>2.6916404315629787</v>
      </c>
      <c r="AM20" s="27">
        <f>SUM('Net zero emission reductions'!S1411:S1416)</f>
        <v>2.4756090524957428</v>
      </c>
      <c r="AN20" s="27">
        <f>SUM('Net zero emission reductions'!T1411:T1416)</f>
        <v>2.590961601468396</v>
      </c>
      <c r="AO20" s="27">
        <f>SUM('Net zero emission reductions'!U1411:U1416)</f>
        <v>7.7684783360480179</v>
      </c>
      <c r="AP20" s="27">
        <f>SUM('Net zero emission reductions'!V1411:V1416)</f>
        <v>7.8976300421464476</v>
      </c>
      <c r="AQ20" s="27">
        <f>SUM('Net zero emission reductions'!W1411:W1416)</f>
        <v>8.0155334084512599</v>
      </c>
      <c r="AR20" s="27">
        <f>SUM('Net zero emission reductions'!X1411:X1416)</f>
        <v>8.1216862067138536</v>
      </c>
      <c r="AS20" s="27">
        <f>SUM('Net zero emission reductions'!Y1411:Y1416)</f>
        <v>8.2157403535408378</v>
      </c>
      <c r="AT20" s="27">
        <f>SUM('Net zero emission reductions'!Z1411:Z1416)</f>
        <v>8.2971368921321762</v>
      </c>
      <c r="AU20" s="27">
        <f>SUM('Net zero emission reductions'!AA1411:AA1416)</f>
        <v>8.3653873656825759</v>
      </c>
      <c r="AV20" s="27">
        <f>SUM('Net zero emission reductions'!AB1411:AB1416)</f>
        <v>8.4200588742591407</v>
      </c>
      <c r="AW20" s="27">
        <f>SUM('Net zero emission reductions'!AC1411:AC1416)</f>
        <v>8.4607829115432551</v>
      </c>
      <c r="AX20" s="27">
        <f>SUM('Net zero emission reductions'!AD1411:AD1416)</f>
        <v>8.4702861584495963</v>
      </c>
      <c r="AY20" s="27">
        <f>SUM('Net zero emission reductions'!AE1411:AE1416)</f>
        <v>8.4656519013512117</v>
      </c>
      <c r="AZ20" s="27">
        <f>SUM('Net zero emission reductions'!AF1411:AF1416)</f>
        <v>8.4468172896646507</v>
      </c>
      <c r="BA20" s="27">
        <f>SUM('Net zero emission reductions'!AG1411:AG1416)</f>
        <v>8.4137988818850467</v>
      </c>
      <c r="BB20" s="27">
        <f>SUM('Net zero emission reductions'!AH1411:AH1416)</f>
        <v>8.3666780371230587</v>
      </c>
      <c r="BC20" s="27">
        <f>SUM('Net zero emission reductions'!AI1411:AI1416)</f>
        <v>8.305606984908998</v>
      </c>
      <c r="BD20" s="27">
        <f>SUM('Net zero emission reductions'!AJ1411:AJ1416)</f>
        <v>-0.40683671771953772</v>
      </c>
      <c r="BE20" s="27">
        <f>SUM('Net zero emission reductions'!AK1411:AK1416)</f>
        <v>-0.40451934938767214</v>
      </c>
      <c r="BF20" s="27">
        <f>SUM('Net zero emission reductions'!AL1411:AL1416)</f>
        <v>-0.40224795406604719</v>
      </c>
      <c r="BG20" s="27">
        <f>SUM('Net zero emission reductions'!AM1411:AM1416)</f>
        <v>-0.4000227414651778</v>
      </c>
      <c r="BH20" s="27">
        <f>SUM('Net zero emission reductions'!AN1411:AN1416)</f>
        <v>-0.3984351702223633</v>
      </c>
      <c r="BI20" s="27">
        <f>SUM('Net zero emission reductions'!AO1411:AO1416)</f>
        <v>-0.39687212711599473</v>
      </c>
      <c r="BJ20" s="27">
        <f>SUM('Net zero emission reductions'!AP1411:AP1416)</f>
        <v>-0.39532851587275514</v>
      </c>
      <c r="BK20" s="27">
        <f>SUM('Net zero emission reductions'!AQ1411:AQ1416)</f>
        <v>-0.39380290121344103</v>
      </c>
      <c r="BL20" s="27">
        <f>SUM('Net zero emission reductions'!AR1411:AR1416)</f>
        <v>-0.39228979810156173</v>
      </c>
      <c r="BM20" s="27">
        <f>SUM('Net zero emission reductions'!AS1411:AS1416)</f>
        <v>-0.3907834218450803</v>
      </c>
      <c r="BN20" s="27">
        <f>SUM('Net zero emission reductions'!AT1411:AT1416)</f>
        <v>-0.38928260377891588</v>
      </c>
      <c r="BO20" s="27">
        <f>SUM('Net zero emission reductions'!AU1411:AU1416)</f>
        <v>-0.38778756982927115</v>
      </c>
      <c r="BP20" s="27">
        <f>SUM('Net zero emission reductions'!AV1411:AV1416)</f>
        <v>-0.38629833716645828</v>
      </c>
      <c r="BQ20" s="27">
        <f>SUM('Net zero emission reductions'!AW1411:AW1416)</f>
        <v>-0.38480964190609956</v>
      </c>
    </row>
    <row r="21" spans="1:72" x14ac:dyDescent="0.25">
      <c r="A21" s="95" t="str">
        <f t="shared" si="2"/>
        <v>FSFAGSPQNIBDDSCM Sheep MMN2O</v>
      </c>
      <c r="B21" s="95" t="str">
        <f t="shared" si="14"/>
        <v>FSFAGSPQNIBDDSCM</v>
      </c>
      <c r="C21" s="96" t="s">
        <v>1328</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0.18246526057949247</v>
      </c>
      <c r="AN21" s="27">
        <f>SUM('Net zero emission reductions'!T1417:T1418)</f>
        <v>0.18258669896078542</v>
      </c>
      <c r="AO21" s="27">
        <f>SUM('Net zero emission reductions'!U1417:U1418)</f>
        <v>0.18496490673628097</v>
      </c>
      <c r="AP21" s="27">
        <f>SUM('Net zero emission reductions'!V1417:V1418)</f>
        <v>0.18502292125882311</v>
      </c>
      <c r="AQ21" s="27">
        <f>SUM('Net zero emission reductions'!W1417:W1418)</f>
        <v>0.18527107690219102</v>
      </c>
      <c r="AR21" s="27">
        <f>SUM('Net zero emission reductions'!X1417:X1418)</f>
        <v>0.18562979190788892</v>
      </c>
      <c r="AS21" s="27">
        <f>SUM('Net zero emission reductions'!Y1417:Y1418)</f>
        <v>0.18596302585536856</v>
      </c>
      <c r="AT21" s="27">
        <f>SUM('Net zero emission reductions'!Z1417:Z1418)</f>
        <v>0.18627490462868646</v>
      </c>
      <c r="AU21" s="27">
        <f>SUM('Net zero emission reductions'!AA1417:AA1418)</f>
        <v>0.18656376514753978</v>
      </c>
      <c r="AV21" s="27">
        <f>SUM('Net zero emission reductions'!AB1417:AB1418)</f>
        <v>0.18683221006894055</v>
      </c>
      <c r="AW21" s="27">
        <f>SUM('Net zero emission reductions'!AC1417:AC1418)</f>
        <v>0.18708431142894055</v>
      </c>
      <c r="AX21" s="27">
        <f>SUM('Net zero emission reductions'!AD1417:AD1418)</f>
        <v>0.18731983168987187</v>
      </c>
      <c r="AY21" s="27">
        <f>SUM('Net zero emission reductions'!AE1417:AE1418)</f>
        <v>0.18754253788152983</v>
      </c>
      <c r="AZ21" s="27">
        <f>SUM('Net zero emission reductions'!AF1417:AF1418)</f>
        <v>0.18775296909944628</v>
      </c>
      <c r="BA21" s="27">
        <f>SUM('Net zero emission reductions'!AG1417:AG1418)</f>
        <v>0.18794824114119116</v>
      </c>
      <c r="BB21" s="27">
        <f>SUM('Net zero emission reductions'!AH1417:AH1418)</f>
        <v>0.18813014031031414</v>
      </c>
      <c r="BC21" s="27">
        <f>SUM('Net zero emission reductions'!AI1417:AI1418)</f>
        <v>0.18830156850985863</v>
      </c>
      <c r="BD21" s="27">
        <f>SUM('Net zero emission reductions'!AJ1417:AJ1418)</f>
        <v>0.18416907176042047</v>
      </c>
      <c r="BE21" s="27">
        <f>SUM('Net zero emission reductions'!AK1417:AK1418)</f>
        <v>0.18433843190673543</v>
      </c>
      <c r="BF21" s="27">
        <f>SUM('Net zero emission reductions'!AL1417:AL1418)</f>
        <v>0.18449640133088974</v>
      </c>
      <c r="BG21" s="27">
        <f>SUM('Net zero emission reductions'!AM1417:AM1418)</f>
        <v>0.18464394546082669</v>
      </c>
      <c r="BH21" s="27">
        <f>SUM('Net zero emission reductions'!AN1417:AN1418)</f>
        <v>0.18478223788876549</v>
      </c>
      <c r="BI21" s="27">
        <f>SUM('Net zero emission reductions'!AO1417:AO1418)</f>
        <v>0.18490764096169704</v>
      </c>
      <c r="BJ21" s="27">
        <f>SUM('Net zero emission reductions'!AP1417:AP1418)</f>
        <v>0.18501772541534195</v>
      </c>
      <c r="BK21" s="27">
        <f>SUM('Net zero emission reductions'!AQ1417:AQ1418)</f>
        <v>0.18511213543708388</v>
      </c>
      <c r="BL21" s="27">
        <f>SUM('Net zero emission reductions'!AR1417:AR1418)</f>
        <v>0.18518810656417856</v>
      </c>
      <c r="BM21" s="27">
        <f>SUM('Net zero emission reductions'!AS1417:AS1418)</f>
        <v>0.1852426339012424</v>
      </c>
      <c r="BN21" s="27">
        <f>SUM('Net zero emission reductions'!AT1417:AT1418)</f>
        <v>0.18527537858544374</v>
      </c>
      <c r="BO21" s="27">
        <f>SUM('Net zero emission reductions'!AU1417:AU1418)</f>
        <v>0.18528680768786931</v>
      </c>
      <c r="BP21" s="27">
        <f>SUM('Net zero emission reductions'!AV1417:AV1418)</f>
        <v>0.18527725551304458</v>
      </c>
      <c r="BQ21" s="27">
        <f>SUM('Net zero emission reductions'!AW1417:AW1418)</f>
        <v>0.18524389377425382</v>
      </c>
    </row>
    <row r="22" spans="1:72" x14ac:dyDescent="0.25">
      <c r="A22" s="95" t="str">
        <f t="shared" si="2"/>
        <v>FSFAGSPQNIBDDSCM Goats MMN2O</v>
      </c>
      <c r="B22" s="95" t="str">
        <f t="shared" si="14"/>
        <v>FSFAGSPQNIBDDSCM</v>
      </c>
      <c r="C22" s="96" t="s">
        <v>1329</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0.1313609060950319</v>
      </c>
      <c r="AJ22" s="27">
        <f>SUM('Net zero emission reductions'!P1419:P1420)</f>
        <v>0.13212269035728819</v>
      </c>
      <c r="AK22" s="27">
        <f>SUM('Net zero emission reductions'!Q1419:Q1420)</f>
        <v>0.13294253416938454</v>
      </c>
      <c r="AL22" s="27">
        <f>SUM('Net zero emission reductions'!R1419:R1420)</f>
        <v>0.13381719216548246</v>
      </c>
      <c r="AM22" s="27">
        <f>SUM('Net zero emission reductions'!S1419:S1420)</f>
        <v>0.13349087868179638</v>
      </c>
      <c r="AN22" s="27">
        <f>SUM('Net zero emission reductions'!T1419:T1420)</f>
        <v>0.13370934003805407</v>
      </c>
      <c r="AO22" s="27">
        <f>SUM('Net zero emission reductions'!U1419:U1420)</f>
        <v>0.1364203317300538</v>
      </c>
      <c r="AP22" s="27">
        <f>SUM('Net zero emission reductions'!V1419:V1420)</f>
        <v>0.13654281106062</v>
      </c>
      <c r="AQ22" s="27">
        <f>SUM('Net zero emission reductions'!W1419:W1420)</f>
        <v>0.13686707677157386</v>
      </c>
      <c r="AR22" s="27">
        <f>SUM('Net zero emission reductions'!X1419:X1420)</f>
        <v>0.13730471529376684</v>
      </c>
      <c r="AS22" s="27">
        <f>SUM('Net zero emission reductions'!Y1419:Y1420)</f>
        <v>0.13770609086462501</v>
      </c>
      <c r="AT22" s="27">
        <f>SUM('Net zero emission reductions'!Z1419:Z1420)</f>
        <v>0.13807650896845575</v>
      </c>
      <c r="AU22" s="27">
        <f>SUM('Net zero emission reductions'!AA1419:AA1420)</f>
        <v>0.13841483343029692</v>
      </c>
      <c r="AV22" s="27">
        <f>SUM('Net zero emission reductions'!AB1419:AB1420)</f>
        <v>0.13872453843462576</v>
      </c>
      <c r="AW22" s="27">
        <f>SUM('Net zero emission reductions'!AC1419:AC1420)</f>
        <v>0.13901062085053589</v>
      </c>
      <c r="AX22" s="27">
        <f>SUM('Net zero emission reductions'!AD1419:AD1420)</f>
        <v>0.13927331117411221</v>
      </c>
      <c r="AY22" s="27">
        <f>SUM('Net zero emission reductions'!AE1419:AE1420)</f>
        <v>0.13951714526077752</v>
      </c>
      <c r="AZ22" s="27">
        <f>SUM('Net zero emission reductions'!AF1419:AF1420)</f>
        <v>0.13974309727360437</v>
      </c>
      <c r="BA22" s="27">
        <f>SUM('Net zero emission reductions'!AG1419:AG1420)</f>
        <v>0.13994840843909592</v>
      </c>
      <c r="BB22" s="27">
        <f>SUM('Net zero emission reductions'!AH1419:AH1420)</f>
        <v>0.14013535250287582</v>
      </c>
      <c r="BC22" s="27">
        <f>SUM('Net zero emission reductions'!AI1419:AI1420)</f>
        <v>0.14030736425817858</v>
      </c>
      <c r="BD22" s="27">
        <f>SUM('Net zero emission reductions'!AJ1419:AJ1420)</f>
        <v>0.13585325037807083</v>
      </c>
      <c r="BE22" s="27">
        <f>SUM('Net zero emission reductions'!AK1419:AK1420)</f>
        <v>0.13602493292802059</v>
      </c>
      <c r="BF22" s="27">
        <f>SUM('Net zero emission reductions'!AL1419:AL1420)</f>
        <v>0.13618124755618707</v>
      </c>
      <c r="BG22" s="27">
        <f>SUM('Net zero emission reductions'!AM1419:AM1420)</f>
        <v>0.13632345934938189</v>
      </c>
      <c r="BH22" s="27">
        <f>SUM('Net zero emission reductions'!AN1419:AN1420)</f>
        <v>0.13645303336801443</v>
      </c>
      <c r="BI22" s="27">
        <f>SUM('Net zero emission reductions'!AO1419:AO1420)</f>
        <v>0.13656629125975128</v>
      </c>
      <c r="BJ22" s="27">
        <f>SUM('Net zero emission reductions'!AP1419:AP1420)</f>
        <v>0.1366608535520277</v>
      </c>
      <c r="BK22" s="27">
        <f>SUM('Net zero emission reductions'!AQ1419:AQ1420)</f>
        <v>0.13673654652849521</v>
      </c>
      <c r="BL22" s="27">
        <f>SUM('Net zero emission reductions'!AR1419:AR1420)</f>
        <v>0.13679063726736423</v>
      </c>
      <c r="BM22" s="27">
        <f>SUM('Net zero emission reductions'!AS1419:AS1420)</f>
        <v>0.13682014803897224</v>
      </c>
      <c r="BN22" s="27">
        <f>SUM('Net zero emission reductions'!AT1419:AT1420)</f>
        <v>0.13682492656572515</v>
      </c>
      <c r="BO22" s="27">
        <f>SUM('Net zero emission reductions'!AU1419:AU1420)</f>
        <v>0.1368056630037579</v>
      </c>
      <c r="BP22" s="27">
        <f>SUM('Net zero emission reductions'!AV1419:AV1420)</f>
        <v>0.13676289607159617</v>
      </c>
      <c r="BQ22" s="27">
        <f>SUM('Net zero emission reductions'!AW1419:AW1420)</f>
        <v>0.13669383191033707</v>
      </c>
    </row>
    <row r="23" spans="1:72" x14ac:dyDescent="0.25">
      <c r="A23" s="95" t="str">
        <f t="shared" si="2"/>
        <v>FSFAGSPQNIBDDSCM Horses MMN2O</v>
      </c>
      <c r="B23" s="95" t="str">
        <f t="shared" si="14"/>
        <v>FSFAGSPQNIBDDSCM</v>
      </c>
      <c r="C23" s="96" t="s">
        <v>1330</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25">
      <c r="A24" s="95" t="str">
        <f t="shared" si="2"/>
        <v>FSFAGSPQNIBDDSCM Mules MMN2O</v>
      </c>
      <c r="B24" s="95" t="str">
        <f t="shared" si="14"/>
        <v>FSFAGSPQNIBDDSCM</v>
      </c>
      <c r="C24" s="96" t="s">
        <v>1331</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25">
      <c r="A25" s="95" t="str">
        <f t="shared" si="2"/>
        <v>FSFAGSPQNIBDDSCM Swine MMN2O</v>
      </c>
      <c r="B25" s="95" t="str">
        <f t="shared" si="14"/>
        <v>FSFAGSPQNIBDDSCM</v>
      </c>
      <c r="C25" s="96" t="s">
        <v>1233</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0.13559803489000399</v>
      </c>
      <c r="AF25" s="27">
        <f>SUM('Net zero emission reductions'!L1423:L1424)</f>
        <v>0.13486096937945147</v>
      </c>
      <c r="AG25" s="27">
        <f>SUM('Net zero emission reductions'!M1423:M1424)</f>
        <v>0.13492146542995687</v>
      </c>
      <c r="AH25" s="27">
        <f>SUM('Net zero emission reductions'!N1423:N1424)</f>
        <v>0.13368278298717368</v>
      </c>
      <c r="AI25" s="27">
        <f>SUM('Net zero emission reductions'!O1423:O1424)</f>
        <v>0.13165972885928906</v>
      </c>
      <c r="AJ25" s="27">
        <f>SUM('Net zero emission reductions'!P1423:P1424)</f>
        <v>0.12888464371149955</v>
      </c>
      <c r="AK25" s="27">
        <f>SUM('Net zero emission reductions'!Q1423:Q1424)</f>
        <v>0.12686962414513903</v>
      </c>
      <c r="AL25" s="27">
        <f>SUM('Net zero emission reductions'!R1423:R1424)</f>
        <v>0.12503290678710083</v>
      </c>
      <c r="AM25" s="27">
        <f>SUM('Net zero emission reductions'!S1423:S1424)</f>
        <v>0.1124951442615702</v>
      </c>
      <c r="AN25" s="27">
        <f>SUM('Net zero emission reductions'!T1423:T1424)</f>
        <v>0.11651214215527056</v>
      </c>
      <c r="AO25" s="27">
        <f>SUM('Net zero emission reductions'!U1423:U1424)</f>
        <v>0.37243319975007211</v>
      </c>
      <c r="AP25" s="27">
        <f>SUM('Net zero emission reductions'!V1423:V1424)</f>
        <v>0.37345413141511841</v>
      </c>
      <c r="AQ25" s="27">
        <f>SUM('Net zero emission reductions'!W1423:W1424)</f>
        <v>0.37383119142492782</v>
      </c>
      <c r="AR25" s="27">
        <f>SUM('Net zero emission reductions'!X1423:X1424)</f>
        <v>0.37358139289311554</v>
      </c>
      <c r="AS25" s="27">
        <f>SUM('Net zero emission reductions'!Y1423:Y1424)</f>
        <v>0.37274242124662355</v>
      </c>
      <c r="AT25" s="27">
        <f>SUM('Net zero emission reductions'!Z1423:Z1424)</f>
        <v>0.37130657000082973</v>
      </c>
      <c r="AU25" s="27">
        <f>SUM('Net zero emission reductions'!AA1423:AA1424)</f>
        <v>0.36927177573879572</v>
      </c>
      <c r="AV25" s="27">
        <f>SUM('Net zero emission reductions'!AB1423:AB1424)</f>
        <v>0.36663822926383105</v>
      </c>
      <c r="AW25" s="27">
        <f>SUM('Net zero emission reductions'!AC1423:AC1424)</f>
        <v>0.36340930834057023</v>
      </c>
      <c r="AX25" s="27">
        <f>SUM('Net zero emission reductions'!AD1423:AD1424)</f>
        <v>0.35959332357346274</v>
      </c>
      <c r="AY25" s="27">
        <f>SUM('Net zero emission reductions'!AE1423:AE1424)</f>
        <v>0.35520078524644128</v>
      </c>
      <c r="AZ25" s="27">
        <f>SUM('Net zero emission reductions'!AF1423:AF1424)</f>
        <v>0.35024654528010657</v>
      </c>
      <c r="BA25" s="27">
        <f>SUM('Net zero emission reductions'!AG1423:AG1424)</f>
        <v>0.34474963559688504</v>
      </c>
      <c r="BB25" s="27">
        <f>SUM('Net zero emission reductions'!AH1423:AH1424)</f>
        <v>0.33873067158862713</v>
      </c>
      <c r="BC25" s="27">
        <f>SUM('Net zero emission reductions'!AI1423:AI1424)</f>
        <v>0.3322127873533306</v>
      </c>
      <c r="BD25" s="27">
        <f>SUM('Net zero emission reductions'!AJ1423:AJ1424)</f>
        <v>-3.0956346460701424E-2</v>
      </c>
      <c r="BE25" s="27">
        <f>SUM('Net zero emission reductions'!AK1423:AK1424)</f>
        <v>-3.0621215749896437E-2</v>
      </c>
      <c r="BF25" s="27">
        <f>SUM('Net zero emission reductions'!AL1423:AL1424)</f>
        <v>-3.0284897693347024E-2</v>
      </c>
      <c r="BG25" s="27">
        <f>SUM('Net zero emission reductions'!AM1423:AM1424)</f>
        <v>-2.9947741204599983E-2</v>
      </c>
      <c r="BH25" s="27">
        <f>SUM('Net zero emission reductions'!AN1423:AN1424)</f>
        <v>-2.961013190044659E-2</v>
      </c>
      <c r="BI25" s="27">
        <f>SUM('Net zero emission reductions'!AO1423:AO1424)</f>
        <v>-2.9271174843854952E-2</v>
      </c>
      <c r="BJ25" s="27">
        <f>SUM('Net zero emission reductions'!AP1423:AP1424)</f>
        <v>-2.8930341682820604E-2</v>
      </c>
      <c r="BK25" s="27">
        <f>SUM('Net zero emission reductions'!AQ1423:AQ1424)</f>
        <v>-2.8587665341937192E-2</v>
      </c>
      <c r="BL25" s="27">
        <f>SUM('Net zero emission reductions'!AR1423:AR1424)</f>
        <v>-2.8242577948445598E-2</v>
      </c>
      <c r="BM25" s="27">
        <f>SUM('Net zero emission reductions'!AS1423:AS1424)</f>
        <v>-2.7894490405913734E-2</v>
      </c>
      <c r="BN25" s="27">
        <f>SUM('Net zero emission reductions'!AT1423:AT1424)</f>
        <v>-2.7543501507771254E-2</v>
      </c>
      <c r="BO25" s="27">
        <f>SUM('Net zero emission reductions'!AU1423:AU1424)</f>
        <v>-2.7189903323303719E-2</v>
      </c>
      <c r="BP25" s="27">
        <f>SUM('Net zero emission reductions'!AV1423:AV1424)</f>
        <v>-2.6833945684633938E-2</v>
      </c>
      <c r="BQ25" s="27">
        <f>SUM('Net zero emission reductions'!AW1423:AW1424)</f>
        <v>-2.647513578634058E-2</v>
      </c>
    </row>
    <row r="26" spans="1:72" x14ac:dyDescent="0.25">
      <c r="A26" s="95" t="str">
        <f t="shared" si="2"/>
        <v>FSFAGSPQNIBDDSCM Poultry MMN2O</v>
      </c>
      <c r="B26" s="95" t="str">
        <f t="shared" si="14"/>
        <v>FSFAGSPQNIBDDSCM</v>
      </c>
      <c r="C26" s="96" t="s">
        <v>1234</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2.1141223071087358</v>
      </c>
      <c r="AF26" s="27">
        <f>SUM('Net zero emission reductions'!L1425:L1428)</f>
        <v>2.1444079633530233</v>
      </c>
      <c r="AG26" s="27">
        <f>SUM('Net zero emission reductions'!M1425:M1428)</f>
        <v>2.1900184905347522</v>
      </c>
      <c r="AH26" s="27">
        <f>SUM('Net zero emission reductions'!N1425:N1428)</f>
        <v>2.2070152134542447</v>
      </c>
      <c r="AI26" s="27">
        <f>SUM('Net zero emission reductions'!O1425:O1428)</f>
        <v>2.2054156910391569</v>
      </c>
      <c r="AJ26" s="27">
        <f>SUM('Net zero emission reductions'!P1425:P1428)</f>
        <v>2.1852604118945713</v>
      </c>
      <c r="AK26" s="27">
        <f>SUM('Net zero emission reductions'!Q1425:Q1428)</f>
        <v>2.1799994398925189</v>
      </c>
      <c r="AL26" s="27">
        <f>SUM('Net zero emission reductions'!R1425:R1428)</f>
        <v>2.1772115733745303</v>
      </c>
      <c r="AM26" s="27">
        <f>SUM('Net zero emission reductions'!S1425:S1428)</f>
        <v>1.9325078177119523</v>
      </c>
      <c r="AN26" s="27">
        <f>SUM('Net zero emission reductions'!T1425:T1428)</f>
        <v>2.0644754596590214</v>
      </c>
      <c r="AO26" s="27">
        <f>SUM('Net zero emission reductions'!U1425:U1428)</f>
        <v>8.1696175905510966</v>
      </c>
      <c r="AP26" s="27">
        <f>SUM('Net zero emission reductions'!V1425:V1428)</f>
        <v>8.3195083220662571</v>
      </c>
      <c r="AQ26" s="27">
        <f>SUM('Net zero emission reductions'!W1425:W1428)</f>
        <v>8.453979953183369</v>
      </c>
      <c r="AR26" s="27">
        <f>SUM('Net zero emission reductions'!X1425:X1428)</f>
        <v>8.5733735585071198</v>
      </c>
      <c r="AS26" s="27">
        <f>SUM('Net zero emission reductions'!Y1425:Y1428)</f>
        <v>8.6788693065196121</v>
      </c>
      <c r="AT26" s="27">
        <f>SUM('Net zero emission reductions'!Z1425:Z1428)</f>
        <v>8.7697251658237398</v>
      </c>
      <c r="AU26" s="27">
        <f>SUM('Net zero emission reductions'!AA1425:AA1428)</f>
        <v>8.8453542583801834</v>
      </c>
      <c r="AV26" s="27">
        <f>SUM('Net zero emission reductions'!AB1425:AB1428)</f>
        <v>8.905188159601245</v>
      </c>
      <c r="AW26" s="27">
        <f>SUM('Net zero emission reductions'!AC1425:AC1428)</f>
        <v>8.9487207739814423</v>
      </c>
      <c r="AX26" s="27">
        <f>SUM('Net zero emission reductions'!AD1425:AD1428)</f>
        <v>8.9755920735442487</v>
      </c>
      <c r="AY26" s="27">
        <f>SUM('Net zero emission reductions'!AE1425:AE1428)</f>
        <v>8.9854755535088149</v>
      </c>
      <c r="AZ26" s="27">
        <f>SUM('Net zero emission reductions'!AF1425:AF1428)</f>
        <v>8.9781807291390425</v>
      </c>
      <c r="BA26" s="27">
        <f>SUM('Net zero emission reductions'!AG1425:AG1428)</f>
        <v>8.9536567030003305</v>
      </c>
      <c r="BB26" s="27">
        <f>SUM('Net zero emission reductions'!AH1425:AH1428)</f>
        <v>8.9118818546039638</v>
      </c>
      <c r="BC26" s="27">
        <f>SUM('Net zero emission reductions'!AI1425:AI1428)</f>
        <v>8.8529132925121736</v>
      </c>
      <c r="BD26" s="27">
        <f>SUM('Net zero emission reductions'!AJ1425:AJ1428)</f>
        <v>-1.5481973811500027</v>
      </c>
      <c r="BE26" s="27">
        <f>SUM('Net zero emission reductions'!AK1425:AK1428)</f>
        <v>-1.5496197174415067</v>
      </c>
      <c r="BF26" s="27">
        <f>SUM('Net zero emission reductions'!AL1425:AL1428)</f>
        <v>-1.550841222412443</v>
      </c>
      <c r="BG26" s="27">
        <f>SUM('Net zero emission reductions'!AM1425:AM1428)</f>
        <v>-1.5518787812476273</v>
      </c>
      <c r="BH26" s="27">
        <f>SUM('Net zero emission reductions'!AN1425:AN1428)</f>
        <v>-1.552751685050598</v>
      </c>
      <c r="BI26" s="27">
        <f>SUM('Net zero emission reductions'!AO1425:AO1428)</f>
        <v>-1.5534144819973856</v>
      </c>
      <c r="BJ26" s="27">
        <f>SUM('Net zero emission reductions'!AP1425:AP1428)</f>
        <v>-1.5538381775180534</v>
      </c>
      <c r="BK26" s="27">
        <f>SUM('Net zero emission reductions'!AQ1425:AQ1428)</f>
        <v>-1.5540215228224949</v>
      </c>
      <c r="BL26" s="27">
        <f>SUM('Net zero emission reductions'!AR1425:AR1428)</f>
        <v>-1.5539311832681637</v>
      </c>
      <c r="BM26" s="27">
        <f>SUM('Net zero emission reductions'!AS1425:AS1428)</f>
        <v>-1.5535308636477336</v>
      </c>
      <c r="BN26" s="27">
        <f>SUM('Net zero emission reductions'!AT1425:AT1428)</f>
        <v>-1.5528197103713144</v>
      </c>
      <c r="BO26" s="27">
        <f>SUM('Net zero emission reductions'!AU1425:AU1428)</f>
        <v>-1.5518073696552814</v>
      </c>
      <c r="BP26" s="27">
        <f>SUM('Net zero emission reductions'!AV1425:AV1428)</f>
        <v>-1.5505015364378192</v>
      </c>
      <c r="BQ26" s="27">
        <f>SUM('Net zero emission reductions'!AW1425:AW1428)</f>
        <v>-1.5488683049184844</v>
      </c>
    </row>
    <row r="27" spans="1:72" s="19" customFormat="1" ht="15.75" x14ac:dyDescent="0.25">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75" x14ac:dyDescent="0.25">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75" x14ac:dyDescent="0.25">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893.8099998865514</v>
      </c>
      <c r="AO41" s="41">
        <f>'Net zero emission reductions'!U1461</f>
        <v>900.67357822106953</v>
      </c>
      <c r="AP41" s="41">
        <f>'Net zero emission reductions'!V1461</f>
        <v>1065.3940139484962</v>
      </c>
      <c r="AQ41" s="41">
        <f>'Net zero emission reductions'!W1461</f>
        <v>1069.5090816299301</v>
      </c>
      <c r="AR41" s="41">
        <f>'Net zero emission reductions'!X1461</f>
        <v>1073.3182252319168</v>
      </c>
      <c r="AS41" s="41">
        <f>'Net zero emission reductions'!Y1461</f>
        <v>1076.8218555552182</v>
      </c>
      <c r="AT41" s="41">
        <f>'Net zero emission reductions'!Z1461</f>
        <v>1080.0226317758113</v>
      </c>
      <c r="AU41" s="41">
        <f>'Net zero emission reductions'!AA1461</f>
        <v>1082.9177749187229</v>
      </c>
      <c r="AV41" s="41">
        <f>'Net zero emission reductions'!AB1461</f>
        <v>1085.5049609833559</v>
      </c>
      <c r="AW41" s="41">
        <f>'Net zero emission reductions'!AC1461</f>
        <v>1087.7819132444117</v>
      </c>
      <c r="AX41" s="41">
        <f>'Net zero emission reductions'!AD1461</f>
        <v>1089.7465011362146</v>
      </c>
      <c r="AY41" s="41">
        <f>'Net zero emission reductions'!AE1461</f>
        <v>1091.3969473327843</v>
      </c>
      <c r="AZ41" s="41">
        <f>'Net zero emission reductions'!AF1461</f>
        <v>1092.7315009729246</v>
      </c>
      <c r="BA41" s="41">
        <f>'Net zero emission reductions'!AG1461</f>
        <v>1093.7487030524378</v>
      </c>
      <c r="BB41" s="41">
        <f>'Net zero emission reductions'!AH1461</f>
        <v>1094.4473857214566</v>
      </c>
      <c r="BC41" s="41">
        <f>'Net zero emission reductions'!AI1461</f>
        <v>1094.8263628266327</v>
      </c>
      <c r="BD41" s="41">
        <f>'Net zero emission reductions'!AJ1461</f>
        <v>1094.8845593444271</v>
      </c>
      <c r="BE41" s="41">
        <f>'Net zero emission reductions'!AK1461</f>
        <v>607.97020905828253</v>
      </c>
      <c r="BF41" s="41">
        <f>'Net zero emission reductions'!AL1461</f>
        <v>607.55745037474526</v>
      </c>
      <c r="BG41" s="41">
        <f>'Net zero emission reductions'!AM1461</f>
        <v>607.15409314091119</v>
      </c>
      <c r="BH41" s="41">
        <f>'Net zero emission reductions'!AN1461</f>
        <v>606.75958690378332</v>
      </c>
      <c r="BI41" s="41">
        <f>'Net zero emission reductions'!AO1461</f>
        <v>606.37328175345601</v>
      </c>
      <c r="BJ41" s="41">
        <f>'Net zero emission reductions'!AP1461</f>
        <v>605.99682053444815</v>
      </c>
      <c r="BK41" s="41">
        <f>'Net zero emission reductions'!AQ1461</f>
        <v>605.63131244884619</v>
      </c>
      <c r="BL41" s="41">
        <f>'Net zero emission reductions'!AR1461</f>
        <v>605.27689810634104</v>
      </c>
      <c r="BM41" s="41">
        <f>'Net zero emission reductions'!AS1461</f>
        <v>604.93489516166983</v>
      </c>
      <c r="BN41" s="41">
        <f>'Net zero emission reductions'!AT1461</f>
        <v>604.60677047885349</v>
      </c>
      <c r="BO41" s="41">
        <f>'Net zero emission reductions'!AU1461</f>
        <v>604.29271780451234</v>
      </c>
      <c r="BP41" s="41">
        <f>'Net zero emission reductions'!AV1461</f>
        <v>603.99253980993103</v>
      </c>
      <c r="BQ41" s="41">
        <f>'Net zero emission reductions'!AW1461</f>
        <v>603.70610230649959</v>
      </c>
      <c r="BT41"/>
    </row>
    <row r="42" spans="1:72" s="19" customFormat="1" ht="15.75" x14ac:dyDescent="0.25">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469.91049414760272</v>
      </c>
      <c r="AO42" s="41">
        <f>'Net zero emission reductions'!U1462</f>
        <v>469.73756057025111</v>
      </c>
      <c r="AP42" s="41">
        <f>'Net zero emission reductions'!V1462</f>
        <v>465.58729188751397</v>
      </c>
      <c r="AQ42" s="41">
        <f>'Net zero emission reductions'!W1462</f>
        <v>465.48360932711904</v>
      </c>
      <c r="AR42" s="41">
        <f>'Net zero emission reductions'!X1462</f>
        <v>465.38763477891212</v>
      </c>
      <c r="AS42" s="41">
        <f>'Net zero emission reductions'!Y1462</f>
        <v>465.29935789242586</v>
      </c>
      <c r="AT42" s="41">
        <f>'Net zero emission reductions'!Z1462</f>
        <v>465.21871166750475</v>
      </c>
      <c r="AU42" s="41">
        <f>'Net zero emission reductions'!AA1462</f>
        <v>465.1457661227397</v>
      </c>
      <c r="AV42" s="41">
        <f>'Net zero emission reductions'!AB1462</f>
        <v>465.080579813263</v>
      </c>
      <c r="AW42" s="41">
        <f>'Net zero emission reductions'!AC1462</f>
        <v>465.02321010306639</v>
      </c>
      <c r="AX42" s="41">
        <f>'Net zero emission reductions'!AD1462</f>
        <v>464.97371067352793</v>
      </c>
      <c r="AY42" s="41">
        <f>'Net zero emission reductions'!AE1462</f>
        <v>464.93212630585725</v>
      </c>
      <c r="AZ42" s="41">
        <f>'Net zero emission reductions'!AF1462</f>
        <v>464.89850111446157</v>
      </c>
      <c r="BA42" s="41">
        <f>'Net zero emission reductions'!AG1462</f>
        <v>464.87287186016789</v>
      </c>
      <c r="BB42" s="41">
        <f>'Net zero emission reductions'!AH1462</f>
        <v>464.8552679679272</v>
      </c>
      <c r="BC42" s="41">
        <f>'Net zero emission reductions'!AI1462</f>
        <v>464.84571932386154</v>
      </c>
      <c r="BD42" s="41">
        <f>'Net zero emission reductions'!AJ1462</f>
        <v>464.84425301408538</v>
      </c>
      <c r="BE42" s="41">
        <f>'Net zero emission reductions'!AK1462</f>
        <v>477.11246594251554</v>
      </c>
      <c r="BF42" s="41">
        <f>'Net zero emission reductions'!AL1462</f>
        <v>477.12286574160703</v>
      </c>
      <c r="BG42" s="41">
        <f>'Net zero emission reductions'!AM1462</f>
        <v>477.13302866333646</v>
      </c>
      <c r="BH42" s="41">
        <f>'Net zero emission reductions'!AN1462</f>
        <v>477.14296857682592</v>
      </c>
      <c r="BI42" s="41">
        <f>'Net zero emission reductions'!AO1462</f>
        <v>477.15270185709755</v>
      </c>
      <c r="BJ42" s="41">
        <f>'Net zero emission reductions'!AP1462</f>
        <v>477.16218711131398</v>
      </c>
      <c r="BK42" s="41">
        <f>'Net zero emission reductions'!AQ1462</f>
        <v>477.17139639220409</v>
      </c>
      <c r="BL42" s="41">
        <f>'Net zero emission reductions'!AR1462</f>
        <v>477.18032615698962</v>
      </c>
      <c r="BM42" s="41">
        <f>'Net zero emission reductions'!AS1462</f>
        <v>477.18894320626106</v>
      </c>
      <c r="BN42" s="41">
        <f>'Net zero emission reductions'!AT1462</f>
        <v>477.1972105811567</v>
      </c>
      <c r="BO42" s="41">
        <f>'Net zero emission reductions'!AU1462</f>
        <v>477.20512340006883</v>
      </c>
      <c r="BP42" s="41">
        <f>'Net zero emission reductions'!AV1462</f>
        <v>477.2126866348591</v>
      </c>
      <c r="BQ42" s="41">
        <f>'Net zero emission reductions'!AW1462</f>
        <v>477.21990366652125</v>
      </c>
      <c r="BT42"/>
    </row>
    <row r="43" spans="1:72" s="19" customFormat="1" ht="15.75" x14ac:dyDescent="0.25">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55.328082895998847</v>
      </c>
      <c r="AF43" s="41">
        <f t="shared" ref="AF43:BQ43" si="26">SUM(AF44:AF48)</f>
        <v>55.141377146941785</v>
      </c>
      <c r="AG43" s="41">
        <f t="shared" si="26"/>
        <v>55.133536751110512</v>
      </c>
      <c r="AH43" s="41">
        <f t="shared" si="26"/>
        <v>54.827496094629744</v>
      </c>
      <c r="AI43" s="41">
        <f t="shared" si="26"/>
        <v>54.339148116939327</v>
      </c>
      <c r="AJ43" s="41">
        <f t="shared" si="26"/>
        <v>53.680284142654159</v>
      </c>
      <c r="AK43" s="41">
        <f t="shared" si="26"/>
        <v>53.185580517007516</v>
      </c>
      <c r="AL43" s="41">
        <f t="shared" si="26"/>
        <v>52.728403644181718</v>
      </c>
      <c r="AM43" s="41">
        <f t="shared" si="26"/>
        <v>49.814512572045778</v>
      </c>
      <c r="AN43" s="41">
        <f t="shared" si="26"/>
        <v>50.809494472634398</v>
      </c>
      <c r="AO43" s="41">
        <f t="shared" si="26"/>
        <v>107.45893275601063</v>
      </c>
      <c r="AP43" s="41">
        <f t="shared" si="26"/>
        <v>108.41636201125947</v>
      </c>
      <c r="AQ43" s="41">
        <f t="shared" si="26"/>
        <v>108.83127941200364</v>
      </c>
      <c r="AR43" s="41">
        <f t="shared" si="26"/>
        <v>109.10969218738103</v>
      </c>
      <c r="AS43" s="41">
        <f t="shared" si="26"/>
        <v>109.2456922534932</v>
      </c>
      <c r="AT43" s="41">
        <f t="shared" si="26"/>
        <v>109.23747030331874</v>
      </c>
      <c r="AU43" s="41">
        <f t="shared" si="26"/>
        <v>109.08385667058613</v>
      </c>
      <c r="AV43" s="41">
        <f t="shared" si="26"/>
        <v>108.78459100322331</v>
      </c>
      <c r="AW43" s="41">
        <f t="shared" si="26"/>
        <v>108.3402558296587</v>
      </c>
      <c r="AX43" s="41">
        <f t="shared" si="26"/>
        <v>107.15119636707428</v>
      </c>
      <c r="AY43" s="41">
        <f t="shared" si="26"/>
        <v>105.82349977791752</v>
      </c>
      <c r="AZ43" s="41">
        <f t="shared" si="26"/>
        <v>104.36310311786511</v>
      </c>
      <c r="BA43" s="41">
        <f t="shared" si="26"/>
        <v>102.77656582142575</v>
      </c>
      <c r="BB43" s="41">
        <f t="shared" si="26"/>
        <v>101.07123844190708</v>
      </c>
      <c r="BC43" s="41">
        <f t="shared" si="26"/>
        <v>99.255107034930759</v>
      </c>
      <c r="BD43" s="41">
        <f t="shared" si="26"/>
        <v>19.508296790605094</v>
      </c>
      <c r="BE43" s="41">
        <f t="shared" si="26"/>
        <v>18.387192164904601</v>
      </c>
      <c r="BF43" s="41">
        <f t="shared" si="26"/>
        <v>18.512072232535591</v>
      </c>
      <c r="BG43" s="41">
        <f t="shared" si="26"/>
        <v>18.635163887409277</v>
      </c>
      <c r="BH43" s="41">
        <f t="shared" si="26"/>
        <v>18.734087279244719</v>
      </c>
      <c r="BI43" s="41">
        <f t="shared" si="26"/>
        <v>18.831431750009067</v>
      </c>
      <c r="BJ43" s="41">
        <f t="shared" si="26"/>
        <v>18.927135670856636</v>
      </c>
      <c r="BK43" s="41">
        <f t="shared" si="26"/>
        <v>19.02120561701328</v>
      </c>
      <c r="BL43" s="41">
        <f t="shared" si="26"/>
        <v>19.113555275620815</v>
      </c>
      <c r="BM43" s="41">
        <f t="shared" si="26"/>
        <v>19.204086762581614</v>
      </c>
      <c r="BN43" s="41">
        <f t="shared" si="26"/>
        <v>19.292796522357445</v>
      </c>
      <c r="BO43" s="41">
        <f t="shared" si="26"/>
        <v>19.379706633271752</v>
      </c>
      <c r="BP43" s="41">
        <f t="shared" si="26"/>
        <v>19.46483285124587</v>
      </c>
      <c r="BQ43" s="41">
        <f t="shared" si="26"/>
        <v>19.548068830388235</v>
      </c>
      <c r="BT43"/>
    </row>
    <row r="44" spans="1:72" x14ac:dyDescent="0.25">
      <c r="A44" s="95" t="str">
        <f t="shared" ref="A44:A48" si="27">B44&amp;" "&amp;C44</f>
        <v>FSFAGSPQNIBDDSCM Synthetic</v>
      </c>
      <c r="B44" s="95" t="str">
        <f t="shared" ref="B44:B48" si="28">$B$5</f>
        <v>FSFAGSPQNIBDDSCM</v>
      </c>
      <c r="C44" s="95" t="s">
        <v>1126</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6.6035651430821094</v>
      </c>
      <c r="AO44" s="94">
        <f>IF($A44="Baseline",'Emissions summary'!AL44,SUMIF('Net zero emission reductions'!$A$4:$A$1448,$A$44,'Net zero emission reductions'!U$4:U$1448))</f>
        <v>6.6008394987584191</v>
      </c>
      <c r="AP44" s="94">
        <f>IF($A44="Baseline",'Emissions summary'!AM44,SUMIF('Net zero emission reductions'!$A$4:$A$1448,$A$44,'Net zero emission reductions'!V$4:V$1448))</f>
        <v>6.5354261970149441</v>
      </c>
      <c r="AQ44" s="94">
        <f>IF($A44="Baseline",'Emissions summary'!AN44,SUMIF('Net zero emission reductions'!$A$4:$A$1448,$A$44,'Net zero emission reductions'!W$4:W$1448))</f>
        <v>6.5337920332710731</v>
      </c>
      <c r="AR44" s="94">
        <f>IF($A44="Baseline",'Emissions summary'!AO44,SUMIF('Net zero emission reductions'!$A$4:$A$1448,$A$44,'Net zero emission reductions'!X$4:X$1448))</f>
        <v>6.5322793572104443</v>
      </c>
      <c r="AS44" s="94">
        <f>IF($A44="Baseline",'Emissions summary'!AP44,SUMIF('Net zero emission reductions'!$A$4:$A$1448,$A$44,'Net zero emission reductions'!Y$4:Y$1448))</f>
        <v>6.5308880056970544</v>
      </c>
      <c r="AT44" s="94">
        <f>IF($A44="Baseline",'Emissions summary'!AQ44,SUMIF('Net zero emission reductions'!$A$4:$A$1448,$A$44,'Net zero emission reductions'!Z$4:Z$1448))</f>
        <v>6.5296169227266478</v>
      </c>
      <c r="AU44" s="94">
        <f>IF($A44="Baseline",'Emissions summary'!AR44,SUMIF('Net zero emission reductions'!$A$4:$A$1448,$A$44,'Net zero emission reductions'!AA$4:AA$1448))</f>
        <v>6.5284672118777083</v>
      </c>
      <c r="AV44" s="94">
        <f>IF($A44="Baseline",'Emissions summary'!AS44,SUMIF('Net zero emission reductions'!$A$4:$A$1448,$A$44,'Net zero emission reductions'!AB$4:AB$1448))</f>
        <v>6.5274397960506132</v>
      </c>
      <c r="AW44" s="94">
        <f>IF($A44="Baseline",'Emissions summary'!AT44,SUMIF('Net zero emission reductions'!$A$4:$A$1448,$A$44,'Net zero emission reductions'!AC$4:AC$1448))</f>
        <v>6.5265355793719113</v>
      </c>
      <c r="AX44" s="94">
        <f>IF($A44="Baseline",'Emissions summary'!AU44,SUMIF('Net zero emission reductions'!$A$4:$A$1448,$A$44,'Net zero emission reductions'!AD$4:AD$1448))</f>
        <v>6.5257554079256641</v>
      </c>
      <c r="AY44" s="94">
        <f>IF($A44="Baseline",'Emissions summary'!AV44,SUMIF('Net zero emission reductions'!$A$4:$A$1448,$A$44,'Net zero emission reductions'!AE$4:AE$1448))</f>
        <v>6.5250999875184093</v>
      </c>
      <c r="AZ44" s="94">
        <f>IF($A44="Baseline",'Emissions summary'!AW44,SUMIF('Net zero emission reductions'!$A$4:$A$1448,$A$44,'Net zero emission reductions'!AF$4:AF$1448))</f>
        <v>6.524570013447069</v>
      </c>
      <c r="BA44" s="94">
        <f>IF($A44="Baseline",'Emissions summary'!AX44,SUMIF('Net zero emission reductions'!$A$4:$A$1448,$A$44,'Net zero emission reductions'!AG$4:AG$1448))</f>
        <v>6.524166065107158</v>
      </c>
      <c r="BB44" s="94">
        <f>IF($A44="Baseline",'Emissions summary'!AY44,SUMIF('Net zero emission reductions'!$A$4:$A$1448,$A$44,'Net zero emission reductions'!AH$4:AH$1448))</f>
        <v>6.5238886062718322</v>
      </c>
      <c r="BC44" s="94">
        <f>IF($A44="Baseline",'Emissions summary'!AZ44,SUMIF('Net zero emission reductions'!$A$4:$A$1448,$A$44,'Net zero emission reductions'!AI$4:AI$1448))</f>
        <v>6.523738107982866</v>
      </c>
      <c r="BD44" s="94">
        <f>IF($A44="Baseline",'Emissions summary'!BA44,SUMIF('Net zero emission reductions'!$A$4:$A$1448,$A$44,'Net zero emission reductions'!AJ$4:AJ$1448))</f>
        <v>6.5237149971504902</v>
      </c>
      <c r="BE44" s="94">
        <f>IF($A44="Baseline",'Emissions summary'!BB44,SUMIF('Net zero emission reductions'!$A$4:$A$1448,$A$44,'Net zero emission reductions'!AK$4:AK$1448))</f>
        <v>6.7170770118746468</v>
      </c>
      <c r="BF44" s="94">
        <f>IF($A44="Baseline",'Emissions summary'!BC44,SUMIF('Net zero emission reductions'!$A$4:$A$1448,$A$44,'Net zero emission reductions'!AL$4:AL$1448))</f>
        <v>6.7172409254060446</v>
      </c>
      <c r="BG44" s="94">
        <f>IF($A44="Baseline",'Emissions summary'!BD44,SUMIF('Net zero emission reductions'!$A$4:$A$1448,$A$44,'Net zero emission reductions'!AM$4:AM$1448))</f>
        <v>6.7174011054610014</v>
      </c>
      <c r="BH44" s="94">
        <f>IF($A44="Baseline",'Emissions summary'!BE44,SUMIF('Net zero emission reductions'!$A$4:$A$1448,$A$44,'Net zero emission reductions'!AN$4:AN$1448))</f>
        <v>6.717557770633813</v>
      </c>
      <c r="BI44" s="94">
        <f>IF($A44="Baseline",'Emissions summary'!BF44,SUMIF('Net zero emission reductions'!$A$4:$A$1448,$A$44,'Net zero emission reductions'!AO$4:AO$1448))</f>
        <v>6.7177111790148194</v>
      </c>
      <c r="BJ44" s="94">
        <f>IF($A44="Baseline",'Emissions summary'!BG44,SUMIF('Net zero emission reductions'!$A$4:$A$1448,$A$44,'Net zero emission reductions'!AP$4:AP$1448))</f>
        <v>6.7178606782023653</v>
      </c>
      <c r="BK44" s="94">
        <f>IF($A44="Baseline",'Emissions summary'!BH44,SUMIF('Net zero emission reductions'!$A$4:$A$1448,$A$44,'Net zero emission reductions'!AQ$4:AQ$1448))</f>
        <v>6.7180058277133394</v>
      </c>
      <c r="BL44" s="94">
        <f>IF($A44="Baseline",'Emissions summary'!BI44,SUMIF('Net zero emission reductions'!$A$4:$A$1448,$A$44,'Net zero emission reductions'!AR$4:AR$1448))</f>
        <v>6.7181465717092257</v>
      </c>
      <c r="BM44" s="94">
        <f>IF($A44="Baseline",'Emissions summary'!BJ44,SUMIF('Net zero emission reductions'!$A$4:$A$1448,$A$44,'Net zero emission reductions'!AS$4:AS$1448))</f>
        <v>6.7182823869267976</v>
      </c>
      <c r="BN44" s="94">
        <f>IF($A44="Baseline",'Emissions summary'!BK44,SUMIF('Net zero emission reductions'!$A$4:$A$1448,$A$44,'Net zero emission reductions'!AT$4:AT$1448))</f>
        <v>6.7184126908492701</v>
      </c>
      <c r="BO44" s="94">
        <f>IF($A44="Baseline",'Emissions summary'!BL44,SUMIF('Net zero emission reductions'!$A$4:$A$1448,$A$44,'Net zero emission reductions'!AU$4:AU$1448))</f>
        <v>6.7185374065365453</v>
      </c>
      <c r="BP44" s="94">
        <f>IF($A44="Baseline",'Emissions summary'!BM44,SUMIF('Net zero emission reductions'!$A$4:$A$1448,$A$44,'Net zero emission reductions'!AV$4:AV$1448))</f>
        <v>6.7186566123512304</v>
      </c>
      <c r="BQ44" s="94">
        <f>IF($A44="Baseline",'Emissions summary'!BN44,SUMIF('Net zero emission reductions'!$A$4:$A$1448,$A$44,'Net zero emission reductions'!AW$4:AW$1448))</f>
        <v>6.7187703615819192</v>
      </c>
    </row>
    <row r="45" spans="1:72" x14ac:dyDescent="0.25">
      <c r="A45" s="95" t="str">
        <f t="shared" si="27"/>
        <v>FSFAGSPQNIBDDSCM Organic</v>
      </c>
      <c r="B45" s="95" t="str">
        <f t="shared" si="28"/>
        <v>FSFAGSPQNIBDDSCM</v>
      </c>
      <c r="C45" s="95" t="s">
        <v>1127</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6.0531159936458003</v>
      </c>
      <c r="AG45" s="94">
        <f>IF($A45="Baseline",'Emissions summary'!AD45,SUMIF('Net zero emission reductions'!$A$4:$A$1448,$A$45,'Net zero emission reductions'!M$4:M$1448))</f>
        <v>6.0879780513059973</v>
      </c>
      <c r="AH45" s="94">
        <f>IF($A45="Baseline",'Emissions summary'!AE45,SUMIF('Net zero emission reductions'!$A$4:$A$1448,$A$45,'Net zero emission reductions'!N$4:N$1448))</f>
        <v>6.0713021029410532</v>
      </c>
      <c r="AI45" s="94">
        <f>IF($A45="Baseline",'Emissions summary'!AF45,SUMIF('Net zero emission reductions'!$A$4:$A$1448,$A$45,'Net zero emission reductions'!O$4:O$1448))</f>
        <v>6.0227924876945922</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5.3680130535596504</v>
      </c>
      <c r="AN45" s="94">
        <f>IF($A45="Baseline",'Emissions summary'!AK45,SUMIF('Net zero emission reductions'!$A$4:$A$1448,$A$45,'Net zero emission reductions'!T$4:T$1448))</f>
        <v>5.5723504288744374</v>
      </c>
      <c r="AO45" s="94">
        <f>IF($A45="Baseline",'Emissions summary'!AL45,SUMIF('Net zero emission reductions'!$A$4:$A$1448,$A$45,'Net zero emission reductions'!U$4:U$1448))</f>
        <v>15.901511362481237</v>
      </c>
      <c r="AP45" s="94">
        <f>IF($A45="Baseline",'Emissions summary'!AM45,SUMIF('Net zero emission reductions'!$A$4:$A$1448,$A$45,'Net zero emission reductions'!V$4:V$1448))</f>
        <v>16.07222132843296</v>
      </c>
      <c r="AQ45" s="94">
        <f>IF($A45="Baseline",'Emissions summary'!AN45,SUMIF('Net zero emission reductions'!$A$4:$A$1448,$A$45,'Net zero emission reductions'!W$4:W$1448))</f>
        <v>16.219199671045626</v>
      </c>
      <c r="AR45" s="94">
        <f>IF($A45="Baseline",'Emissions summary'!AO45,SUMIF('Net zero emission reductions'!$A$4:$A$1448,$A$45,'Net zero emission reductions'!X$4:X$1448))</f>
        <v>16.341495542967973</v>
      </c>
      <c r="AS45" s="94">
        <f>IF($A45="Baseline",'Emissions summary'!AP45,SUMIF('Net zero emission reductions'!$A$4:$A$1448,$A$45,'Net zero emission reductions'!Y$4:Y$1448))</f>
        <v>16.438955753606976</v>
      </c>
      <c r="AT45" s="94">
        <f>IF($A45="Baseline",'Emissions summary'!AQ45,SUMIF('Net zero emission reductions'!$A$4:$A$1448,$A$45,'Net zero emission reductions'!Z$4:Z$1448))</f>
        <v>16.510839879168937</v>
      </c>
      <c r="AU45" s="94">
        <f>IF($A45="Baseline",'Emissions summary'!AR45,SUMIF('Net zero emission reductions'!$A$4:$A$1448,$A$45,'Net zero emission reductions'!AA$4:AA$1448))</f>
        <v>16.556570677436895</v>
      </c>
      <c r="AV45" s="94">
        <f>IF($A45="Baseline",'Emissions summary'!AS45,SUMIF('Net zero emission reductions'!$A$4:$A$1448,$A$45,'Net zero emission reductions'!AB$4:AB$1448))</f>
        <v>16.575688910989854</v>
      </c>
      <c r="AW45" s="94">
        <f>IF($A45="Baseline",'Emissions summary'!AT45,SUMIF('Net zero emission reductions'!$A$4:$A$1448,$A$45,'Net zero emission reductions'!AC$4:AC$1448))</f>
        <v>16.567870992069466</v>
      </c>
      <c r="AX45" s="94">
        <f>IF($A45="Baseline",'Emissions summary'!AU45,SUMIF('Net zero emission reductions'!$A$4:$A$1448,$A$45,'Net zero emission reductions'!AD$4:AD$1448))</f>
        <v>16.471090425949512</v>
      </c>
      <c r="AY45" s="94">
        <f>IF($A45="Baseline",'Emissions summary'!AV45,SUMIF('Net zero emission reductions'!$A$4:$A$1448,$A$45,'Net zero emission reductions'!AE$4:AE$1448))</f>
        <v>16.347569119855748</v>
      </c>
      <c r="AZ45" s="94">
        <f>IF($A45="Baseline",'Emissions summary'!AW45,SUMIF('Net zero emission reductions'!$A$4:$A$1448,$A$45,'Net zero emission reductions'!AF$4:AF$1448))</f>
        <v>16.197753011213912</v>
      </c>
      <c r="BA45" s="94">
        <f>IF($A45="Baseline",'Emissions summary'!AX45,SUMIF('Net zero emission reductions'!$A$4:$A$1448,$A$45,'Net zero emission reductions'!AG$4:AG$1448))</f>
        <v>16.022244381982986</v>
      </c>
      <c r="BB45" s="94">
        <f>IF($A45="Baseline",'Emissions summary'!AY45,SUMIF('Net zero emission reductions'!$A$4:$A$1448,$A$45,'Net zero emission reductions'!AH$4:AH$1448))</f>
        <v>15.821761136490142</v>
      </c>
      <c r="BC45" s="94">
        <f>IF($A45="Baseline",'Emissions summary'!AZ45,SUMIF('Net zero emission reductions'!$A$4:$A$1448,$A$45,'Net zero emission reductions'!AI$4:AI$1448))</f>
        <v>15.597147386288393</v>
      </c>
      <c r="BD45" s="94">
        <f>IF($A45="Baseline",'Emissions summary'!BA45,SUMIF('Net zero emission reductions'!$A$4:$A$1448,$A$45,'Net zero emission reductions'!AJ$4:AJ$1448))</f>
        <v>-0.35657943167338135</v>
      </c>
      <c r="BE45" s="94">
        <f>IF($A45="Baseline",'Emissions summary'!BB45,SUMIF('Net zero emission reductions'!$A$4:$A$1448,$A$45,'Net zero emission reductions'!AK$4:AK$1448))</f>
        <v>-0.34307959030810625</v>
      </c>
      <c r="BF45" s="94">
        <f>IF($A45="Baseline",'Emissions summary'!BC45,SUMIF('Net zero emission reductions'!$A$4:$A$1448,$A$45,'Net zero emission reductions'!AL$4:AL$1448))</f>
        <v>-0.3309494514031292</v>
      </c>
      <c r="BG45" s="94">
        <f>IF($A45="Baseline",'Emissions summary'!BD45,SUMIF('Net zero emission reductions'!$A$4:$A$1448,$A$45,'Net zero emission reductions'!AM$4:AM$1448))</f>
        <v>-0.31891602300029726</v>
      </c>
      <c r="BH45" s="94">
        <f>IF($A45="Baseline",'Emissions summary'!BE45,SUMIF('Net zero emission reductions'!$A$4:$A$1448,$A$45,'Net zero emission reductions'!AN$4:AN$1448))</f>
        <v>-0.30927970521901926</v>
      </c>
      <c r="BI45" s="94">
        <f>IF($A45="Baseline",'Emissions summary'!BF45,SUMIF('Net zero emission reductions'!$A$4:$A$1448,$A$45,'Net zero emission reductions'!AO$4:AO$1448))</f>
        <v>-0.29970053761894722</v>
      </c>
      <c r="BJ45" s="94">
        <f>IF($A45="Baseline",'Emissions summary'!BG45,SUMIF('Net zero emission reductions'!$A$4:$A$1448,$A$45,'Net zero emission reductions'!AP$4:AP$1448))</f>
        <v>-0.29016899868024898</v>
      </c>
      <c r="BK45" s="94">
        <f>IF($A45="Baseline",'Emissions summary'!BH45,SUMIF('Net zero emission reductions'!$A$4:$A$1448,$A$45,'Net zero emission reductions'!AQ$4:AQ$1448))</f>
        <v>-0.28068375691236902</v>
      </c>
      <c r="BL45" s="94">
        <f>IF($A45="Baseline",'Emissions summary'!BI45,SUMIF('Net zero emission reductions'!$A$4:$A$1448,$A$45,'Net zero emission reductions'!AR$4:AR$1448))</f>
        <v>-0.27123503602390048</v>
      </c>
      <c r="BM45" s="94">
        <f>IF($A45="Baseline",'Emissions summary'!BJ45,SUMIF('Net zero emission reductions'!$A$4:$A$1448,$A$45,'Net zero emission reductions'!AS$4:AS$1448))</f>
        <v>-0.2618129225411856</v>
      </c>
      <c r="BN45" s="94">
        <f>IF($A45="Baseline",'Emissions summary'!BK45,SUMIF('Net zero emission reductions'!$A$4:$A$1448,$A$45,'Net zero emission reductions'!AT$4:AT$1448))</f>
        <v>-0.25241744662771981</v>
      </c>
      <c r="BO45" s="94">
        <f>IF($A45="Baseline",'Emissions summary'!BL45,SUMIF('Net zero emission reductions'!$A$4:$A$1448,$A$45,'Net zero emission reductions'!AU$4:AU$1448))</f>
        <v>-0.2430514789635797</v>
      </c>
      <c r="BP45" s="94">
        <f>IF($A45="Baseline",'Emissions summary'!BM45,SUMIF('Net zero emission reductions'!$A$4:$A$1448,$A$45,'Net zero emission reductions'!AV$4:AV$1448))</f>
        <v>-0.23371736465431825</v>
      </c>
      <c r="BQ45" s="94">
        <f>IF($A45="Baseline",'Emissions summary'!BN45,SUMIF('Net zero emission reductions'!$A$4:$A$1448,$A$45,'Net zero emission reductions'!AW$4:AW$1448))</f>
        <v>-0.2244070010373318</v>
      </c>
    </row>
    <row r="46" spans="1:72" x14ac:dyDescent="0.25">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2.9710792197336011</v>
      </c>
      <c r="AO46" s="27">
        <f>'Net zero emission reductions'!U1465</f>
        <v>2.9914277552243997</v>
      </c>
      <c r="AP46" s="27">
        <f>'Net zero emission reductions'!V1465</f>
        <v>3.4797764662170874</v>
      </c>
      <c r="AQ46" s="27">
        <f>'Net zero emission reductions'!W1465</f>
        <v>3.4919764582156594</v>
      </c>
      <c r="AR46" s="27">
        <f>'Net zero emission reductions'!X1465</f>
        <v>3.5032694733160721</v>
      </c>
      <c r="AS46" s="27">
        <f>'Net zero emission reductions'!Y1465</f>
        <v>3.5136567294244192</v>
      </c>
      <c r="AT46" s="27">
        <f>'Net zero emission reductions'!Z1465</f>
        <v>3.5231461102325734</v>
      </c>
      <c r="AU46" s="27">
        <f>'Net zero emission reductions'!AA1465</f>
        <v>3.5317293768790967</v>
      </c>
      <c r="AV46" s="27">
        <f>'Net zero emission reductions'!AB1465</f>
        <v>3.539399639370707</v>
      </c>
      <c r="AW46" s="27">
        <f>'Net zero emission reductions'!AC1465</f>
        <v>3.5461501478717818</v>
      </c>
      <c r="AX46" s="27">
        <f>'Net zero emission reductions'!AD1465</f>
        <v>3.5519745858679355</v>
      </c>
      <c r="AY46" s="27">
        <f>'Net zero emission reductions'!AE1465</f>
        <v>3.5568676840988758</v>
      </c>
      <c r="AZ46" s="27">
        <f>'Net zero emission reductions'!AF1465</f>
        <v>3.5608242517647808</v>
      </c>
      <c r="BA46" s="27">
        <f>'Net zero emission reductions'!AG1465</f>
        <v>3.5638399633378826</v>
      </c>
      <c r="BB46" s="27">
        <f>'Net zero emission reductions'!AH1465</f>
        <v>3.5659113564792468</v>
      </c>
      <c r="BC46" s="27">
        <f>'Net zero emission reductions'!AI1465</f>
        <v>3.5670349145853852</v>
      </c>
      <c r="BD46" s="27">
        <f>'Net zero emission reductions'!AJ1465</f>
        <v>3.5672074505207347</v>
      </c>
      <c r="BE46" s="27">
        <f>'Net zero emission reductions'!AK1465</f>
        <v>2.1236464601919001</v>
      </c>
      <c r="BF46" s="27">
        <f>'Net zero emission reductions'!AL1465</f>
        <v>2.122422749423007</v>
      </c>
      <c r="BG46" s="27">
        <f>'Net zero emission reductions'!AM1465</f>
        <v>2.1212269112482072</v>
      </c>
      <c r="BH46" s="27">
        <f>'Net zero emission reductions'!AN1465</f>
        <v>2.1200573137327008</v>
      </c>
      <c r="BI46" s="27">
        <f>'Net zero emission reductions'!AO1465</f>
        <v>2.1189120300805597</v>
      </c>
      <c r="BJ46" s="27">
        <f>'Net zero emission reductions'!AP1465</f>
        <v>2.1177959308532275</v>
      </c>
      <c r="BK46" s="27">
        <f>'Net zero emission reductions'!AQ1465</f>
        <v>2.1167123045158354</v>
      </c>
      <c r="BL46" s="27">
        <f>'Net zero emission reductions'!AR1465</f>
        <v>2.1156615679356672</v>
      </c>
      <c r="BM46" s="27">
        <f>'Net zero emission reductions'!AS1465</f>
        <v>2.1146476275800086</v>
      </c>
      <c r="BN46" s="27">
        <f>'Net zero emission reductions'!AT1465</f>
        <v>2.1136748322787415</v>
      </c>
      <c r="BO46" s="27">
        <f>'Net zero emission reductions'!AU1465</f>
        <v>2.1127437564348668</v>
      </c>
      <c r="BP46" s="27">
        <f>'Net zero emission reductions'!AV1465</f>
        <v>2.111853815025504</v>
      </c>
      <c r="BQ46" s="27">
        <f>'Net zero emission reductions'!AW1465</f>
        <v>2.1110046102200224</v>
      </c>
    </row>
    <row r="47" spans="1:72" x14ac:dyDescent="0.25">
      <c r="A47" s="95" t="str">
        <f t="shared" si="27"/>
        <v>FSFAGSPQNIBDDSCM U&amp;D</v>
      </c>
      <c r="B47" s="95" t="str">
        <f t="shared" si="28"/>
        <v>FSFAGSPQNIBDDSCM</v>
      </c>
      <c r="C47" s="95" t="s">
        <v>1336</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35.397528140833238</v>
      </c>
      <c r="AF47" s="94">
        <f>IF($A47="Baseline",'Emissions summary'!AC47,SUMIF('Net zero emission reductions'!$A$4:$A$1448,$A$47,'Net zero emission reductions'!L$4:L$1448))</f>
        <v>35.200133147246405</v>
      </c>
      <c r="AG47" s="94">
        <f>IF($A47="Baseline",'Emissions summary'!AD47,SUMIF('Net zero emission reductions'!$A$4:$A$1448,$A$47,'Net zero emission reductions'!M$4:M$1448))</f>
        <v>35.148510767293075</v>
      </c>
      <c r="AH47" s="94">
        <f>IF($A47="Baseline",'Emissions summary'!AE47,SUMIF('Net zero emission reductions'!$A$4:$A$1448,$A$47,'Net zero emission reductions'!N$4:N$1448))</f>
        <v>34.848705522674024</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33.369259985013677</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30.512505208141558</v>
      </c>
      <c r="AN47" s="94">
        <f>IF($A47="Baseline",'Emissions summary'!AK47,SUMIF('Net zero emission reductions'!$A$4:$A$1448,$A$47,'Net zero emission reductions'!T$4:T$1448))</f>
        <v>31.325354942933515</v>
      </c>
      <c r="AO47" s="94">
        <f>IF($A47="Baseline",'Emissions summary'!AL47,SUMIF('Net zero emission reductions'!$A$4:$A$1448,$A$47,'Net zero emission reductions'!U$4:U$1448))</f>
        <v>77.626877545827099</v>
      </c>
      <c r="AP47" s="94">
        <f>IF($A47="Baseline",'Emissions summary'!AM47,SUMIF('Net zero emission reductions'!$A$4:$A$1448,$A$47,'Net zero emission reductions'!V$4:V$1448))</f>
        <v>77.989529570166255</v>
      </c>
      <c r="AQ47" s="94">
        <f>IF($A47="Baseline",'Emissions summary'!AN47,SUMIF('Net zero emission reductions'!$A$4:$A$1448,$A$47,'Net zero emission reductions'!W$4:W$1448))</f>
        <v>78.245770944334325</v>
      </c>
      <c r="AR47" s="94">
        <f>IF($A47="Baseline",'Emissions summary'!AO47,SUMIF('Net zero emission reductions'!$A$4:$A$1448,$A$47,'Net zero emission reductions'!X$4:X$1448))</f>
        <v>78.390975653040854</v>
      </c>
      <c r="AS47" s="94">
        <f>IF($A47="Baseline",'Emissions summary'!AP47,SUMIF('Net zero emission reductions'!$A$4:$A$1448,$A$47,'Net zero emission reductions'!Y$4:Y$1448))</f>
        <v>78.419387748210312</v>
      </c>
      <c r="AT47" s="94">
        <f>IF($A47="Baseline",'Emissions summary'!AQ47,SUMIF('Net zero emission reductions'!$A$4:$A$1448,$A$47,'Net zero emission reductions'!Z$4:Z$1448))</f>
        <v>78.32993151892741</v>
      </c>
      <c r="AU47" s="94">
        <f>IF($A47="Baseline",'Emissions summary'!AR47,SUMIF('Net zero emission reductions'!$A$4:$A$1448,$A$47,'Net zero emission reductions'!AA$4:AA$1448))</f>
        <v>78.122021676420502</v>
      </c>
      <c r="AV47" s="94">
        <f>IF($A47="Baseline",'Emissions summary'!AS47,SUMIF('Net zero emission reductions'!$A$4:$A$1448,$A$47,'Net zero emission reductions'!AB$4:AB$1448))</f>
        <v>77.795863073131486</v>
      </c>
      <c r="AW47" s="94">
        <f>IF($A47="Baseline",'Emissions summary'!AT47,SUMIF('Net zero emission reductions'!$A$4:$A$1448,$A$47,'Net zero emission reductions'!AC$4:AC$1448))</f>
        <v>77.352367670956156</v>
      </c>
      <c r="AX47" s="94">
        <f>IF($A47="Baseline",'Emissions summary'!AU47,SUMIF('Net zero emission reductions'!$A$4:$A$1448,$A$47,'Net zero emission reductions'!AD$4:AD$1448))</f>
        <v>76.253912652233026</v>
      </c>
      <c r="AY47" s="94">
        <f>IF($A47="Baseline",'Emissions summary'!AV47,SUMIF('Net zero emission reductions'!$A$4:$A$1448,$A$47,'Net zero emission reductions'!AE$4:AE$1448))</f>
        <v>75.044367835637615</v>
      </c>
      <c r="AZ47" s="94">
        <f>IF($A47="Baseline",'Emissions summary'!AW47,SUMIF('Net zero emission reductions'!$A$4:$A$1448,$A$47,'Net zero emission reductions'!AF$4:AF$1448))</f>
        <v>73.729228834923717</v>
      </c>
      <c r="BA47" s="94">
        <f>IF($A47="Baseline",'Emissions summary'!AX47,SUMIF('Net zero emission reductions'!$A$4:$A$1448,$A$47,'Net zero emission reductions'!AG$4:AG$1448))</f>
        <v>72.31445654877335</v>
      </c>
      <c r="BB47" s="94">
        <f>IF($A47="Baseline",'Emissions summary'!AY47,SUMIF('Net zero emission reductions'!$A$4:$A$1448,$A$47,'Net zero emission reductions'!AH$4:AH$1448))</f>
        <v>70.806686624732762</v>
      </c>
      <c r="BC47" s="94">
        <f>IF($A47="Baseline",'Emissions summary'!AZ47,SUMIF('Net zero emission reductions'!$A$4:$A$1448,$A$47,'Net zero emission reductions'!AI$4:AI$1448))</f>
        <v>69.213064052432273</v>
      </c>
      <c r="BD47" s="94">
        <f>IF($A47="Baseline",'Emissions summary'!BA47,SUMIF('Net zero emission reductions'!$A$4:$A$1448,$A$47,'Net zero emission reductions'!AJ$4:AJ$1448))</f>
        <v>5.4186993452566687</v>
      </c>
      <c r="BE47" s="94">
        <f>IF($A47="Baseline",'Emissions summary'!BB47,SUMIF('Net zero emission reductions'!$A$4:$A$1448,$A$47,'Net zero emission reductions'!AK$4:AK$1448))</f>
        <v>5.5331619980868396</v>
      </c>
      <c r="BF47" s="94">
        <f>IF($A47="Baseline",'Emissions summary'!BC47,SUMIF('Net zero emission reductions'!$A$4:$A$1448,$A$47,'Net zero emission reductions'!AL$4:AL$1448))</f>
        <v>5.6458398683416053</v>
      </c>
      <c r="BG47" s="94">
        <f>IF($A47="Baseline",'Emissions summary'!BD47,SUMIF('Net zero emission reductions'!$A$4:$A$1448,$A$47,'Net zero emission reductions'!AM$4:AM$1448))</f>
        <v>5.7568018972235642</v>
      </c>
      <c r="BH47" s="94">
        <f>IF($A47="Baseline",'Emissions summary'!BE47,SUMIF('Net zero emission reductions'!$A$4:$A$1448,$A$47,'Net zero emission reductions'!AN$4:AN$1448))</f>
        <v>5.8459700479116812</v>
      </c>
      <c r="BI47" s="94">
        <f>IF($A47="Baseline",'Emissions summary'!BF47,SUMIF('Net zero emission reductions'!$A$4:$A$1448,$A$47,'Net zero emission reductions'!AO$4:AO$1448))</f>
        <v>5.9335953706383515</v>
      </c>
      <c r="BJ47" s="94">
        <f>IF($A47="Baseline",'Emissions summary'!BG47,SUMIF('Net zero emission reductions'!$A$4:$A$1448,$A$47,'Net zero emission reductions'!AP$4:AP$1448))</f>
        <v>6.0196024968782709</v>
      </c>
      <c r="BK47" s="94">
        <f>IF($A47="Baseline",'Emissions summary'!BH47,SUMIF('Net zero emission reductions'!$A$4:$A$1448,$A$47,'Net zero emission reductions'!AQ$4:AQ$1448))</f>
        <v>6.1039938223847097</v>
      </c>
      <c r="BL47" s="94">
        <f>IF($A47="Baseline",'Emissions summary'!BI47,SUMIF('Net zero emission reductions'!$A$4:$A$1448,$A$47,'Net zero emission reductions'!AR$4:AR$1448))</f>
        <v>6.1866728969793172</v>
      </c>
      <c r="BM47" s="94">
        <f>IF($A47="Baseline",'Emissions summary'!BJ47,SUMIF('Net zero emission reductions'!$A$4:$A$1448,$A$47,'Net zero emission reductions'!AS$4:AS$1448))</f>
        <v>6.26752853988675</v>
      </c>
      <c r="BN47" s="94">
        <f>IF($A47="Baseline",'Emissions summary'!BK47,SUMIF('Net zero emission reductions'!$A$4:$A$1448,$A$47,'Net zero emission reductions'!AT$4:AT$1448))</f>
        <v>6.3465534594191659</v>
      </c>
      <c r="BO47" s="94">
        <f>IF($A47="Baseline",'Emissions summary'!BL47,SUMIF('Net zero emission reductions'!$A$4:$A$1448,$A$47,'Net zero emission reductions'!AU$4:AU$1448))</f>
        <v>6.4237721071171938</v>
      </c>
      <c r="BP47" s="94">
        <f>IF($A47="Baseline",'Emissions summary'!BM47,SUMIF('Net zero emission reductions'!$A$4:$A$1448,$A$47,'Net zero emission reductions'!AV$4:AV$1448))</f>
        <v>6.4992030906679865</v>
      </c>
      <c r="BQ47" s="94">
        <f>IF($A47="Baseline",'Emissions summary'!BN47,SUMIF('Net zero emission reductions'!$A$4:$A$1448,$A$47,'Net zero emission reductions'!AW$4:AW$1448))</f>
        <v>6.5727323060594163</v>
      </c>
    </row>
    <row r="48" spans="1:72" x14ac:dyDescent="0.25">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75" x14ac:dyDescent="0.25">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6.444570315986593</v>
      </c>
      <c r="AK49" s="41">
        <f t="shared" si="32"/>
        <v>6.3913491075327142</v>
      </c>
      <c r="AL49" s="41">
        <f t="shared" si="32"/>
        <v>6.3428476696520812</v>
      </c>
      <c r="AM49" s="41">
        <f t="shared" si="32"/>
        <v>5.9839757600689607</v>
      </c>
      <c r="AN49" s="41">
        <f t="shared" si="32"/>
        <v>6.113860122509144</v>
      </c>
      <c r="AO49" s="41">
        <f t="shared" si="32"/>
        <v>13.200670022674439</v>
      </c>
      <c r="AP49" s="41">
        <f t="shared" si="32"/>
        <v>13.288228481356258</v>
      </c>
      <c r="AQ49" s="41">
        <f t="shared" si="32"/>
        <v>13.350397789033785</v>
      </c>
      <c r="AR49" s="41">
        <f t="shared" si="32"/>
        <v>13.396138525982296</v>
      </c>
      <c r="AS49" s="41">
        <f t="shared" si="32"/>
        <v>13.424168306332666</v>
      </c>
      <c r="AT49" s="41">
        <f t="shared" si="32"/>
        <v>13.434225404385481</v>
      </c>
      <c r="AU49" s="41">
        <f t="shared" si="32"/>
        <v>13.426106756557203</v>
      </c>
      <c r="AV49" s="41">
        <f t="shared" si="32"/>
        <v>13.399737088679441</v>
      </c>
      <c r="AW49" s="41">
        <f t="shared" si="32"/>
        <v>13.355150991575403</v>
      </c>
      <c r="AX49" s="41">
        <f t="shared" si="32"/>
        <v>13.224039340710185</v>
      </c>
      <c r="AY49" s="41">
        <f t="shared" si="32"/>
        <v>13.07539836454503</v>
      </c>
      <c r="AZ49" s="41">
        <f t="shared" si="32"/>
        <v>12.909884852075175</v>
      </c>
      <c r="BA49" s="41">
        <f t="shared" si="32"/>
        <v>12.728222335268503</v>
      </c>
      <c r="BB49" s="41">
        <f t="shared" si="32"/>
        <v>12.531252055979406</v>
      </c>
      <c r="BC49" s="41">
        <f t="shared" si="32"/>
        <v>12.319901503804626</v>
      </c>
      <c r="BD49" s="41">
        <f t="shared" si="32"/>
        <v>2.1423303583536666</v>
      </c>
      <c r="BE49" s="41">
        <f t="shared" si="32"/>
        <v>2.1273373550383754</v>
      </c>
      <c r="BF49" s="41">
        <f t="shared" si="32"/>
        <v>2.1422593244639709</v>
      </c>
      <c r="BG49" s="41">
        <f t="shared" si="32"/>
        <v>2.1569294820701579</v>
      </c>
      <c r="BH49" s="41">
        <f t="shared" si="32"/>
        <v>2.1688069102048271</v>
      </c>
      <c r="BI49" s="41">
        <f t="shared" si="32"/>
        <v>2.1804469370268342</v>
      </c>
      <c r="BJ49" s="41">
        <f t="shared" si="32"/>
        <v>2.1918321490039752</v>
      </c>
      <c r="BK49" s="41">
        <f t="shared" si="32"/>
        <v>2.2029616360101971</v>
      </c>
      <c r="BL49" s="41">
        <f t="shared" si="32"/>
        <v>2.2138141198918677</v>
      </c>
      <c r="BM49" s="41">
        <f t="shared" si="32"/>
        <v>2.2243657329462208</v>
      </c>
      <c r="BN49" s="41">
        <f t="shared" si="32"/>
        <v>2.2346143917311077</v>
      </c>
      <c r="BO49" s="41">
        <f t="shared" si="32"/>
        <v>2.2445645709044273</v>
      </c>
      <c r="BP49" s="41">
        <f t="shared" si="32"/>
        <v>2.2542195605518649</v>
      </c>
      <c r="BQ49" s="41">
        <f t="shared" si="32"/>
        <v>2.2635555889230647</v>
      </c>
      <c r="BT49"/>
    </row>
    <row r="50" spans="1:75" x14ac:dyDescent="0.25">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6.0985599508144945</v>
      </c>
      <c r="AK50" s="94">
        <f>IF($A50="Baseline",'Emissions summary'!AH50,SUMIF('Net zero emission reductions'!$A$4:$A$1448,$A$50,'Net zero emission reductions'!Q$4:Q$1448))</f>
        <v>6.0469682343875704</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5.6572965112449465</v>
      </c>
      <c r="AN50" s="94">
        <f>IF($A50="Baseline",'Emissions summary'!AK50,SUMIF('Net zero emission reductions'!$A$4:$A$1448,$A$50,'Net zero emission reductions'!T$4:T$1448))</f>
        <v>5.7810225357164109</v>
      </c>
      <c r="AO50" s="94">
        <f>IF($A50="Baseline",'Emissions summary'!AL50,SUMIF('Net zero emission reductions'!$A$4:$A$1448,$A$50,'Net zero emission reductions'!U$4:U$1448))</f>
        <v>12.510734784202032</v>
      </c>
      <c r="AP50" s="94">
        <f>IF($A50="Baseline",'Emissions summary'!AM50,SUMIF('Net zero emission reductions'!$A$4:$A$1448,$A$50,'Net zero emission reductions'!V$4:V$1448))</f>
        <v>12.57550404655203</v>
      </c>
      <c r="AQ50" s="94">
        <f>IF($A50="Baseline",'Emissions summary'!AN50,SUMIF('Net zero emission reductions'!$A$4:$A$1448,$A$50,'Net zero emission reductions'!W$4:W$1448))</f>
        <v>12.632142337315182</v>
      </c>
      <c r="AR50" s="94">
        <f>IF($A50="Baseline",'Emissions summary'!AO50,SUMIF('Net zero emission reductions'!$A$4:$A$1448,$A$50,'Net zero emission reductions'!X$4:X$1448))</f>
        <v>12.673234916734877</v>
      </c>
      <c r="AS50" s="94">
        <f>IF($A50="Baseline",'Emissions summary'!AP50,SUMIF('Net zero emission reductions'!$A$4:$A$1448,$A$50,'Net zero emission reductions'!Y$4:Y$1448))</f>
        <v>12.69750464196821</v>
      </c>
      <c r="AT50" s="94">
        <f>IF($A50="Baseline",'Emissions summary'!AQ50,SUMIF('Net zero emission reductions'!$A$4:$A$1448,$A$50,'Net zero emission reductions'!Z$4:Z$1448))</f>
        <v>12.704715059745501</v>
      </c>
      <c r="AU50" s="94">
        <f>IF($A50="Baseline",'Emissions summary'!AR50,SUMIF('Net zero emission reductions'!$A$4:$A$1448,$A$50,'Net zero emission reductions'!AA$4:AA$1448))</f>
        <v>12.694683305793376</v>
      </c>
      <c r="AV50" s="94">
        <f>IF($A50="Baseline",'Emissions summary'!AS50,SUMIF('Net zero emission reductions'!$A$4:$A$1448,$A$50,'Net zero emission reductions'!AB$4:AB$1448))</f>
        <v>12.667350187517329</v>
      </c>
      <c r="AW50" s="94">
        <f>IF($A50="Baseline",'Emissions summary'!AT50,SUMIF('Net zero emission reductions'!$A$4:$A$1448,$A$50,'Net zero emission reductions'!AC$4:AC$1448))</f>
        <v>12.622761692562033</v>
      </c>
      <c r="AX50" s="94">
        <f>IF($A50="Baseline",'Emissions summary'!AU50,SUMIF('Net zero emission reductions'!$A$4:$A$1448,$A$50,'Net zero emission reductions'!AD$4:AD$1448))</f>
        <v>12.494748828543656</v>
      </c>
      <c r="AY50" s="94">
        <f>IF($A50="Baseline",'Emissions summary'!AV50,SUMIF('Net zero emission reductions'!$A$4:$A$1448,$A$50,'Net zero emission reductions'!AE$4:AE$1448))</f>
        <v>12.350161350049834</v>
      </c>
      <c r="AZ50" s="94">
        <f>IF($A50="Baseline",'Emissions summary'!AW50,SUMIF('Net zero emission reductions'!$A$4:$A$1448,$A$50,'Net zero emission reductions'!AF$4:AF$1448))</f>
        <v>12.18964084045138</v>
      </c>
      <c r="BA50" s="94">
        <f>IF($A50="Baseline",'Emissions summary'!AX50,SUMIF('Net zero emission reductions'!$A$4:$A$1448,$A$50,'Net zero emission reductions'!AG$4:AG$1448))</f>
        <v>12.013890202331112</v>
      </c>
      <c r="BB50" s="94">
        <f>IF($A50="Baseline",'Emissions summary'!AY50,SUMIF('Net zero emission reductions'!$A$4:$A$1448,$A$50,'Net zero emission reductions'!AH$4:AH$1448))</f>
        <v>11.82372602938432</v>
      </c>
      <c r="BC50" s="94">
        <f>IF($A50="Baseline",'Emissions summary'!AZ50,SUMIF('Net zero emission reductions'!$A$4:$A$1448,$A$50,'Net zero emission reductions'!AI$4:AI$1448))</f>
        <v>11.620046810772886</v>
      </c>
      <c r="BD50" s="94">
        <f>IF($A50="Baseline",'Emissions summary'!BA50,SUMIF('Net zero emission reductions'!$A$4:$A$1448,$A$50,'Net zero emission reductions'!AJ$4:AJ$1448))</f>
        <v>1.9928342345701362</v>
      </c>
      <c r="BE50" s="94">
        <f>IF($A50="Baseline",'Emissions summary'!BB50,SUMIF('Net zero emission reductions'!$A$4:$A$1448,$A$50,'Net zero emission reductions'!AK$4:AK$1448))</f>
        <v>2.0271766053848506</v>
      </c>
      <c r="BF50" s="94">
        <f>IF($A50="Baseline",'Emissions summary'!BC50,SUMIF('Net zero emission reductions'!$A$4:$A$1448,$A$50,'Net zero emission reductions'!AL$4:AL$1448))</f>
        <v>2.0416832856485705</v>
      </c>
      <c r="BG50" s="94">
        <f>IF($A50="Baseline",'Emissions summary'!BD50,SUMIF('Net zero emission reductions'!$A$4:$A$1448,$A$50,'Net zero emission reductions'!AM$4:AM$1448))</f>
        <v>2.0559405282802525</v>
      </c>
      <c r="BH50" s="94">
        <f>IF($A50="Baseline",'Emissions summary'!BE50,SUMIF('Net zero emission reductions'!$A$4:$A$1448,$A$50,'Net zero emission reductions'!AN$4:AN$1448))</f>
        <v>2.0674868357758398</v>
      </c>
      <c r="BI50" s="94">
        <f>IF($A50="Baseline",'Emissions summary'!BF50,SUMIF('Net zero emission reductions'!$A$4:$A$1448,$A$50,'Net zero emission reductions'!AO$4:AO$1448))</f>
        <v>2.0787968741832601</v>
      </c>
      <c r="BJ50" s="94">
        <f>IF($A50="Baseline",'Emissions summary'!BG50,SUMIF('Net zero emission reductions'!$A$4:$A$1448,$A$50,'Net zero emission reductions'!AP$4:AP$1448))</f>
        <v>2.0898527333176093</v>
      </c>
      <c r="BK50" s="94">
        <f>IF($A50="Baseline",'Emissions summary'!BH50,SUMIF('Net zero emission reductions'!$A$4:$A$1448,$A$50,'Net zero emission reductions'!AQ$4:AQ$1448))</f>
        <v>2.1006533435793626</v>
      </c>
      <c r="BL50" s="94">
        <f>IF($A50="Baseline",'Emissions summary'!BI50,SUMIF('Net zero emission reductions'!$A$4:$A$1448,$A$50,'Net zero emission reductions'!AR$4:AR$1448))</f>
        <v>2.1111770751401382</v>
      </c>
      <c r="BM50" s="94">
        <f>IF($A50="Baseline",'Emissions summary'!BJ50,SUMIF('Net zero emission reductions'!$A$4:$A$1448,$A$50,'Net zero emission reductions'!AS$4:AS$1448))</f>
        <v>2.1213995834082309</v>
      </c>
      <c r="BN50" s="94">
        <f>IF($A50="Baseline",'Emissions summary'!BK50,SUMIF('Net zero emission reductions'!$A$4:$A$1448,$A$50,'Net zero emission reductions'!AT$4:AT$1448))</f>
        <v>2.1313186358350933</v>
      </c>
      <c r="BO50" s="94">
        <f>IF($A50="Baseline",'Emissions summary'!BL50,SUMIF('Net zero emission reductions'!$A$4:$A$1448,$A$50,'Net zero emission reductions'!AU$4:AU$1448))</f>
        <v>2.1409387862853353</v>
      </c>
      <c r="BP50" s="94">
        <f>IF($A50="Baseline",'Emissions summary'!BM50,SUMIF('Net zero emission reductions'!$A$4:$A$1448,$A$50,'Net zero emission reductions'!AV$4:AV$1448))</f>
        <v>2.1502634259491948</v>
      </c>
      <c r="BQ50" s="94">
        <f>IF($A50="Baseline",'Emissions summary'!BN50,SUMIF('Net zero emission reductions'!$A$4:$A$1448,$A$50,'Net zero emission reductions'!AW$4:AW$1448))</f>
        <v>2.1592685172698971</v>
      </c>
    </row>
    <row r="51" spans="1:75" x14ac:dyDescent="0.25">
      <c r="A51" s="95" t="str">
        <f t="shared" si="33"/>
        <v>FSFAGSPQNIBDDSCM Leaching</v>
      </c>
      <c r="B51" s="95" t="str">
        <f t="shared" si="34"/>
        <v>FSFAGSPQNIBDDSCM</v>
      </c>
      <c r="C51" s="95" t="s">
        <v>1190</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0.34852931696715733</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0.34991641125935219</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0.32667924882401395</v>
      </c>
      <c r="AN51" s="94">
        <f>IF($A51="Baseline",'Emissions summary'!AK51,SUMIF('Net zero emission reductions'!$A$4:$A$1448,$A$51,'Net zero emission reductions'!T$4:T$1448))</f>
        <v>0.33283758679273334</v>
      </c>
      <c r="AO51" s="94">
        <f>IF($A51="Baseline",'Emissions summary'!AL51,SUMIF('Net zero emission reductions'!$A$4:$A$1448,$A$51,'Net zero emission reductions'!U$4:U$1448))</f>
        <v>0.68993523847240612</v>
      </c>
      <c r="AP51" s="94">
        <f>IF($A51="Baseline",'Emissions summary'!AM51,SUMIF('Net zero emission reductions'!$A$4:$A$1448,$A$51,'Net zero emission reductions'!V$4:V$1448))</f>
        <v>0.71272443480422787</v>
      </c>
      <c r="AQ51" s="94">
        <f>IF($A51="Baseline",'Emissions summary'!AN51,SUMIF('Net zero emission reductions'!$A$4:$A$1448,$A$51,'Net zero emission reductions'!W$4:W$1448))</f>
        <v>0.71825545171860328</v>
      </c>
      <c r="AR51" s="94">
        <f>IF($A51="Baseline",'Emissions summary'!AO51,SUMIF('Net zero emission reductions'!$A$4:$A$1448,$A$51,'Net zero emission reductions'!X$4:X$1448))</f>
        <v>0.72290360924741859</v>
      </c>
      <c r="AS51" s="94">
        <f>IF($A51="Baseline",'Emissions summary'!AP51,SUMIF('Net zero emission reductions'!$A$4:$A$1448,$A$51,'Net zero emission reductions'!Y$4:Y$1448))</f>
        <v>0.72666366436445518</v>
      </c>
      <c r="AT51" s="94">
        <f>IF($A51="Baseline",'Emissions summary'!AQ51,SUMIF('Net zero emission reductions'!$A$4:$A$1448,$A$51,'Net zero emission reductions'!Z$4:Z$1448))</f>
        <v>0.72951034463998055</v>
      </c>
      <c r="AU51" s="94">
        <f>IF($A51="Baseline",'Emissions summary'!AR51,SUMIF('Net zero emission reductions'!$A$4:$A$1448,$A$51,'Net zero emission reductions'!AA$4:AA$1448))</f>
        <v>0.73142345076382786</v>
      </c>
      <c r="AV51" s="94">
        <f>IF($A51="Baseline",'Emissions summary'!AS51,SUMIF('Net zero emission reductions'!$A$4:$A$1448,$A$51,'Net zero emission reductions'!AB$4:AB$1448))</f>
        <v>0.73238690116211236</v>
      </c>
      <c r="AW51" s="94">
        <f>IF($A51="Baseline",'Emissions summary'!AT51,SUMIF('Net zero emission reductions'!$A$4:$A$1448,$A$51,'Net zero emission reductions'!AC$4:AC$1448))</f>
        <v>0.73238929901337002</v>
      </c>
      <c r="AX51" s="94">
        <f>IF($A51="Baseline",'Emissions summary'!AU51,SUMIF('Net zero emission reductions'!$A$4:$A$1448,$A$51,'Net zero emission reductions'!AD$4:AD$1448))</f>
        <v>0.72929051216652885</v>
      </c>
      <c r="AY51" s="94">
        <f>IF($A51="Baseline",'Emissions summary'!AV51,SUMIF('Net zero emission reductions'!$A$4:$A$1448,$A$51,'Net zero emission reductions'!AE$4:AE$1448))</f>
        <v>0.72523701449519651</v>
      </c>
      <c r="AZ51" s="94">
        <f>IF($A51="Baseline",'Emissions summary'!AW51,SUMIF('Net zero emission reductions'!$A$4:$A$1448,$A$51,'Net zero emission reductions'!AF$4:AF$1448))</f>
        <v>0.72024401162379381</v>
      </c>
      <c r="BA51" s="94">
        <f>IF($A51="Baseline",'Emissions summary'!AX51,SUMIF('Net zero emission reductions'!$A$4:$A$1448,$A$51,'Net zero emission reductions'!AG$4:AG$1448))</f>
        <v>0.71433213293739073</v>
      </c>
      <c r="BB51" s="94">
        <f>IF($A51="Baseline",'Emissions summary'!AY51,SUMIF('Net zero emission reductions'!$A$4:$A$1448,$A$51,'Net zero emission reductions'!AH$4:AH$1448))</f>
        <v>0.7075260265950859</v>
      </c>
      <c r="BC51" s="94">
        <f>IF($A51="Baseline",'Emissions summary'!AZ51,SUMIF('Net zero emission reductions'!$A$4:$A$1448,$A$51,'Net zero emission reductions'!AI$4:AI$1448))</f>
        <v>0.69985469303173997</v>
      </c>
      <c r="BD51" s="94">
        <f>IF($A51="Baseline",'Emissions summary'!BA51,SUMIF('Net zero emission reductions'!$A$4:$A$1448,$A$51,'Net zero emission reductions'!AJ$4:AJ$1448))</f>
        <v>0.14949612378353022</v>
      </c>
      <c r="BE51" s="94">
        <f>IF($A51="Baseline",'Emissions summary'!BB51,SUMIF('Net zero emission reductions'!$A$4:$A$1448,$A$51,'Net zero emission reductions'!AK$4:AK$1448))</f>
        <v>0.10016074965352499</v>
      </c>
      <c r="BF51" s="94">
        <f>IF($A51="Baseline",'Emissions summary'!BC51,SUMIF('Net zero emission reductions'!$A$4:$A$1448,$A$51,'Net zero emission reductions'!AL$4:AL$1448))</f>
        <v>0.10057603881540027</v>
      </c>
      <c r="BG51" s="94">
        <f>IF($A51="Baseline",'Emissions summary'!BD51,SUMIF('Net zero emission reductions'!$A$4:$A$1448,$A$51,'Net zero emission reductions'!AM$4:AM$1448))</f>
        <v>0.10098895378990531</v>
      </c>
      <c r="BH51" s="94">
        <f>IF($A51="Baseline",'Emissions summary'!BE51,SUMIF('Net zero emission reductions'!$A$4:$A$1448,$A$51,'Net zero emission reductions'!AN$4:AN$1448))</f>
        <v>0.10132007442898726</v>
      </c>
      <c r="BI51" s="94">
        <f>IF($A51="Baseline",'Emissions summary'!BF51,SUMIF('Net zero emission reductions'!$A$4:$A$1448,$A$51,'Net zero emission reductions'!AO$4:AO$1448))</f>
        <v>0.10165006284357428</v>
      </c>
      <c r="BJ51" s="94">
        <f>IF($A51="Baseline",'Emissions summary'!BG51,SUMIF('Net zero emission reductions'!$A$4:$A$1448,$A$51,'Net zero emission reductions'!AP$4:AP$1448))</f>
        <v>0.1019794156863659</v>
      </c>
      <c r="BK51" s="94">
        <f>IF($A51="Baseline",'Emissions summary'!BH51,SUMIF('Net zero emission reductions'!$A$4:$A$1448,$A$51,'Net zero emission reductions'!AQ$4:AQ$1448))</f>
        <v>0.10230829243083429</v>
      </c>
      <c r="BL51" s="94">
        <f>IF($A51="Baseline",'Emissions summary'!BI51,SUMIF('Net zero emission reductions'!$A$4:$A$1448,$A$51,'Net zero emission reductions'!AR$4:AR$1448))</f>
        <v>0.10263704475172962</v>
      </c>
      <c r="BM51" s="94">
        <f>IF($A51="Baseline",'Emissions summary'!BJ51,SUMIF('Net zero emission reductions'!$A$4:$A$1448,$A$51,'Net zero emission reductions'!AS$4:AS$1448))</f>
        <v>0.10296614953798967</v>
      </c>
      <c r="BN51" s="94">
        <f>IF($A51="Baseline",'Emissions summary'!BK51,SUMIF('Net zero emission reductions'!$A$4:$A$1448,$A$51,'Net zero emission reductions'!AT$4:AT$1448))</f>
        <v>0.10329575589601447</v>
      </c>
      <c r="BO51" s="94">
        <f>IF($A51="Baseline",'Emissions summary'!BL51,SUMIF('Net zero emission reductions'!$A$4:$A$1448,$A$51,'Net zero emission reductions'!AU$4:AU$1448))</f>
        <v>0.10362578461909215</v>
      </c>
      <c r="BP51" s="94">
        <f>IF($A51="Baseline",'Emissions summary'!BM51,SUMIF('Net zero emission reductions'!$A$4:$A$1448,$A$51,'Net zero emission reductions'!AV$4:AV$1448))</f>
        <v>0.10395613460266999</v>
      </c>
      <c r="BQ51" s="94">
        <f>IF($A51="Baseline",'Emissions summary'!BN51,SUMIF('Net zero emission reductions'!$A$4:$A$1448,$A$51,'Net zero emission reductions'!AW$4:AW$1448))</f>
        <v>0.10428707165316778</v>
      </c>
    </row>
    <row r="52" spans="1:75" s="19" customFormat="1" ht="15.75" x14ac:dyDescent="0.25">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1.4966006533780927</v>
      </c>
      <c r="AF52" s="41">
        <f t="shared" ref="AF52:BQ52" si="38">SUM(AF53:AF54)</f>
        <v>1.5114628716679741</v>
      </c>
      <c r="AG52" s="41">
        <f t="shared" si="38"/>
        <v>1.5337636748745853</v>
      </c>
      <c r="AH52" s="41">
        <f t="shared" si="38"/>
        <v>1.5436359301289118</v>
      </c>
      <c r="AI52" s="41">
        <f t="shared" si="38"/>
        <v>1.545583064792434</v>
      </c>
      <c r="AJ52" s="41">
        <f t="shared" si="38"/>
        <v>1.5396059638680235</v>
      </c>
      <c r="AK52" s="41">
        <f t="shared" si="38"/>
        <v>1.5406069398014899</v>
      </c>
      <c r="AL52" s="41">
        <f t="shared" si="38"/>
        <v>1.5429841908916513</v>
      </c>
      <c r="AM52" s="41">
        <f t="shared" si="38"/>
        <v>1.4319921415709751</v>
      </c>
      <c r="AN52" s="41">
        <f t="shared" si="38"/>
        <v>1.4925370582012265</v>
      </c>
      <c r="AO52" s="41">
        <f t="shared" si="38"/>
        <v>4.2515058977825646</v>
      </c>
      <c r="AP52" s="41">
        <f t="shared" si="38"/>
        <v>4.3202006022653308</v>
      </c>
      <c r="AQ52" s="41">
        <f t="shared" si="38"/>
        <v>4.3827847988282773</v>
      </c>
      <c r="AR52" s="41">
        <f t="shared" si="38"/>
        <v>4.4390754951281943</v>
      </c>
      <c r="AS52" s="41">
        <f t="shared" si="38"/>
        <v>4.4890321581753891</v>
      </c>
      <c r="AT52" s="41">
        <f t="shared" si="38"/>
        <v>4.5323373168116676</v>
      </c>
      <c r="AU52" s="41">
        <f t="shared" si="38"/>
        <v>4.5687183282058763</v>
      </c>
      <c r="AV52" s="41">
        <f t="shared" si="38"/>
        <v>4.5979279762215679</v>
      </c>
      <c r="AW52" s="41">
        <f t="shared" si="38"/>
        <v>4.6197525087052087</v>
      </c>
      <c r="AX52" s="41">
        <f t="shared" si="38"/>
        <v>4.6344781058420335</v>
      </c>
      <c r="AY52" s="41">
        <f t="shared" si="38"/>
        <v>4.6415640259244704</v>
      </c>
      <c r="AZ52" s="41">
        <f t="shared" si="38"/>
        <v>4.6409185451971116</v>
      </c>
      <c r="BA52" s="41">
        <f t="shared" si="38"/>
        <v>4.6324977085651238</v>
      </c>
      <c r="BB52" s="41">
        <f t="shared" si="38"/>
        <v>4.6162893628789945</v>
      </c>
      <c r="BC52" s="41">
        <f t="shared" si="38"/>
        <v>4.592320708090635</v>
      </c>
      <c r="BD52" s="41">
        <f t="shared" si="38"/>
        <v>-0.123654043253945</v>
      </c>
      <c r="BE52" s="41">
        <f t="shared" si="38"/>
        <v>-0.12357925007466378</v>
      </c>
      <c r="BF52" s="41">
        <f t="shared" si="38"/>
        <v>-0.12347747869914734</v>
      </c>
      <c r="BG52" s="41">
        <f t="shared" si="38"/>
        <v>-0.12335152544156791</v>
      </c>
      <c r="BH52" s="41">
        <f t="shared" si="38"/>
        <v>-0.12317852646579362</v>
      </c>
      <c r="BI52" s="41">
        <f t="shared" si="38"/>
        <v>-0.12297673905270351</v>
      </c>
      <c r="BJ52" s="41">
        <f t="shared" si="38"/>
        <v>-0.12274239539767096</v>
      </c>
      <c r="BK52" s="41">
        <f t="shared" si="38"/>
        <v>-0.12247571517381799</v>
      </c>
      <c r="BL52" s="41">
        <f t="shared" si="38"/>
        <v>-0.12217236051452747</v>
      </c>
      <c r="BM52" s="41">
        <f t="shared" si="38"/>
        <v>-0.12182762651575792</v>
      </c>
      <c r="BN52" s="41">
        <f t="shared" si="38"/>
        <v>-0.12144185108669436</v>
      </c>
      <c r="BO52" s="41">
        <f t="shared" si="38"/>
        <v>-0.12101683246473495</v>
      </c>
      <c r="BP52" s="41">
        <f t="shared" si="38"/>
        <v>-0.12055406521232892</v>
      </c>
      <c r="BQ52" s="41">
        <f t="shared" si="38"/>
        <v>-0.12004922188345074</v>
      </c>
      <c r="BT52"/>
    </row>
    <row r="53" spans="1:75" x14ac:dyDescent="0.25">
      <c r="A53" s="95" t="str">
        <f t="shared" ref="A53:A54" si="39">B53&amp;" "&amp;C53</f>
        <v>FSFAGSPQNIBDDSCM MM Volatilisation</v>
      </c>
      <c r="B53" s="95" t="str">
        <f t="shared" ref="B53:B54" si="40">$B$5</f>
        <v>FSFAGSPQNIBDDSCM</v>
      </c>
      <c r="C53" s="95" t="s">
        <v>1332</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1.1260073524873582</v>
      </c>
      <c r="AF53" s="27">
        <f>SUM('Net zero emission reductions'!L1531:L1546)</f>
        <v>1.1381916980106412</v>
      </c>
      <c r="AG53" s="27">
        <f>SUM('Net zero emission reductions'!M1531:M1546)</f>
        <v>1.1560242056612529</v>
      </c>
      <c r="AH53" s="27">
        <f>SUM('Net zero emission reductions'!N1531:N1546)</f>
        <v>1.164433815564837</v>
      </c>
      <c r="AI53" s="27">
        <f>SUM('Net zero emission reductions'!O1531:O1546)</f>
        <v>1.1668147538350466</v>
      </c>
      <c r="AJ53" s="27">
        <f>SUM('Net zero emission reductions'!P1531:P1546)</f>
        <v>1.163149155729237</v>
      </c>
      <c r="AK53" s="27">
        <f>SUM('Net zero emission reductions'!Q1531:Q1546)</f>
        <v>1.1647795487260633</v>
      </c>
      <c r="AL53" s="27">
        <f>SUM('Net zero emission reductions'!R1531:R1546)</f>
        <v>1.1674495942945498</v>
      </c>
      <c r="AM53" s="27">
        <f>SUM('Net zero emission reductions'!S1531:S1546)</f>
        <v>1.0837042498427936</v>
      </c>
      <c r="AN53" s="27">
        <f>SUM('Net zero emission reductions'!T1531:T1546)</f>
        <v>1.1303271538775108</v>
      </c>
      <c r="AO53" s="27">
        <f>SUM('Net zero emission reductions'!U1531:U1546)</f>
        <v>3.2390966565225372</v>
      </c>
      <c r="AP53" s="27">
        <f>SUM('Net zero emission reductions'!V1531:V1546)</f>
        <v>3.2930002813049892</v>
      </c>
      <c r="AQ53" s="27">
        <f>SUM('Net zero emission reductions'!W1531:W1546)</f>
        <v>3.3422385276515785</v>
      </c>
      <c r="AR53" s="27">
        <f>SUM('Net zero emission reductions'!X1531:X1546)</f>
        <v>3.3866760297111438</v>
      </c>
      <c r="AS53" s="27">
        <f>SUM('Net zero emission reductions'!Y1531:Y1546)</f>
        <v>3.4262938063462238</v>
      </c>
      <c r="AT53" s="27">
        <f>SUM('Net zero emission reductions'!Z1531:Z1546)</f>
        <v>3.4608413494195234</v>
      </c>
      <c r="AU53" s="27">
        <f>SUM('Net zero emission reductions'!AA1531:AA1546)</f>
        <v>3.4901030120531642</v>
      </c>
      <c r="AV53" s="27">
        <f>SUM('Net zero emission reductions'!AB1531:AB1546)</f>
        <v>3.513881838032586</v>
      </c>
      <c r="AW53" s="27">
        <f>SUM('Net zero emission reductions'!AC1531:AC1546)</f>
        <v>3.5320061581172508</v>
      </c>
      <c r="AX53" s="27">
        <f>SUM('Net zero emission reductions'!AD1531:AD1546)</f>
        <v>3.5458133812306292</v>
      </c>
      <c r="AY53" s="27">
        <f>SUM('Net zero emission reductions'!AE1531:AE1546)</f>
        <v>3.5537514149129761</v>
      </c>
      <c r="AZ53" s="27">
        <f>SUM('Net zero emission reductions'!AF1531:AF1546)</f>
        <v>3.5557366417427132</v>
      </c>
      <c r="BA53" s="27">
        <f>SUM('Net zero emission reductions'!AG1531:AG1546)</f>
        <v>3.5517226361142296</v>
      </c>
      <c r="BB53" s="27">
        <f>SUM('Net zero emission reductions'!AH1531:AH1546)</f>
        <v>3.5416869437449185</v>
      </c>
      <c r="BC53" s="27">
        <f>SUM('Net zero emission reductions'!AI1531:AI1546)</f>
        <v>3.5256374595753215</v>
      </c>
      <c r="BD53" s="27">
        <f>SUM('Net zero emission reductions'!AJ1531:AJ1546)</f>
        <v>-0.1074174177147165</v>
      </c>
      <c r="BE53" s="27">
        <f>SUM('Net zero emission reductions'!AK1531:AK1546)</f>
        <v>-0.10758022515936302</v>
      </c>
      <c r="BF53" s="27">
        <f>SUM('Net zero emission reductions'!AL1531:AL1546)</f>
        <v>-0.107717809366911</v>
      </c>
      <c r="BG53" s="27">
        <f>SUM('Net zero emission reductions'!AM1531:AM1546)</f>
        <v>-0.10783254972239004</v>
      </c>
      <c r="BH53" s="27">
        <f>SUM('Net zero emission reductions'!AN1531:AN1546)</f>
        <v>-0.10786488639353498</v>
      </c>
      <c r="BI53" s="27">
        <f>SUM('Net zero emission reductions'!AO1531:AO1546)</f>
        <v>-0.10787109302613695</v>
      </c>
      <c r="BJ53" s="27">
        <f>SUM('Net zero emission reductions'!AP1531:AP1546)</f>
        <v>-0.10784802239654323</v>
      </c>
      <c r="BK53" s="27">
        <f>SUM('Net zero emission reductions'!AQ1531:AQ1546)</f>
        <v>-0.10779586428828791</v>
      </c>
      <c r="BL53" s="27">
        <f>SUM('Net zero emission reductions'!AR1531:AR1546)</f>
        <v>-0.10771097569654908</v>
      </c>
      <c r="BM53" s="27">
        <f>SUM('Net zero emission reductions'!AS1531:AS1546)</f>
        <v>-0.10758939261971359</v>
      </c>
      <c r="BN53" s="27">
        <f>SUM('Net zero emission reductions'!AT1531:AT1546)</f>
        <v>-0.10743138125834692</v>
      </c>
      <c r="BO53" s="27">
        <f>SUM('Net zero emission reductions'!AU1531:AU1546)</f>
        <v>-0.10723843543225139</v>
      </c>
      <c r="BP53" s="27">
        <f>SUM('Net zero emission reductions'!AV1531:AV1546)</f>
        <v>-0.10701179452203177</v>
      </c>
      <c r="BQ53" s="27">
        <f>SUM('Net zero emission reductions'!AW1531:AW1546)</f>
        <v>-0.10674779079925978</v>
      </c>
    </row>
    <row r="54" spans="1:75" x14ac:dyDescent="0.25">
      <c r="A54" s="95" t="str">
        <f t="shared" si="39"/>
        <v>FSFAGSPQNIBDDSCM MM Leaching</v>
      </c>
      <c r="B54" s="95" t="str">
        <f t="shared" si="40"/>
        <v>FSFAGSPQNIBDDSCM</v>
      </c>
      <c r="C54" s="95" t="s">
        <v>1333</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0.37059330089073456</v>
      </c>
      <c r="AF54" s="27">
        <f>SUM('Net zero emission reductions'!L1547:L1562)</f>
        <v>0.37327117365733298</v>
      </c>
      <c r="AG54" s="27">
        <f>SUM('Net zero emission reductions'!M1547:M1562)</f>
        <v>0.37773946921333246</v>
      </c>
      <c r="AH54" s="27">
        <f>SUM('Net zero emission reductions'!N1547:N1562)</f>
        <v>0.3792021145640746</v>
      </c>
      <c r="AI54" s="27">
        <f>SUM('Net zero emission reductions'!O1547:O1562)</f>
        <v>0.37876831095738744</v>
      </c>
      <c r="AJ54" s="27">
        <f>SUM('Net zero emission reductions'!P1547:P1562)</f>
        <v>0.37645680813878646</v>
      </c>
      <c r="AK54" s="27">
        <f>SUM('Net zero emission reductions'!Q1547:Q1562)</f>
        <v>0.37582739107542651</v>
      </c>
      <c r="AL54" s="27">
        <f>SUM('Net zero emission reductions'!R1547:R1562)</f>
        <v>0.37553459659710148</v>
      </c>
      <c r="AM54" s="27">
        <f>SUM('Net zero emission reductions'!S1547:S1562)</f>
        <v>0.34828789172818153</v>
      </c>
      <c r="AN54" s="27">
        <f>SUM('Net zero emission reductions'!T1547:T1562)</f>
        <v>0.36220990432371569</v>
      </c>
      <c r="AO54" s="27">
        <f>SUM('Net zero emission reductions'!U1547:U1562)</f>
        <v>1.012409241260027</v>
      </c>
      <c r="AP54" s="27">
        <f>SUM('Net zero emission reductions'!V1547:V1562)</f>
        <v>1.0272003209603411</v>
      </c>
      <c r="AQ54" s="27">
        <f>SUM('Net zero emission reductions'!W1547:W1562)</f>
        <v>1.0405462711766991</v>
      </c>
      <c r="AR54" s="27">
        <f>SUM('Net zero emission reductions'!X1547:X1562)</f>
        <v>1.0523994654170505</v>
      </c>
      <c r="AS54" s="27">
        <f>SUM('Net zero emission reductions'!Y1547:Y1562)</f>
        <v>1.0627383518291649</v>
      </c>
      <c r="AT54" s="27">
        <f>SUM('Net zero emission reductions'!Z1547:Z1562)</f>
        <v>1.0714959673921443</v>
      </c>
      <c r="AU54" s="27">
        <f>SUM('Net zero emission reductions'!AA1547:AA1562)</f>
        <v>1.0786153161527121</v>
      </c>
      <c r="AV54" s="27">
        <f>SUM('Net zero emission reductions'!AB1547:AB1562)</f>
        <v>1.0840461381889823</v>
      </c>
      <c r="AW54" s="27">
        <f>SUM('Net zero emission reductions'!AC1547:AC1562)</f>
        <v>1.0877463505879577</v>
      </c>
      <c r="AX54" s="27">
        <f>SUM('Net zero emission reductions'!AD1547:AD1562)</f>
        <v>1.0886647246114038</v>
      </c>
      <c r="AY54" s="27">
        <f>SUM('Net zero emission reductions'!AE1547:AE1562)</f>
        <v>1.0878126110114941</v>
      </c>
      <c r="AZ54" s="27">
        <f>SUM('Net zero emission reductions'!AF1547:AF1562)</f>
        <v>1.0851819034543988</v>
      </c>
      <c r="BA54" s="27">
        <f>SUM('Net zero emission reductions'!AG1547:AG1562)</f>
        <v>1.0807750724508942</v>
      </c>
      <c r="BB54" s="27">
        <f>SUM('Net zero emission reductions'!AH1547:AH1562)</f>
        <v>1.0746024191340764</v>
      </c>
      <c r="BC54" s="27">
        <f>SUM('Net zero emission reductions'!AI1547:AI1562)</f>
        <v>1.0666832485153135</v>
      </c>
      <c r="BD54" s="27">
        <f>SUM('Net zero emission reductions'!AJ1547:AJ1562)</f>
        <v>-1.6236625539228507E-2</v>
      </c>
      <c r="BE54" s="27">
        <f>SUM('Net zero emission reductions'!AK1547:AK1562)</f>
        <v>-1.5999024915300752E-2</v>
      </c>
      <c r="BF54" s="27">
        <f>SUM('Net zero emission reductions'!AL1547:AL1562)</f>
        <v>-1.575966933223634E-2</v>
      </c>
      <c r="BG54" s="27">
        <f>SUM('Net zero emission reductions'!AM1547:AM1562)</f>
        <v>-1.5518975719177874E-2</v>
      </c>
      <c r="BH54" s="27">
        <f>SUM('Net zero emission reductions'!AN1547:AN1562)</f>
        <v>-1.5313640072258647E-2</v>
      </c>
      <c r="BI54" s="27">
        <f>SUM('Net zero emission reductions'!AO1547:AO1562)</f>
        <v>-1.5105646026566555E-2</v>
      </c>
      <c r="BJ54" s="27">
        <f>SUM('Net zero emission reductions'!AP1547:AP1562)</f>
        <v>-1.4894373001127718E-2</v>
      </c>
      <c r="BK54" s="27">
        <f>SUM('Net zero emission reductions'!AQ1547:AQ1562)</f>
        <v>-1.4679850885530074E-2</v>
      </c>
      <c r="BL54" s="27">
        <f>SUM('Net zero emission reductions'!AR1547:AR1562)</f>
        <v>-1.4461384817978387E-2</v>
      </c>
      <c r="BM54" s="27">
        <f>SUM('Net zero emission reductions'!AS1547:AS1562)</f>
        <v>-1.4238233896044325E-2</v>
      </c>
      <c r="BN54" s="27">
        <f>SUM('Net zero emission reductions'!AT1547:AT1562)</f>
        <v>-1.4010469828347437E-2</v>
      </c>
      <c r="BO54" s="27">
        <f>SUM('Net zero emission reductions'!AU1547:AU1562)</f>
        <v>-1.3778397032483555E-2</v>
      </c>
      <c r="BP54" s="27">
        <f>SUM('Net zero emission reductions'!AV1547:AV1562)</f>
        <v>-1.3542270690297155E-2</v>
      </c>
      <c r="BQ54" s="27">
        <f>SUM('Net zero emission reductions'!AW1547:AW1562)</f>
        <v>-1.3301431084190955E-2</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0.14320397099078974</v>
      </c>
      <c r="AF56">
        <f t="shared" ref="AF56:BQ56" si="43">AF55-AF47</f>
        <v>0.23284707853218833</v>
      </c>
      <c r="AG56">
        <f t="shared" si="43"/>
        <v>-1.2251905140914232E-4</v>
      </c>
      <c r="AH56">
        <f t="shared" si="43"/>
        <v>-0.15877072903015943</v>
      </c>
      <c r="AI56">
        <f t="shared" si="43"/>
        <v>-0.29567157165920577</v>
      </c>
      <c r="AJ56">
        <f t="shared" si="43"/>
        <v>-0.15084611458040342</v>
      </c>
      <c r="AK56">
        <f t="shared" si="43"/>
        <v>-0.17785149009183954</v>
      </c>
      <c r="AL56">
        <f t="shared" si="43"/>
        <v>-0.26363626302885734</v>
      </c>
      <c r="AM56">
        <f t="shared" si="43"/>
        <v>-0.61673238929104812</v>
      </c>
      <c r="AN56">
        <f t="shared" si="43"/>
        <v>-1.2860652405123005</v>
      </c>
      <c r="AO56">
        <f t="shared" si="43"/>
        <v>-47.471815000311693</v>
      </c>
      <c r="AP56">
        <f t="shared" si="43"/>
        <v>-47.717842496870233</v>
      </c>
      <c r="AQ56">
        <f t="shared" si="43"/>
        <v>-47.880553428134448</v>
      </c>
      <c r="AR56">
        <f t="shared" si="43"/>
        <v>-47.914903962502251</v>
      </c>
      <c r="AS56">
        <f t="shared" si="43"/>
        <v>-47.74807891940695</v>
      </c>
      <c r="AT56">
        <f t="shared" si="43"/>
        <v>-47.477630305884432</v>
      </c>
      <c r="AU56">
        <f t="shared" si="43"/>
        <v>-47.069367779707818</v>
      </c>
      <c r="AV56">
        <f t="shared" si="43"/>
        <v>-46.53228932827129</v>
      </c>
      <c r="AW56">
        <f t="shared" si="43"/>
        <v>-45.866488088747303</v>
      </c>
      <c r="AX56">
        <f t="shared" si="43"/>
        <v>-44.614042464261978</v>
      </c>
      <c r="AY56">
        <f t="shared" si="43"/>
        <v>-43.305805859845798</v>
      </c>
      <c r="AZ56">
        <f t="shared" si="43"/>
        <v>-41.839240173598213</v>
      </c>
      <c r="BA56">
        <f t="shared" si="43"/>
        <v>-40.246934709320783</v>
      </c>
      <c r="BB56">
        <f t="shared" si="43"/>
        <v>-38.535969166274093</v>
      </c>
      <c r="BC56">
        <f t="shared" si="43"/>
        <v>-36.748864088852947</v>
      </c>
      <c r="BD56">
        <f t="shared" si="43"/>
        <v>27.243884259992953</v>
      </c>
      <c r="BE56">
        <f t="shared" si="43"/>
        <v>27.31093409279098</v>
      </c>
      <c r="BF56">
        <f t="shared" si="43"/>
        <v>27.382674570430076</v>
      </c>
      <c r="BG56">
        <f t="shared" si="43"/>
        <v>27.474159765053724</v>
      </c>
      <c r="BH56">
        <f t="shared" si="43"/>
        <v>27.696261555389565</v>
      </c>
      <c r="BI56">
        <f t="shared" si="43"/>
        <v>27.928135644387673</v>
      </c>
      <c r="BJ56">
        <f t="shared" si="43"/>
        <v>28.166066895010054</v>
      </c>
      <c r="BK56">
        <f t="shared" si="43"/>
        <v>28.413023419339879</v>
      </c>
      <c r="BL56">
        <f t="shared" si="43"/>
        <v>28.686032255000143</v>
      </c>
      <c r="BM56">
        <f t="shared" si="43"/>
        <v>28.968329991686087</v>
      </c>
      <c r="BN56">
        <f t="shared" si="43"/>
        <v>29.263741962032842</v>
      </c>
      <c r="BO56">
        <f t="shared" si="43"/>
        <v>29.537670346349785</v>
      </c>
      <c r="BP56">
        <f t="shared" si="43"/>
        <v>29.825450995334325</v>
      </c>
      <c r="BQ56">
        <f t="shared" si="43"/>
        <v>30.128404784594387</v>
      </c>
    </row>
    <row r="57" spans="1:75" s="19" customFormat="1" ht="15.75" x14ac:dyDescent="0.25">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24596.567437021014</v>
      </c>
      <c r="AF58" s="22">
        <f t="shared" si="45"/>
        <v>24497.747310072355</v>
      </c>
      <c r="AG58" s="22">
        <f t="shared" si="45"/>
        <v>24503.520525013511</v>
      </c>
      <c r="AH58" s="22">
        <f t="shared" si="45"/>
        <v>24330.600675717978</v>
      </c>
      <c r="AI58" s="22">
        <f t="shared" si="45"/>
        <v>24050.505209418396</v>
      </c>
      <c r="AJ58" s="22">
        <f t="shared" si="45"/>
        <v>23669.383405227261</v>
      </c>
      <c r="AK58" s="22">
        <f t="shared" si="45"/>
        <v>23387.298701141393</v>
      </c>
      <c r="AL58" s="22">
        <f t="shared" si="45"/>
        <v>23126.614059508956</v>
      </c>
      <c r="AM58" s="22">
        <f t="shared" si="45"/>
        <v>21392.93953700738</v>
      </c>
      <c r="AN58" s="22">
        <f t="shared" si="45"/>
        <v>22014.083437868067</v>
      </c>
      <c r="AO58" s="22">
        <f t="shared" si="45"/>
        <v>56032.072122577665</v>
      </c>
      <c r="AP58" s="22">
        <f t="shared" si="45"/>
        <v>56387.714166571561</v>
      </c>
      <c r="AQ58" s="22">
        <f t="shared" si="45"/>
        <v>56665.381042402791</v>
      </c>
      <c r="AR58" s="22">
        <f t="shared" si="45"/>
        <v>56861.872755180499</v>
      </c>
      <c r="AS58" s="22">
        <f t="shared" si="45"/>
        <v>56973.570914767282</v>
      </c>
      <c r="AT58" s="22">
        <f t="shared" si="45"/>
        <v>56999.225085508784</v>
      </c>
      <c r="AU58" s="22">
        <f t="shared" si="45"/>
        <v>56937.975415198875</v>
      </c>
      <c r="AV58" s="22">
        <f t="shared" si="45"/>
        <v>56789.500530797806</v>
      </c>
      <c r="AW58" s="22">
        <f t="shared" si="45"/>
        <v>56553.98142272314</v>
      </c>
      <c r="AX58" s="22">
        <f t="shared" si="45"/>
        <v>55882.65194016615</v>
      </c>
      <c r="AY58" s="22">
        <f t="shared" si="45"/>
        <v>55127.862761515571</v>
      </c>
      <c r="AZ58" s="22">
        <f t="shared" si="45"/>
        <v>54292.951227005775</v>
      </c>
      <c r="BA58" s="22">
        <f t="shared" si="45"/>
        <v>53381.633593419647</v>
      </c>
      <c r="BB58" s="22">
        <f t="shared" si="45"/>
        <v>52398.102292235519</v>
      </c>
      <c r="BC58" s="22">
        <f t="shared" si="45"/>
        <v>51346.937420336333</v>
      </c>
      <c r="BD58" s="22">
        <f t="shared" si="45"/>
        <v>2863.5939896353152</v>
      </c>
      <c r="BE58" s="22">
        <f t="shared" si="45"/>
        <v>2936.4053616578226</v>
      </c>
      <c r="BF58" s="22">
        <f t="shared" si="45"/>
        <v>3008.1157154435814</v>
      </c>
      <c r="BG58" s="22">
        <f t="shared" si="45"/>
        <v>3078.7641612333764</v>
      </c>
      <c r="BH58" s="22">
        <f t="shared" si="45"/>
        <v>3135.3618100886833</v>
      </c>
      <c r="BI58" s="22">
        <f t="shared" si="45"/>
        <v>3191.0262701857569</v>
      </c>
      <c r="BJ58" s="22">
        <f t="shared" si="45"/>
        <v>3245.720122576347</v>
      </c>
      <c r="BK58" s="22">
        <f t="shared" si="45"/>
        <v>3299.4459945950121</v>
      </c>
      <c r="BL58" s="22">
        <f t="shared" si="45"/>
        <v>3352.1545115293084</v>
      </c>
      <c r="BM58" s="22">
        <f t="shared" si="45"/>
        <v>3403.7879433333815</v>
      </c>
      <c r="BN58" s="22">
        <f t="shared" si="45"/>
        <v>3454.3426033996911</v>
      </c>
      <c r="BO58" s="22">
        <f t="shared" si="45"/>
        <v>3503.8314062986174</v>
      </c>
      <c r="BP58" s="22">
        <f t="shared" si="45"/>
        <v>3552.2641887408727</v>
      </c>
      <c r="BQ58" s="22">
        <f t="shared" si="45"/>
        <v>3599.5805282644615</v>
      </c>
    </row>
    <row r="59" spans="1:75" x14ac:dyDescent="0.25">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776.88026181002783</v>
      </c>
      <c r="AH59" s="22">
        <f t="shared" si="47"/>
        <v>774.22773270072685</v>
      </c>
      <c r="AI59" s="22">
        <f t="shared" si="47"/>
        <v>767.77846974201952</v>
      </c>
      <c r="AJ59" s="22">
        <f t="shared" si="47"/>
        <v>757.64147058917911</v>
      </c>
      <c r="AK59" s="22">
        <f t="shared" si="47"/>
        <v>751.15754383054059</v>
      </c>
      <c r="AL59" s="22">
        <f t="shared" si="47"/>
        <v>745.51317364056126</v>
      </c>
      <c r="AM59" s="22">
        <f t="shared" si="47"/>
        <v>686.13120665304496</v>
      </c>
      <c r="AN59" s="22">
        <f t="shared" si="47"/>
        <v>708.75463781476492</v>
      </c>
      <c r="AO59" s="22">
        <f t="shared" si="47"/>
        <v>1989.4091279819295</v>
      </c>
      <c r="AP59" s="22">
        <f t="shared" si="47"/>
        <v>2002.8421867762245</v>
      </c>
      <c r="AQ59" s="22">
        <f t="shared" si="47"/>
        <v>2013.2635270784995</v>
      </c>
      <c r="AR59" s="22">
        <f t="shared" si="47"/>
        <v>2020.666550513884</v>
      </c>
      <c r="AS59" s="22">
        <f t="shared" si="47"/>
        <v>2025.108970496176</v>
      </c>
      <c r="AT59" s="22">
        <f t="shared" si="47"/>
        <v>2026.520579934715</v>
      </c>
      <c r="AU59" s="22">
        <f t="shared" si="47"/>
        <v>2024.8542996972278</v>
      </c>
      <c r="AV59" s="22">
        <f t="shared" si="47"/>
        <v>2020.0766071452153</v>
      </c>
      <c r="AW59" s="22">
        <f t="shared" si="47"/>
        <v>2012.1705445328967</v>
      </c>
      <c r="AX59" s="22">
        <f t="shared" si="47"/>
        <v>2001.1843984436582</v>
      </c>
      <c r="AY59" s="22">
        <f t="shared" si="47"/>
        <v>1987.0957444650371</v>
      </c>
      <c r="AZ59" s="22">
        <f t="shared" si="47"/>
        <v>1969.9433810173034</v>
      </c>
      <c r="BA59" s="22">
        <f t="shared" si="47"/>
        <v>1949.7858062578432</v>
      </c>
      <c r="BB59" s="22">
        <f t="shared" si="47"/>
        <v>1926.6939076070657</v>
      </c>
      <c r="BC59" s="22">
        <f t="shared" si="47"/>
        <v>1900.7535340392546</v>
      </c>
      <c r="BD59" s="22">
        <f t="shared" si="47"/>
        <v>-31.554386682627324</v>
      </c>
      <c r="BE59" s="22">
        <f t="shared" si="47"/>
        <v>-30.300389088117189</v>
      </c>
      <c r="BF59" s="22">
        <f t="shared" si="47"/>
        <v>-29.043419266188771</v>
      </c>
      <c r="BG59" s="22">
        <f t="shared" si="47"/>
        <v>-27.784621852546252</v>
      </c>
      <c r="BH59" s="22">
        <f t="shared" si="47"/>
        <v>-26.523135992360828</v>
      </c>
      <c r="BI59" s="22">
        <f t="shared" si="47"/>
        <v>-25.258775061373768</v>
      </c>
      <c r="BJ59" s="22">
        <f t="shared" si="47"/>
        <v>-23.990368199030943</v>
      </c>
      <c r="BK59" s="22">
        <f t="shared" si="47"/>
        <v>-22.718240489243172</v>
      </c>
      <c r="BL59" s="22">
        <f t="shared" si="47"/>
        <v>-21.441166242215616</v>
      </c>
      <c r="BM59" s="22">
        <f t="shared" si="47"/>
        <v>-20.157911141858431</v>
      </c>
      <c r="BN59" s="22">
        <f t="shared" si="47"/>
        <v>-18.869035946146806</v>
      </c>
      <c r="BO59" s="22">
        <f t="shared" si="47"/>
        <v>-17.57558428960775</v>
      </c>
      <c r="BP59" s="22">
        <f t="shared" si="47"/>
        <v>-16.278475371421244</v>
      </c>
      <c r="BQ59" s="22">
        <f t="shared" si="47"/>
        <v>-14.976775057899713</v>
      </c>
    </row>
    <row r="60" spans="1:75" x14ac:dyDescent="0.25">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1611.8202237640569</v>
      </c>
      <c r="AF60" s="22">
        <f t="shared" si="49"/>
        <v>1628.3498454049952</v>
      </c>
      <c r="AG60" s="22">
        <f t="shared" si="49"/>
        <v>1654.3267410473245</v>
      </c>
      <c r="AH60" s="22">
        <f t="shared" si="49"/>
        <v>1663.6384309182047</v>
      </c>
      <c r="AI60" s="22">
        <f t="shared" si="49"/>
        <v>1662.3021398559861</v>
      </c>
      <c r="AJ60" s="22">
        <f t="shared" si="49"/>
        <v>1650.3976769413121</v>
      </c>
      <c r="AK60" s="22">
        <f t="shared" si="49"/>
        <v>1647.5009704288248</v>
      </c>
      <c r="AL60" s="22">
        <f t="shared" si="49"/>
        <v>1646.2684747308629</v>
      </c>
      <c r="AM60" s="22">
        <f t="shared" si="49"/>
        <v>1499.3361276564717</v>
      </c>
      <c r="AN60" s="22">
        <f t="shared" si="49"/>
        <v>1577.3560251072734</v>
      </c>
      <c r="AO60" s="22">
        <f t="shared" si="49"/>
        <v>5155.8934530928118</v>
      </c>
      <c r="AP60" s="22">
        <f t="shared" si="49"/>
        <v>5242.7690506636527</v>
      </c>
      <c r="AQ60" s="22">
        <f t="shared" si="49"/>
        <v>5321.2996390873295</v>
      </c>
      <c r="AR60" s="22">
        <f t="shared" si="49"/>
        <v>5391.3884562478806</v>
      </c>
      <c r="AS60" s="22">
        <f t="shared" si="49"/>
        <v>5453.2165713883915</v>
      </c>
      <c r="AT60" s="22">
        <f t="shared" si="49"/>
        <v>5506.3812128817053</v>
      </c>
      <c r="AU60" s="22">
        <f t="shared" si="49"/>
        <v>5550.5475194976107</v>
      </c>
      <c r="AV60" s="22">
        <f t="shared" si="49"/>
        <v>5585.4070236046136</v>
      </c>
      <c r="AW60" s="22">
        <f t="shared" si="49"/>
        <v>5610.6924571048703</v>
      </c>
      <c r="AX60" s="22">
        <f t="shared" si="49"/>
        <v>5620.9400565137012</v>
      </c>
      <c r="AY60" s="22">
        <f t="shared" si="49"/>
        <v>5621.3502562071208</v>
      </c>
      <c r="AZ60" s="22">
        <f t="shared" si="49"/>
        <v>5611.8495954416239</v>
      </c>
      <c r="BA60" s="22">
        <f t="shared" si="49"/>
        <v>5592.4315797193904</v>
      </c>
      <c r="BB60" s="22">
        <f t="shared" si="49"/>
        <v>5563.1223773999391</v>
      </c>
      <c r="BC60" s="22">
        <f t="shared" si="49"/>
        <v>5523.9960192381877</v>
      </c>
      <c r="BD60" s="22">
        <f t="shared" si="49"/>
        <v>-516.45011818944261</v>
      </c>
      <c r="BE60" s="22">
        <f t="shared" si="49"/>
        <v>-515.96304450073899</v>
      </c>
      <c r="BF60" s="22">
        <f t="shared" si="49"/>
        <v>-515.43589183827578</v>
      </c>
      <c r="BG60" s="22">
        <f t="shared" si="49"/>
        <v>-514.8733763232309</v>
      </c>
      <c r="BH60" s="22">
        <f t="shared" si="49"/>
        <v>-514.46413193415469</v>
      </c>
      <c r="BI60" s="22">
        <f t="shared" si="49"/>
        <v>-514.00599403809395</v>
      </c>
      <c r="BJ60" s="22">
        <f t="shared" si="49"/>
        <v>-513.48972139294051</v>
      </c>
      <c r="BK60" s="22">
        <f t="shared" si="49"/>
        <v>-512.91465629781123</v>
      </c>
      <c r="BL60" s="22">
        <f t="shared" si="49"/>
        <v>-512.2702928008548</v>
      </c>
      <c r="BM60" s="22">
        <f t="shared" si="49"/>
        <v>-511.54525812713905</v>
      </c>
      <c r="BN60" s="22">
        <f t="shared" si="49"/>
        <v>-510.73910825711812</v>
      </c>
      <c r="BO60" s="22">
        <f t="shared" si="49"/>
        <v>-509.854635356031</v>
      </c>
      <c r="BP60" s="22">
        <f t="shared" si="49"/>
        <v>-508.89403698832388</v>
      </c>
      <c r="BQ60" s="22">
        <f t="shared" si="49"/>
        <v>-507.84676064716342</v>
      </c>
    </row>
    <row r="61" spans="1:75" x14ac:dyDescent="0.25">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893.8099998865514</v>
      </c>
      <c r="AO63" s="22">
        <f t="shared" si="54"/>
        <v>900.67357822106953</v>
      </c>
      <c r="AP63" s="22">
        <f t="shared" si="54"/>
        <v>1065.3940139484962</v>
      </c>
      <c r="AQ63" s="22">
        <f t="shared" si="54"/>
        <v>1069.5090816299301</v>
      </c>
      <c r="AR63" s="22">
        <f t="shared" si="54"/>
        <v>1073.3182252319168</v>
      </c>
      <c r="AS63" s="22">
        <f t="shared" si="54"/>
        <v>1076.8218555552182</v>
      </c>
      <c r="AT63" s="22">
        <f t="shared" si="54"/>
        <v>1080.0226317758113</v>
      </c>
      <c r="AU63" s="22">
        <f t="shared" si="54"/>
        <v>1082.9177749187229</v>
      </c>
      <c r="AV63" s="22">
        <f t="shared" si="54"/>
        <v>1085.5049609833559</v>
      </c>
      <c r="AW63" s="22">
        <f t="shared" si="54"/>
        <v>1087.7819132444117</v>
      </c>
      <c r="AX63" s="22">
        <f t="shared" si="54"/>
        <v>1089.7465011362146</v>
      </c>
      <c r="AY63" s="22">
        <f t="shared" si="54"/>
        <v>1091.3969473327843</v>
      </c>
      <c r="AZ63" s="22">
        <f t="shared" si="54"/>
        <v>1092.7315009729246</v>
      </c>
      <c r="BA63" s="22">
        <f t="shared" si="54"/>
        <v>1093.7487030524378</v>
      </c>
      <c r="BB63" s="22">
        <f t="shared" si="54"/>
        <v>1094.4473857214566</v>
      </c>
      <c r="BC63" s="22">
        <f t="shared" si="54"/>
        <v>1094.8263628266327</v>
      </c>
      <c r="BD63" s="22">
        <f t="shared" si="54"/>
        <v>1094.8845593444271</v>
      </c>
      <c r="BE63" s="22">
        <f t="shared" si="54"/>
        <v>607.97020905828253</v>
      </c>
      <c r="BF63" s="22">
        <f t="shared" si="54"/>
        <v>607.55745037474526</v>
      </c>
      <c r="BG63" s="22">
        <f t="shared" si="54"/>
        <v>607.15409314091119</v>
      </c>
      <c r="BH63" s="22">
        <f t="shared" si="54"/>
        <v>606.75958690378332</v>
      </c>
      <c r="BI63" s="22">
        <f t="shared" si="54"/>
        <v>606.37328175345601</v>
      </c>
      <c r="BJ63" s="22">
        <f t="shared" si="54"/>
        <v>605.99682053444815</v>
      </c>
      <c r="BK63" s="22">
        <f t="shared" si="54"/>
        <v>605.63131244884619</v>
      </c>
      <c r="BL63" s="22">
        <f t="shared" si="54"/>
        <v>605.27689810634104</v>
      </c>
      <c r="BM63" s="22">
        <f t="shared" si="54"/>
        <v>604.93489516166983</v>
      </c>
      <c r="BN63" s="22">
        <f t="shared" si="54"/>
        <v>604.60677047885349</v>
      </c>
      <c r="BO63" s="22">
        <f t="shared" si="54"/>
        <v>604.29271780451234</v>
      </c>
      <c r="BP63" s="22">
        <f t="shared" si="54"/>
        <v>603.99253980993103</v>
      </c>
      <c r="BQ63" s="22">
        <f t="shared" ref="BQ63:BQ64" si="55">BQ41</f>
        <v>603.70610230649959</v>
      </c>
    </row>
    <row r="64" spans="1:75" x14ac:dyDescent="0.25">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469.91049414760272</v>
      </c>
      <c r="AO64" s="22">
        <f t="shared" si="54"/>
        <v>469.73756057025111</v>
      </c>
      <c r="AP64" s="22">
        <f t="shared" si="54"/>
        <v>465.58729188751397</v>
      </c>
      <c r="AQ64" s="22">
        <f t="shared" si="54"/>
        <v>465.48360932711904</v>
      </c>
      <c r="AR64" s="22">
        <f t="shared" si="54"/>
        <v>465.38763477891212</v>
      </c>
      <c r="AS64" s="22">
        <f t="shared" si="54"/>
        <v>465.29935789242586</v>
      </c>
      <c r="AT64" s="22">
        <f t="shared" si="54"/>
        <v>465.21871166750475</v>
      </c>
      <c r="AU64" s="22">
        <f t="shared" si="54"/>
        <v>465.1457661227397</v>
      </c>
      <c r="AV64" s="22">
        <f t="shared" si="54"/>
        <v>465.080579813263</v>
      </c>
      <c r="AW64" s="22">
        <f t="shared" si="54"/>
        <v>465.02321010306639</v>
      </c>
      <c r="AX64" s="22">
        <f t="shared" si="54"/>
        <v>464.97371067352793</v>
      </c>
      <c r="AY64" s="22">
        <f t="shared" si="54"/>
        <v>464.93212630585725</v>
      </c>
      <c r="AZ64" s="22">
        <f t="shared" si="54"/>
        <v>464.89850111446157</v>
      </c>
      <c r="BA64" s="22">
        <f t="shared" si="54"/>
        <v>464.87287186016789</v>
      </c>
      <c r="BB64" s="22">
        <f t="shared" si="54"/>
        <v>464.8552679679272</v>
      </c>
      <c r="BC64" s="22">
        <f t="shared" si="54"/>
        <v>464.84571932386154</v>
      </c>
      <c r="BD64" s="22">
        <f t="shared" si="54"/>
        <v>464.84425301408538</v>
      </c>
      <c r="BE64" s="22">
        <f t="shared" si="54"/>
        <v>477.11246594251554</v>
      </c>
      <c r="BF64" s="22">
        <f t="shared" si="54"/>
        <v>477.12286574160703</v>
      </c>
      <c r="BG64" s="22">
        <f t="shared" si="54"/>
        <v>477.13302866333646</v>
      </c>
      <c r="BH64" s="22">
        <f t="shared" si="54"/>
        <v>477.14296857682592</v>
      </c>
      <c r="BI64" s="22">
        <f t="shared" si="54"/>
        <v>477.15270185709755</v>
      </c>
      <c r="BJ64" s="22">
        <f t="shared" si="54"/>
        <v>477.16218711131398</v>
      </c>
      <c r="BK64" s="22">
        <f t="shared" si="54"/>
        <v>477.17139639220409</v>
      </c>
      <c r="BL64" s="22">
        <f t="shared" si="54"/>
        <v>477.18032615698962</v>
      </c>
      <c r="BM64" s="22">
        <f t="shared" si="54"/>
        <v>477.18894320626106</v>
      </c>
      <c r="BN64" s="22">
        <f t="shared" si="54"/>
        <v>477.1972105811567</v>
      </c>
      <c r="BO64" s="22">
        <f t="shared" si="54"/>
        <v>477.20512340006883</v>
      </c>
      <c r="BP64" s="22">
        <f t="shared" si="54"/>
        <v>477.2126866348591</v>
      </c>
      <c r="BQ64" s="22">
        <f t="shared" si="55"/>
        <v>477.21990366652125</v>
      </c>
    </row>
    <row r="65" spans="1:75" x14ac:dyDescent="0.25">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17151.705697759644</v>
      </c>
      <c r="AF65" s="22">
        <f t="shared" si="56"/>
        <v>17093.826915551952</v>
      </c>
      <c r="AG65" s="22">
        <f t="shared" si="56"/>
        <v>17091.396392844257</v>
      </c>
      <c r="AH65" s="22">
        <f t="shared" si="56"/>
        <v>16996.52378933522</v>
      </c>
      <c r="AI65" s="22">
        <f t="shared" si="56"/>
        <v>16845.135916251191</v>
      </c>
      <c r="AJ65" s="22">
        <f t="shared" si="56"/>
        <v>16640.888084222788</v>
      </c>
      <c r="AK65" s="22">
        <f t="shared" si="56"/>
        <v>16487.529960272332</v>
      </c>
      <c r="AL65" s="22">
        <f t="shared" si="56"/>
        <v>16345.805129696333</v>
      </c>
      <c r="AM65" s="22">
        <f t="shared" si="56"/>
        <v>15442.498897334191</v>
      </c>
      <c r="AN65" s="22">
        <f t="shared" si="56"/>
        <v>15750.943286516664</v>
      </c>
      <c r="AO65" s="22">
        <f t="shared" si="56"/>
        <v>33312.269154363297</v>
      </c>
      <c r="AP65" s="22">
        <f t="shared" si="56"/>
        <v>33609.072223490431</v>
      </c>
      <c r="AQ65" s="22">
        <f t="shared" si="56"/>
        <v>33737.696617721129</v>
      </c>
      <c r="AR65" s="22">
        <f t="shared" si="56"/>
        <v>33824.004578088119</v>
      </c>
      <c r="AS65" s="22">
        <f t="shared" si="56"/>
        <v>33866.164598582895</v>
      </c>
      <c r="AT65" s="22">
        <f t="shared" si="56"/>
        <v>33863.61579402881</v>
      </c>
      <c r="AU65" s="22">
        <f t="shared" si="56"/>
        <v>33815.995567881699</v>
      </c>
      <c r="AV65" s="22">
        <f t="shared" si="56"/>
        <v>33723.223210999226</v>
      </c>
      <c r="AW65" s="22">
        <f t="shared" si="56"/>
        <v>33585.479307194197</v>
      </c>
      <c r="AX65" s="22">
        <f t="shared" si="56"/>
        <v>33216.870873793028</v>
      </c>
      <c r="AY65" s="22">
        <f t="shared" si="56"/>
        <v>32805.284931154434</v>
      </c>
      <c r="AZ65" s="22">
        <f t="shared" si="56"/>
        <v>32352.561966538182</v>
      </c>
      <c r="BA65" s="22">
        <f t="shared" si="56"/>
        <v>31860.735404641982</v>
      </c>
      <c r="BB65" s="22">
        <f t="shared" si="56"/>
        <v>31332.083916991196</v>
      </c>
      <c r="BC65" s="22">
        <f t="shared" si="56"/>
        <v>30769.083180828537</v>
      </c>
      <c r="BD65" s="22">
        <f t="shared" si="56"/>
        <v>6047.5720050875789</v>
      </c>
      <c r="BE65" s="22">
        <f t="shared" si="56"/>
        <v>5700.0295711204262</v>
      </c>
      <c r="BF65" s="22">
        <f t="shared" si="56"/>
        <v>5738.7423920860329</v>
      </c>
      <c r="BG65" s="22">
        <f t="shared" si="56"/>
        <v>5776.900805096876</v>
      </c>
      <c r="BH65" s="22">
        <f t="shared" si="56"/>
        <v>5807.5670565658629</v>
      </c>
      <c r="BI65" s="22">
        <f t="shared" si="56"/>
        <v>5837.7438425028104</v>
      </c>
      <c r="BJ65" s="22">
        <f t="shared" si="56"/>
        <v>5867.4120579655573</v>
      </c>
      <c r="BK65" s="22">
        <f t="shared" si="56"/>
        <v>5896.5737412741164</v>
      </c>
      <c r="BL65" s="22">
        <f t="shared" si="56"/>
        <v>5925.2021354424523</v>
      </c>
      <c r="BM65" s="22">
        <f t="shared" si="56"/>
        <v>5953.2668964003005</v>
      </c>
      <c r="BN65" s="22">
        <f t="shared" si="56"/>
        <v>5980.7669219308082</v>
      </c>
      <c r="BO65" s="22">
        <f t="shared" si="56"/>
        <v>6007.7090563142428</v>
      </c>
      <c r="BP65" s="22">
        <f t="shared" si="56"/>
        <v>6034.0981838862199</v>
      </c>
      <c r="BQ65" s="22">
        <f t="shared" si="56"/>
        <v>6059.9013374203532</v>
      </c>
    </row>
    <row r="66" spans="1:75" x14ac:dyDescent="0.25">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1997.8167979558439</v>
      </c>
      <c r="AK66" s="22">
        <f t="shared" si="58"/>
        <v>1981.3182233351415</v>
      </c>
      <c r="AL66" s="22">
        <f t="shared" si="58"/>
        <v>1966.2827775921453</v>
      </c>
      <c r="AM66" s="22">
        <f t="shared" si="58"/>
        <v>1855.0324856213779</v>
      </c>
      <c r="AN66" s="22">
        <f t="shared" si="58"/>
        <v>1895.2966379778347</v>
      </c>
      <c r="AO66" s="22">
        <f t="shared" si="58"/>
        <v>4092.2077070290761</v>
      </c>
      <c r="AP66" s="22">
        <f t="shared" si="58"/>
        <v>4119.3508292204397</v>
      </c>
      <c r="AQ66" s="22">
        <f t="shared" si="58"/>
        <v>4138.6233146004733</v>
      </c>
      <c r="AR66" s="22">
        <f t="shared" si="58"/>
        <v>4152.8029430545121</v>
      </c>
      <c r="AS66" s="22">
        <f t="shared" si="58"/>
        <v>4161.4921749631267</v>
      </c>
      <c r="AT66" s="22">
        <f t="shared" si="58"/>
        <v>4164.6098753594988</v>
      </c>
      <c r="AU66" s="22">
        <f t="shared" si="58"/>
        <v>4162.0930945327327</v>
      </c>
      <c r="AV66" s="22">
        <f t="shared" si="58"/>
        <v>4153.9184974906266</v>
      </c>
      <c r="AW66" s="22">
        <f t="shared" si="58"/>
        <v>4140.0968073883751</v>
      </c>
      <c r="AX66" s="22">
        <f t="shared" si="58"/>
        <v>4099.452195620157</v>
      </c>
      <c r="AY66" s="22">
        <f t="shared" si="58"/>
        <v>4053.3734930089595</v>
      </c>
      <c r="AZ66" s="22">
        <f t="shared" si="58"/>
        <v>4002.0643041433041</v>
      </c>
      <c r="BA66" s="22">
        <f t="shared" si="58"/>
        <v>3945.7489239332363</v>
      </c>
      <c r="BB66" s="22">
        <f t="shared" si="58"/>
        <v>3884.6881373536157</v>
      </c>
      <c r="BC66" s="22">
        <f t="shared" si="58"/>
        <v>3819.169466179434</v>
      </c>
      <c r="BD66" s="22">
        <f t="shared" si="58"/>
        <v>664.12241108963667</v>
      </c>
      <c r="BE66" s="22">
        <f t="shared" si="58"/>
        <v>659.4745800618964</v>
      </c>
      <c r="BF66" s="22">
        <f t="shared" si="58"/>
        <v>664.10039058383097</v>
      </c>
      <c r="BG66" s="22">
        <f t="shared" si="58"/>
        <v>668.64813944174898</v>
      </c>
      <c r="BH66" s="22">
        <f t="shared" si="58"/>
        <v>672.33014216349636</v>
      </c>
      <c r="BI66" s="22">
        <f t="shared" si="58"/>
        <v>675.93855047831858</v>
      </c>
      <c r="BJ66" s="22">
        <f t="shared" si="58"/>
        <v>679.46796619123234</v>
      </c>
      <c r="BK66" s="22">
        <f t="shared" si="58"/>
        <v>682.91810716316115</v>
      </c>
      <c r="BL66" s="22">
        <f t="shared" si="58"/>
        <v>686.28237716647902</v>
      </c>
      <c r="BM66" s="22">
        <f t="shared" si="58"/>
        <v>689.55337721332842</v>
      </c>
      <c r="BN66" s="22">
        <f t="shared" si="58"/>
        <v>692.7304614366434</v>
      </c>
      <c r="BO66" s="22">
        <f t="shared" si="58"/>
        <v>695.81501698037243</v>
      </c>
      <c r="BP66" s="22">
        <f t="shared" si="58"/>
        <v>698.80806377107808</v>
      </c>
      <c r="BQ66" s="22">
        <f t="shared" si="58"/>
        <v>701.70223256615009</v>
      </c>
    </row>
    <row r="67" spans="1:75" x14ac:dyDescent="0.25">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463.94620254720871</v>
      </c>
      <c r="AF67" s="22">
        <f t="shared" si="60"/>
        <v>468.55349021707195</v>
      </c>
      <c r="AG67" s="22">
        <f t="shared" si="60"/>
        <v>475.46673921112142</v>
      </c>
      <c r="AH67" s="22">
        <f t="shared" si="60"/>
        <v>478.52713833996262</v>
      </c>
      <c r="AI67" s="22">
        <f t="shared" si="60"/>
        <v>479.13075008565454</v>
      </c>
      <c r="AJ67" s="22">
        <f t="shared" si="60"/>
        <v>477.27784879908728</v>
      </c>
      <c r="AK67" s="22">
        <f t="shared" si="60"/>
        <v>477.58815133846184</v>
      </c>
      <c r="AL67" s="22">
        <f t="shared" si="60"/>
        <v>478.32509917641192</v>
      </c>
      <c r="AM67" s="22">
        <f t="shared" si="60"/>
        <v>443.9175638870023</v>
      </c>
      <c r="AN67" s="22">
        <f t="shared" si="60"/>
        <v>462.68648804238023</v>
      </c>
      <c r="AO67" s="22">
        <f t="shared" si="60"/>
        <v>1317.966828312595</v>
      </c>
      <c r="AP67" s="22">
        <f t="shared" si="60"/>
        <v>1339.2621867022526</v>
      </c>
      <c r="AQ67" s="22">
        <f t="shared" si="60"/>
        <v>1358.663287636766</v>
      </c>
      <c r="AR67" s="22">
        <f t="shared" si="60"/>
        <v>1376.1134034897402</v>
      </c>
      <c r="AS67" s="22">
        <f t="shared" si="60"/>
        <v>1391.5999690343706</v>
      </c>
      <c r="AT67" s="22">
        <f t="shared" si="60"/>
        <v>1405.024568211617</v>
      </c>
      <c r="AU67" s="22">
        <f t="shared" si="60"/>
        <v>1416.3026817438217</v>
      </c>
      <c r="AV67" s="22">
        <f t="shared" si="60"/>
        <v>1425.357672628686</v>
      </c>
      <c r="AW67" s="22">
        <f t="shared" si="60"/>
        <v>1432.1232776986146</v>
      </c>
      <c r="AX67" s="22">
        <f t="shared" si="60"/>
        <v>1436.6882128110303</v>
      </c>
      <c r="AY67" s="22">
        <f t="shared" si="60"/>
        <v>1438.8848480365857</v>
      </c>
      <c r="AZ67" s="22">
        <f t="shared" si="60"/>
        <v>1438.6847490111045</v>
      </c>
      <c r="BA67" s="22">
        <f t="shared" si="60"/>
        <v>1436.0742896551883</v>
      </c>
      <c r="BB67" s="22">
        <f t="shared" si="60"/>
        <v>1431.0497024924882</v>
      </c>
      <c r="BC67" s="22">
        <f t="shared" si="60"/>
        <v>1423.6194195080968</v>
      </c>
      <c r="BD67" s="22">
        <f t="shared" si="60"/>
        <v>-38.332753408722951</v>
      </c>
      <c r="BE67" s="22">
        <f t="shared" si="60"/>
        <v>-38.309567523145773</v>
      </c>
      <c r="BF67" s="22">
        <f t="shared" si="60"/>
        <v>-38.278018396735675</v>
      </c>
      <c r="BG67" s="22">
        <f t="shared" si="60"/>
        <v>-38.238972886886053</v>
      </c>
      <c r="BH67" s="22">
        <f t="shared" si="60"/>
        <v>-38.18534320439602</v>
      </c>
      <c r="BI67" s="22">
        <f t="shared" si="60"/>
        <v>-38.122789106338089</v>
      </c>
      <c r="BJ67" s="22">
        <f t="shared" si="60"/>
        <v>-38.050142573277995</v>
      </c>
      <c r="BK67" s="22">
        <f t="shared" si="60"/>
        <v>-37.967471703883575</v>
      </c>
      <c r="BL67" s="22">
        <f t="shared" si="60"/>
        <v>-37.873431759503518</v>
      </c>
      <c r="BM67" s="22">
        <f t="shared" si="60"/>
        <v>-37.766564219884955</v>
      </c>
      <c r="BN67" s="22">
        <f t="shared" si="60"/>
        <v>-37.646973836875254</v>
      </c>
      <c r="BO67" s="22">
        <f t="shared" si="60"/>
        <v>-37.515218064067831</v>
      </c>
      <c r="BP67" s="22">
        <f t="shared" si="60"/>
        <v>-37.371760215821965</v>
      </c>
      <c r="BQ67" s="22">
        <f t="shared" si="60"/>
        <v>-37.215258783869729</v>
      </c>
    </row>
    <row r="70" spans="1:75" s="19" customFormat="1" ht="15.75" x14ac:dyDescent="0.25">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26982.018509963775</v>
      </c>
      <c r="AF71" s="22">
        <f t="shared" si="61"/>
        <v>26899.412164760484</v>
      </c>
      <c r="AG71" s="22">
        <f t="shared" si="61"/>
        <v>26934.727527870862</v>
      </c>
      <c r="AH71" s="22">
        <f t="shared" si="61"/>
        <v>26768.466839336907</v>
      </c>
      <c r="AI71" s="22">
        <f t="shared" si="61"/>
        <v>26480.585819016404</v>
      </c>
      <c r="AJ71" s="22">
        <f t="shared" si="61"/>
        <v>26077.422552757755</v>
      </c>
      <c r="AK71" s="22">
        <f t="shared" si="61"/>
        <v>25785.957215400758</v>
      </c>
      <c r="AL71" s="22">
        <f t="shared" si="61"/>
        <v>25518.39570788038</v>
      </c>
      <c r="AM71" s="22">
        <f t="shared" si="61"/>
        <v>23578.406871316896</v>
      </c>
      <c r="AN71" s="22">
        <f t="shared" si="61"/>
        <v>24300.194100790104</v>
      </c>
      <c r="AO71" s="22">
        <f t="shared" si="61"/>
        <v>63177.3747036524</v>
      </c>
      <c r="AP71" s="22">
        <f t="shared" si="61"/>
        <v>63633.325404011433</v>
      </c>
      <c r="AQ71" s="22">
        <f t="shared" si="61"/>
        <v>63999.944208568617</v>
      </c>
      <c r="AR71" s="22">
        <f t="shared" si="61"/>
        <v>64273.927761942257</v>
      </c>
      <c r="AS71" s="22">
        <f t="shared" si="61"/>
        <v>64451.896456651855</v>
      </c>
      <c r="AT71" s="22">
        <f t="shared" si="61"/>
        <v>64532.126878325209</v>
      </c>
      <c r="AU71" s="22">
        <f t="shared" si="61"/>
        <v>64513.377234393709</v>
      </c>
      <c r="AV71" s="22">
        <f t="shared" si="61"/>
        <v>64394.984161547633</v>
      </c>
      <c r="AW71" s="22">
        <f t="shared" si="61"/>
        <v>64176.844424360912</v>
      </c>
      <c r="AX71" s="22">
        <f t="shared" si="61"/>
        <v>63504.77639512351</v>
      </c>
      <c r="AY71" s="22">
        <f t="shared" si="61"/>
        <v>62736.308762187728</v>
      </c>
      <c r="AZ71" s="22">
        <f t="shared" si="61"/>
        <v>61874.744203464703</v>
      </c>
      <c r="BA71" s="22">
        <f t="shared" si="61"/>
        <v>60923.850979396884</v>
      </c>
      <c r="BB71" s="22">
        <f t="shared" si="61"/>
        <v>59887.918577242519</v>
      </c>
      <c r="BC71" s="22">
        <f t="shared" si="61"/>
        <v>58771.686973613774</v>
      </c>
      <c r="BD71" s="22">
        <f t="shared" si="61"/>
        <v>2315.5894847632453</v>
      </c>
      <c r="BE71" s="22">
        <f t="shared" si="61"/>
        <v>2390.1419280689661</v>
      </c>
      <c r="BF71" s="22">
        <f t="shared" si="61"/>
        <v>2463.6364043391168</v>
      </c>
      <c r="BG71" s="22">
        <f t="shared" si="61"/>
        <v>2536.1061630575991</v>
      </c>
      <c r="BH71" s="22">
        <f t="shared" si="61"/>
        <v>2594.3745421621679</v>
      </c>
      <c r="BI71" s="22">
        <f t="shared" si="61"/>
        <v>2651.7615010862892</v>
      </c>
      <c r="BJ71" s="22">
        <f t="shared" si="61"/>
        <v>2708.2400329843758</v>
      </c>
      <c r="BK71" s="22">
        <f t="shared" si="61"/>
        <v>2763.8130978079575</v>
      </c>
      <c r="BL71" s="22">
        <f t="shared" si="61"/>
        <v>2818.4430524862378</v>
      </c>
      <c r="BM71" s="22">
        <f t="shared" si="61"/>
        <v>2872.084774064384</v>
      </c>
      <c r="BN71" s="22">
        <f t="shared" si="61"/>
        <v>2924.7344591964265</v>
      </c>
      <c r="BO71" s="22">
        <f t="shared" si="61"/>
        <v>2976.4011866529786</v>
      </c>
      <c r="BP71" s="22">
        <f t="shared" si="61"/>
        <v>3027.0916763811274</v>
      </c>
      <c r="BQ71" s="22">
        <f t="shared" si="61"/>
        <v>3076.756992559398</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22916.931601602213</v>
      </c>
      <c r="AG72" s="22">
        <f t="shared" si="62"/>
        <v>22902.965793483327</v>
      </c>
      <c r="AH72" s="22">
        <f t="shared" si="62"/>
        <v>22783.71717272891</v>
      </c>
      <c r="AI72" s="22">
        <f t="shared" si="62"/>
        <v>22638.455195046368</v>
      </c>
      <c r="AJ72" s="22">
        <f t="shared" si="62"/>
        <v>22428.717383211704</v>
      </c>
      <c r="AK72" s="22">
        <f t="shared" si="62"/>
        <v>22266.130401341314</v>
      </c>
      <c r="AL72" s="22">
        <f t="shared" si="62"/>
        <v>22119.9220695435</v>
      </c>
      <c r="AM72" s="22">
        <f t="shared" si="62"/>
        <v>21080.846402288822</v>
      </c>
      <c r="AN72" s="22">
        <f t="shared" si="62"/>
        <v>21447.823271900372</v>
      </c>
      <c r="AO72" s="22">
        <f t="shared" si="62"/>
        <v>42076.390665686726</v>
      </c>
      <c r="AP72" s="22">
        <f t="shared" si="62"/>
        <v>42590.561854300679</v>
      </c>
      <c r="AQ72" s="22">
        <f t="shared" si="62"/>
        <v>42770.230691828059</v>
      </c>
      <c r="AR72" s="22">
        <f t="shared" si="62"/>
        <v>42900.241037416949</v>
      </c>
      <c r="AS72" s="22">
        <f t="shared" si="62"/>
        <v>42978.351680662876</v>
      </c>
      <c r="AT72" s="22">
        <f t="shared" si="62"/>
        <v>43003.824777539186</v>
      </c>
      <c r="AU72" s="22">
        <f t="shared" si="62"/>
        <v>42976.147553556766</v>
      </c>
      <c r="AV72" s="22">
        <f t="shared" si="62"/>
        <v>42895.137062133304</v>
      </c>
      <c r="AW72" s="22">
        <f t="shared" si="62"/>
        <v>42760.916127707918</v>
      </c>
      <c r="AX72" s="22">
        <f t="shared" si="62"/>
        <v>42366.15730863854</v>
      </c>
      <c r="AY72" s="22">
        <f t="shared" si="62"/>
        <v>41920.312362968529</v>
      </c>
      <c r="AZ72" s="22">
        <f t="shared" si="62"/>
        <v>41425.395241435224</v>
      </c>
      <c r="BA72" s="22">
        <f t="shared" si="62"/>
        <v>40883.648615323589</v>
      </c>
      <c r="BB72" s="22">
        <f t="shared" si="62"/>
        <v>40297.607035232599</v>
      </c>
      <c r="BC72" s="22">
        <f t="shared" si="62"/>
        <v>39670.040975897798</v>
      </c>
      <c r="BD72" s="22">
        <f t="shared" si="62"/>
        <v>10339.601504883578</v>
      </c>
      <c r="BE72" s="22">
        <f t="shared" si="62"/>
        <v>9520.8024909418782</v>
      </c>
      <c r="BF72" s="22">
        <f t="shared" si="62"/>
        <v>9571.2658178697311</v>
      </c>
      <c r="BG72" s="22">
        <f t="shared" si="62"/>
        <v>9621.1133361345801</v>
      </c>
      <c r="BH72" s="22">
        <f t="shared" si="62"/>
        <v>9662.6261588825128</v>
      </c>
      <c r="BI72" s="22">
        <f t="shared" si="62"/>
        <v>9703.5928405606282</v>
      </c>
      <c r="BJ72" s="22">
        <f t="shared" si="62"/>
        <v>9743.9916475029022</v>
      </c>
      <c r="BK72" s="22">
        <f t="shared" si="62"/>
        <v>9783.8253490464176</v>
      </c>
      <c r="BL72" s="22">
        <f t="shared" si="62"/>
        <v>9823.0620737830777</v>
      </c>
      <c r="BM72" s="22">
        <f t="shared" si="62"/>
        <v>9861.6668216303387</v>
      </c>
      <c r="BN72" s="22">
        <f t="shared" si="62"/>
        <v>9899.6391696575956</v>
      </c>
      <c r="BO72" s="22">
        <f t="shared" si="62"/>
        <v>9936.9869807004834</v>
      </c>
      <c r="BP72" s="22">
        <f t="shared" si="62"/>
        <v>9973.7155033499657</v>
      </c>
      <c r="BQ72" s="22">
        <f t="shared" si="62"/>
        <v>10009.785611837697</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49879.473570311653</v>
      </c>
      <c r="AF73" s="22">
        <f t="shared" si="63"/>
        <v>49816.343766362697</v>
      </c>
      <c r="AG73" s="22">
        <f t="shared" si="63"/>
        <v>49837.693321354192</v>
      </c>
      <c r="AH73" s="22">
        <f t="shared" si="63"/>
        <v>49552.184012065816</v>
      </c>
      <c r="AI73" s="22">
        <f t="shared" si="63"/>
        <v>49119.041014062772</v>
      </c>
      <c r="AJ73" s="22">
        <f t="shared" si="63"/>
        <v>48506.139935969462</v>
      </c>
      <c r="AK73" s="22">
        <f t="shared" si="63"/>
        <v>48052.087616742072</v>
      </c>
      <c r="AL73" s="22">
        <f t="shared" si="63"/>
        <v>47638.317777423879</v>
      </c>
      <c r="AM73" s="22">
        <f t="shared" si="63"/>
        <v>44659.253273605718</v>
      </c>
      <c r="AN73" s="22">
        <f t="shared" si="63"/>
        <v>45748.017372690476</v>
      </c>
      <c r="AO73" s="22">
        <f t="shared" si="63"/>
        <v>105253.76536933912</v>
      </c>
      <c r="AP73" s="22">
        <f t="shared" si="63"/>
        <v>106223.88725831211</v>
      </c>
      <c r="AQ73" s="22">
        <f t="shared" si="63"/>
        <v>106770.17490039667</v>
      </c>
      <c r="AR73" s="22">
        <f t="shared" si="63"/>
        <v>107174.16879935921</v>
      </c>
      <c r="AS73" s="22">
        <f t="shared" si="63"/>
        <v>107430.24813731473</v>
      </c>
      <c r="AT73" s="22">
        <f t="shared" si="63"/>
        <v>107535.9516558644</v>
      </c>
      <c r="AU73" s="22">
        <f t="shared" si="63"/>
        <v>107489.52478795048</v>
      </c>
      <c r="AV73" s="22">
        <f t="shared" si="63"/>
        <v>107290.12122368094</v>
      </c>
      <c r="AW73" s="22">
        <f t="shared" si="63"/>
        <v>106937.76055206882</v>
      </c>
      <c r="AX73" s="22">
        <f t="shared" si="63"/>
        <v>105870.93370376204</v>
      </c>
      <c r="AY73" s="22">
        <f t="shared" si="63"/>
        <v>104656.62112515626</v>
      </c>
      <c r="AZ73" s="22">
        <f t="shared" si="63"/>
        <v>103300.13944489992</v>
      </c>
      <c r="BA73" s="22">
        <f t="shared" si="63"/>
        <v>101807.49959472047</v>
      </c>
      <c r="BB73" s="22">
        <f t="shared" si="63"/>
        <v>100185.52561247512</v>
      </c>
      <c r="BC73" s="22">
        <f t="shared" si="63"/>
        <v>98441.72794951158</v>
      </c>
      <c r="BD73" s="22">
        <f t="shared" si="63"/>
        <v>12655.190989646824</v>
      </c>
      <c r="BE73" s="22">
        <f t="shared" si="63"/>
        <v>11910.944419010844</v>
      </c>
      <c r="BF73" s="22">
        <f t="shared" si="63"/>
        <v>12034.902222208848</v>
      </c>
      <c r="BG73" s="22">
        <f t="shared" si="63"/>
        <v>12157.219499192179</v>
      </c>
      <c r="BH73" s="22">
        <f t="shared" si="63"/>
        <v>12257.000701044681</v>
      </c>
      <c r="BI73" s="22">
        <f t="shared" si="63"/>
        <v>12355.354341646918</v>
      </c>
      <c r="BJ73" s="22">
        <f t="shared" si="63"/>
        <v>12452.231680487279</v>
      </c>
      <c r="BK73" s="22">
        <f t="shared" si="63"/>
        <v>12547.638446854375</v>
      </c>
      <c r="BL73" s="22">
        <f t="shared" si="63"/>
        <v>12641.505126269316</v>
      </c>
      <c r="BM73" s="22">
        <f t="shared" si="63"/>
        <v>12733.751595694723</v>
      </c>
      <c r="BN73" s="22">
        <f t="shared" si="63"/>
        <v>12824.373628854022</v>
      </c>
      <c r="BO73" s="22">
        <f t="shared" si="63"/>
        <v>12913.388167353462</v>
      </c>
      <c r="BP73" s="22">
        <f t="shared" si="63"/>
        <v>13000.807179731093</v>
      </c>
      <c r="BQ73" s="22">
        <f t="shared" si="63"/>
        <v>13086.542604397095</v>
      </c>
    </row>
    <row r="74" spans="1:75" x14ac:dyDescent="0.25">
      <c r="F74" t="s">
        <v>930</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930</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930</v>
      </c>
      <c r="H76" t="s">
        <v>936</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929</v>
      </c>
      <c r="H77" t="s">
        <v>931</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929</v>
      </c>
      <c r="H78" t="s">
        <v>932</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929</v>
      </c>
      <c r="H79" t="s">
        <v>933</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-6.1935604806494224E-2</v>
      </c>
      <c r="AF80" s="49">
        <f t="shared" si="65"/>
        <v>-0.10492356125464204</v>
      </c>
      <c r="AG80" s="49">
        <f t="shared" si="65"/>
        <v>-0.10668176726843398</v>
      </c>
      <c r="AH80" s="49">
        <f t="shared" si="65"/>
        <v>-9.4260181583125657E-2</v>
      </c>
      <c r="AI80" s="49">
        <f t="shared" si="65"/>
        <v>-5.071632298769032E-2</v>
      </c>
      <c r="AJ80" s="49">
        <f t="shared" si="65"/>
        <v>-6.1361999160036595E-2</v>
      </c>
    </row>
    <row r="113" spans="1:75" s="19" customFormat="1" ht="15.75" x14ac:dyDescent="0.25">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5546875" defaultRowHeight="15" x14ac:dyDescent="0.25"/>
  <cols>
    <col min="1" max="1" width="34.42578125" customWidth="1"/>
    <col min="2" max="7" width="9.7109375" customWidth="1"/>
    <col min="8" max="8" width="9.42578125" customWidth="1"/>
    <col min="23" max="24" width="9.42578125" customWidth="1"/>
    <col min="25" max="25" width="9.7109375" customWidth="1"/>
  </cols>
  <sheetData>
    <row r="1" spans="1:46" ht="18.75" x14ac:dyDescent="0.3">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75" x14ac:dyDescent="0.25">
      <c r="A2" s="19" t="s">
        <v>937</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938</v>
      </c>
      <c r="B4" s="79">
        <f>'Emissions summary'!AB73</f>
        <v>49879.473570311653</v>
      </c>
      <c r="C4" s="79">
        <f>'Emissions summary'!AC73</f>
        <v>49816.343766362697</v>
      </c>
      <c r="D4" s="79">
        <f>'Emissions summary'!AD73</f>
        <v>49837.693321354192</v>
      </c>
      <c r="E4" s="79">
        <f>'Emissions summary'!AE73</f>
        <v>49552.184012065816</v>
      </c>
      <c r="F4" s="79">
        <f>'Emissions summary'!AF73</f>
        <v>49119.041014062772</v>
      </c>
      <c r="G4" s="79">
        <f>'Emissions summary'!AG73</f>
        <v>48506.139935969462</v>
      </c>
      <c r="H4" s="79">
        <f>'Emissions summary'!AH73</f>
        <v>48052.087616742072</v>
      </c>
      <c r="I4" s="79">
        <f>'Emissions summary'!AI73</f>
        <v>47638.317777423879</v>
      </c>
      <c r="J4" s="79">
        <f>'Emissions summary'!AJ73</f>
        <v>44659.253273605718</v>
      </c>
      <c r="K4" s="79">
        <f>'Emissions summary'!AK73</f>
        <v>45748.017372690476</v>
      </c>
      <c r="L4" s="79">
        <f>'Emissions summary'!AL73</f>
        <v>105253.76536933912</v>
      </c>
      <c r="M4" s="79">
        <f>'Emissions summary'!AM73</f>
        <v>106223.88725831211</v>
      </c>
      <c r="N4" s="79">
        <f>'Emissions summary'!AN73</f>
        <v>106770.17490039667</v>
      </c>
      <c r="O4" s="79">
        <f>'Emissions summary'!AO73</f>
        <v>107174.16879935921</v>
      </c>
      <c r="P4" s="79">
        <f>'Emissions summary'!AP73</f>
        <v>107430.24813731473</v>
      </c>
      <c r="Q4" s="79">
        <f>'Emissions summary'!AQ73</f>
        <v>107535.9516558644</v>
      </c>
      <c r="R4" s="79">
        <f>'Emissions summary'!AR73</f>
        <v>107489.52478795048</v>
      </c>
      <c r="S4" s="79">
        <f>'Emissions summary'!AS73</f>
        <v>107290.12122368094</v>
      </c>
      <c r="T4" s="79">
        <f>'Emissions summary'!AT73</f>
        <v>106937.76055206884</v>
      </c>
      <c r="U4" s="79">
        <f>'Emissions summary'!AU73</f>
        <v>105870.93370376204</v>
      </c>
      <c r="V4" s="79">
        <f>'Emissions summary'!AV73</f>
        <v>104656.62112515626</v>
      </c>
      <c r="W4" s="79">
        <f>'Emissions summary'!AW73</f>
        <v>103300.13944489992</v>
      </c>
      <c r="X4" s="79">
        <f>'Emissions summary'!AX73</f>
        <v>101807.49959472047</v>
      </c>
      <c r="Y4" s="79">
        <f>'Emissions summary'!AY73</f>
        <v>100185.52561247512</v>
      </c>
      <c r="Z4" s="79">
        <f>'Emissions summary'!AZ73</f>
        <v>98441.72794951158</v>
      </c>
      <c r="AA4" s="79">
        <f>'Emissions summary'!BA73</f>
        <v>12655.190989646824</v>
      </c>
      <c r="AB4" s="79">
        <f>'Emissions summary'!BB73</f>
        <v>11910.944419010844</v>
      </c>
      <c r="AC4" s="79">
        <f>'Emissions summary'!BC73</f>
        <v>12034.902222208848</v>
      </c>
      <c r="AD4" s="79">
        <f>'Emissions summary'!BD73</f>
        <v>12157.219499192179</v>
      </c>
      <c r="AE4" s="79">
        <f>'Emissions summary'!BE73</f>
        <v>12257.000701044681</v>
      </c>
      <c r="AF4" s="79">
        <f>'Emissions summary'!BF73</f>
        <v>12355.354341646918</v>
      </c>
      <c r="AG4" s="79">
        <f>'Emissions summary'!BG73</f>
        <v>12452.231680487279</v>
      </c>
      <c r="AH4" s="79">
        <f>'Emissions summary'!BH73</f>
        <v>12547.638446854375</v>
      </c>
      <c r="AI4" s="79">
        <f>'Emissions summary'!BI73</f>
        <v>12641.505126269316</v>
      </c>
      <c r="AJ4" s="79">
        <f>'Emissions summary'!BJ73</f>
        <v>12733.751595694723</v>
      </c>
      <c r="AK4" s="79">
        <f>'Emissions summary'!BK73</f>
        <v>12824.373628854022</v>
      </c>
      <c r="AL4" s="79">
        <f>'Emissions summary'!BL73</f>
        <v>12913.388167353462</v>
      </c>
      <c r="AM4" s="79">
        <f>'Emissions summary'!BM73</f>
        <v>13000.807179731093</v>
      </c>
      <c r="AN4" s="79">
        <f>'Emissions summary'!BN73</f>
        <v>13086.542604397095</v>
      </c>
    </row>
    <row r="5" spans="1:46" x14ac:dyDescent="0.25">
      <c r="A5" t="s">
        <v>939</v>
      </c>
      <c r="B5" s="79">
        <f>'Net zero emission summary'!AE73</f>
        <v>49879.473570311653</v>
      </c>
      <c r="C5" s="79">
        <f>'Net zero emission summary'!AF73</f>
        <v>49816.343766362697</v>
      </c>
      <c r="D5" s="79">
        <f>'Net zero emission summary'!AG73</f>
        <v>49837.693321354192</v>
      </c>
      <c r="E5" s="79">
        <f>'Net zero emission summary'!AH73</f>
        <v>49552.184012065816</v>
      </c>
      <c r="F5" s="79">
        <f>'Net zero emission summary'!AI73</f>
        <v>49119.041014062772</v>
      </c>
      <c r="G5" s="79">
        <f>'Net zero emission summary'!AJ73</f>
        <v>48506.139935969462</v>
      </c>
      <c r="H5" s="79">
        <f>'Net zero emission summary'!AK73</f>
        <v>48052.087616742072</v>
      </c>
      <c r="I5" s="79">
        <f>'Net zero emission summary'!AL73</f>
        <v>47638.317777423879</v>
      </c>
      <c r="J5" s="79">
        <f>'Net zero emission summary'!AM73</f>
        <v>44659.253273605718</v>
      </c>
      <c r="K5" s="79">
        <f>'Net zero emission summary'!AN73</f>
        <v>45748.017372690476</v>
      </c>
      <c r="L5" s="79">
        <f>'Net zero emission summary'!AO73</f>
        <v>105253.76536933912</v>
      </c>
      <c r="M5" s="79">
        <f>'Net zero emission summary'!AP73</f>
        <v>106223.88725831211</v>
      </c>
      <c r="N5" s="79">
        <f>'Net zero emission summary'!AQ73</f>
        <v>106770.17490039667</v>
      </c>
      <c r="O5" s="79">
        <f>'Net zero emission summary'!AR73</f>
        <v>107174.16879935921</v>
      </c>
      <c r="P5" s="79">
        <f>'Net zero emission summary'!AS73</f>
        <v>107430.24813731473</v>
      </c>
      <c r="Q5" s="79">
        <f>'Net zero emission summary'!AT73</f>
        <v>107535.9516558644</v>
      </c>
      <c r="R5" s="79">
        <f>'Net zero emission summary'!AU73</f>
        <v>107489.52478795048</v>
      </c>
      <c r="S5" s="79">
        <f>'Net zero emission summary'!AV73</f>
        <v>107290.12122368094</v>
      </c>
      <c r="T5" s="79">
        <f>'Net zero emission summary'!AW73</f>
        <v>106937.76055206882</v>
      </c>
      <c r="U5" s="79">
        <f>'Net zero emission summary'!AX73</f>
        <v>105870.93370376204</v>
      </c>
      <c r="V5" s="79">
        <f>'Net zero emission summary'!AY73</f>
        <v>104656.62112515626</v>
      </c>
      <c r="W5" s="79">
        <f>'Net zero emission summary'!AZ73</f>
        <v>103300.13944489992</v>
      </c>
      <c r="X5" s="79">
        <f>'Net zero emission summary'!BA73</f>
        <v>101807.49959472047</v>
      </c>
      <c r="Y5" s="79">
        <f>'Net zero emission summary'!BB73</f>
        <v>100185.52561247512</v>
      </c>
      <c r="Z5" s="79">
        <f>'Net zero emission summary'!BC73</f>
        <v>98441.72794951158</v>
      </c>
      <c r="AA5" s="79">
        <f>'Net zero emission summary'!BD73</f>
        <v>12655.190989646824</v>
      </c>
      <c r="AB5" s="79">
        <f>'Net zero emission summary'!BE73</f>
        <v>11910.944419010844</v>
      </c>
      <c r="AC5" s="79">
        <f>'Net zero emission summary'!BF73</f>
        <v>12034.902222208848</v>
      </c>
      <c r="AD5" s="79">
        <f>'Net zero emission summary'!BG73</f>
        <v>12157.219499192179</v>
      </c>
      <c r="AE5" s="79">
        <f>'Net zero emission summary'!BH73</f>
        <v>12257.000701044681</v>
      </c>
      <c r="AF5" s="79">
        <f>'Net zero emission summary'!BI73</f>
        <v>12355.354341646918</v>
      </c>
      <c r="AG5" s="79">
        <f>'Net zero emission summary'!BJ73</f>
        <v>12452.231680487279</v>
      </c>
      <c r="AH5" s="79">
        <f>'Net zero emission summary'!BK73</f>
        <v>12547.638446854375</v>
      </c>
      <c r="AI5" s="79">
        <f>'Net zero emission summary'!BL73</f>
        <v>12641.505126269316</v>
      </c>
      <c r="AJ5" s="79">
        <f>'Net zero emission summary'!BM73</f>
        <v>12733.751595694723</v>
      </c>
      <c r="AK5" s="79">
        <f>'Net zero emission summary'!BN73</f>
        <v>12824.373628854022</v>
      </c>
      <c r="AL5" s="79">
        <f>'Net zero emission summary'!BO73</f>
        <v>12913.388167353462</v>
      </c>
      <c r="AM5" s="79">
        <f>'Net zero emission summary'!BP73</f>
        <v>13000.807179731093</v>
      </c>
      <c r="AN5" s="79">
        <f>'Net zero emission summary'!BQ73</f>
        <v>13086.542604397095</v>
      </c>
    </row>
    <row r="6" spans="1:46" x14ac:dyDescent="0.25">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25">
      <c r="T7" s="49">
        <f>T6/'Emissions summary'!AT58</f>
        <v>0</v>
      </c>
      <c r="AN7" s="49">
        <f>AN6/'Emissions summary'!BN58</f>
        <v>0</v>
      </c>
    </row>
    <row r="8" spans="1:46" x14ac:dyDescent="0.25">
      <c r="T8" s="49">
        <f>(T4-T5)/T4</f>
        <v>1.3607836140613222E-16</v>
      </c>
      <c r="AN8" s="49">
        <f>(AN4-AN5)/AN4</f>
        <v>0</v>
      </c>
    </row>
    <row r="9" spans="1:46" x14ac:dyDescent="0.25">
      <c r="T9">
        <f>(T4-T5)/G4</f>
        <v>3.0000151006812974E-16</v>
      </c>
      <c r="AN9">
        <f>0.4*AN4</f>
        <v>5234.6170417588382</v>
      </c>
    </row>
    <row r="10" spans="1:46" x14ac:dyDescent="0.25">
      <c r="AN10">
        <f>0.75*AN4</f>
        <v>9814.906953297821</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5546875" defaultRowHeight="15" x14ac:dyDescent="0.25"/>
  <sheetData>
    <row r="1" spans="1:13" x14ac:dyDescent="0.25">
      <c r="A1" t="s">
        <v>960</v>
      </c>
      <c r="C1" t="s">
        <v>960</v>
      </c>
      <c r="E1" t="s">
        <v>960</v>
      </c>
      <c r="G1" t="s">
        <v>960</v>
      </c>
      <c r="I1" t="s">
        <v>960</v>
      </c>
      <c r="K1" t="s">
        <v>960</v>
      </c>
      <c r="M1" t="s">
        <v>960</v>
      </c>
    </row>
    <row r="2" spans="1:13" x14ac:dyDescent="0.25">
      <c r="A2" t="s">
        <v>959</v>
      </c>
      <c r="C2" t="s">
        <v>982</v>
      </c>
      <c r="E2" t="s">
        <v>995</v>
      </c>
      <c r="G2" t="s">
        <v>996</v>
      </c>
      <c r="I2" t="s">
        <v>997</v>
      </c>
      <c r="K2" t="s">
        <v>998</v>
      </c>
      <c r="M2" t="s">
        <v>999</v>
      </c>
    </row>
    <row r="3" spans="1:13" x14ac:dyDescent="0.25">
      <c r="A3" t="s">
        <v>961</v>
      </c>
      <c r="C3" t="s">
        <v>943</v>
      </c>
      <c r="E3" t="s">
        <v>983</v>
      </c>
      <c r="G3" t="s">
        <v>987</v>
      </c>
      <c r="I3" t="s">
        <v>989</v>
      </c>
      <c r="K3" t="s">
        <v>991</v>
      </c>
      <c r="M3" t="s">
        <v>993</v>
      </c>
    </row>
    <row r="4" spans="1:13" x14ac:dyDescent="0.25">
      <c r="A4" t="s">
        <v>962</v>
      </c>
      <c r="C4" t="s">
        <v>944</v>
      </c>
      <c r="E4" t="s">
        <v>984</v>
      </c>
      <c r="G4" t="s">
        <v>988</v>
      </c>
      <c r="I4" t="s">
        <v>990</v>
      </c>
      <c r="K4" t="s">
        <v>992</v>
      </c>
      <c r="M4" t="s">
        <v>994</v>
      </c>
    </row>
    <row r="5" spans="1:13" x14ac:dyDescent="0.25">
      <c r="A5" t="s">
        <v>963</v>
      </c>
      <c r="C5" t="s">
        <v>945</v>
      </c>
      <c r="E5" t="s">
        <v>985</v>
      </c>
    </row>
    <row r="6" spans="1:13" x14ac:dyDescent="0.25">
      <c r="A6" t="s">
        <v>964</v>
      </c>
      <c r="C6" t="s">
        <v>946</v>
      </c>
      <c r="E6" t="s">
        <v>986</v>
      </c>
    </row>
    <row r="7" spans="1:13" x14ac:dyDescent="0.25">
      <c r="A7" t="s">
        <v>965</v>
      </c>
    </row>
    <row r="8" spans="1:13" x14ac:dyDescent="0.25">
      <c r="A8" t="s">
        <v>966</v>
      </c>
    </row>
    <row r="9" spans="1:13" x14ac:dyDescent="0.25">
      <c r="A9" t="s">
        <v>967</v>
      </c>
    </row>
    <row r="10" spans="1:13" x14ac:dyDescent="0.25">
      <c r="A10" t="s">
        <v>968</v>
      </c>
      <c r="C10" t="s">
        <v>960</v>
      </c>
      <c r="F10" t="s">
        <v>1003</v>
      </c>
      <c r="H10" t="s">
        <v>1004</v>
      </c>
      <c r="I10" t="str">
        <f>IF('Net zero activities &amp; levers'!C5="On",1,"Baseline")</f>
        <v>Baseline</v>
      </c>
    </row>
    <row r="11" spans="1:13" x14ac:dyDescent="0.25">
      <c r="A11" t="s">
        <v>969</v>
      </c>
      <c r="C11" t="s">
        <v>12</v>
      </c>
      <c r="F11" t="s">
        <v>944</v>
      </c>
      <c r="H11" t="s">
        <v>961</v>
      </c>
      <c r="I11" t="e">
        <f>IF('Net zero activities &amp; levers'!#REF!="On",2,"Baseline")</f>
        <v>#REF!</v>
      </c>
    </row>
    <row r="12" spans="1:13" x14ac:dyDescent="0.25">
      <c r="A12" t="s">
        <v>970</v>
      </c>
      <c r="C12" t="s">
        <v>13</v>
      </c>
      <c r="F12" t="s">
        <v>945</v>
      </c>
      <c r="H12" t="s">
        <v>962</v>
      </c>
      <c r="I12" t="str">
        <f>IF('Net zero activities &amp; levers'!C6="On",3,"Baseline")</f>
        <v>Baseline</v>
      </c>
    </row>
    <row r="13" spans="1:13" x14ac:dyDescent="0.25">
      <c r="A13" t="s">
        <v>971</v>
      </c>
      <c r="C13" t="s">
        <v>14</v>
      </c>
      <c r="F13" t="s">
        <v>946</v>
      </c>
      <c r="H13" t="s">
        <v>963</v>
      </c>
      <c r="I13" t="e">
        <f>IF('Net zero activities &amp; levers'!#REF!="On",4,"Baseline")</f>
        <v>#REF!</v>
      </c>
    </row>
    <row r="14" spans="1:13" x14ac:dyDescent="0.25">
      <c r="A14" t="s">
        <v>972</v>
      </c>
      <c r="F14" t="s">
        <v>983</v>
      </c>
      <c r="H14" t="s">
        <v>1021</v>
      </c>
      <c r="I14" t="str">
        <f>IF('Net zero activities &amp; levers'!C7="On",5,"Baseline")</f>
        <v>Baseline</v>
      </c>
    </row>
    <row r="15" spans="1:13" x14ac:dyDescent="0.25">
      <c r="A15" t="s">
        <v>973</v>
      </c>
      <c r="F15" t="s">
        <v>984</v>
      </c>
    </row>
    <row r="16" spans="1:13" x14ac:dyDescent="0.25">
      <c r="A16" t="s">
        <v>974</v>
      </c>
      <c r="C16" t="s">
        <v>960</v>
      </c>
      <c r="F16" t="s">
        <v>985</v>
      </c>
      <c r="H16" t="s">
        <v>966</v>
      </c>
      <c r="I16" t="e">
        <f>IF('Net zero activities &amp; levers'!#REF!="On",6,"Baseline")</f>
        <v>#REF!</v>
      </c>
    </row>
    <row r="17" spans="1:14" x14ac:dyDescent="0.25">
      <c r="A17" t="s">
        <v>975</v>
      </c>
      <c r="C17" t="s">
        <v>1000</v>
      </c>
      <c r="F17" t="s">
        <v>986</v>
      </c>
      <c r="H17" t="s">
        <v>967</v>
      </c>
      <c r="I17" t="e">
        <f>IF('Net zero activities &amp; levers'!#REF!="On",7,"Baseline")</f>
        <v>#REF!</v>
      </c>
    </row>
    <row r="18" spans="1:14" x14ac:dyDescent="0.25">
      <c r="A18" t="s">
        <v>976</v>
      </c>
      <c r="C18" t="s">
        <v>1001</v>
      </c>
      <c r="F18" t="s">
        <v>987</v>
      </c>
      <c r="H18" t="s">
        <v>968</v>
      </c>
      <c r="I18" t="str">
        <f>IF('Net zero activities &amp; levers'!C8="On",8,"Baseline")</f>
        <v>Baseline</v>
      </c>
    </row>
    <row r="19" spans="1:14" x14ac:dyDescent="0.25">
      <c r="A19" t="s">
        <v>977</v>
      </c>
    </row>
    <row r="20" spans="1:14" x14ac:dyDescent="0.25">
      <c r="A20" t="s">
        <v>978</v>
      </c>
    </row>
    <row r="21" spans="1:14" x14ac:dyDescent="0.25">
      <c r="A21" t="s">
        <v>979</v>
      </c>
    </row>
    <row r="22" spans="1:14" x14ac:dyDescent="0.25">
      <c r="A22" t="s">
        <v>980</v>
      </c>
      <c r="L22" t="s">
        <v>1004</v>
      </c>
    </row>
    <row r="23" spans="1:14" x14ac:dyDescent="0.25">
      <c r="A23" t="s">
        <v>981</v>
      </c>
      <c r="L23" t="s">
        <v>962</v>
      </c>
      <c r="N23" t="str">
        <f>$L$22&amp;L23</f>
        <v>FSFA</v>
      </c>
    </row>
    <row r="24" spans="1:14" x14ac:dyDescent="0.25">
      <c r="L24" t="s">
        <v>1021</v>
      </c>
      <c r="N24" t="str">
        <f t="shared" ref="N24:N28" si="0">$L$22&amp;L24</f>
        <v>FSGS</v>
      </c>
    </row>
    <row r="25" spans="1:14" x14ac:dyDescent="0.25">
      <c r="L25" t="s">
        <v>968</v>
      </c>
      <c r="N25" t="str">
        <f t="shared" si="0"/>
        <v>FSPQ</v>
      </c>
    </row>
    <row r="26" spans="1:14" x14ac:dyDescent="0.25">
      <c r="L26" t="s">
        <v>969</v>
      </c>
      <c r="N26" t="str">
        <f t="shared" si="0"/>
        <v>FSNI</v>
      </c>
    </row>
    <row r="27" spans="1:14" x14ac:dyDescent="0.25">
      <c r="L27" t="s">
        <v>972</v>
      </c>
      <c r="N27" t="str">
        <f t="shared" si="0"/>
        <v>FSAD</v>
      </c>
    </row>
    <row r="28" spans="1:14" x14ac:dyDescent="0.25">
      <c r="B28" t="s">
        <v>1379</v>
      </c>
      <c r="L28" t="s">
        <v>1322</v>
      </c>
      <c r="N28" t="str">
        <f t="shared" si="0"/>
        <v>FSCM</v>
      </c>
    </row>
    <row r="29" spans="1:14" x14ac:dyDescent="0.25">
      <c r="B29" t="s">
        <v>1380</v>
      </c>
      <c r="N29" t="str">
        <f>$L$23&amp;L22</f>
        <v>FAFS</v>
      </c>
    </row>
    <row r="30" spans="1:14" x14ac:dyDescent="0.25">
      <c r="N30" t="str">
        <f>$L$23&amp;L24</f>
        <v>FAGS</v>
      </c>
    </row>
    <row r="31" spans="1:14" x14ac:dyDescent="0.25">
      <c r="B31" t="s">
        <v>1001</v>
      </c>
      <c r="N31" t="str">
        <f t="shared" ref="N31:N34" si="1">$L$23&amp;L25</f>
        <v>FAPQ</v>
      </c>
    </row>
    <row r="32" spans="1:14" x14ac:dyDescent="0.25">
      <c r="B32" t="s">
        <v>1381</v>
      </c>
      <c r="N32" t="str">
        <f t="shared" si="1"/>
        <v>FANI</v>
      </c>
    </row>
    <row r="33" spans="2:14" x14ac:dyDescent="0.25">
      <c r="B33" t="s">
        <v>1378</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2023-12-14T13:29:03Z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